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JGCZ\JGCZ\JGCZ - TRABAJO\1- Independiente\3- IMZA\3- Proyectos\6- 2025\2- María Cecilia Eckmann\7- XLS\"/>
    </mc:Choice>
  </mc:AlternateContent>
  <xr:revisionPtr revIDLastSave="0" documentId="13_ncr:10000001_{41B466C4-D3D9-40A6-9312-06679BB7524F}" xr6:coauthVersionLast="47" xr6:coauthVersionMax="47" xr10:uidLastSave="{00000000-0000-0000-0000-000000000000}"/>
  <bookViews>
    <workbookView xWindow="-120" yWindow="-120" windowWidth="29040" windowHeight="15840" tabRatio="730" activeTab="1" xr2:uid="{A594953C-9534-4EA6-8C34-1637471E6596}"/>
  </bookViews>
  <sheets>
    <sheet name="B. DATOS" sheetId="10" r:id="rId1"/>
    <sheet name="1. GENERAL" sheetId="1" r:id="rId2"/>
    <sheet name="2. CANTIDADES" sheetId="2" r:id="rId3"/>
    <sheet name="2.1 UNIONES PVC" sheetId="3" state="hidden" r:id="rId4"/>
    <sheet name="2.2 ACEROS" sheetId="4" state="hidden" r:id="rId5"/>
    <sheet name="2.3 DESPIECES" sheetId="5" state="hidden" r:id="rId6"/>
    <sheet name="3. CD - Obra negra" sheetId="6" r:id="rId7"/>
    <sheet name="4. CD - Obra gris" sheetId="7" r:id="rId8"/>
    <sheet name="5, CD -Obra blanca" sheetId="9" r:id="rId9"/>
    <sheet name="6. C. Indirectos" sheetId="8" r:id="rId10"/>
    <sheet name="Flujo de caja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6" hidden="1">'3. CD - Obra negra'!$B$2:$T$316</definedName>
    <definedName name="_xlnm._FilterDatabase" localSheetId="7" hidden="1">'4. CD - Obra gris'!$B$2:$T$3</definedName>
    <definedName name="_xlnm._FilterDatabase" localSheetId="8" hidden="1">'5, CD -Obra blanca'!$B$2:$S$150</definedName>
    <definedName name="_xlnm._FilterDatabase" localSheetId="9" hidden="1">'6. C. Indirectos'!$B$2:$S$15</definedName>
    <definedName name="ACABADOS">Tabla102107[ITEM]</definedName>
    <definedName name="ACERO">Tabla7275[ITEM]</definedName>
    <definedName name="ADITIVOS">Tabla727476[ITEM]</definedName>
    <definedName name="AISLANTES">Tabla72747677[ITEM]</definedName>
    <definedName name="CARPINTERIA">Tabla727482838687[ITEM]</definedName>
    <definedName name="CIMIENTOS">Tabla94[ITEM]</definedName>
    <definedName name="CUBIERTAS">Tabla7274828386878872[ITEM]</definedName>
    <definedName name="E.GUADUA">Tabla102[ITEM]</definedName>
    <definedName name="ELECTRICA">Tabla727482838185[ITEM]</definedName>
    <definedName name="ENCHAPE">Tabla72748283868788728990[ITEM]</definedName>
    <definedName name="EQUIPOS">Tabla7274767880[ITEM]</definedName>
    <definedName name="ESPACIO">Tabla6771[ESPACIO]</definedName>
    <definedName name="FORMALETA">Tabla7274767779[ITEM]</definedName>
    <definedName name="GAS">Tabla95102[ITEM]</definedName>
    <definedName name="GUADUA">Tabla727482[ITEM]</definedName>
    <definedName name="I.ELECTRICA">Tabla949899100[ITEM]</definedName>
    <definedName name="I.GAS">Tabla949899101[ITEM]</definedName>
    <definedName name="I.GUADUA">Tabla102[ITEM]</definedName>
    <definedName name="I.MADERA">Tabla104[ITEM]</definedName>
    <definedName name="I.METAL">Tabla105[ITEM]</definedName>
    <definedName name="I.POTABLE">Tabla9498[ITEM]</definedName>
    <definedName name="I.SANITARIA">Tabla949899[ITEM]</definedName>
    <definedName name="LLUVIA">Tabla95[ITEM]</definedName>
    <definedName name="MADERA">Tabla72748283[ITEM]</definedName>
    <definedName name="MAMPOSTERIA">Tabla7274828386[ITEM]</definedName>
    <definedName name="MANO.DE.OBRA">Tabla93109[MANO.DE.OBRA]</definedName>
    <definedName name="MANOCASAACAB">'5, CD -Obra blanca'!$E$219:$L$230</definedName>
    <definedName name="MANOCASAEST">'4. CD - Obra gris'!$E$128:$L$134</definedName>
    <definedName name="MANOCASAOBRANEGRA">'3. CD - Obra negra'!$E$432:$L$458</definedName>
    <definedName name="MANOEXTACAB">'5, CD -Obra blanca'!$E$234:$L$237</definedName>
    <definedName name="MANOEXTOBRANEGRA">'3. CD - Obra negra'!$E$462:$L$463</definedName>
    <definedName name="MATCASAACAB">'5, CD -Obra blanca'!$E$170:$L$200</definedName>
    <definedName name="MATCASAEST">'4. CD - Obra gris'!$E$93:$L$117</definedName>
    <definedName name="MATCASAOBRANEGRA">'3. CD - Obra negra'!$E$363:$L$415</definedName>
    <definedName name="MATERIAL">Tabla93[MATERIAL]</definedName>
    <definedName name="MATEXTACAB">'5, CD -Obra blanca'!$E$204:$L$214</definedName>
    <definedName name="MATEXTEST">'4. CD - Obra gris'!$E$138:$L$139</definedName>
    <definedName name="MATEXTOBRANEGRA">'3. CD - Obra negra'!$E$419:$L$427</definedName>
    <definedName name="MEMBRANAS">Tabla72747678[ITEM]</definedName>
    <definedName name="MOBILIARIO">Tabla7274828386878872899091[ITEM]</definedName>
    <definedName name="PANELES">Tabla727482838687887289909192[ITEM]</definedName>
    <definedName name="PETREOS">Tabla72[ITEM]</definedName>
    <definedName name="PINTURA">Tabla727482838687887289[ITEM]</definedName>
    <definedName name="POTABLE">Tabla7274828381[ITEM]</definedName>
    <definedName name="PRELIMINAR">Tabla9497[ITEM]</definedName>
    <definedName name="PRELIMINARES">Tabla9497[ITEM]</definedName>
    <definedName name="REMATES">Tabla107[ITEM]</definedName>
    <definedName name="SANITARIA">Tabla727482838184[ITEM]</definedName>
    <definedName name="TERROSOS">Tabla7274[ITEM]</definedName>
    <definedName name="TIPO">Tabla67[TIPO]</definedName>
    <definedName name="VIDRIO">Tabla72748283868788[ITEM]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6" i="8" l="1"/>
  <c r="M26" i="8"/>
  <c r="Q26" i="8" s="1"/>
  <c r="O25" i="8"/>
  <c r="O24" i="8"/>
  <c r="O23" i="8"/>
  <c r="O22" i="8"/>
  <c r="O21" i="8"/>
  <c r="M21" i="8"/>
  <c r="Q21" i="8" s="1"/>
  <c r="O20" i="8"/>
  <c r="M20" i="8"/>
  <c r="Q20" i="8" s="1"/>
  <c r="O19" i="8"/>
  <c r="O18" i="8"/>
  <c r="O17" i="8"/>
  <c r="P16" i="8"/>
  <c r="G137" i="9"/>
  <c r="G125" i="9"/>
  <c r="G140" i="9"/>
  <c r="L146" i="9"/>
  <c r="H146" i="9"/>
  <c r="G146" i="9"/>
  <c r="O146" i="9" s="1"/>
  <c r="O145" i="9"/>
  <c r="L145" i="9"/>
  <c r="M145" i="9" s="1"/>
  <c r="P145" i="9" s="1"/>
  <c r="H145" i="9"/>
  <c r="O144" i="9"/>
  <c r="L144" i="9"/>
  <c r="M144" i="9" s="1"/>
  <c r="P144" i="9" s="1"/>
  <c r="H144" i="9"/>
  <c r="O143" i="9"/>
  <c r="L143" i="9"/>
  <c r="M143" i="9" s="1"/>
  <c r="P143" i="9" s="1"/>
  <c r="H143" i="9"/>
  <c r="O142" i="9"/>
  <c r="L142" i="9"/>
  <c r="M142" i="9" s="1"/>
  <c r="P142" i="9" s="1"/>
  <c r="H142" i="9"/>
  <c r="O141" i="9"/>
  <c r="L141" i="9"/>
  <c r="M141" i="9" s="1"/>
  <c r="P141" i="9" s="1"/>
  <c r="H141" i="9"/>
  <c r="O140" i="9"/>
  <c r="L140" i="9"/>
  <c r="M140" i="9" s="1"/>
  <c r="P140" i="9" s="1"/>
  <c r="H140" i="9"/>
  <c r="O139" i="9"/>
  <c r="M139" i="9"/>
  <c r="P139" i="9" s="1"/>
  <c r="L139" i="9"/>
  <c r="H139" i="9"/>
  <c r="L138" i="9"/>
  <c r="M138" i="9" s="1"/>
  <c r="P138" i="9" s="1"/>
  <c r="H138" i="9"/>
  <c r="G138" i="9"/>
  <c r="O138" i="9" s="1"/>
  <c r="L137" i="9"/>
  <c r="M137" i="9" s="1"/>
  <c r="P137" i="9" s="1"/>
  <c r="H137" i="9"/>
  <c r="O137" i="9"/>
  <c r="O136" i="9"/>
  <c r="L136" i="9"/>
  <c r="M136" i="9" s="1"/>
  <c r="P136" i="9" s="1"/>
  <c r="H136" i="9"/>
  <c r="G128" i="9"/>
  <c r="O128" i="9" s="1"/>
  <c r="G116" i="9"/>
  <c r="G114" i="9" s="1"/>
  <c r="O114" i="9" s="1"/>
  <c r="L116" i="9"/>
  <c r="H116" i="9"/>
  <c r="O116" i="9"/>
  <c r="L115" i="9"/>
  <c r="H115" i="9"/>
  <c r="L114" i="9"/>
  <c r="H114" i="9"/>
  <c r="G101" i="9"/>
  <c r="G99" i="9" s="1"/>
  <c r="O99" i="9" s="1"/>
  <c r="G102" i="9"/>
  <c r="G98" i="9" s="1"/>
  <c r="O98" i="9" s="1"/>
  <c r="L102" i="9"/>
  <c r="H102" i="9"/>
  <c r="L101" i="9"/>
  <c r="H101" i="9"/>
  <c r="L100" i="9"/>
  <c r="H100" i="9"/>
  <c r="L99" i="9"/>
  <c r="H99" i="9"/>
  <c r="L98" i="9"/>
  <c r="H98" i="9"/>
  <c r="L97" i="9"/>
  <c r="H97" i="9"/>
  <c r="G107" i="9"/>
  <c r="O107" i="9" s="1"/>
  <c r="G94" i="9"/>
  <c r="G92" i="9" s="1"/>
  <c r="O92" i="9" s="1"/>
  <c r="G95" i="9"/>
  <c r="O95" i="9" s="1"/>
  <c r="G79" i="9"/>
  <c r="G80" i="9" s="1"/>
  <c r="O80" i="9" s="1"/>
  <c r="L80" i="9"/>
  <c r="H80" i="9"/>
  <c r="L79" i="9"/>
  <c r="H79" i="9"/>
  <c r="G76" i="9"/>
  <c r="ADB2" i="2"/>
  <c r="ADB63" i="2"/>
  <c r="ADB62" i="2"/>
  <c r="ADB61" i="2"/>
  <c r="ADB60" i="2"/>
  <c r="ADB59" i="2"/>
  <c r="ADB58" i="2"/>
  <c r="ADB57" i="2"/>
  <c r="ADB56" i="2"/>
  <c r="ADB55" i="2"/>
  <c r="ADB54" i="2"/>
  <c r="ADB53" i="2"/>
  <c r="ADB52" i="2"/>
  <c r="ADB51" i="2"/>
  <c r="ADB50" i="2"/>
  <c r="ADB49" i="2"/>
  <c r="ADB48" i="2"/>
  <c r="ADB47" i="2"/>
  <c r="ADB46" i="2"/>
  <c r="ADB45" i="2"/>
  <c r="ADB44" i="2"/>
  <c r="ADB43" i="2"/>
  <c r="ADB42" i="2"/>
  <c r="ADB41" i="2"/>
  <c r="ADB40" i="2"/>
  <c r="ADB39" i="2"/>
  <c r="ADB38" i="2"/>
  <c r="ADB37" i="2"/>
  <c r="ADB36" i="2"/>
  <c r="ADB22" i="2"/>
  <c r="I8" i="1"/>
  <c r="I7" i="1"/>
  <c r="I6" i="1"/>
  <c r="L73" i="9"/>
  <c r="H73" i="9"/>
  <c r="L72" i="9"/>
  <c r="H72" i="9"/>
  <c r="L71" i="9"/>
  <c r="H71" i="9"/>
  <c r="G71" i="9"/>
  <c r="O71" i="9" s="1"/>
  <c r="L70" i="9"/>
  <c r="H70" i="9"/>
  <c r="L63" i="9"/>
  <c r="H63" i="9"/>
  <c r="L62" i="9"/>
  <c r="H62" i="9"/>
  <c r="L61" i="9"/>
  <c r="H61" i="9"/>
  <c r="L60" i="9"/>
  <c r="H60" i="9"/>
  <c r="L53" i="9"/>
  <c r="H53" i="9"/>
  <c r="L52" i="9"/>
  <c r="H52" i="9"/>
  <c r="L51" i="9"/>
  <c r="H51" i="9"/>
  <c r="L50" i="9"/>
  <c r="H50" i="9"/>
  <c r="L49" i="9"/>
  <c r="H49" i="9"/>
  <c r="L48" i="9"/>
  <c r="H48" i="9"/>
  <c r="L196" i="6"/>
  <c r="H196" i="6"/>
  <c r="O195" i="6"/>
  <c r="L195" i="6"/>
  <c r="M195" i="6" s="1"/>
  <c r="Q195" i="6" s="1"/>
  <c r="H195" i="6"/>
  <c r="L194" i="6"/>
  <c r="H194" i="6"/>
  <c r="O193" i="6"/>
  <c r="L193" i="6"/>
  <c r="M193" i="6" s="1"/>
  <c r="Q193" i="6" s="1"/>
  <c r="H193" i="6"/>
  <c r="L192" i="6"/>
  <c r="H192" i="6"/>
  <c r="L191" i="6"/>
  <c r="H191" i="6"/>
  <c r="L190" i="6"/>
  <c r="H190" i="6"/>
  <c r="L189" i="6"/>
  <c r="H189" i="6"/>
  <c r="L188" i="6"/>
  <c r="H188" i="6"/>
  <c r="M461" i="10"/>
  <c r="I461" i="10"/>
  <c r="G461" i="10"/>
  <c r="ACA51" i="2"/>
  <c r="ACA50" i="2"/>
  <c r="ACA49" i="2"/>
  <c r="ACA48" i="2"/>
  <c r="ACA47" i="2"/>
  <c r="ACA46" i="2"/>
  <c r="ABZ13" i="2"/>
  <c r="ABY13" i="2"/>
  <c r="ABZ12" i="2"/>
  <c r="ABY12" i="2"/>
  <c r="ABZ11" i="2"/>
  <c r="ABY11" i="2"/>
  <c r="ABZ10" i="2"/>
  <c r="ABY10" i="2"/>
  <c r="ABZ9" i="2"/>
  <c r="ABY9" i="2"/>
  <c r="ABZ8" i="2"/>
  <c r="ABY8" i="2"/>
  <c r="ABZ7" i="2"/>
  <c r="ABY7" i="2"/>
  <c r="ABZ6" i="2"/>
  <c r="ABY6" i="2"/>
  <c r="ABZ5" i="2"/>
  <c r="ABY5" i="2"/>
  <c r="ABZ4" i="2"/>
  <c r="ABY4" i="2"/>
  <c r="ABQ51" i="2"/>
  <c r="ABQ50" i="2"/>
  <c r="ABQ49" i="2"/>
  <c r="ABQ48" i="2"/>
  <c r="ABQ47" i="2"/>
  <c r="ABQ46" i="2"/>
  <c r="ABP13" i="2"/>
  <c r="ABO13" i="2"/>
  <c r="ABP12" i="2"/>
  <c r="ABO12" i="2"/>
  <c r="ABP11" i="2"/>
  <c r="ABO11" i="2"/>
  <c r="ABP10" i="2"/>
  <c r="ABO10" i="2"/>
  <c r="ABP9" i="2"/>
  <c r="ABO9" i="2"/>
  <c r="ABP8" i="2"/>
  <c r="ABO8" i="2"/>
  <c r="ABP7" i="2"/>
  <c r="ABO7" i="2"/>
  <c r="ABP6" i="2"/>
  <c r="ABO6" i="2"/>
  <c r="ABP5" i="2"/>
  <c r="ABO5" i="2"/>
  <c r="ABP4" i="2"/>
  <c r="ABO4" i="2"/>
  <c r="ZQ22" i="2"/>
  <c r="ZR22" i="2"/>
  <c r="ZQ23" i="2"/>
  <c r="ZR23" i="2"/>
  <c r="XE51" i="2"/>
  <c r="XE50" i="2"/>
  <c r="XE49" i="2"/>
  <c r="XE48" i="2"/>
  <c r="XE47" i="2"/>
  <c r="XE46" i="2"/>
  <c r="XE45" i="2"/>
  <c r="XE44" i="2"/>
  <c r="XE43" i="2"/>
  <c r="XE42" i="2"/>
  <c r="XE41" i="2"/>
  <c r="XE40" i="2"/>
  <c r="XE39" i="2"/>
  <c r="XE38" i="2"/>
  <c r="XE37" i="2"/>
  <c r="XE36" i="2"/>
  <c r="XE35" i="2"/>
  <c r="XE34" i="2"/>
  <c r="XE33" i="2"/>
  <c r="XE32" i="2"/>
  <c r="XE31" i="2"/>
  <c r="XE30" i="2"/>
  <c r="XE29" i="2"/>
  <c r="XE28" i="2"/>
  <c r="XE27" i="2"/>
  <c r="XE26" i="2"/>
  <c r="XE25" i="2"/>
  <c r="XE24" i="2"/>
  <c r="XD11" i="2"/>
  <c r="XE11" i="2" s="1"/>
  <c r="XC11" i="2"/>
  <c r="XD10" i="2"/>
  <c r="XE10" i="2" s="1"/>
  <c r="XC10" i="2"/>
  <c r="XD9" i="2"/>
  <c r="XE9" i="2" s="1"/>
  <c r="XA2" i="2" s="1"/>
  <c r="XC9" i="2"/>
  <c r="XD8" i="2"/>
  <c r="XE8" i="2" s="1"/>
  <c r="XC8" i="2"/>
  <c r="XD7" i="2"/>
  <c r="XE7" i="2" s="1"/>
  <c r="XC7" i="2"/>
  <c r="XD6" i="2"/>
  <c r="XE6" i="2" s="1"/>
  <c r="WY2" i="2" s="1"/>
  <c r="XC6" i="2"/>
  <c r="XD5" i="2"/>
  <c r="XE5" i="2" s="1"/>
  <c r="XC5" i="2"/>
  <c r="XD4" i="2"/>
  <c r="XE4" i="2" s="1"/>
  <c r="XE2" i="2" s="1"/>
  <c r="XC4" i="2"/>
  <c r="SW40" i="2"/>
  <c r="SX40" i="2"/>
  <c r="SW41" i="2"/>
  <c r="SX41" i="2"/>
  <c r="H31" i="9"/>
  <c r="M478" i="10"/>
  <c r="I478" i="10"/>
  <c r="G478" i="10"/>
  <c r="QZ53" i="2"/>
  <c r="QX53" i="2"/>
  <c r="QY53" i="2"/>
  <c r="EJ73" i="2"/>
  <c r="EJ74" i="2"/>
  <c r="EJ75" i="2"/>
  <c r="EJ76" i="2"/>
  <c r="EJ77" i="2"/>
  <c r="EJ78" i="2"/>
  <c r="EJ79" i="2"/>
  <c r="EJ80" i="2"/>
  <c r="G140" i="6"/>
  <c r="O140" i="6" s="1"/>
  <c r="G137" i="6"/>
  <c r="Q135" i="6"/>
  <c r="Q148" i="6"/>
  <c r="CB29" i="2"/>
  <c r="CB30" i="2"/>
  <c r="CB31" i="2"/>
  <c r="CB32" i="2"/>
  <c r="CB33" i="2"/>
  <c r="CB34" i="2"/>
  <c r="CB35" i="2"/>
  <c r="D6" i="11"/>
  <c r="R36" i="8"/>
  <c r="R37" i="8" s="1"/>
  <c r="P32" i="8"/>
  <c r="P38" i="8" s="1"/>
  <c r="O29" i="8"/>
  <c r="M29" i="8"/>
  <c r="Q29" i="8" s="1"/>
  <c r="Q28" i="8" s="1"/>
  <c r="Q27" i="8" s="1"/>
  <c r="R27" i="8" s="1"/>
  <c r="R28" i="8"/>
  <c r="P28" i="8"/>
  <c r="T27" i="8"/>
  <c r="P27" i="8"/>
  <c r="Q15" i="8"/>
  <c r="O15" i="8"/>
  <c r="M15" i="8"/>
  <c r="O14" i="8"/>
  <c r="O13" i="8"/>
  <c r="O12" i="8"/>
  <c r="O11" i="8"/>
  <c r="O10" i="8"/>
  <c r="M10" i="8"/>
  <c r="Q10" i="8" s="1"/>
  <c r="O9" i="8"/>
  <c r="M9" i="8"/>
  <c r="Q9" i="8" s="1"/>
  <c r="O8" i="8"/>
  <c r="O7" i="8"/>
  <c r="O6" i="8"/>
  <c r="P5" i="8"/>
  <c r="P4" i="8"/>
  <c r="K237" i="9"/>
  <c r="I237" i="9"/>
  <c r="E237" i="9"/>
  <c r="J237" i="9" s="1"/>
  <c r="K236" i="9"/>
  <c r="I236" i="9"/>
  <c r="E236" i="9"/>
  <c r="L236" i="9" s="1"/>
  <c r="K235" i="9"/>
  <c r="I235" i="9"/>
  <c r="E235" i="9"/>
  <c r="L235" i="9" s="1"/>
  <c r="K230" i="9"/>
  <c r="I230" i="9"/>
  <c r="E230" i="9"/>
  <c r="D178" i="1" s="1"/>
  <c r="K229" i="9"/>
  <c r="I229" i="9"/>
  <c r="E229" i="9"/>
  <c r="J229" i="9" s="1"/>
  <c r="K228" i="9"/>
  <c r="I228" i="9"/>
  <c r="E228" i="9"/>
  <c r="J228" i="9" s="1"/>
  <c r="K227" i="9"/>
  <c r="I227" i="9"/>
  <c r="E227" i="9"/>
  <c r="K226" i="9"/>
  <c r="I226" i="9"/>
  <c r="E226" i="9"/>
  <c r="J226" i="9" s="1"/>
  <c r="K225" i="9"/>
  <c r="I225" i="9"/>
  <c r="E225" i="9"/>
  <c r="D175" i="1" s="1"/>
  <c r="K224" i="9"/>
  <c r="I224" i="9"/>
  <c r="E224" i="9"/>
  <c r="J224" i="9" s="1"/>
  <c r="K223" i="9"/>
  <c r="I223" i="9"/>
  <c r="E223" i="9"/>
  <c r="K222" i="9"/>
  <c r="I222" i="9"/>
  <c r="E222" i="9"/>
  <c r="J222" i="9" s="1"/>
  <c r="K221" i="9"/>
  <c r="I221" i="9"/>
  <c r="E221" i="9"/>
  <c r="K220" i="9"/>
  <c r="I220" i="9"/>
  <c r="E220" i="9"/>
  <c r="J220" i="9" s="1"/>
  <c r="K214" i="9"/>
  <c r="I214" i="9"/>
  <c r="E214" i="9"/>
  <c r="L214" i="9" s="1"/>
  <c r="K213" i="9"/>
  <c r="I213" i="9"/>
  <c r="E213" i="9"/>
  <c r="L213" i="9" s="1"/>
  <c r="K212" i="9"/>
  <c r="I212" i="9"/>
  <c r="E212" i="9"/>
  <c r="G212" i="9" s="1"/>
  <c r="L211" i="9"/>
  <c r="L210" i="9"/>
  <c r="L209" i="9"/>
  <c r="K200" i="9"/>
  <c r="I200" i="9"/>
  <c r="E200" i="9"/>
  <c r="D134" i="1" s="1"/>
  <c r="K199" i="9"/>
  <c r="I199" i="9"/>
  <c r="E199" i="9"/>
  <c r="K198" i="9"/>
  <c r="I198" i="9"/>
  <c r="E198" i="9"/>
  <c r="D132" i="1" s="1"/>
  <c r="K197" i="9"/>
  <c r="I197" i="9"/>
  <c r="E197" i="9"/>
  <c r="J197" i="9" s="1"/>
  <c r="K196" i="9"/>
  <c r="I196" i="9"/>
  <c r="E196" i="9"/>
  <c r="K195" i="9"/>
  <c r="I195" i="9"/>
  <c r="E195" i="9"/>
  <c r="J195" i="9" s="1"/>
  <c r="K194" i="9"/>
  <c r="I194" i="9"/>
  <c r="E194" i="9"/>
  <c r="J194" i="9" s="1"/>
  <c r="K193" i="9"/>
  <c r="I193" i="9"/>
  <c r="E193" i="9"/>
  <c r="D127" i="1" s="1"/>
  <c r="K192" i="9"/>
  <c r="I192" i="9"/>
  <c r="E192" i="9"/>
  <c r="D126" i="1" s="1"/>
  <c r="K191" i="9"/>
  <c r="I191" i="9"/>
  <c r="E191" i="9"/>
  <c r="D125" i="1" s="1"/>
  <c r="K190" i="9"/>
  <c r="I190" i="9"/>
  <c r="E190" i="9"/>
  <c r="J190" i="9" s="1"/>
  <c r="K189" i="9"/>
  <c r="I189" i="9"/>
  <c r="E189" i="9"/>
  <c r="K188" i="9"/>
  <c r="I188" i="9"/>
  <c r="E188" i="9"/>
  <c r="J188" i="9" s="1"/>
  <c r="K187" i="9"/>
  <c r="I187" i="9"/>
  <c r="E187" i="9"/>
  <c r="K186" i="9"/>
  <c r="I186" i="9"/>
  <c r="E186" i="9"/>
  <c r="J186" i="9" s="1"/>
  <c r="K185" i="9"/>
  <c r="I185" i="9"/>
  <c r="E185" i="9"/>
  <c r="D120" i="1" s="1"/>
  <c r="K184" i="9"/>
  <c r="I184" i="9"/>
  <c r="E184" i="9"/>
  <c r="D119" i="1" s="1"/>
  <c r="K183" i="9"/>
  <c r="I183" i="9"/>
  <c r="E183" i="9"/>
  <c r="K182" i="9"/>
  <c r="I182" i="9"/>
  <c r="E182" i="9"/>
  <c r="J182" i="9" s="1"/>
  <c r="K181" i="9"/>
  <c r="I181" i="9"/>
  <c r="E181" i="9"/>
  <c r="K180" i="9"/>
  <c r="I180" i="9"/>
  <c r="E180" i="9"/>
  <c r="J180" i="9" s="1"/>
  <c r="K179" i="9"/>
  <c r="I179" i="9"/>
  <c r="E179" i="9"/>
  <c r="D114" i="1" s="1"/>
  <c r="I114" i="1" s="1"/>
  <c r="K178" i="9"/>
  <c r="I178" i="9"/>
  <c r="E178" i="9"/>
  <c r="K177" i="9"/>
  <c r="I177" i="9"/>
  <c r="E177" i="9"/>
  <c r="D112" i="1" s="1"/>
  <c r="L176" i="9"/>
  <c r="E176" i="9"/>
  <c r="J176" i="9" s="1"/>
  <c r="L175" i="9"/>
  <c r="L174" i="9"/>
  <c r="O150" i="9"/>
  <c r="G149" i="9"/>
  <c r="O149" i="9" s="1"/>
  <c r="G134" i="9"/>
  <c r="O134" i="9" s="1"/>
  <c r="O133" i="9"/>
  <c r="O132" i="9"/>
  <c r="O131" i="9"/>
  <c r="O130" i="9"/>
  <c r="O129" i="9"/>
  <c r="O127" i="9"/>
  <c r="O125" i="9"/>
  <c r="O124" i="9"/>
  <c r="O121" i="9"/>
  <c r="G108" i="9"/>
  <c r="O108" i="9" s="1"/>
  <c r="K139" i="7"/>
  <c r="I139" i="7"/>
  <c r="E139" i="7"/>
  <c r="G139" i="7" s="1"/>
  <c r="K134" i="7"/>
  <c r="I134" i="7"/>
  <c r="E134" i="7"/>
  <c r="J134" i="7" s="1"/>
  <c r="K133" i="7"/>
  <c r="I133" i="7"/>
  <c r="E133" i="7"/>
  <c r="L133" i="7" s="1"/>
  <c r="K132" i="7"/>
  <c r="I132" i="7"/>
  <c r="E132" i="7"/>
  <c r="K131" i="7"/>
  <c r="I131" i="7"/>
  <c r="E131" i="7"/>
  <c r="J131" i="7" s="1"/>
  <c r="K130" i="7"/>
  <c r="I130" i="7"/>
  <c r="E130" i="7"/>
  <c r="J130" i="7" s="1"/>
  <c r="K129" i="7"/>
  <c r="I129" i="7"/>
  <c r="E129" i="7"/>
  <c r="D167" i="1" s="1"/>
  <c r="L123" i="7"/>
  <c r="L122" i="7"/>
  <c r="K117" i="7"/>
  <c r="I117" i="7"/>
  <c r="E117" i="7"/>
  <c r="L117" i="7" s="1"/>
  <c r="K116" i="7"/>
  <c r="I116" i="7"/>
  <c r="E116" i="7"/>
  <c r="G116" i="7" s="1"/>
  <c r="K115" i="7"/>
  <c r="I115" i="7"/>
  <c r="E115" i="7"/>
  <c r="H115" i="7" s="1"/>
  <c r="K114" i="7"/>
  <c r="I114" i="7"/>
  <c r="E114" i="7"/>
  <c r="L114" i="7" s="1"/>
  <c r="K113" i="7"/>
  <c r="I113" i="7"/>
  <c r="E113" i="7"/>
  <c r="K112" i="7"/>
  <c r="I112" i="7"/>
  <c r="E112" i="7"/>
  <c r="J112" i="7" s="1"/>
  <c r="K111" i="7"/>
  <c r="I111" i="7"/>
  <c r="E111" i="7"/>
  <c r="J111" i="7" s="1"/>
  <c r="K110" i="7"/>
  <c r="I110" i="7"/>
  <c r="E110" i="7"/>
  <c r="K109" i="7"/>
  <c r="I109" i="7"/>
  <c r="E109" i="7"/>
  <c r="D104" i="1" s="1"/>
  <c r="K108" i="7"/>
  <c r="I108" i="7"/>
  <c r="E108" i="7"/>
  <c r="J108" i="7" s="1"/>
  <c r="K107" i="7"/>
  <c r="I107" i="7"/>
  <c r="E107" i="7"/>
  <c r="K106" i="7"/>
  <c r="I106" i="7"/>
  <c r="E106" i="7"/>
  <c r="D101" i="1" s="1"/>
  <c r="K105" i="7"/>
  <c r="I105" i="7"/>
  <c r="E105" i="7"/>
  <c r="K104" i="7"/>
  <c r="I104" i="7"/>
  <c r="E104" i="7"/>
  <c r="D99" i="1" s="1"/>
  <c r="K103" i="7"/>
  <c r="I103" i="7"/>
  <c r="E103" i="7"/>
  <c r="J103" i="7" s="1"/>
  <c r="K102" i="7"/>
  <c r="I102" i="7"/>
  <c r="E102" i="7"/>
  <c r="D97" i="1" s="1"/>
  <c r="K101" i="7"/>
  <c r="I101" i="7"/>
  <c r="E101" i="7"/>
  <c r="K100" i="7"/>
  <c r="I100" i="7"/>
  <c r="E100" i="7"/>
  <c r="K99" i="7"/>
  <c r="I99" i="7"/>
  <c r="E99" i="7"/>
  <c r="J99" i="7" s="1"/>
  <c r="L98" i="7"/>
  <c r="L97" i="7"/>
  <c r="L96" i="7"/>
  <c r="L95" i="7"/>
  <c r="L94" i="7"/>
  <c r="O33" i="7"/>
  <c r="O32" i="7"/>
  <c r="O31" i="7"/>
  <c r="O30" i="7"/>
  <c r="G29" i="7"/>
  <c r="O29" i="7" s="1"/>
  <c r="G28" i="7"/>
  <c r="O27" i="7"/>
  <c r="O26" i="7"/>
  <c r="O25" i="7"/>
  <c r="O24" i="7"/>
  <c r="O23" i="7"/>
  <c r="G20" i="7"/>
  <c r="O20" i="7" s="1"/>
  <c r="O19" i="7"/>
  <c r="O18" i="7"/>
  <c r="O17" i="7"/>
  <c r="O16" i="7"/>
  <c r="L463" i="6"/>
  <c r="K463" i="6"/>
  <c r="J463" i="6"/>
  <c r="I463" i="6"/>
  <c r="E463" i="6"/>
  <c r="H463" i="6" s="1"/>
  <c r="K458" i="6"/>
  <c r="I458" i="6"/>
  <c r="E458" i="6"/>
  <c r="D166" i="1" s="1"/>
  <c r="K457" i="6"/>
  <c r="I457" i="6"/>
  <c r="E457" i="6"/>
  <c r="K456" i="6"/>
  <c r="I456" i="6"/>
  <c r="E456" i="6"/>
  <c r="H456" i="6" s="1"/>
  <c r="K455" i="6"/>
  <c r="I455" i="6"/>
  <c r="E455" i="6"/>
  <c r="H455" i="6" s="1"/>
  <c r="K454" i="6"/>
  <c r="I454" i="6"/>
  <c r="E454" i="6"/>
  <c r="K453" i="6"/>
  <c r="I453" i="6"/>
  <c r="E453" i="6"/>
  <c r="K452" i="6"/>
  <c r="J452" i="6"/>
  <c r="I452" i="6"/>
  <c r="E452" i="6"/>
  <c r="L452" i="6" s="1"/>
  <c r="L451" i="6"/>
  <c r="K451" i="6"/>
  <c r="J451" i="6"/>
  <c r="I451" i="6"/>
  <c r="E451" i="6"/>
  <c r="H451" i="6" s="1"/>
  <c r="K450" i="6"/>
  <c r="I450" i="6"/>
  <c r="E450" i="6"/>
  <c r="D158" i="1" s="1"/>
  <c r="K449" i="6"/>
  <c r="I449" i="6"/>
  <c r="E449" i="6"/>
  <c r="K448" i="6"/>
  <c r="I448" i="6"/>
  <c r="E448" i="6"/>
  <c r="J448" i="6" s="1"/>
  <c r="K447" i="6"/>
  <c r="I447" i="6"/>
  <c r="E447" i="6"/>
  <c r="K446" i="6"/>
  <c r="I446" i="6"/>
  <c r="E446" i="6"/>
  <c r="D154" i="1" s="1"/>
  <c r="K445" i="6"/>
  <c r="I445" i="6"/>
  <c r="E445" i="6"/>
  <c r="J445" i="6" s="1"/>
  <c r="K444" i="6"/>
  <c r="I444" i="6"/>
  <c r="E444" i="6"/>
  <c r="K443" i="6"/>
  <c r="I443" i="6"/>
  <c r="E443" i="6"/>
  <c r="K442" i="6"/>
  <c r="I442" i="6"/>
  <c r="E442" i="6"/>
  <c r="K441" i="6"/>
  <c r="I441" i="6"/>
  <c r="E441" i="6"/>
  <c r="K440" i="6"/>
  <c r="I440" i="6"/>
  <c r="E440" i="6"/>
  <c r="J440" i="6" s="1"/>
  <c r="K439" i="6"/>
  <c r="I439" i="6"/>
  <c r="E439" i="6"/>
  <c r="D147" i="1" s="1"/>
  <c r="K438" i="6"/>
  <c r="I438" i="6"/>
  <c r="E438" i="6"/>
  <c r="D146" i="1" s="1"/>
  <c r="F146" i="1" s="1"/>
  <c r="L437" i="6"/>
  <c r="K437" i="6"/>
  <c r="I437" i="6"/>
  <c r="E437" i="6"/>
  <c r="K436" i="6"/>
  <c r="I436" i="6"/>
  <c r="E436" i="6"/>
  <c r="D144" i="1" s="1"/>
  <c r="K435" i="6"/>
  <c r="I435" i="6"/>
  <c r="E435" i="6"/>
  <c r="K434" i="6"/>
  <c r="I434" i="6"/>
  <c r="E434" i="6"/>
  <c r="D142" i="1" s="1"/>
  <c r="K433" i="6"/>
  <c r="I433" i="6"/>
  <c r="E433" i="6"/>
  <c r="D141" i="1" s="1"/>
  <c r="K427" i="6"/>
  <c r="I427" i="6"/>
  <c r="E427" i="6"/>
  <c r="K426" i="6"/>
  <c r="I426" i="6"/>
  <c r="E426" i="6"/>
  <c r="L425" i="6"/>
  <c r="L424" i="6"/>
  <c r="L423" i="6"/>
  <c r="L422" i="6"/>
  <c r="L421" i="6"/>
  <c r="L420" i="6"/>
  <c r="K415" i="6"/>
  <c r="I415" i="6"/>
  <c r="E415" i="6"/>
  <c r="D93" i="1" s="1"/>
  <c r="K414" i="6"/>
  <c r="I414" i="6"/>
  <c r="E414" i="6"/>
  <c r="K413" i="6"/>
  <c r="I413" i="6"/>
  <c r="E413" i="6"/>
  <c r="K412" i="6"/>
  <c r="I412" i="6"/>
  <c r="E412" i="6"/>
  <c r="L412" i="6" s="1"/>
  <c r="L411" i="6"/>
  <c r="K411" i="6"/>
  <c r="I411" i="6"/>
  <c r="E411" i="6"/>
  <c r="J411" i="6" s="1"/>
  <c r="K410" i="6"/>
  <c r="I410" i="6"/>
  <c r="E410" i="6"/>
  <c r="D89" i="1" s="1"/>
  <c r="K409" i="6"/>
  <c r="I409" i="6"/>
  <c r="E409" i="6"/>
  <c r="D88" i="1" s="1"/>
  <c r="K408" i="6"/>
  <c r="I408" i="6"/>
  <c r="E408" i="6"/>
  <c r="K407" i="6"/>
  <c r="I407" i="6"/>
  <c r="E407" i="6"/>
  <c r="D86" i="1" s="1"/>
  <c r="K406" i="6"/>
  <c r="I406" i="6"/>
  <c r="E406" i="6"/>
  <c r="D85" i="1" s="1"/>
  <c r="I85" i="1" s="1"/>
  <c r="K405" i="6"/>
  <c r="I405" i="6"/>
  <c r="E405" i="6"/>
  <c r="K404" i="6"/>
  <c r="J404" i="6"/>
  <c r="I404" i="6"/>
  <c r="E404" i="6"/>
  <c r="H404" i="6" s="1"/>
  <c r="K403" i="6"/>
  <c r="I403" i="6"/>
  <c r="E403" i="6"/>
  <c r="J403" i="6" s="1"/>
  <c r="K402" i="6"/>
  <c r="I402" i="6"/>
  <c r="E402" i="6"/>
  <c r="K401" i="6"/>
  <c r="I401" i="6"/>
  <c r="E401" i="6"/>
  <c r="H401" i="6" s="1"/>
  <c r="K400" i="6"/>
  <c r="I400" i="6"/>
  <c r="E400" i="6"/>
  <c r="D79" i="1" s="1"/>
  <c r="I79" i="1" s="1"/>
  <c r="K399" i="6"/>
  <c r="I399" i="6"/>
  <c r="E399" i="6"/>
  <c r="D78" i="1" s="1"/>
  <c r="G78" i="1" s="1"/>
  <c r="K398" i="6"/>
  <c r="I398" i="6"/>
  <c r="E398" i="6"/>
  <c r="K397" i="6"/>
  <c r="J397" i="6"/>
  <c r="I397" i="6"/>
  <c r="E397" i="6"/>
  <c r="L397" i="6" s="1"/>
  <c r="K396" i="6"/>
  <c r="I396" i="6"/>
  <c r="E396" i="6"/>
  <c r="H396" i="6" s="1"/>
  <c r="K395" i="6"/>
  <c r="I395" i="6"/>
  <c r="E395" i="6"/>
  <c r="K394" i="6"/>
  <c r="I394" i="6"/>
  <c r="E394" i="6"/>
  <c r="D73" i="1" s="1"/>
  <c r="G73" i="1" s="1"/>
  <c r="K393" i="6"/>
  <c r="I393" i="6"/>
  <c r="E393" i="6"/>
  <c r="K392" i="6"/>
  <c r="J392" i="6"/>
  <c r="I392" i="6"/>
  <c r="E392" i="6"/>
  <c r="K391" i="6"/>
  <c r="I391" i="6"/>
  <c r="E391" i="6"/>
  <c r="L390" i="6"/>
  <c r="K390" i="6"/>
  <c r="I390" i="6"/>
  <c r="E390" i="6"/>
  <c r="J390" i="6" s="1"/>
  <c r="K389" i="6"/>
  <c r="I389" i="6"/>
  <c r="E389" i="6"/>
  <c r="L389" i="6" s="1"/>
  <c r="K388" i="6"/>
  <c r="I388" i="6"/>
  <c r="E388" i="6"/>
  <c r="H388" i="6" s="1"/>
  <c r="K387" i="6"/>
  <c r="I387" i="6"/>
  <c r="E387" i="6"/>
  <c r="K386" i="6"/>
  <c r="I386" i="6"/>
  <c r="E386" i="6"/>
  <c r="L386" i="6" s="1"/>
  <c r="K385" i="6"/>
  <c r="I385" i="6"/>
  <c r="E385" i="6"/>
  <c r="L385" i="6" s="1"/>
  <c r="K384" i="6"/>
  <c r="I384" i="6"/>
  <c r="E384" i="6"/>
  <c r="D63" i="1" s="1"/>
  <c r="K383" i="6"/>
  <c r="I383" i="6"/>
  <c r="E383" i="6"/>
  <c r="L383" i="6" s="1"/>
  <c r="K382" i="6"/>
  <c r="I382" i="6"/>
  <c r="E382" i="6"/>
  <c r="L382" i="6" s="1"/>
  <c r="K381" i="6"/>
  <c r="I381" i="6"/>
  <c r="E381" i="6"/>
  <c r="K380" i="6"/>
  <c r="I380" i="6"/>
  <c r="E380" i="6"/>
  <c r="J380" i="6" s="1"/>
  <c r="K379" i="6"/>
  <c r="I379" i="6"/>
  <c r="E379" i="6"/>
  <c r="K378" i="6"/>
  <c r="I378" i="6"/>
  <c r="E378" i="6"/>
  <c r="J378" i="6" s="1"/>
  <c r="K377" i="6"/>
  <c r="I377" i="6"/>
  <c r="E377" i="6"/>
  <c r="D56" i="1" s="1"/>
  <c r="K376" i="6"/>
  <c r="I376" i="6"/>
  <c r="E376" i="6"/>
  <c r="K375" i="6"/>
  <c r="I375" i="6"/>
  <c r="E375" i="6"/>
  <c r="J375" i="6" s="1"/>
  <c r="K374" i="6"/>
  <c r="I374" i="6"/>
  <c r="E374" i="6"/>
  <c r="K373" i="6"/>
  <c r="I373" i="6"/>
  <c r="E373" i="6"/>
  <c r="D52" i="1" s="1"/>
  <c r="K372" i="6"/>
  <c r="I372" i="6"/>
  <c r="E372" i="6"/>
  <c r="L371" i="6"/>
  <c r="L370" i="6"/>
  <c r="L369" i="6"/>
  <c r="L368" i="6"/>
  <c r="L367" i="6"/>
  <c r="L366" i="6"/>
  <c r="L365" i="6"/>
  <c r="L364" i="6"/>
  <c r="G315" i="6"/>
  <c r="G314" i="6"/>
  <c r="O314" i="6" s="1"/>
  <c r="O313" i="6"/>
  <c r="O312" i="6"/>
  <c r="O311" i="6"/>
  <c r="O310" i="6"/>
  <c r="O309" i="6"/>
  <c r="O308" i="6"/>
  <c r="O306" i="6"/>
  <c r="O305" i="6"/>
  <c r="O304" i="6"/>
  <c r="G303" i="6"/>
  <c r="O303" i="6" s="1"/>
  <c r="G302" i="6"/>
  <c r="O301" i="6"/>
  <c r="G300" i="6"/>
  <c r="O300" i="6" s="1"/>
  <c r="O299" i="6"/>
  <c r="O298" i="6"/>
  <c r="G297" i="6"/>
  <c r="O296" i="6"/>
  <c r="O293" i="6"/>
  <c r="G291" i="6"/>
  <c r="O291" i="6" s="1"/>
  <c r="G290" i="6"/>
  <c r="O290" i="6" s="1"/>
  <c r="G289" i="6"/>
  <c r="O289" i="6" s="1"/>
  <c r="G288" i="6"/>
  <c r="O288" i="6" s="1"/>
  <c r="O280" i="6"/>
  <c r="G279" i="6"/>
  <c r="O279" i="6" s="1"/>
  <c r="O278" i="6"/>
  <c r="G277" i="6"/>
  <c r="O277" i="6" s="1"/>
  <c r="G276" i="6"/>
  <c r="O276" i="6" s="1"/>
  <c r="G275" i="6"/>
  <c r="O275" i="6" s="1"/>
  <c r="G274" i="6"/>
  <c r="O274" i="6" s="1"/>
  <c r="G273" i="6"/>
  <c r="O273" i="6" s="1"/>
  <c r="G272" i="6"/>
  <c r="O272" i="6" s="1"/>
  <c r="O270" i="6"/>
  <c r="O269" i="6"/>
  <c r="O268" i="6"/>
  <c r="O267" i="6"/>
  <c r="O266" i="6"/>
  <c r="O265" i="6"/>
  <c r="O264" i="6"/>
  <c r="E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G246" i="6"/>
  <c r="O246" i="6" s="1"/>
  <c r="G237" i="6"/>
  <c r="O237" i="6" s="1"/>
  <c r="F236" i="6"/>
  <c r="G240" i="6" s="1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85" i="6"/>
  <c r="O183" i="6"/>
  <c r="G175" i="6"/>
  <c r="O175" i="6" s="1"/>
  <c r="P172" i="6"/>
  <c r="Q168" i="6"/>
  <c r="G167" i="6"/>
  <c r="O167" i="6" s="1"/>
  <c r="Q163" i="6"/>
  <c r="Q159" i="6"/>
  <c r="Q155" i="6"/>
  <c r="Q141" i="6"/>
  <c r="Q129" i="6"/>
  <c r="Q124" i="6"/>
  <c r="Q119" i="6"/>
  <c r="G118" i="6"/>
  <c r="G128" i="6" s="1"/>
  <c r="O128" i="6" s="1"/>
  <c r="G115" i="6"/>
  <c r="Q113" i="6"/>
  <c r="Q107" i="6"/>
  <c r="G93" i="6"/>
  <c r="O93" i="6" s="1"/>
  <c r="N71" i="6"/>
  <c r="O69" i="6"/>
  <c r="G68" i="6"/>
  <c r="O68" i="6" s="1"/>
  <c r="F66" i="6"/>
  <c r="G64" i="6"/>
  <c r="F64" i="6"/>
  <c r="G65" i="6" s="1"/>
  <c r="G62" i="6"/>
  <c r="G61" i="6"/>
  <c r="O61" i="6" s="1"/>
  <c r="G58" i="6"/>
  <c r="F56" i="6"/>
  <c r="G54" i="6" s="1"/>
  <c r="F54" i="6"/>
  <c r="G55" i="6" s="1"/>
  <c r="G52" i="6"/>
  <c r="G53" i="6" s="1"/>
  <c r="N51" i="6"/>
  <c r="G51" i="6"/>
  <c r="N43" i="6"/>
  <c r="O77" i="6" s="1"/>
  <c r="O41" i="6"/>
  <c r="G40" i="6"/>
  <c r="O40" i="6" s="1"/>
  <c r="G39" i="6"/>
  <c r="O39" i="6" s="1"/>
  <c r="O38" i="6"/>
  <c r="G34" i="6"/>
  <c r="O33" i="6"/>
  <c r="G33" i="6"/>
  <c r="G32" i="6"/>
  <c r="G31" i="6"/>
  <c r="O29" i="6"/>
  <c r="G28" i="6"/>
  <c r="O28" i="6" s="1"/>
  <c r="O27" i="6"/>
  <c r="G27" i="6"/>
  <c r="G24" i="6" s="1"/>
  <c r="O24" i="6" s="1"/>
  <c r="O26" i="6"/>
  <c r="G22" i="6"/>
  <c r="G21" i="6"/>
  <c r="O21" i="6" s="1"/>
  <c r="G20" i="6"/>
  <c r="G19" i="6"/>
  <c r="O19" i="6" s="1"/>
  <c r="G16" i="6"/>
  <c r="P15" i="6"/>
  <c r="O13" i="6"/>
  <c r="Q140" i="10" s="1"/>
  <c r="P11" i="6"/>
  <c r="O9" i="6"/>
  <c r="O8" i="6"/>
  <c r="G7" i="6"/>
  <c r="O6" i="6"/>
  <c r="P5" i="6"/>
  <c r="P4" i="6" s="1"/>
  <c r="EG379" i="5"/>
  <c r="EG363" i="5"/>
  <c r="EG361" i="5"/>
  <c r="EG360" i="5"/>
  <c r="EG358" i="5"/>
  <c r="EG357" i="5"/>
  <c r="EG356" i="5"/>
  <c r="EG354" i="5"/>
  <c r="EG351" i="5"/>
  <c r="EG350" i="5"/>
  <c r="EG349" i="5"/>
  <c r="EG347" i="5"/>
  <c r="EG346" i="5"/>
  <c r="EG345" i="5"/>
  <c r="EG344" i="5"/>
  <c r="EG343" i="5"/>
  <c r="EG342" i="5"/>
  <c r="EG341" i="5"/>
  <c r="EG340" i="5"/>
  <c r="EG339" i="5"/>
  <c r="EG338" i="5"/>
  <c r="EG337" i="5"/>
  <c r="EG336" i="5"/>
  <c r="EG335" i="5"/>
  <c r="EG334" i="5"/>
  <c r="EG333" i="5"/>
  <c r="EG332" i="5"/>
  <c r="EG331" i="5"/>
  <c r="EG330" i="5"/>
  <c r="EG329" i="5"/>
  <c r="EG328" i="5"/>
  <c r="EG327" i="5"/>
  <c r="EG326" i="5"/>
  <c r="EG325" i="5"/>
  <c r="EG270" i="5"/>
  <c r="EG269" i="5"/>
  <c r="EG254" i="5"/>
  <c r="EG253" i="5"/>
  <c r="EG252" i="5"/>
  <c r="EG251" i="5"/>
  <c r="EG250" i="5"/>
  <c r="EG249" i="5"/>
  <c r="EG248" i="5"/>
  <c r="EG247" i="5"/>
  <c r="EG205" i="5"/>
  <c r="BP205" i="5"/>
  <c r="BP204" i="5"/>
  <c r="BP203" i="5"/>
  <c r="BP202" i="5"/>
  <c r="BP201" i="5"/>
  <c r="BP200" i="5"/>
  <c r="BP199" i="5"/>
  <c r="BP198" i="5"/>
  <c r="BP197" i="5"/>
  <c r="BP193" i="5"/>
  <c r="BP176" i="5"/>
  <c r="EG175" i="5"/>
  <c r="BP175" i="5"/>
  <c r="EG174" i="5"/>
  <c r="BP174" i="5"/>
  <c r="EG173" i="5"/>
  <c r="BP173" i="5"/>
  <c r="EG172" i="5"/>
  <c r="BP172" i="5"/>
  <c r="EG171" i="5"/>
  <c r="BP171" i="5"/>
  <c r="EG170" i="5"/>
  <c r="BP170" i="5"/>
  <c r="EG169" i="5"/>
  <c r="BP169" i="5"/>
  <c r="EG168" i="5"/>
  <c r="BP168" i="5"/>
  <c r="EG167" i="5"/>
  <c r="BP167" i="5"/>
  <c r="EG166" i="5"/>
  <c r="BP166" i="5"/>
  <c r="EG165" i="5"/>
  <c r="BP165" i="5"/>
  <c r="BP164" i="5"/>
  <c r="BP163" i="5"/>
  <c r="BP162" i="5"/>
  <c r="BP161" i="5"/>
  <c r="BP160" i="5"/>
  <c r="EG159" i="5"/>
  <c r="BP159" i="5"/>
  <c r="EG158" i="5"/>
  <c r="BP158" i="5"/>
  <c r="EG157" i="5"/>
  <c r="EG156" i="5"/>
  <c r="EG155" i="5"/>
  <c r="EG154" i="5"/>
  <c r="EG153" i="5"/>
  <c r="EG152" i="5"/>
  <c r="EG151" i="5"/>
  <c r="EG150" i="5"/>
  <c r="EG149" i="5"/>
  <c r="EG148" i="5"/>
  <c r="EG147" i="5"/>
  <c r="EG146" i="5"/>
  <c r="BP146" i="5"/>
  <c r="EG145" i="5"/>
  <c r="BP145" i="5"/>
  <c r="EG144" i="5"/>
  <c r="BP144" i="5"/>
  <c r="EG143" i="5"/>
  <c r="BP143" i="5"/>
  <c r="EG142" i="5"/>
  <c r="BP142" i="5"/>
  <c r="EG141" i="5"/>
  <c r="BP141" i="5"/>
  <c r="EG140" i="5"/>
  <c r="BP140" i="5"/>
  <c r="EG139" i="5"/>
  <c r="BP139" i="5"/>
  <c r="EG138" i="5"/>
  <c r="BP138" i="5"/>
  <c r="EG137" i="5"/>
  <c r="BP137" i="5"/>
  <c r="EG136" i="5"/>
  <c r="BP136" i="5"/>
  <c r="EG135" i="5"/>
  <c r="BP135" i="5"/>
  <c r="BP134" i="5"/>
  <c r="BP133" i="5"/>
  <c r="BP132" i="5"/>
  <c r="BP131" i="5"/>
  <c r="BP129" i="5"/>
  <c r="BP128" i="5"/>
  <c r="BP127" i="5"/>
  <c r="BP126" i="5"/>
  <c r="BP125" i="5"/>
  <c r="BP124" i="5"/>
  <c r="EG123" i="5"/>
  <c r="BP123" i="5"/>
  <c r="EG122" i="5"/>
  <c r="BP122" i="5"/>
  <c r="EG121" i="5"/>
  <c r="BP121" i="5"/>
  <c r="EG120" i="5"/>
  <c r="BP120" i="5"/>
  <c r="EG119" i="5"/>
  <c r="BP119" i="5"/>
  <c r="EG118" i="5"/>
  <c r="BP118" i="5"/>
  <c r="EG117" i="5"/>
  <c r="BP117" i="5"/>
  <c r="EG116" i="5"/>
  <c r="BP116" i="5"/>
  <c r="EG115" i="5"/>
  <c r="BP115" i="5"/>
  <c r="EG114" i="5"/>
  <c r="BP114" i="5"/>
  <c r="EG113" i="5"/>
  <c r="BP113" i="5"/>
  <c r="EG112" i="5"/>
  <c r="BP112" i="5"/>
  <c r="EG111" i="5"/>
  <c r="BP111" i="5"/>
  <c r="EG110" i="5"/>
  <c r="BP110" i="5"/>
  <c r="EG109" i="5"/>
  <c r="BP109" i="5"/>
  <c r="BP108" i="5"/>
  <c r="BP107" i="5"/>
  <c r="BP106" i="5"/>
  <c r="BP105" i="5"/>
  <c r="BP104" i="5"/>
  <c r="BP103" i="5"/>
  <c r="BP102" i="5"/>
  <c r="BP101" i="5"/>
  <c r="BP100" i="5"/>
  <c r="BP99" i="5"/>
  <c r="BP98" i="5"/>
  <c r="BP97" i="5"/>
  <c r="BP96" i="5"/>
  <c r="EG95" i="5"/>
  <c r="BP95" i="5"/>
  <c r="EG94" i="5"/>
  <c r="BP94" i="5"/>
  <c r="EG93" i="5"/>
  <c r="BP93" i="5"/>
  <c r="EG92" i="5"/>
  <c r="BP92" i="5"/>
  <c r="EG91" i="5"/>
  <c r="BP91" i="5"/>
  <c r="EG90" i="5"/>
  <c r="BP90" i="5"/>
  <c r="EG89" i="5"/>
  <c r="BP89" i="5"/>
  <c r="EG88" i="5"/>
  <c r="BP88" i="5"/>
  <c r="EG87" i="5"/>
  <c r="BP87" i="5"/>
  <c r="EG86" i="5"/>
  <c r="BP86" i="5"/>
  <c r="EG85" i="5"/>
  <c r="BP85" i="5"/>
  <c r="EG84" i="5"/>
  <c r="BP84" i="5"/>
  <c r="EG83" i="5"/>
  <c r="BP83" i="5"/>
  <c r="EG82" i="5"/>
  <c r="BP82" i="5"/>
  <c r="HP81" i="5"/>
  <c r="EG81" i="5"/>
  <c r="HP80" i="5"/>
  <c r="EG80" i="5"/>
  <c r="BP80" i="5"/>
  <c r="HP79" i="5"/>
  <c r="HP78" i="5"/>
  <c r="BP78" i="5"/>
  <c r="HP77" i="5"/>
  <c r="BP77" i="5"/>
  <c r="HP76" i="5"/>
  <c r="HP75" i="5"/>
  <c r="BP75" i="5"/>
  <c r="HP74" i="5"/>
  <c r="HP73" i="5"/>
  <c r="BP73" i="5"/>
  <c r="HP72" i="5"/>
  <c r="HP71" i="5"/>
  <c r="BP71" i="5"/>
  <c r="HP70" i="5"/>
  <c r="HP69" i="5"/>
  <c r="BP69" i="5"/>
  <c r="HP68" i="5"/>
  <c r="HP67" i="5"/>
  <c r="BP67" i="5"/>
  <c r="HP66" i="5"/>
  <c r="HP65" i="5"/>
  <c r="BP65" i="5"/>
  <c r="HP64" i="5"/>
  <c r="HP63" i="5"/>
  <c r="HP62" i="5"/>
  <c r="HP61" i="5"/>
  <c r="BP61" i="5"/>
  <c r="HP60" i="5"/>
  <c r="HP59" i="5"/>
  <c r="BP59" i="5"/>
  <c r="HP58" i="5"/>
  <c r="HP57" i="5"/>
  <c r="BP57" i="5"/>
  <c r="HP56" i="5"/>
  <c r="HP55" i="5"/>
  <c r="BP55" i="5"/>
  <c r="HP54" i="5"/>
  <c r="HP53" i="5"/>
  <c r="BP53" i="5"/>
  <c r="HP52" i="5"/>
  <c r="HP51" i="5"/>
  <c r="BP51" i="5"/>
  <c r="HP50" i="5"/>
  <c r="HP49" i="5"/>
  <c r="BP49" i="5"/>
  <c r="HP48" i="5"/>
  <c r="HP47" i="5"/>
  <c r="BP47" i="5"/>
  <c r="HP46" i="5"/>
  <c r="EG45" i="5"/>
  <c r="BP45" i="5"/>
  <c r="EG44" i="5"/>
  <c r="EG43" i="5"/>
  <c r="BP43" i="5"/>
  <c r="EG42" i="5"/>
  <c r="FT41" i="5"/>
  <c r="EG41" i="5"/>
  <c r="BP41" i="5"/>
  <c r="EG39" i="5"/>
  <c r="BP39" i="5"/>
  <c r="EG38" i="5"/>
  <c r="EG37" i="5"/>
  <c r="BP37" i="5"/>
  <c r="EG36" i="5"/>
  <c r="EG35" i="5"/>
  <c r="BP35" i="5"/>
  <c r="EG34" i="5"/>
  <c r="BP33" i="5"/>
  <c r="EG32" i="5"/>
  <c r="BP31" i="5"/>
  <c r="EG29" i="5"/>
  <c r="BP29" i="5"/>
  <c r="EG26" i="5"/>
  <c r="BP26" i="5"/>
  <c r="EG24" i="5"/>
  <c r="BP23" i="5"/>
  <c r="EG22" i="5"/>
  <c r="EG20" i="5"/>
  <c r="BP20" i="5"/>
  <c r="EG18" i="5"/>
  <c r="BP18" i="5"/>
  <c r="BP17" i="5"/>
  <c r="EG14" i="5"/>
  <c r="BP14" i="5"/>
  <c r="BP12" i="5"/>
  <c r="HP11" i="5"/>
  <c r="EG11" i="5"/>
  <c r="BP11" i="5"/>
  <c r="HP10" i="5"/>
  <c r="BP9" i="5"/>
  <c r="BP8" i="5"/>
  <c r="BP6" i="5"/>
  <c r="BP5" i="5"/>
  <c r="FR4" i="5"/>
  <c r="HQ3" i="5"/>
  <c r="HP3" i="5"/>
  <c r="FS3" i="5"/>
  <c r="FR3" i="5"/>
  <c r="EH3" i="5"/>
  <c r="EG3" i="5"/>
  <c r="BQ3" i="5"/>
  <c r="BP3" i="5"/>
  <c r="HQ1" i="5"/>
  <c r="FS1" i="5"/>
  <c r="EH1" i="5"/>
  <c r="BQ1" i="5"/>
  <c r="D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E39" i="4"/>
  <c r="D39" i="4"/>
  <c r="C39" i="4"/>
  <c r="B39" i="4"/>
  <c r="H38" i="4"/>
  <c r="E38" i="4"/>
  <c r="D38" i="4"/>
  <c r="C38" i="4"/>
  <c r="B38" i="4"/>
  <c r="H37" i="4"/>
  <c r="E37" i="4"/>
  <c r="D37" i="4"/>
  <c r="C37" i="4"/>
  <c r="B37" i="4"/>
  <c r="H36" i="4"/>
  <c r="E36" i="4"/>
  <c r="D36" i="4"/>
  <c r="C36" i="4"/>
  <c r="B36" i="4"/>
  <c r="J35" i="4"/>
  <c r="E35" i="4"/>
  <c r="D35" i="4"/>
  <c r="C35" i="4"/>
  <c r="B35" i="4"/>
  <c r="E34" i="4"/>
  <c r="D34" i="4"/>
  <c r="C34" i="4"/>
  <c r="B34" i="4"/>
  <c r="J33" i="4"/>
  <c r="H33" i="4"/>
  <c r="E33" i="4"/>
  <c r="D33" i="4"/>
  <c r="C33" i="4"/>
  <c r="B33" i="4"/>
  <c r="A33" i="4"/>
  <c r="O32" i="4"/>
  <c r="E32" i="4"/>
  <c r="D32" i="4"/>
  <c r="C32" i="4"/>
  <c r="B32" i="4"/>
  <c r="O31" i="4"/>
  <c r="H31" i="4"/>
  <c r="E31" i="4"/>
  <c r="D31" i="4"/>
  <c r="C31" i="4"/>
  <c r="B31" i="4"/>
  <c r="O30" i="4"/>
  <c r="L30" i="4"/>
  <c r="J30" i="4"/>
  <c r="H30" i="4"/>
  <c r="E30" i="4"/>
  <c r="D30" i="4"/>
  <c r="C30" i="4"/>
  <c r="B30" i="4"/>
  <c r="A30" i="4"/>
  <c r="L29" i="4"/>
  <c r="J29" i="4"/>
  <c r="H29" i="4"/>
  <c r="Q28" i="4"/>
  <c r="I27" i="4"/>
  <c r="P26" i="4"/>
  <c r="I26" i="4"/>
  <c r="P25" i="4"/>
  <c r="I25" i="4"/>
  <c r="B25" i="4"/>
  <c r="P24" i="4"/>
  <c r="I24" i="4"/>
  <c r="B24" i="4"/>
  <c r="Q23" i="4"/>
  <c r="J23" i="4"/>
  <c r="B23" i="4"/>
  <c r="B22" i="4"/>
  <c r="K20" i="4"/>
  <c r="O19" i="4"/>
  <c r="K19" i="4"/>
  <c r="J19" i="4"/>
  <c r="I19" i="4"/>
  <c r="H19" i="4"/>
  <c r="O18" i="4"/>
  <c r="K18" i="4"/>
  <c r="O17" i="4"/>
  <c r="L17" i="4"/>
  <c r="K17" i="4"/>
  <c r="I17" i="4"/>
  <c r="H17" i="4"/>
  <c r="Q16" i="4"/>
  <c r="I16" i="4"/>
  <c r="H16" i="4"/>
  <c r="Q14" i="4"/>
  <c r="O14" i="4"/>
  <c r="V13" i="4"/>
  <c r="O13" i="4"/>
  <c r="H13" i="4"/>
  <c r="V12" i="4"/>
  <c r="O12" i="4"/>
  <c r="H12" i="4"/>
  <c r="V11" i="4"/>
  <c r="S11" i="4"/>
  <c r="Q11" i="4"/>
  <c r="O11" i="4"/>
  <c r="H11" i="4"/>
  <c r="X10" i="4"/>
  <c r="S10" i="4"/>
  <c r="Q10" i="4"/>
  <c r="O10" i="4"/>
  <c r="J10" i="4"/>
  <c r="W8" i="4"/>
  <c r="P8" i="4"/>
  <c r="I8" i="4"/>
  <c r="W7" i="4"/>
  <c r="P7" i="4"/>
  <c r="I7" i="4"/>
  <c r="W6" i="4"/>
  <c r="P6" i="4"/>
  <c r="I6" i="4"/>
  <c r="W5" i="4"/>
  <c r="P5" i="4"/>
  <c r="I5" i="4"/>
  <c r="Z4" i="4"/>
  <c r="V4" i="4"/>
  <c r="Q4" i="4"/>
  <c r="L4" i="4"/>
  <c r="H4" i="4"/>
  <c r="D46" i="3"/>
  <c r="D45" i="3"/>
  <c r="D44" i="3"/>
  <c r="D43" i="3"/>
  <c r="D42" i="3"/>
  <c r="D41" i="3"/>
  <c r="D38" i="3"/>
  <c r="D37" i="3"/>
  <c r="D36" i="3"/>
  <c r="D35" i="3"/>
  <c r="D34" i="3"/>
  <c r="D33" i="3"/>
  <c r="D32" i="3"/>
  <c r="D31" i="3"/>
  <c r="D28" i="3"/>
  <c r="D27" i="3"/>
  <c r="D26" i="3"/>
  <c r="D25" i="3"/>
  <c r="D24" i="3"/>
  <c r="D23" i="3"/>
  <c r="D22" i="3"/>
  <c r="D21" i="3"/>
  <c r="D20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AFN361" i="2"/>
  <c r="AFN360" i="2"/>
  <c r="AFN359" i="2"/>
  <c r="AFN358" i="2"/>
  <c r="AFN357" i="2"/>
  <c r="AFN356" i="2"/>
  <c r="AFN355" i="2"/>
  <c r="AFN354" i="2"/>
  <c r="AFN353" i="2"/>
  <c r="AFN352" i="2"/>
  <c r="AFN351" i="2"/>
  <c r="AFN350" i="2"/>
  <c r="AFN349" i="2"/>
  <c r="AFN348" i="2"/>
  <c r="AFN347" i="2"/>
  <c r="AFN346" i="2"/>
  <c r="AFN345" i="2"/>
  <c r="AFN344" i="2"/>
  <c r="AFN343" i="2"/>
  <c r="AFN342" i="2"/>
  <c r="AFN341" i="2"/>
  <c r="AFN340" i="2"/>
  <c r="AFN339" i="2"/>
  <c r="AFN338" i="2"/>
  <c r="AFN337" i="2"/>
  <c r="AFN336" i="2"/>
  <c r="AFN335" i="2"/>
  <c r="AFN334" i="2"/>
  <c r="AFN333" i="2"/>
  <c r="AFN332" i="2"/>
  <c r="AFN331" i="2"/>
  <c r="AFN330" i="2"/>
  <c r="AFN329" i="2"/>
  <c r="AFN328" i="2"/>
  <c r="AFN327" i="2"/>
  <c r="AFN326" i="2"/>
  <c r="AFN325" i="2"/>
  <c r="AFN324" i="2"/>
  <c r="AFO323" i="2"/>
  <c r="AFN323" i="2"/>
  <c r="AFN322" i="2"/>
  <c r="AFN321" i="2"/>
  <c r="AFN320" i="2"/>
  <c r="AFN319" i="2"/>
  <c r="AFN318" i="2"/>
  <c r="AFN317" i="2"/>
  <c r="AFN316" i="2"/>
  <c r="AFN315" i="2"/>
  <c r="AFN314" i="2"/>
  <c r="AFN313" i="2"/>
  <c r="AFN312" i="2"/>
  <c r="AFN311" i="2"/>
  <c r="EB311" i="2"/>
  <c r="DU311" i="2"/>
  <c r="DN311" i="2"/>
  <c r="AFN310" i="2"/>
  <c r="EB310" i="2"/>
  <c r="DU310" i="2"/>
  <c r="DN310" i="2"/>
  <c r="AFN309" i="2"/>
  <c r="EB309" i="2"/>
  <c r="DU309" i="2"/>
  <c r="DN309" i="2"/>
  <c r="AFN308" i="2"/>
  <c r="EB308" i="2"/>
  <c r="DU308" i="2"/>
  <c r="DN308" i="2"/>
  <c r="AFN307" i="2"/>
  <c r="EB307" i="2"/>
  <c r="DU307" i="2"/>
  <c r="DN307" i="2"/>
  <c r="AFN306" i="2"/>
  <c r="EB306" i="2"/>
  <c r="DU306" i="2"/>
  <c r="DN306" i="2"/>
  <c r="AFN305" i="2"/>
  <c r="EB305" i="2"/>
  <c r="DU305" i="2"/>
  <c r="DN305" i="2"/>
  <c r="AFN304" i="2"/>
  <c r="EB304" i="2"/>
  <c r="DU304" i="2"/>
  <c r="DN304" i="2"/>
  <c r="AFN303" i="2"/>
  <c r="EB303" i="2"/>
  <c r="DU303" i="2"/>
  <c r="DN303" i="2"/>
  <c r="AFN302" i="2"/>
  <c r="EB302" i="2"/>
  <c r="DU302" i="2"/>
  <c r="DN302" i="2"/>
  <c r="AFN301" i="2"/>
  <c r="EB301" i="2"/>
  <c r="DU301" i="2"/>
  <c r="DN301" i="2"/>
  <c r="AFN300" i="2"/>
  <c r="EB300" i="2"/>
  <c r="DU300" i="2"/>
  <c r="DN300" i="2"/>
  <c r="AFN299" i="2"/>
  <c r="EB299" i="2"/>
  <c r="DU299" i="2"/>
  <c r="DN299" i="2"/>
  <c r="AFN298" i="2"/>
  <c r="EB298" i="2"/>
  <c r="DU298" i="2"/>
  <c r="DN298" i="2"/>
  <c r="AFN297" i="2"/>
  <c r="EB297" i="2"/>
  <c r="DU297" i="2"/>
  <c r="DN297" i="2"/>
  <c r="AFN296" i="2"/>
  <c r="EB296" i="2"/>
  <c r="DU296" i="2"/>
  <c r="DN296" i="2"/>
  <c r="AFN295" i="2"/>
  <c r="EB295" i="2"/>
  <c r="DU295" i="2"/>
  <c r="DN295" i="2"/>
  <c r="AFO294" i="2"/>
  <c r="AFN294" i="2"/>
  <c r="EB294" i="2"/>
  <c r="DU294" i="2"/>
  <c r="DN294" i="2"/>
  <c r="AFN293" i="2"/>
  <c r="EB293" i="2"/>
  <c r="DU293" i="2"/>
  <c r="DN293" i="2"/>
  <c r="AFN292" i="2"/>
  <c r="EB292" i="2"/>
  <c r="DU292" i="2"/>
  <c r="DN292" i="2"/>
  <c r="AFN291" i="2"/>
  <c r="EB291" i="2"/>
  <c r="DU291" i="2"/>
  <c r="DN291" i="2"/>
  <c r="AFN290" i="2"/>
  <c r="EB290" i="2"/>
  <c r="DU290" i="2"/>
  <c r="DN290" i="2"/>
  <c r="AFN289" i="2"/>
  <c r="EB289" i="2"/>
  <c r="DU289" i="2"/>
  <c r="DN289" i="2"/>
  <c r="AFN288" i="2"/>
  <c r="EB288" i="2"/>
  <c r="DU288" i="2"/>
  <c r="DN288" i="2"/>
  <c r="AFO287" i="2"/>
  <c r="AFN287" i="2"/>
  <c r="EB287" i="2"/>
  <c r="DU287" i="2"/>
  <c r="DN287" i="2"/>
  <c r="AFN286" i="2"/>
  <c r="EB286" i="2"/>
  <c r="DU286" i="2"/>
  <c r="DN286" i="2"/>
  <c r="AFN285" i="2"/>
  <c r="EB285" i="2"/>
  <c r="DU285" i="2"/>
  <c r="DN285" i="2"/>
  <c r="AFN284" i="2"/>
  <c r="EB284" i="2"/>
  <c r="DU284" i="2"/>
  <c r="DN284" i="2"/>
  <c r="AFO283" i="2"/>
  <c r="AFN283" i="2"/>
  <c r="EB283" i="2"/>
  <c r="DU283" i="2"/>
  <c r="DN283" i="2"/>
  <c r="AFO282" i="2"/>
  <c r="AFN282" i="2"/>
  <c r="EB282" i="2"/>
  <c r="DU282" i="2"/>
  <c r="DN282" i="2"/>
  <c r="AFN281" i="2"/>
  <c r="EB281" i="2"/>
  <c r="DU281" i="2"/>
  <c r="DN281" i="2"/>
  <c r="AFN280" i="2"/>
  <c r="EB280" i="2"/>
  <c r="DU280" i="2"/>
  <c r="DN280" i="2"/>
  <c r="AFN279" i="2"/>
  <c r="EB279" i="2"/>
  <c r="DU279" i="2"/>
  <c r="DN279" i="2"/>
  <c r="AFO278" i="2"/>
  <c r="AFN278" i="2"/>
  <c r="EB278" i="2"/>
  <c r="DU278" i="2"/>
  <c r="DN278" i="2"/>
  <c r="AFN277" i="2"/>
  <c r="EB277" i="2"/>
  <c r="DU277" i="2"/>
  <c r="DN277" i="2"/>
  <c r="AFN276" i="2"/>
  <c r="EB276" i="2"/>
  <c r="DU276" i="2"/>
  <c r="DN276" i="2"/>
  <c r="AFN275" i="2"/>
  <c r="EB275" i="2"/>
  <c r="DU275" i="2"/>
  <c r="DN275" i="2"/>
  <c r="AFN274" i="2"/>
  <c r="EB274" i="2"/>
  <c r="DU274" i="2"/>
  <c r="DN274" i="2"/>
  <c r="AFN273" i="2"/>
  <c r="EB273" i="2"/>
  <c r="DU273" i="2"/>
  <c r="DN273" i="2"/>
  <c r="AFN272" i="2"/>
  <c r="EB272" i="2"/>
  <c r="DU272" i="2"/>
  <c r="DN272" i="2"/>
  <c r="AFN271" i="2"/>
  <c r="EB271" i="2"/>
  <c r="DU271" i="2"/>
  <c r="DN271" i="2"/>
  <c r="AFN270" i="2"/>
  <c r="EB270" i="2"/>
  <c r="DU270" i="2"/>
  <c r="DN270" i="2"/>
  <c r="AFN269" i="2"/>
  <c r="EB269" i="2"/>
  <c r="DU269" i="2"/>
  <c r="DN269" i="2"/>
  <c r="AFN268" i="2"/>
  <c r="EB268" i="2"/>
  <c r="DU268" i="2"/>
  <c r="DN268" i="2"/>
  <c r="AFN267" i="2"/>
  <c r="EB267" i="2"/>
  <c r="DU267" i="2"/>
  <c r="DN267" i="2"/>
  <c r="AFN266" i="2"/>
  <c r="EB266" i="2"/>
  <c r="DU266" i="2"/>
  <c r="DN266" i="2"/>
  <c r="AFN265" i="2"/>
  <c r="EB265" i="2"/>
  <c r="DU265" i="2"/>
  <c r="DN265" i="2"/>
  <c r="AFN264" i="2"/>
  <c r="EB264" i="2"/>
  <c r="DU264" i="2"/>
  <c r="DN264" i="2"/>
  <c r="AFN263" i="2"/>
  <c r="EB263" i="2"/>
  <c r="DU263" i="2"/>
  <c r="DN263" i="2"/>
  <c r="AFN262" i="2"/>
  <c r="EB262" i="2"/>
  <c r="DU262" i="2"/>
  <c r="DN262" i="2"/>
  <c r="AFN261" i="2"/>
  <c r="EB261" i="2"/>
  <c r="DU261" i="2"/>
  <c r="DN261" i="2"/>
  <c r="AFN260" i="2"/>
  <c r="EB260" i="2"/>
  <c r="DU260" i="2"/>
  <c r="DN260" i="2"/>
  <c r="AFN259" i="2"/>
  <c r="EB259" i="2"/>
  <c r="DU259" i="2"/>
  <c r="DN259" i="2"/>
  <c r="AFN258" i="2"/>
  <c r="EB258" i="2"/>
  <c r="DU258" i="2"/>
  <c r="DN258" i="2"/>
  <c r="AFN257" i="2"/>
  <c r="EB257" i="2"/>
  <c r="DU257" i="2"/>
  <c r="DN257" i="2"/>
  <c r="AFN256" i="2"/>
  <c r="EB256" i="2"/>
  <c r="DU256" i="2"/>
  <c r="DN256" i="2"/>
  <c r="AFN255" i="2"/>
  <c r="EB255" i="2"/>
  <c r="DU255" i="2"/>
  <c r="DN255" i="2"/>
  <c r="AFN254" i="2"/>
  <c r="EB254" i="2"/>
  <c r="DU254" i="2"/>
  <c r="DN254" i="2"/>
  <c r="AFN253" i="2"/>
  <c r="EB253" i="2"/>
  <c r="DU253" i="2"/>
  <c r="DN253" i="2"/>
  <c r="DG253" i="2"/>
  <c r="AFN252" i="2"/>
  <c r="EB252" i="2"/>
  <c r="DU252" i="2"/>
  <c r="DN252" i="2"/>
  <c r="DG252" i="2"/>
  <c r="AFN251" i="2"/>
  <c r="EB251" i="2"/>
  <c r="DU251" i="2"/>
  <c r="DN251" i="2"/>
  <c r="DG251" i="2"/>
  <c r="AFN250" i="2"/>
  <c r="EB250" i="2"/>
  <c r="DU250" i="2"/>
  <c r="DN250" i="2"/>
  <c r="DG250" i="2"/>
  <c r="AFN249" i="2"/>
  <c r="EB249" i="2"/>
  <c r="DU249" i="2"/>
  <c r="DN249" i="2"/>
  <c r="DG249" i="2"/>
  <c r="AFN248" i="2"/>
  <c r="EB248" i="2"/>
  <c r="DU248" i="2"/>
  <c r="DN248" i="2"/>
  <c r="DG248" i="2"/>
  <c r="AFN247" i="2"/>
  <c r="EB247" i="2"/>
  <c r="DU247" i="2"/>
  <c r="DN247" i="2"/>
  <c r="DG247" i="2"/>
  <c r="AFN246" i="2"/>
  <c r="EB246" i="2"/>
  <c r="DU246" i="2"/>
  <c r="DN246" i="2"/>
  <c r="DG246" i="2"/>
  <c r="AFN245" i="2"/>
  <c r="EB245" i="2"/>
  <c r="DU245" i="2"/>
  <c r="DN245" i="2"/>
  <c r="DG245" i="2"/>
  <c r="AFN244" i="2"/>
  <c r="EB244" i="2"/>
  <c r="DU244" i="2"/>
  <c r="DN244" i="2"/>
  <c r="DG244" i="2"/>
  <c r="AFN243" i="2"/>
  <c r="EB243" i="2"/>
  <c r="DU243" i="2"/>
  <c r="DN243" i="2"/>
  <c r="DG243" i="2"/>
  <c r="AFN242" i="2"/>
  <c r="EB242" i="2"/>
  <c r="DU242" i="2"/>
  <c r="DN242" i="2"/>
  <c r="DG242" i="2"/>
  <c r="AFN241" i="2"/>
  <c r="EB241" i="2"/>
  <c r="DU241" i="2"/>
  <c r="DN241" i="2"/>
  <c r="DG241" i="2"/>
  <c r="AFN240" i="2"/>
  <c r="EB240" i="2"/>
  <c r="DU240" i="2"/>
  <c r="DN240" i="2"/>
  <c r="DG240" i="2"/>
  <c r="AFN239" i="2"/>
  <c r="EB239" i="2"/>
  <c r="DU239" i="2"/>
  <c r="DN239" i="2"/>
  <c r="DG239" i="2"/>
  <c r="AFN238" i="2"/>
  <c r="EB238" i="2"/>
  <c r="DU238" i="2"/>
  <c r="DN238" i="2"/>
  <c r="DG238" i="2"/>
  <c r="AFN237" i="2"/>
  <c r="EB237" i="2"/>
  <c r="DU237" i="2"/>
  <c r="DN237" i="2"/>
  <c r="DG237" i="2"/>
  <c r="AFN236" i="2"/>
  <c r="EB236" i="2"/>
  <c r="DU236" i="2"/>
  <c r="DN236" i="2"/>
  <c r="DG236" i="2"/>
  <c r="AFN235" i="2"/>
  <c r="EB235" i="2"/>
  <c r="DU235" i="2"/>
  <c r="DN235" i="2"/>
  <c r="DG235" i="2"/>
  <c r="AFN234" i="2"/>
  <c r="EB234" i="2"/>
  <c r="DU234" i="2"/>
  <c r="DN234" i="2"/>
  <c r="DG234" i="2"/>
  <c r="AFN233" i="2"/>
  <c r="EB233" i="2"/>
  <c r="DU233" i="2"/>
  <c r="DN233" i="2"/>
  <c r="DG233" i="2"/>
  <c r="AFN232" i="2"/>
  <c r="EB232" i="2"/>
  <c r="DU232" i="2"/>
  <c r="DN232" i="2"/>
  <c r="DG232" i="2"/>
  <c r="AFN231" i="2"/>
  <c r="EB231" i="2"/>
  <c r="DU231" i="2"/>
  <c r="DN231" i="2"/>
  <c r="DG231" i="2"/>
  <c r="AFO230" i="2"/>
  <c r="AFN230" i="2"/>
  <c r="EB230" i="2"/>
  <c r="DU230" i="2"/>
  <c r="DN230" i="2"/>
  <c r="DG230" i="2"/>
  <c r="AFO229" i="2"/>
  <c r="AFN229" i="2"/>
  <c r="EB229" i="2"/>
  <c r="DU229" i="2"/>
  <c r="DN229" i="2"/>
  <c r="DG229" i="2"/>
  <c r="AFN228" i="2"/>
  <c r="EB228" i="2"/>
  <c r="DU228" i="2"/>
  <c r="DN228" i="2"/>
  <c r="DG228" i="2"/>
  <c r="AFN227" i="2"/>
  <c r="EB227" i="2"/>
  <c r="DU227" i="2"/>
  <c r="DN227" i="2"/>
  <c r="DG227" i="2"/>
  <c r="AFN226" i="2"/>
  <c r="EB226" i="2"/>
  <c r="DU226" i="2"/>
  <c r="DN226" i="2"/>
  <c r="DG226" i="2"/>
  <c r="AFN225" i="2"/>
  <c r="EB225" i="2"/>
  <c r="DU225" i="2"/>
  <c r="DN225" i="2"/>
  <c r="DG225" i="2"/>
  <c r="AFO224" i="2"/>
  <c r="AFN224" i="2"/>
  <c r="EB224" i="2"/>
  <c r="DU224" i="2"/>
  <c r="DN224" i="2"/>
  <c r="DG224" i="2"/>
  <c r="AFN223" i="2"/>
  <c r="EB223" i="2"/>
  <c r="DU223" i="2"/>
  <c r="DN223" i="2"/>
  <c r="DG223" i="2"/>
  <c r="AFN222" i="2"/>
  <c r="EB222" i="2"/>
  <c r="DU222" i="2"/>
  <c r="DN222" i="2"/>
  <c r="DG222" i="2"/>
  <c r="AFN221" i="2"/>
  <c r="EB221" i="2"/>
  <c r="DU221" i="2"/>
  <c r="DN221" i="2"/>
  <c r="DG221" i="2"/>
  <c r="AFN220" i="2"/>
  <c r="EB220" i="2"/>
  <c r="DU220" i="2"/>
  <c r="DN220" i="2"/>
  <c r="DG220" i="2"/>
  <c r="AFN219" i="2"/>
  <c r="EB219" i="2"/>
  <c r="DU219" i="2"/>
  <c r="DN219" i="2"/>
  <c r="DG219" i="2"/>
  <c r="AFN218" i="2"/>
  <c r="EB218" i="2"/>
  <c r="DU218" i="2"/>
  <c r="DN218" i="2"/>
  <c r="DG218" i="2"/>
  <c r="AFO217" i="2"/>
  <c r="AFN217" i="2"/>
  <c r="EB217" i="2"/>
  <c r="DU217" i="2"/>
  <c r="DN217" i="2"/>
  <c r="DG217" i="2"/>
  <c r="AFN216" i="2"/>
  <c r="EB216" i="2"/>
  <c r="DU216" i="2"/>
  <c r="DN216" i="2"/>
  <c r="DG216" i="2"/>
  <c r="AFN215" i="2"/>
  <c r="EB215" i="2"/>
  <c r="DU215" i="2"/>
  <c r="DN215" i="2"/>
  <c r="DG215" i="2"/>
  <c r="AFN214" i="2"/>
  <c r="EB214" i="2"/>
  <c r="DU214" i="2"/>
  <c r="DN214" i="2"/>
  <c r="DG214" i="2"/>
  <c r="AFN213" i="2"/>
  <c r="EB213" i="2"/>
  <c r="DU213" i="2"/>
  <c r="DN213" i="2"/>
  <c r="DG213" i="2"/>
  <c r="AFN212" i="2"/>
  <c r="EB212" i="2"/>
  <c r="DU212" i="2"/>
  <c r="DN212" i="2"/>
  <c r="DG212" i="2"/>
  <c r="AFN211" i="2"/>
  <c r="EB211" i="2"/>
  <c r="DU211" i="2"/>
  <c r="DN211" i="2"/>
  <c r="DG211" i="2"/>
  <c r="AFN210" i="2"/>
  <c r="EB210" i="2"/>
  <c r="DU210" i="2"/>
  <c r="DN210" i="2"/>
  <c r="DG210" i="2"/>
  <c r="AFN209" i="2"/>
  <c r="EB209" i="2"/>
  <c r="DU209" i="2"/>
  <c r="DN209" i="2"/>
  <c r="DG209" i="2"/>
  <c r="AFN208" i="2"/>
  <c r="EB208" i="2"/>
  <c r="DU208" i="2"/>
  <c r="DN208" i="2"/>
  <c r="DG208" i="2"/>
  <c r="AFN207" i="2"/>
  <c r="EB207" i="2"/>
  <c r="DU207" i="2"/>
  <c r="DN207" i="2"/>
  <c r="DG207" i="2"/>
  <c r="AFN206" i="2"/>
  <c r="EB206" i="2"/>
  <c r="DU206" i="2"/>
  <c r="DN206" i="2"/>
  <c r="DG206" i="2"/>
  <c r="AFN205" i="2"/>
  <c r="EB205" i="2"/>
  <c r="DU205" i="2"/>
  <c r="DN205" i="2"/>
  <c r="DG205" i="2"/>
  <c r="AFN204" i="2"/>
  <c r="EB204" i="2"/>
  <c r="DU204" i="2"/>
  <c r="DN204" i="2"/>
  <c r="DG204" i="2"/>
  <c r="AFN203" i="2"/>
  <c r="EB203" i="2"/>
  <c r="DU203" i="2"/>
  <c r="DN203" i="2"/>
  <c r="DG203" i="2"/>
  <c r="AFN202" i="2"/>
  <c r="EB202" i="2"/>
  <c r="DU202" i="2"/>
  <c r="DN202" i="2"/>
  <c r="DG202" i="2"/>
  <c r="AFN201" i="2"/>
  <c r="EB201" i="2"/>
  <c r="DU201" i="2"/>
  <c r="DN201" i="2"/>
  <c r="DG201" i="2"/>
  <c r="AFN200" i="2"/>
  <c r="EB200" i="2"/>
  <c r="DU200" i="2"/>
  <c r="DN200" i="2"/>
  <c r="DG200" i="2"/>
  <c r="AFN199" i="2"/>
  <c r="EB199" i="2"/>
  <c r="DU199" i="2"/>
  <c r="DN199" i="2"/>
  <c r="DG199" i="2"/>
  <c r="AFN198" i="2"/>
  <c r="EB198" i="2"/>
  <c r="DU198" i="2"/>
  <c r="DN198" i="2"/>
  <c r="DG198" i="2"/>
  <c r="AFN197" i="2"/>
  <c r="EB197" i="2"/>
  <c r="DU197" i="2"/>
  <c r="DN197" i="2"/>
  <c r="DG197" i="2"/>
  <c r="AFN196" i="2"/>
  <c r="EB196" i="2"/>
  <c r="DU196" i="2"/>
  <c r="DN196" i="2"/>
  <c r="DG196" i="2"/>
  <c r="AFN195" i="2"/>
  <c r="EB195" i="2"/>
  <c r="DU195" i="2"/>
  <c r="DN195" i="2"/>
  <c r="DG195" i="2"/>
  <c r="AFN194" i="2"/>
  <c r="EB194" i="2"/>
  <c r="DU194" i="2"/>
  <c r="DN194" i="2"/>
  <c r="DG194" i="2"/>
  <c r="AFN193" i="2"/>
  <c r="EB193" i="2"/>
  <c r="DU193" i="2"/>
  <c r="DN193" i="2"/>
  <c r="DG193" i="2"/>
  <c r="AFN192" i="2"/>
  <c r="EB192" i="2"/>
  <c r="DU192" i="2"/>
  <c r="DN192" i="2"/>
  <c r="DG192" i="2"/>
  <c r="AFN191" i="2"/>
  <c r="EB191" i="2"/>
  <c r="DU191" i="2"/>
  <c r="DN191" i="2"/>
  <c r="DG191" i="2"/>
  <c r="AFN190" i="2"/>
  <c r="EB190" i="2"/>
  <c r="DU190" i="2"/>
  <c r="DN190" i="2"/>
  <c r="DG190" i="2"/>
  <c r="EB189" i="2"/>
  <c r="DU189" i="2"/>
  <c r="DN189" i="2"/>
  <c r="DG189" i="2"/>
  <c r="AFO188" i="2"/>
  <c r="EB188" i="2"/>
  <c r="DU188" i="2"/>
  <c r="DN188" i="2"/>
  <c r="DG188" i="2"/>
  <c r="EB187" i="2"/>
  <c r="DU187" i="2"/>
  <c r="DN187" i="2"/>
  <c r="DG187" i="2"/>
  <c r="EB186" i="2"/>
  <c r="DU186" i="2"/>
  <c r="DN186" i="2"/>
  <c r="DG186" i="2"/>
  <c r="EB185" i="2"/>
  <c r="DU185" i="2"/>
  <c r="DN185" i="2"/>
  <c r="DG185" i="2"/>
  <c r="BM185" i="2"/>
  <c r="BL185" i="2"/>
  <c r="EB184" i="2"/>
  <c r="DU184" i="2"/>
  <c r="DN184" i="2"/>
  <c r="DG184" i="2"/>
  <c r="BM184" i="2"/>
  <c r="BL184" i="2"/>
  <c r="EB183" i="2"/>
  <c r="DU183" i="2"/>
  <c r="DN183" i="2"/>
  <c r="DG183" i="2"/>
  <c r="BM183" i="2"/>
  <c r="BL183" i="2"/>
  <c r="EB182" i="2"/>
  <c r="DU182" i="2"/>
  <c r="DN182" i="2"/>
  <c r="DG182" i="2"/>
  <c r="BM182" i="2"/>
  <c r="BL182" i="2"/>
  <c r="EB181" i="2"/>
  <c r="DU181" i="2"/>
  <c r="DN181" i="2"/>
  <c r="DG181" i="2"/>
  <c r="BM181" i="2"/>
  <c r="BL181" i="2"/>
  <c r="EB180" i="2"/>
  <c r="DU180" i="2"/>
  <c r="DN180" i="2"/>
  <c r="DG180" i="2"/>
  <c r="BM180" i="2"/>
  <c r="BL180" i="2"/>
  <c r="EB179" i="2"/>
  <c r="DU179" i="2"/>
  <c r="DN179" i="2"/>
  <c r="DG179" i="2"/>
  <c r="BM179" i="2"/>
  <c r="BL179" i="2"/>
  <c r="EB178" i="2"/>
  <c r="DU178" i="2"/>
  <c r="DN178" i="2"/>
  <c r="DG178" i="2"/>
  <c r="BM178" i="2"/>
  <c r="BL178" i="2"/>
  <c r="EB177" i="2"/>
  <c r="DU177" i="2"/>
  <c r="DN177" i="2"/>
  <c r="DG177" i="2"/>
  <c r="BM177" i="2"/>
  <c r="BL177" i="2"/>
  <c r="EB176" i="2"/>
  <c r="DU176" i="2"/>
  <c r="DN176" i="2"/>
  <c r="DG176" i="2"/>
  <c r="BM176" i="2"/>
  <c r="BL176" i="2"/>
  <c r="EB175" i="2"/>
  <c r="DU175" i="2"/>
  <c r="DN175" i="2"/>
  <c r="DG175" i="2"/>
  <c r="BM175" i="2"/>
  <c r="BL175" i="2"/>
  <c r="EB174" i="2"/>
  <c r="DU174" i="2"/>
  <c r="DN174" i="2"/>
  <c r="DG174" i="2"/>
  <c r="BM174" i="2"/>
  <c r="BL174" i="2"/>
  <c r="EB173" i="2"/>
  <c r="DU173" i="2"/>
  <c r="DN173" i="2"/>
  <c r="DG173" i="2"/>
  <c r="BM173" i="2"/>
  <c r="BL173" i="2"/>
  <c r="EB172" i="2"/>
  <c r="DU172" i="2"/>
  <c r="DN172" i="2"/>
  <c r="DG172" i="2"/>
  <c r="BM172" i="2"/>
  <c r="BL172" i="2"/>
  <c r="EB171" i="2"/>
  <c r="DU171" i="2"/>
  <c r="DN171" i="2"/>
  <c r="DG171" i="2"/>
  <c r="BM171" i="2"/>
  <c r="BL171" i="2"/>
  <c r="EB170" i="2"/>
  <c r="DU170" i="2"/>
  <c r="DN170" i="2"/>
  <c r="DG170" i="2"/>
  <c r="BM170" i="2"/>
  <c r="BL170" i="2"/>
  <c r="EB169" i="2"/>
  <c r="DU169" i="2"/>
  <c r="DN169" i="2"/>
  <c r="DG169" i="2"/>
  <c r="BM169" i="2"/>
  <c r="BL169" i="2"/>
  <c r="EB168" i="2"/>
  <c r="DU168" i="2"/>
  <c r="DN168" i="2"/>
  <c r="DG168" i="2"/>
  <c r="BM168" i="2"/>
  <c r="BL168" i="2"/>
  <c r="EB167" i="2"/>
  <c r="DU167" i="2"/>
  <c r="DN167" i="2"/>
  <c r="DG167" i="2"/>
  <c r="BM167" i="2"/>
  <c r="BL167" i="2"/>
  <c r="EB166" i="2"/>
  <c r="DU166" i="2"/>
  <c r="DN166" i="2"/>
  <c r="DG166" i="2"/>
  <c r="BM166" i="2"/>
  <c r="BL166" i="2"/>
  <c r="EB165" i="2"/>
  <c r="DU165" i="2"/>
  <c r="DN165" i="2"/>
  <c r="DG165" i="2"/>
  <c r="BM165" i="2"/>
  <c r="BL165" i="2"/>
  <c r="AFO164" i="2"/>
  <c r="EB164" i="2"/>
  <c r="DU164" i="2"/>
  <c r="DN164" i="2"/>
  <c r="DG164" i="2"/>
  <c r="BM164" i="2"/>
  <c r="BL164" i="2"/>
  <c r="EB163" i="2"/>
  <c r="DU163" i="2"/>
  <c r="DN163" i="2"/>
  <c r="DG163" i="2"/>
  <c r="BM163" i="2"/>
  <c r="BL163" i="2"/>
  <c r="EB162" i="2"/>
  <c r="DU162" i="2"/>
  <c r="DN162" i="2"/>
  <c r="DG162" i="2"/>
  <c r="BM162" i="2"/>
  <c r="BL162" i="2"/>
  <c r="EB161" i="2"/>
  <c r="DU161" i="2"/>
  <c r="DN161" i="2"/>
  <c r="DG161" i="2"/>
  <c r="BM161" i="2"/>
  <c r="BL161" i="2"/>
  <c r="EB160" i="2"/>
  <c r="DU160" i="2"/>
  <c r="DN160" i="2"/>
  <c r="DG160" i="2"/>
  <c r="BM160" i="2"/>
  <c r="BL160" i="2"/>
  <c r="EB159" i="2"/>
  <c r="DU159" i="2"/>
  <c r="DN159" i="2"/>
  <c r="DG159" i="2"/>
  <c r="BM159" i="2"/>
  <c r="BL159" i="2"/>
  <c r="EB158" i="2"/>
  <c r="DU158" i="2"/>
  <c r="DN158" i="2"/>
  <c r="DG158" i="2"/>
  <c r="BM158" i="2"/>
  <c r="BL158" i="2"/>
  <c r="EB157" i="2"/>
  <c r="DU157" i="2"/>
  <c r="DN157" i="2"/>
  <c r="DG157" i="2"/>
  <c r="BM157" i="2"/>
  <c r="BL157" i="2"/>
  <c r="EB156" i="2"/>
  <c r="DU156" i="2"/>
  <c r="DN156" i="2"/>
  <c r="DG156" i="2"/>
  <c r="BM156" i="2"/>
  <c r="BL156" i="2"/>
  <c r="ADP155" i="2"/>
  <c r="EB155" i="2"/>
  <c r="DU155" i="2"/>
  <c r="DN155" i="2"/>
  <c r="DG155" i="2"/>
  <c r="BM155" i="2"/>
  <c r="BL155" i="2"/>
  <c r="EB154" i="2"/>
  <c r="DU154" i="2"/>
  <c r="DN154" i="2"/>
  <c r="DG154" i="2"/>
  <c r="BM154" i="2"/>
  <c r="BL154" i="2"/>
  <c r="EB153" i="2"/>
  <c r="DU153" i="2"/>
  <c r="DN153" i="2"/>
  <c r="DG153" i="2"/>
  <c r="BM153" i="2"/>
  <c r="BL153" i="2"/>
  <c r="EB152" i="2"/>
  <c r="DU152" i="2"/>
  <c r="DN152" i="2"/>
  <c r="DG152" i="2"/>
  <c r="BM152" i="2"/>
  <c r="BL152" i="2"/>
  <c r="EB151" i="2"/>
  <c r="DU151" i="2"/>
  <c r="DN151" i="2"/>
  <c r="DG151" i="2"/>
  <c r="BM151" i="2"/>
  <c r="BL151" i="2"/>
  <c r="EB150" i="2"/>
  <c r="DU150" i="2"/>
  <c r="DN150" i="2"/>
  <c r="DG150" i="2"/>
  <c r="BM150" i="2"/>
  <c r="BL150" i="2"/>
  <c r="EB149" i="2"/>
  <c r="DU149" i="2"/>
  <c r="DN149" i="2"/>
  <c r="DG149" i="2"/>
  <c r="BM149" i="2"/>
  <c r="BL149" i="2"/>
  <c r="EB148" i="2"/>
  <c r="DU148" i="2"/>
  <c r="DN148" i="2"/>
  <c r="DG148" i="2"/>
  <c r="BM148" i="2"/>
  <c r="BL148" i="2"/>
  <c r="EB147" i="2"/>
  <c r="DU147" i="2"/>
  <c r="DN147" i="2"/>
  <c r="DG147" i="2"/>
  <c r="BM147" i="2"/>
  <c r="BL147" i="2"/>
  <c r="AFN146" i="2"/>
  <c r="EB146" i="2"/>
  <c r="DU146" i="2"/>
  <c r="DN146" i="2"/>
  <c r="DG146" i="2"/>
  <c r="BM146" i="2"/>
  <c r="BL146" i="2"/>
  <c r="AFN145" i="2"/>
  <c r="ADP145" i="2"/>
  <c r="EB145" i="2"/>
  <c r="DU145" i="2"/>
  <c r="DN145" i="2"/>
  <c r="DG145" i="2"/>
  <c r="BM145" i="2"/>
  <c r="BL145" i="2"/>
  <c r="AFN144" i="2"/>
  <c r="JP144" i="2"/>
  <c r="JO144" i="2"/>
  <c r="EB144" i="2"/>
  <c r="DU144" i="2"/>
  <c r="DN144" i="2"/>
  <c r="DG144" i="2"/>
  <c r="BM144" i="2"/>
  <c r="BL144" i="2"/>
  <c r="AFN143" i="2"/>
  <c r="JP143" i="2"/>
  <c r="JO143" i="2"/>
  <c r="EB143" i="2"/>
  <c r="DU143" i="2"/>
  <c r="DN143" i="2"/>
  <c r="DG143" i="2"/>
  <c r="BM143" i="2"/>
  <c r="BL143" i="2"/>
  <c r="AFN142" i="2"/>
  <c r="JP142" i="2"/>
  <c r="JO142" i="2"/>
  <c r="EB142" i="2"/>
  <c r="DU142" i="2"/>
  <c r="DN142" i="2"/>
  <c r="DG142" i="2"/>
  <c r="BM142" i="2"/>
  <c r="BL142" i="2"/>
  <c r="AFN141" i="2"/>
  <c r="JP141" i="2"/>
  <c r="JO141" i="2"/>
  <c r="EB141" i="2"/>
  <c r="DU141" i="2"/>
  <c r="DN141" i="2"/>
  <c r="DG141" i="2"/>
  <c r="BM141" i="2"/>
  <c r="BL141" i="2"/>
  <c r="AFN140" i="2"/>
  <c r="JP140" i="2"/>
  <c r="JO140" i="2"/>
  <c r="EB140" i="2"/>
  <c r="DU140" i="2"/>
  <c r="DN140" i="2"/>
  <c r="DG140" i="2"/>
  <c r="BM140" i="2"/>
  <c r="BL140" i="2"/>
  <c r="AFN139" i="2"/>
  <c r="JP139" i="2"/>
  <c r="JO139" i="2"/>
  <c r="EB139" i="2"/>
  <c r="DU139" i="2"/>
  <c r="DN139" i="2"/>
  <c r="DG139" i="2"/>
  <c r="BM139" i="2"/>
  <c r="BL139" i="2"/>
  <c r="AFN138" i="2"/>
  <c r="JP138" i="2"/>
  <c r="JO138" i="2"/>
  <c r="EB138" i="2"/>
  <c r="DU138" i="2"/>
  <c r="DN138" i="2"/>
  <c r="DG138" i="2"/>
  <c r="BM138" i="2"/>
  <c r="BL138" i="2"/>
  <c r="AFN137" i="2"/>
  <c r="JP137" i="2"/>
  <c r="JO137" i="2"/>
  <c r="EB137" i="2"/>
  <c r="DU137" i="2"/>
  <c r="DN137" i="2"/>
  <c r="DG137" i="2"/>
  <c r="BM137" i="2"/>
  <c r="BL137" i="2"/>
  <c r="AFN136" i="2"/>
  <c r="JP136" i="2"/>
  <c r="JO136" i="2"/>
  <c r="EB136" i="2"/>
  <c r="DU136" i="2"/>
  <c r="DN136" i="2"/>
  <c r="DG136" i="2"/>
  <c r="BM136" i="2"/>
  <c r="BL136" i="2"/>
  <c r="AFN135" i="2"/>
  <c r="JP135" i="2"/>
  <c r="JO135" i="2"/>
  <c r="EB135" i="2"/>
  <c r="DU135" i="2"/>
  <c r="DN135" i="2"/>
  <c r="DG135" i="2"/>
  <c r="BM135" i="2"/>
  <c r="BL135" i="2"/>
  <c r="AFN134" i="2"/>
  <c r="ADP134" i="2"/>
  <c r="JP134" i="2"/>
  <c r="JO134" i="2"/>
  <c r="EB134" i="2"/>
  <c r="DU134" i="2"/>
  <c r="DN134" i="2"/>
  <c r="DG134" i="2"/>
  <c r="BM134" i="2"/>
  <c r="BL134" i="2"/>
  <c r="AFN133" i="2"/>
  <c r="JP133" i="2"/>
  <c r="JO133" i="2"/>
  <c r="EB133" i="2"/>
  <c r="DU133" i="2"/>
  <c r="DN133" i="2"/>
  <c r="DG133" i="2"/>
  <c r="BM133" i="2"/>
  <c r="BL133" i="2"/>
  <c r="AFN132" i="2"/>
  <c r="QY132" i="2"/>
  <c r="QX132" i="2"/>
  <c r="QN132" i="2"/>
  <c r="QM132" i="2"/>
  <c r="QD132" i="2"/>
  <c r="QC132" i="2"/>
  <c r="PT132" i="2"/>
  <c r="PS132" i="2"/>
  <c r="PK132" i="2"/>
  <c r="PJ132" i="2"/>
  <c r="PK130" i="2" s="1"/>
  <c r="PI132" i="2"/>
  <c r="PA132" i="2"/>
  <c r="OZ132" i="2"/>
  <c r="PA130" i="2" s="1"/>
  <c r="OY132" i="2"/>
  <c r="OP132" i="2"/>
  <c r="OO132" i="2"/>
  <c r="OF132" i="2"/>
  <c r="OE132" i="2"/>
  <c r="NV132" i="2"/>
  <c r="NU132" i="2"/>
  <c r="NL132" i="2"/>
  <c r="NK132" i="2"/>
  <c r="NB132" i="2"/>
  <c r="NA132" i="2"/>
  <c r="MR132" i="2"/>
  <c r="MQ132" i="2"/>
  <c r="MH132" i="2"/>
  <c r="MG132" i="2"/>
  <c r="LX132" i="2"/>
  <c r="LW132" i="2"/>
  <c r="LN132" i="2"/>
  <c r="LM132" i="2"/>
  <c r="LD132" i="2"/>
  <c r="LC132" i="2"/>
  <c r="KT132" i="2"/>
  <c r="KS132" i="2"/>
  <c r="KJ132" i="2"/>
  <c r="KI132" i="2"/>
  <c r="JZ132" i="2"/>
  <c r="JY132" i="2"/>
  <c r="JP132" i="2"/>
  <c r="JO132" i="2"/>
  <c r="EB132" i="2"/>
  <c r="DU132" i="2"/>
  <c r="DN132" i="2"/>
  <c r="DG132" i="2"/>
  <c r="BM132" i="2"/>
  <c r="BL132" i="2"/>
  <c r="AFN131" i="2"/>
  <c r="QY131" i="2"/>
  <c r="QX131" i="2"/>
  <c r="QN131" i="2"/>
  <c r="QM131" i="2"/>
  <c r="QD131" i="2"/>
  <c r="QC131" i="2"/>
  <c r="PT131" i="2"/>
  <c r="PS131" i="2"/>
  <c r="PK131" i="2"/>
  <c r="PJ131" i="2"/>
  <c r="PK129" i="2" s="1"/>
  <c r="PI131" i="2"/>
  <c r="PA131" i="2"/>
  <c r="OZ131" i="2"/>
  <c r="OY131" i="2"/>
  <c r="OP131" i="2"/>
  <c r="OO131" i="2"/>
  <c r="OF131" i="2"/>
  <c r="OE131" i="2"/>
  <c r="NV131" i="2"/>
  <c r="NU131" i="2"/>
  <c r="NL131" i="2"/>
  <c r="NK131" i="2"/>
  <c r="NB131" i="2"/>
  <c r="NA131" i="2"/>
  <c r="MR131" i="2"/>
  <c r="MQ131" i="2"/>
  <c r="MH131" i="2"/>
  <c r="MG131" i="2"/>
  <c r="LX131" i="2"/>
  <c r="LW131" i="2"/>
  <c r="LN131" i="2"/>
  <c r="LM131" i="2"/>
  <c r="LD131" i="2"/>
  <c r="LC131" i="2"/>
  <c r="KT131" i="2"/>
  <c r="KS131" i="2"/>
  <c r="KJ131" i="2"/>
  <c r="KI131" i="2"/>
  <c r="JZ131" i="2"/>
  <c r="JY131" i="2"/>
  <c r="JP131" i="2"/>
  <c r="JO131" i="2"/>
  <c r="EB131" i="2"/>
  <c r="DU131" i="2"/>
  <c r="DN131" i="2"/>
  <c r="DG131" i="2"/>
  <c r="BM131" i="2"/>
  <c r="BL131" i="2"/>
  <c r="AFN130" i="2"/>
  <c r="RU130" i="2"/>
  <c r="QY130" i="2"/>
  <c r="QX130" i="2"/>
  <c r="QN130" i="2"/>
  <c r="QM130" i="2"/>
  <c r="QD130" i="2"/>
  <c r="QC130" i="2"/>
  <c r="PT130" i="2"/>
  <c r="PS130" i="2"/>
  <c r="PJ130" i="2"/>
  <c r="PK128" i="2" s="1"/>
  <c r="PI130" i="2"/>
  <c r="OZ130" i="2"/>
  <c r="PA128" i="2" s="1"/>
  <c r="OY130" i="2"/>
  <c r="OP130" i="2"/>
  <c r="OO130" i="2"/>
  <c r="OF130" i="2"/>
  <c r="OE130" i="2"/>
  <c r="NV130" i="2"/>
  <c r="NU130" i="2"/>
  <c r="NL130" i="2"/>
  <c r="NK130" i="2"/>
  <c r="NB130" i="2"/>
  <c r="NA130" i="2"/>
  <c r="MR130" i="2"/>
  <c r="MQ130" i="2"/>
  <c r="MH130" i="2"/>
  <c r="MG130" i="2"/>
  <c r="LX130" i="2"/>
  <c r="LW130" i="2"/>
  <c r="LN130" i="2"/>
  <c r="LM130" i="2"/>
  <c r="LD130" i="2"/>
  <c r="LC130" i="2"/>
  <c r="KT130" i="2"/>
  <c r="KS130" i="2"/>
  <c r="KJ130" i="2"/>
  <c r="KI130" i="2"/>
  <c r="JZ130" i="2"/>
  <c r="JY130" i="2"/>
  <c r="JP130" i="2"/>
  <c r="JO130" i="2"/>
  <c r="EB130" i="2"/>
  <c r="DU130" i="2"/>
  <c r="DN130" i="2"/>
  <c r="DG130" i="2"/>
  <c r="BM130" i="2"/>
  <c r="BL130" i="2"/>
  <c r="AFN129" i="2"/>
  <c r="RU129" i="2"/>
  <c r="QY129" i="2"/>
  <c r="QX129" i="2"/>
  <c r="QN129" i="2"/>
  <c r="QM129" i="2"/>
  <c r="QD129" i="2"/>
  <c r="QC129" i="2"/>
  <c r="PT129" i="2"/>
  <c r="PS129" i="2"/>
  <c r="PJ129" i="2"/>
  <c r="PK127" i="2" s="1"/>
  <c r="PI129" i="2"/>
  <c r="PA129" i="2"/>
  <c r="OZ129" i="2"/>
  <c r="PA127" i="2" s="1"/>
  <c r="OY129" i="2"/>
  <c r="OP129" i="2"/>
  <c r="OO129" i="2"/>
  <c r="OF129" i="2"/>
  <c r="OE129" i="2"/>
  <c r="NV129" i="2"/>
  <c r="NU129" i="2"/>
  <c r="NL129" i="2"/>
  <c r="NK129" i="2"/>
  <c r="NB129" i="2"/>
  <c r="NA129" i="2"/>
  <c r="MR129" i="2"/>
  <c r="MQ129" i="2"/>
  <c r="MH129" i="2"/>
  <c r="MG129" i="2"/>
  <c r="LX129" i="2"/>
  <c r="LW129" i="2"/>
  <c r="LN129" i="2"/>
  <c r="LM129" i="2"/>
  <c r="LD129" i="2"/>
  <c r="LC129" i="2"/>
  <c r="KT129" i="2"/>
  <c r="KS129" i="2"/>
  <c r="KJ129" i="2"/>
  <c r="KI129" i="2"/>
  <c r="JZ129" i="2"/>
  <c r="JY129" i="2"/>
  <c r="JP129" i="2"/>
  <c r="JO129" i="2"/>
  <c r="EB129" i="2"/>
  <c r="DU129" i="2"/>
  <c r="DN129" i="2"/>
  <c r="DG129" i="2"/>
  <c r="BM129" i="2"/>
  <c r="BL129" i="2"/>
  <c r="AFN128" i="2"/>
  <c r="RU128" i="2"/>
  <c r="QY128" i="2"/>
  <c r="QX128" i="2"/>
  <c r="QN128" i="2"/>
  <c r="QM128" i="2"/>
  <c r="QD128" i="2"/>
  <c r="QC128" i="2"/>
  <c r="PT128" i="2"/>
  <c r="PS128" i="2"/>
  <c r="PJ128" i="2"/>
  <c r="PK126" i="2" s="1"/>
  <c r="PI128" i="2"/>
  <c r="OZ128" i="2"/>
  <c r="PA126" i="2" s="1"/>
  <c r="OY128" i="2"/>
  <c r="OP128" i="2"/>
  <c r="OO128" i="2"/>
  <c r="OF128" i="2"/>
  <c r="OE128" i="2"/>
  <c r="NV128" i="2"/>
  <c r="NU128" i="2"/>
  <c r="NL128" i="2"/>
  <c r="NK128" i="2"/>
  <c r="NB128" i="2"/>
  <c r="NA128" i="2"/>
  <c r="MR128" i="2"/>
  <c r="MQ128" i="2"/>
  <c r="MH128" i="2"/>
  <c r="MG128" i="2"/>
  <c r="LX128" i="2"/>
  <c r="LW128" i="2"/>
  <c r="LN128" i="2"/>
  <c r="LM128" i="2"/>
  <c r="LD128" i="2"/>
  <c r="LC128" i="2"/>
  <c r="KT128" i="2"/>
  <c r="KS128" i="2"/>
  <c r="KJ128" i="2"/>
  <c r="KI128" i="2"/>
  <c r="JZ128" i="2"/>
  <c r="JY128" i="2"/>
  <c r="JP128" i="2"/>
  <c r="JO128" i="2"/>
  <c r="EB128" i="2"/>
  <c r="DU128" i="2"/>
  <c r="DN128" i="2"/>
  <c r="DG128" i="2"/>
  <c r="BM128" i="2"/>
  <c r="BL128" i="2"/>
  <c r="AFN127" i="2"/>
  <c r="RU127" i="2"/>
  <c r="QY127" i="2"/>
  <c r="QX127" i="2"/>
  <c r="QN127" i="2"/>
  <c r="QM127" i="2"/>
  <c r="QD127" i="2"/>
  <c r="QC127" i="2"/>
  <c r="PT127" i="2"/>
  <c r="PS127" i="2"/>
  <c r="PJ127" i="2"/>
  <c r="PK125" i="2" s="1"/>
  <c r="PI127" i="2"/>
  <c r="OZ127" i="2"/>
  <c r="PA125" i="2" s="1"/>
  <c r="OY127" i="2"/>
  <c r="OP127" i="2"/>
  <c r="OO127" i="2"/>
  <c r="OF127" i="2"/>
  <c r="OE127" i="2"/>
  <c r="NV127" i="2"/>
  <c r="NU127" i="2"/>
  <c r="NL127" i="2"/>
  <c r="NK127" i="2"/>
  <c r="NB127" i="2"/>
  <c r="NA127" i="2"/>
  <c r="MR127" i="2"/>
  <c r="MQ127" i="2"/>
  <c r="MH127" i="2"/>
  <c r="MG127" i="2"/>
  <c r="LX127" i="2"/>
  <c r="LW127" i="2"/>
  <c r="LN127" i="2"/>
  <c r="LM127" i="2"/>
  <c r="LD127" i="2"/>
  <c r="LC127" i="2"/>
  <c r="KT127" i="2"/>
  <c r="KS127" i="2"/>
  <c r="KJ127" i="2"/>
  <c r="KI127" i="2"/>
  <c r="JZ127" i="2"/>
  <c r="JY127" i="2"/>
  <c r="JP127" i="2"/>
  <c r="JO127" i="2"/>
  <c r="EB127" i="2"/>
  <c r="DU127" i="2"/>
  <c r="DN127" i="2"/>
  <c r="DG127" i="2"/>
  <c r="BM127" i="2"/>
  <c r="BL127" i="2"/>
  <c r="AFN126" i="2"/>
  <c r="RU126" i="2"/>
  <c r="QY126" i="2"/>
  <c r="QX126" i="2"/>
  <c r="QN126" i="2"/>
  <c r="QM126" i="2"/>
  <c r="QD126" i="2"/>
  <c r="QC126" i="2"/>
  <c r="PT126" i="2"/>
  <c r="PS126" i="2"/>
  <c r="PJ126" i="2"/>
  <c r="PK124" i="2" s="1"/>
  <c r="PI126" i="2"/>
  <c r="OZ126" i="2"/>
  <c r="PA124" i="2" s="1"/>
  <c r="OY126" i="2"/>
  <c r="OP126" i="2"/>
  <c r="OO126" i="2"/>
  <c r="OF126" i="2"/>
  <c r="OE126" i="2"/>
  <c r="NV126" i="2"/>
  <c r="NU126" i="2"/>
  <c r="NL126" i="2"/>
  <c r="NK126" i="2"/>
  <c r="NB126" i="2"/>
  <c r="NA126" i="2"/>
  <c r="MR126" i="2"/>
  <c r="MQ126" i="2"/>
  <c r="MH126" i="2"/>
  <c r="MG126" i="2"/>
  <c r="LX126" i="2"/>
  <c r="LW126" i="2"/>
  <c r="LN126" i="2"/>
  <c r="LM126" i="2"/>
  <c r="LD126" i="2"/>
  <c r="LC126" i="2"/>
  <c r="KT126" i="2"/>
  <c r="KS126" i="2"/>
  <c r="KJ126" i="2"/>
  <c r="KI126" i="2"/>
  <c r="JZ126" i="2"/>
  <c r="JY126" i="2"/>
  <c r="JP126" i="2"/>
  <c r="JO126" i="2"/>
  <c r="EB126" i="2"/>
  <c r="DU126" i="2"/>
  <c r="DN126" i="2"/>
  <c r="DG126" i="2"/>
  <c r="BM126" i="2"/>
  <c r="BL126" i="2"/>
  <c r="AFN125" i="2"/>
  <c r="RU125" i="2"/>
  <c r="QY125" i="2"/>
  <c r="QX125" i="2"/>
  <c r="QN125" i="2"/>
  <c r="QM125" i="2"/>
  <c r="QD125" i="2"/>
  <c r="QC125" i="2"/>
  <c r="PT125" i="2"/>
  <c r="PS125" i="2"/>
  <c r="PJ125" i="2"/>
  <c r="PK123" i="2" s="1"/>
  <c r="PI125" i="2"/>
  <c r="OZ125" i="2"/>
  <c r="PA123" i="2" s="1"/>
  <c r="OY125" i="2"/>
  <c r="OP125" i="2"/>
  <c r="OO125" i="2"/>
  <c r="OF125" i="2"/>
  <c r="OE125" i="2"/>
  <c r="NV125" i="2"/>
  <c r="NU125" i="2"/>
  <c r="NL125" i="2"/>
  <c r="NK125" i="2"/>
  <c r="NB125" i="2"/>
  <c r="NA125" i="2"/>
  <c r="MR125" i="2"/>
  <c r="MQ125" i="2"/>
  <c r="MH125" i="2"/>
  <c r="MG125" i="2"/>
  <c r="LX125" i="2"/>
  <c r="LW125" i="2"/>
  <c r="LN125" i="2"/>
  <c r="LM125" i="2"/>
  <c r="LD125" i="2"/>
  <c r="LC125" i="2"/>
  <c r="KT125" i="2"/>
  <c r="KS125" i="2"/>
  <c r="KJ125" i="2"/>
  <c r="KI125" i="2"/>
  <c r="JZ125" i="2"/>
  <c r="JY125" i="2"/>
  <c r="JP125" i="2"/>
  <c r="JO125" i="2"/>
  <c r="EB125" i="2"/>
  <c r="DU125" i="2"/>
  <c r="DN125" i="2"/>
  <c r="DG125" i="2"/>
  <c r="CR125" i="2"/>
  <c r="CB125" i="2"/>
  <c r="BM125" i="2"/>
  <c r="BL125" i="2"/>
  <c r="AFN124" i="2"/>
  <c r="RU124" i="2"/>
  <c r="QY124" i="2"/>
  <c r="QX124" i="2"/>
  <c r="QN124" i="2"/>
  <c r="QM124" i="2"/>
  <c r="QD124" i="2"/>
  <c r="QC124" i="2"/>
  <c r="PT124" i="2"/>
  <c r="PS124" i="2"/>
  <c r="PJ124" i="2"/>
  <c r="PK122" i="2" s="1"/>
  <c r="PI124" i="2"/>
  <c r="OZ124" i="2"/>
  <c r="PA122" i="2" s="1"/>
  <c r="OY124" i="2"/>
  <c r="OP124" i="2"/>
  <c r="OO124" i="2"/>
  <c r="OF124" i="2"/>
  <c r="OE124" i="2"/>
  <c r="NV124" i="2"/>
  <c r="NU124" i="2"/>
  <c r="NL124" i="2"/>
  <c r="NK124" i="2"/>
  <c r="NB124" i="2"/>
  <c r="NA124" i="2"/>
  <c r="MR124" i="2"/>
  <c r="MQ124" i="2"/>
  <c r="MH124" i="2"/>
  <c r="MG124" i="2"/>
  <c r="LX124" i="2"/>
  <c r="LW124" i="2"/>
  <c r="LN124" i="2"/>
  <c r="LM124" i="2"/>
  <c r="LD124" i="2"/>
  <c r="LC124" i="2"/>
  <c r="KT124" i="2"/>
  <c r="KS124" i="2"/>
  <c r="KJ124" i="2"/>
  <c r="KI124" i="2"/>
  <c r="JZ124" i="2"/>
  <c r="JY124" i="2"/>
  <c r="JP124" i="2"/>
  <c r="JO124" i="2"/>
  <c r="EB124" i="2"/>
  <c r="DU124" i="2"/>
  <c r="DN124" i="2"/>
  <c r="DG124" i="2"/>
  <c r="CR124" i="2"/>
  <c r="CB124" i="2"/>
  <c r="BM124" i="2"/>
  <c r="BL124" i="2"/>
  <c r="AFN123" i="2"/>
  <c r="RU123" i="2"/>
  <c r="QY123" i="2"/>
  <c r="QX123" i="2"/>
  <c r="QN123" i="2"/>
  <c r="QM123" i="2"/>
  <c r="QD123" i="2"/>
  <c r="QC123" i="2"/>
  <c r="PT123" i="2"/>
  <c r="PS123" i="2"/>
  <c r="PJ123" i="2"/>
  <c r="PK121" i="2" s="1"/>
  <c r="PI123" i="2"/>
  <c r="OZ123" i="2"/>
  <c r="PA121" i="2" s="1"/>
  <c r="OY123" i="2"/>
  <c r="OP123" i="2"/>
  <c r="OO123" i="2"/>
  <c r="OF123" i="2"/>
  <c r="OE123" i="2"/>
  <c r="NV123" i="2"/>
  <c r="NU123" i="2"/>
  <c r="NL123" i="2"/>
  <c r="NK123" i="2"/>
  <c r="NB123" i="2"/>
  <c r="NA123" i="2"/>
  <c r="MR123" i="2"/>
  <c r="MQ123" i="2"/>
  <c r="MH123" i="2"/>
  <c r="MG123" i="2"/>
  <c r="LX123" i="2"/>
  <c r="LW123" i="2"/>
  <c r="LN123" i="2"/>
  <c r="LM123" i="2"/>
  <c r="LD123" i="2"/>
  <c r="LC123" i="2"/>
  <c r="KT123" i="2"/>
  <c r="KS123" i="2"/>
  <c r="KJ123" i="2"/>
  <c r="KI123" i="2"/>
  <c r="JZ123" i="2"/>
  <c r="JY123" i="2"/>
  <c r="JP123" i="2"/>
  <c r="JO123" i="2"/>
  <c r="JF123" i="2"/>
  <c r="JE123" i="2"/>
  <c r="EB123" i="2"/>
  <c r="DU123" i="2"/>
  <c r="DN123" i="2"/>
  <c r="DG123" i="2"/>
  <c r="CR123" i="2"/>
  <c r="CB123" i="2"/>
  <c r="BM123" i="2"/>
  <c r="BL123" i="2"/>
  <c r="AFN122" i="2"/>
  <c r="ADW122" i="2"/>
  <c r="RU122" i="2"/>
  <c r="QY122" i="2"/>
  <c r="QX122" i="2"/>
  <c r="QN122" i="2"/>
  <c r="QM122" i="2"/>
  <c r="QD122" i="2"/>
  <c r="QC122" i="2"/>
  <c r="PT122" i="2"/>
  <c r="PS122" i="2"/>
  <c r="PJ122" i="2"/>
  <c r="PK120" i="2" s="1"/>
  <c r="PI122" i="2"/>
  <c r="OZ122" i="2"/>
  <c r="OY122" i="2"/>
  <c r="OP122" i="2"/>
  <c r="OO122" i="2"/>
  <c r="OF122" i="2"/>
  <c r="OE122" i="2"/>
  <c r="NV122" i="2"/>
  <c r="NU122" i="2"/>
  <c r="NL122" i="2"/>
  <c r="NK122" i="2"/>
  <c r="NB122" i="2"/>
  <c r="NA122" i="2"/>
  <c r="MR122" i="2"/>
  <c r="MQ122" i="2"/>
  <c r="MH122" i="2"/>
  <c r="MG122" i="2"/>
  <c r="LX122" i="2"/>
  <c r="LW122" i="2"/>
  <c r="LN122" i="2"/>
  <c r="LM122" i="2"/>
  <c r="LD122" i="2"/>
  <c r="LC122" i="2"/>
  <c r="KT122" i="2"/>
  <c r="KS122" i="2"/>
  <c r="KJ122" i="2"/>
  <c r="KI122" i="2"/>
  <c r="JZ122" i="2"/>
  <c r="JY122" i="2"/>
  <c r="JP122" i="2"/>
  <c r="JO122" i="2"/>
  <c r="JF122" i="2"/>
  <c r="JE122" i="2"/>
  <c r="FH122" i="2"/>
  <c r="EZ122" i="2"/>
  <c r="ER122" i="2"/>
  <c r="EJ122" i="2"/>
  <c r="EB122" i="2"/>
  <c r="DU122" i="2"/>
  <c r="DN122" i="2"/>
  <c r="DG122" i="2"/>
  <c r="CR122" i="2"/>
  <c r="CB122" i="2"/>
  <c r="BM122" i="2"/>
  <c r="BL122" i="2"/>
  <c r="AFN121" i="2"/>
  <c r="RU121" i="2"/>
  <c r="QN121" i="2"/>
  <c r="QM121" i="2"/>
  <c r="QD121" i="2"/>
  <c r="QC121" i="2"/>
  <c r="PT121" i="2"/>
  <c r="PS121" i="2"/>
  <c r="PJ121" i="2"/>
  <c r="PK119" i="2" s="1"/>
  <c r="PI121" i="2"/>
  <c r="OZ121" i="2"/>
  <c r="PA119" i="2" s="1"/>
  <c r="OY121" i="2"/>
  <c r="OP121" i="2"/>
  <c r="OO121" i="2"/>
  <c r="OF121" i="2"/>
  <c r="OE121" i="2"/>
  <c r="NV121" i="2"/>
  <c r="NU121" i="2"/>
  <c r="NL121" i="2"/>
  <c r="NK121" i="2"/>
  <c r="NB121" i="2"/>
  <c r="NA121" i="2"/>
  <c r="MR121" i="2"/>
  <c r="MQ121" i="2"/>
  <c r="MH121" i="2"/>
  <c r="MG121" i="2"/>
  <c r="LX121" i="2"/>
  <c r="LW121" i="2"/>
  <c r="LN121" i="2"/>
  <c r="LM121" i="2"/>
  <c r="LD121" i="2"/>
  <c r="LC121" i="2"/>
  <c r="KT121" i="2"/>
  <c r="KS121" i="2"/>
  <c r="KJ121" i="2"/>
  <c r="KI121" i="2"/>
  <c r="JZ121" i="2"/>
  <c r="JY121" i="2"/>
  <c r="JP121" i="2"/>
  <c r="JO121" i="2"/>
  <c r="JF121" i="2"/>
  <c r="JE121" i="2"/>
  <c r="FH121" i="2"/>
  <c r="EZ121" i="2"/>
  <c r="ER121" i="2"/>
  <c r="EJ121" i="2"/>
  <c r="EB121" i="2"/>
  <c r="DU121" i="2"/>
  <c r="DN121" i="2"/>
  <c r="DG121" i="2"/>
  <c r="CR121" i="2"/>
  <c r="CB121" i="2"/>
  <c r="BM121" i="2"/>
  <c r="BL121" i="2"/>
  <c r="AFN120" i="2"/>
  <c r="RU120" i="2"/>
  <c r="QN120" i="2"/>
  <c r="QM120" i="2"/>
  <c r="QD120" i="2"/>
  <c r="QC120" i="2"/>
  <c r="PT120" i="2"/>
  <c r="PS120" i="2"/>
  <c r="PJ120" i="2"/>
  <c r="PK118" i="2" s="1"/>
  <c r="PI120" i="2"/>
  <c r="PA120" i="2"/>
  <c r="OZ120" i="2"/>
  <c r="PA118" i="2" s="1"/>
  <c r="OY120" i="2"/>
  <c r="OP120" i="2"/>
  <c r="OO120" i="2"/>
  <c r="OF120" i="2"/>
  <c r="OE120" i="2"/>
  <c r="NV120" i="2"/>
  <c r="NU120" i="2"/>
  <c r="NL120" i="2"/>
  <c r="NK120" i="2"/>
  <c r="NB120" i="2"/>
  <c r="NA120" i="2"/>
  <c r="MR120" i="2"/>
  <c r="MQ120" i="2"/>
  <c r="MH120" i="2"/>
  <c r="MG120" i="2"/>
  <c r="LX120" i="2"/>
  <c r="LW120" i="2"/>
  <c r="LN120" i="2"/>
  <c r="LM120" i="2"/>
  <c r="LD120" i="2"/>
  <c r="LC120" i="2"/>
  <c r="KT120" i="2"/>
  <c r="KS120" i="2"/>
  <c r="KJ120" i="2"/>
  <c r="KI120" i="2"/>
  <c r="JZ120" i="2"/>
  <c r="JY120" i="2"/>
  <c r="JP120" i="2"/>
  <c r="JO120" i="2"/>
  <c r="JF120" i="2"/>
  <c r="JE120" i="2"/>
  <c r="FH120" i="2"/>
  <c r="EZ120" i="2"/>
  <c r="ER120" i="2"/>
  <c r="EJ120" i="2"/>
  <c r="EB120" i="2"/>
  <c r="DU120" i="2"/>
  <c r="DN120" i="2"/>
  <c r="DG120" i="2"/>
  <c r="CR120" i="2"/>
  <c r="CB120" i="2"/>
  <c r="BM120" i="2"/>
  <c r="BL120" i="2"/>
  <c r="AFN119" i="2"/>
  <c r="RU119" i="2"/>
  <c r="QN119" i="2"/>
  <c r="QM119" i="2"/>
  <c r="QD119" i="2"/>
  <c r="QC119" i="2"/>
  <c r="PT119" i="2"/>
  <c r="PS119" i="2"/>
  <c r="PJ119" i="2"/>
  <c r="PK117" i="2" s="1"/>
  <c r="PI119" i="2"/>
  <c r="OZ119" i="2"/>
  <c r="PA117" i="2" s="1"/>
  <c r="OY119" i="2"/>
  <c r="OP119" i="2"/>
  <c r="OO119" i="2"/>
  <c r="OF119" i="2"/>
  <c r="OE119" i="2"/>
  <c r="NV119" i="2"/>
  <c r="NU119" i="2"/>
  <c r="NL119" i="2"/>
  <c r="NK119" i="2"/>
  <c r="NB119" i="2"/>
  <c r="NA119" i="2"/>
  <c r="MR119" i="2"/>
  <c r="MQ119" i="2"/>
  <c r="MH119" i="2"/>
  <c r="MG119" i="2"/>
  <c r="LX119" i="2"/>
  <c r="LW119" i="2"/>
  <c r="LN119" i="2"/>
  <c r="LM119" i="2"/>
  <c r="LD119" i="2"/>
  <c r="LC119" i="2"/>
  <c r="KT119" i="2"/>
  <c r="KS119" i="2"/>
  <c r="KJ119" i="2"/>
  <c r="KI119" i="2"/>
  <c r="JZ119" i="2"/>
  <c r="JY119" i="2"/>
  <c r="JP119" i="2"/>
  <c r="JO119" i="2"/>
  <c r="JF119" i="2"/>
  <c r="JE119" i="2"/>
  <c r="FH119" i="2"/>
  <c r="EZ119" i="2"/>
  <c r="ER119" i="2"/>
  <c r="EJ119" i="2"/>
  <c r="EB119" i="2"/>
  <c r="DU119" i="2"/>
  <c r="DN119" i="2"/>
  <c r="DG119" i="2"/>
  <c r="CR119" i="2"/>
  <c r="CB119" i="2"/>
  <c r="BM119" i="2"/>
  <c r="BL119" i="2"/>
  <c r="AFN118" i="2"/>
  <c r="RU118" i="2"/>
  <c r="QN118" i="2"/>
  <c r="QM118" i="2"/>
  <c r="QD118" i="2"/>
  <c r="QC118" i="2"/>
  <c r="PT118" i="2"/>
  <c r="PS118" i="2"/>
  <c r="PJ118" i="2"/>
  <c r="PK116" i="2" s="1"/>
  <c r="PI118" i="2"/>
  <c r="OZ118" i="2"/>
  <c r="PA116" i="2" s="1"/>
  <c r="OY118" i="2"/>
  <c r="OP118" i="2"/>
  <c r="OO118" i="2"/>
  <c r="OF118" i="2"/>
  <c r="OE118" i="2"/>
  <c r="NV118" i="2"/>
  <c r="NU118" i="2"/>
  <c r="NL118" i="2"/>
  <c r="NK118" i="2"/>
  <c r="NB118" i="2"/>
  <c r="NA118" i="2"/>
  <c r="MR118" i="2"/>
  <c r="MQ118" i="2"/>
  <c r="MH118" i="2"/>
  <c r="MG118" i="2"/>
  <c r="LX118" i="2"/>
  <c r="LW118" i="2"/>
  <c r="LN118" i="2"/>
  <c r="LM118" i="2"/>
  <c r="LD118" i="2"/>
  <c r="LC118" i="2"/>
  <c r="KT118" i="2"/>
  <c r="KS118" i="2"/>
  <c r="KJ118" i="2"/>
  <c r="KI118" i="2"/>
  <c r="JZ118" i="2"/>
  <c r="JY118" i="2"/>
  <c r="JP118" i="2"/>
  <c r="JO118" i="2"/>
  <c r="JF118" i="2"/>
  <c r="JE118" i="2"/>
  <c r="FH118" i="2"/>
  <c r="EZ118" i="2"/>
  <c r="ER118" i="2"/>
  <c r="EJ118" i="2"/>
  <c r="EB118" i="2"/>
  <c r="DU118" i="2"/>
  <c r="DN118" i="2"/>
  <c r="DG118" i="2"/>
  <c r="CR118" i="2"/>
  <c r="CB118" i="2"/>
  <c r="BM118" i="2"/>
  <c r="BL118" i="2"/>
  <c r="AFN117" i="2"/>
  <c r="RU117" i="2"/>
  <c r="QN117" i="2"/>
  <c r="QM117" i="2"/>
  <c r="QD117" i="2"/>
  <c r="QC117" i="2"/>
  <c r="PT117" i="2"/>
  <c r="PS117" i="2"/>
  <c r="PJ117" i="2"/>
  <c r="PK115" i="2" s="1"/>
  <c r="PI117" i="2"/>
  <c r="OZ117" i="2"/>
  <c r="PA115" i="2" s="1"/>
  <c r="OY117" i="2"/>
  <c r="OP117" i="2"/>
  <c r="OO117" i="2"/>
  <c r="OF117" i="2"/>
  <c r="OE117" i="2"/>
  <c r="NV117" i="2"/>
  <c r="NU117" i="2"/>
  <c r="NL117" i="2"/>
  <c r="NK117" i="2"/>
  <c r="NB117" i="2"/>
  <c r="NA117" i="2"/>
  <c r="MR117" i="2"/>
  <c r="MQ117" i="2"/>
  <c r="MH117" i="2"/>
  <c r="MG117" i="2"/>
  <c r="LX117" i="2"/>
  <c r="LW117" i="2"/>
  <c r="LN117" i="2"/>
  <c r="LM117" i="2"/>
  <c r="LD117" i="2"/>
  <c r="LC117" i="2"/>
  <c r="KT117" i="2"/>
  <c r="KS117" i="2"/>
  <c r="KJ117" i="2"/>
  <c r="KI117" i="2"/>
  <c r="JZ117" i="2"/>
  <c r="JY117" i="2"/>
  <c r="JP117" i="2"/>
  <c r="JO117" i="2"/>
  <c r="JF117" i="2"/>
  <c r="JE117" i="2"/>
  <c r="FH117" i="2"/>
  <c r="EZ117" i="2"/>
  <c r="ER117" i="2"/>
  <c r="EJ117" i="2"/>
  <c r="EB117" i="2"/>
  <c r="DU117" i="2"/>
  <c r="DN117" i="2"/>
  <c r="DG117" i="2"/>
  <c r="CR117" i="2"/>
  <c r="CB117" i="2"/>
  <c r="BM117" i="2"/>
  <c r="BL117" i="2"/>
  <c r="AFN116" i="2"/>
  <c r="ADP116" i="2"/>
  <c r="RU116" i="2"/>
  <c r="QN116" i="2"/>
  <c r="QM116" i="2"/>
  <c r="QD116" i="2"/>
  <c r="QC116" i="2"/>
  <c r="PT116" i="2"/>
  <c r="PS116" i="2"/>
  <c r="PJ116" i="2"/>
  <c r="PK114" i="2" s="1"/>
  <c r="PI116" i="2"/>
  <c r="OZ116" i="2"/>
  <c r="PA114" i="2" s="1"/>
  <c r="OY116" i="2"/>
  <c r="OP116" i="2"/>
  <c r="OO116" i="2"/>
  <c r="OF116" i="2"/>
  <c r="OE116" i="2"/>
  <c r="NV116" i="2"/>
  <c r="NU116" i="2"/>
  <c r="NL116" i="2"/>
  <c r="NK116" i="2"/>
  <c r="NB116" i="2"/>
  <c r="NA116" i="2"/>
  <c r="MR116" i="2"/>
  <c r="MQ116" i="2"/>
  <c r="MH116" i="2"/>
  <c r="MG116" i="2"/>
  <c r="LX116" i="2"/>
  <c r="LW116" i="2"/>
  <c r="LN116" i="2"/>
  <c r="LM116" i="2"/>
  <c r="LD116" i="2"/>
  <c r="LC116" i="2"/>
  <c r="KT116" i="2"/>
  <c r="KS116" i="2"/>
  <c r="KJ116" i="2"/>
  <c r="KI116" i="2"/>
  <c r="JZ116" i="2"/>
  <c r="JY116" i="2"/>
  <c r="JP116" i="2"/>
  <c r="JO116" i="2"/>
  <c r="JF116" i="2"/>
  <c r="JE116" i="2"/>
  <c r="FH116" i="2"/>
  <c r="EZ116" i="2"/>
  <c r="ER116" i="2"/>
  <c r="EJ116" i="2"/>
  <c r="EB116" i="2"/>
  <c r="DU116" i="2"/>
  <c r="DN116" i="2"/>
  <c r="DG116" i="2"/>
  <c r="CR116" i="2"/>
  <c r="CB116" i="2"/>
  <c r="BM116" i="2"/>
  <c r="BL116" i="2"/>
  <c r="AFN115" i="2"/>
  <c r="RU115" i="2"/>
  <c r="QN115" i="2"/>
  <c r="QM115" i="2"/>
  <c r="QD115" i="2"/>
  <c r="QC115" i="2"/>
  <c r="PT115" i="2"/>
  <c r="PS115" i="2"/>
  <c r="PJ115" i="2"/>
  <c r="PK113" i="2" s="1"/>
  <c r="PI115" i="2"/>
  <c r="OZ115" i="2"/>
  <c r="PA113" i="2" s="1"/>
  <c r="OY115" i="2"/>
  <c r="OP115" i="2"/>
  <c r="OO115" i="2"/>
  <c r="OF115" i="2"/>
  <c r="OE115" i="2"/>
  <c r="NV115" i="2"/>
  <c r="NU115" i="2"/>
  <c r="NL115" i="2"/>
  <c r="NK115" i="2"/>
  <c r="NB115" i="2"/>
  <c r="NA115" i="2"/>
  <c r="MR115" i="2"/>
  <c r="MQ115" i="2"/>
  <c r="MH115" i="2"/>
  <c r="MG115" i="2"/>
  <c r="LX115" i="2"/>
  <c r="LW115" i="2"/>
  <c r="LN115" i="2"/>
  <c r="LM115" i="2"/>
  <c r="LD115" i="2"/>
  <c r="LC115" i="2"/>
  <c r="KT115" i="2"/>
  <c r="KS115" i="2"/>
  <c r="KJ115" i="2"/>
  <c r="KI115" i="2"/>
  <c r="JZ115" i="2"/>
  <c r="JY115" i="2"/>
  <c r="JP115" i="2"/>
  <c r="JO115" i="2"/>
  <c r="JF115" i="2"/>
  <c r="JE115" i="2"/>
  <c r="FH115" i="2"/>
  <c r="EZ115" i="2"/>
  <c r="ER115" i="2"/>
  <c r="EJ115" i="2"/>
  <c r="EB115" i="2"/>
  <c r="DU115" i="2"/>
  <c r="DN115" i="2"/>
  <c r="DG115" i="2"/>
  <c r="CR115" i="2"/>
  <c r="CB115" i="2"/>
  <c r="BM115" i="2"/>
  <c r="BL115" i="2"/>
  <c r="AFN114" i="2"/>
  <c r="AES114" i="2"/>
  <c r="RU114" i="2"/>
  <c r="QN114" i="2"/>
  <c r="QM114" i="2"/>
  <c r="QD114" i="2"/>
  <c r="QC114" i="2"/>
  <c r="PT114" i="2"/>
  <c r="PS114" i="2"/>
  <c r="PJ114" i="2"/>
  <c r="PK112" i="2" s="1"/>
  <c r="PI114" i="2"/>
  <c r="OZ114" i="2"/>
  <c r="PA112" i="2" s="1"/>
  <c r="OY114" i="2"/>
  <c r="OP114" i="2"/>
  <c r="OO114" i="2"/>
  <c r="OF114" i="2"/>
  <c r="OE114" i="2"/>
  <c r="NV114" i="2"/>
  <c r="NU114" i="2"/>
  <c r="NL114" i="2"/>
  <c r="NK114" i="2"/>
  <c r="NB114" i="2"/>
  <c r="NA114" i="2"/>
  <c r="MR114" i="2"/>
  <c r="MQ114" i="2"/>
  <c r="MH114" i="2"/>
  <c r="MG114" i="2"/>
  <c r="LX114" i="2"/>
  <c r="LW114" i="2"/>
  <c r="LN114" i="2"/>
  <c r="LM114" i="2"/>
  <c r="LD114" i="2"/>
  <c r="LC114" i="2"/>
  <c r="KT114" i="2"/>
  <c r="KS114" i="2"/>
  <c r="KJ114" i="2"/>
  <c r="KI114" i="2"/>
  <c r="JZ114" i="2"/>
  <c r="JY114" i="2"/>
  <c r="JP114" i="2"/>
  <c r="JO114" i="2"/>
  <c r="JF114" i="2"/>
  <c r="JE114" i="2"/>
  <c r="FH114" i="2"/>
  <c r="EZ114" i="2"/>
  <c r="ER114" i="2"/>
  <c r="EJ114" i="2"/>
  <c r="EB114" i="2"/>
  <c r="DU114" i="2"/>
  <c r="DN114" i="2"/>
  <c r="DG114" i="2"/>
  <c r="CR114" i="2"/>
  <c r="CB114" i="2"/>
  <c r="BM114" i="2"/>
  <c r="BL114" i="2"/>
  <c r="AFN113" i="2"/>
  <c r="AES113" i="2"/>
  <c r="RU113" i="2"/>
  <c r="QN113" i="2"/>
  <c r="QM113" i="2"/>
  <c r="QD113" i="2"/>
  <c r="QC113" i="2"/>
  <c r="PT113" i="2"/>
  <c r="PS113" i="2"/>
  <c r="PJ113" i="2"/>
  <c r="PK111" i="2" s="1"/>
  <c r="PI113" i="2"/>
  <c r="OZ113" i="2"/>
  <c r="PA111" i="2" s="1"/>
  <c r="OY113" i="2"/>
  <c r="OP113" i="2"/>
  <c r="OO113" i="2"/>
  <c r="OF113" i="2"/>
  <c r="OE113" i="2"/>
  <c r="NV113" i="2"/>
  <c r="NU113" i="2"/>
  <c r="NL113" i="2"/>
  <c r="NK113" i="2"/>
  <c r="NB113" i="2"/>
  <c r="NA113" i="2"/>
  <c r="MR113" i="2"/>
  <c r="MQ113" i="2"/>
  <c r="MH113" i="2"/>
  <c r="MG113" i="2"/>
  <c r="LX113" i="2"/>
  <c r="LW113" i="2"/>
  <c r="LN113" i="2"/>
  <c r="LM113" i="2"/>
  <c r="LD113" i="2"/>
  <c r="LC113" i="2"/>
  <c r="KT113" i="2"/>
  <c r="KS113" i="2"/>
  <c r="KJ113" i="2"/>
  <c r="KI113" i="2"/>
  <c r="JZ113" i="2"/>
  <c r="JY113" i="2"/>
  <c r="JP113" i="2"/>
  <c r="JO113" i="2"/>
  <c r="JF113" i="2"/>
  <c r="JE113" i="2"/>
  <c r="FH113" i="2"/>
  <c r="EZ113" i="2"/>
  <c r="ER113" i="2"/>
  <c r="EJ113" i="2"/>
  <c r="EB113" i="2"/>
  <c r="DU113" i="2"/>
  <c r="DN113" i="2"/>
  <c r="DG113" i="2"/>
  <c r="CR113" i="2"/>
  <c r="CB113" i="2"/>
  <c r="BM113" i="2"/>
  <c r="BL113" i="2"/>
  <c r="AFN112" i="2"/>
  <c r="AES112" i="2"/>
  <c r="RU112" i="2"/>
  <c r="QN112" i="2"/>
  <c r="QM112" i="2"/>
  <c r="QD112" i="2"/>
  <c r="QC112" i="2"/>
  <c r="PT112" i="2"/>
  <c r="PS112" i="2"/>
  <c r="PJ112" i="2"/>
  <c r="PK110" i="2" s="1"/>
  <c r="PI112" i="2"/>
  <c r="OZ112" i="2"/>
  <c r="PA110" i="2" s="1"/>
  <c r="OY112" i="2"/>
  <c r="OP112" i="2"/>
  <c r="OO112" i="2"/>
  <c r="OF112" i="2"/>
  <c r="OE112" i="2"/>
  <c r="NV112" i="2"/>
  <c r="NU112" i="2"/>
  <c r="NL112" i="2"/>
  <c r="NK112" i="2"/>
  <c r="NB112" i="2"/>
  <c r="NA112" i="2"/>
  <c r="MR112" i="2"/>
  <c r="MQ112" i="2"/>
  <c r="MH112" i="2"/>
  <c r="MG112" i="2"/>
  <c r="LX112" i="2"/>
  <c r="LW112" i="2"/>
  <c r="LN112" i="2"/>
  <c r="LM112" i="2"/>
  <c r="LD112" i="2"/>
  <c r="LC112" i="2"/>
  <c r="KT112" i="2"/>
  <c r="KS112" i="2"/>
  <c r="KJ112" i="2"/>
  <c r="KI112" i="2"/>
  <c r="JZ112" i="2"/>
  <c r="JY112" i="2"/>
  <c r="JP112" i="2"/>
  <c r="JO112" i="2"/>
  <c r="JF112" i="2"/>
  <c r="JE112" i="2"/>
  <c r="IM112" i="2"/>
  <c r="IL112" i="2"/>
  <c r="IK112" i="2"/>
  <c r="IC112" i="2"/>
  <c r="IB112" i="2"/>
  <c r="IA112" i="2"/>
  <c r="HS112" i="2"/>
  <c r="HR112" i="2"/>
  <c r="HQ112" i="2"/>
  <c r="HI112" i="2"/>
  <c r="HH112" i="2"/>
  <c r="HG112" i="2"/>
  <c r="GY112" i="2"/>
  <c r="GX112" i="2"/>
  <c r="GW112" i="2"/>
  <c r="FH112" i="2"/>
  <c r="EZ112" i="2"/>
  <c r="ER112" i="2"/>
  <c r="EJ112" i="2"/>
  <c r="EB112" i="2"/>
  <c r="DU112" i="2"/>
  <c r="DN112" i="2"/>
  <c r="DG112" i="2"/>
  <c r="CR112" i="2"/>
  <c r="CB112" i="2"/>
  <c r="BM112" i="2"/>
  <c r="BL112" i="2"/>
  <c r="AFN111" i="2"/>
  <c r="AES111" i="2"/>
  <c r="RU111" i="2"/>
  <c r="QN111" i="2"/>
  <c r="QM111" i="2"/>
  <c r="QD111" i="2"/>
  <c r="QC111" i="2"/>
  <c r="PT111" i="2"/>
  <c r="PS111" i="2"/>
  <c r="PJ111" i="2"/>
  <c r="PK109" i="2" s="1"/>
  <c r="PI111" i="2"/>
  <c r="OZ111" i="2"/>
  <c r="PA109" i="2" s="1"/>
  <c r="OY111" i="2"/>
  <c r="OP111" i="2"/>
  <c r="OO111" i="2"/>
  <c r="OF111" i="2"/>
  <c r="OE111" i="2"/>
  <c r="NV111" i="2"/>
  <c r="NU111" i="2"/>
  <c r="NL111" i="2"/>
  <c r="NK111" i="2"/>
  <c r="NB111" i="2"/>
  <c r="NA111" i="2"/>
  <c r="MR111" i="2"/>
  <c r="MQ111" i="2"/>
  <c r="MH111" i="2"/>
  <c r="MG111" i="2"/>
  <c r="LX111" i="2"/>
  <c r="LW111" i="2"/>
  <c r="LN111" i="2"/>
  <c r="LM111" i="2"/>
  <c r="LD111" i="2"/>
  <c r="LC111" i="2"/>
  <c r="KT111" i="2"/>
  <c r="KS111" i="2"/>
  <c r="KJ111" i="2"/>
  <c r="KI111" i="2"/>
  <c r="JZ111" i="2"/>
  <c r="JY111" i="2"/>
  <c r="JP111" i="2"/>
  <c r="JO111" i="2"/>
  <c r="JF111" i="2"/>
  <c r="JE111" i="2"/>
  <c r="IM111" i="2"/>
  <c r="IL111" i="2"/>
  <c r="IK111" i="2"/>
  <c r="IC111" i="2"/>
  <c r="IB111" i="2"/>
  <c r="IA111" i="2"/>
  <c r="HS111" i="2"/>
  <c r="HR111" i="2"/>
  <c r="HQ111" i="2"/>
  <c r="HI111" i="2"/>
  <c r="HH111" i="2"/>
  <c r="HG111" i="2"/>
  <c r="GY111" i="2"/>
  <c r="GX111" i="2"/>
  <c r="GW111" i="2"/>
  <c r="FH111" i="2"/>
  <c r="EZ111" i="2"/>
  <c r="ER111" i="2"/>
  <c r="EJ111" i="2"/>
  <c r="EB111" i="2"/>
  <c r="DU111" i="2"/>
  <c r="DN111" i="2"/>
  <c r="DG111" i="2"/>
  <c r="CR111" i="2"/>
  <c r="CB111" i="2"/>
  <c r="BM111" i="2"/>
  <c r="BL111" i="2"/>
  <c r="AFN110" i="2"/>
  <c r="AES110" i="2"/>
  <c r="RU110" i="2"/>
  <c r="QN110" i="2"/>
  <c r="QM110" i="2"/>
  <c r="QD110" i="2"/>
  <c r="QC110" i="2"/>
  <c r="PT110" i="2"/>
  <c r="PS110" i="2"/>
  <c r="PJ110" i="2"/>
  <c r="PK108" i="2" s="1"/>
  <c r="PI110" i="2"/>
  <c r="OZ110" i="2"/>
  <c r="PA108" i="2" s="1"/>
  <c r="OY110" i="2"/>
  <c r="OP110" i="2"/>
  <c r="OO110" i="2"/>
  <c r="OF110" i="2"/>
  <c r="OE110" i="2"/>
  <c r="NV110" i="2"/>
  <c r="NU110" i="2"/>
  <c r="NL110" i="2"/>
  <c r="NK110" i="2"/>
  <c r="NB110" i="2"/>
  <c r="NA110" i="2"/>
  <c r="MR110" i="2"/>
  <c r="MQ110" i="2"/>
  <c r="MH110" i="2"/>
  <c r="MG110" i="2"/>
  <c r="LX110" i="2"/>
  <c r="LW110" i="2"/>
  <c r="LN110" i="2"/>
  <c r="LM110" i="2"/>
  <c r="LD110" i="2"/>
  <c r="LC110" i="2"/>
  <c r="KT110" i="2"/>
  <c r="KS110" i="2"/>
  <c r="KJ110" i="2"/>
  <c r="KI110" i="2"/>
  <c r="JZ110" i="2"/>
  <c r="JY110" i="2"/>
  <c r="JP110" i="2"/>
  <c r="JO110" i="2"/>
  <c r="JF110" i="2"/>
  <c r="JE110" i="2"/>
  <c r="IM110" i="2"/>
  <c r="IL110" i="2"/>
  <c r="IK110" i="2"/>
  <c r="IC110" i="2"/>
  <c r="IB110" i="2"/>
  <c r="IA110" i="2"/>
  <c r="HS110" i="2"/>
  <c r="HR110" i="2"/>
  <c r="HQ110" i="2"/>
  <c r="HI110" i="2"/>
  <c r="HH110" i="2"/>
  <c r="HG110" i="2"/>
  <c r="GY110" i="2"/>
  <c r="GX110" i="2"/>
  <c r="GW110" i="2"/>
  <c r="FH110" i="2"/>
  <c r="EZ110" i="2"/>
  <c r="ER110" i="2"/>
  <c r="EJ110" i="2"/>
  <c r="EB110" i="2"/>
  <c r="DU110" i="2"/>
  <c r="DN110" i="2"/>
  <c r="DG110" i="2"/>
  <c r="CR110" i="2"/>
  <c r="CB110" i="2"/>
  <c r="BM110" i="2"/>
  <c r="BL110" i="2"/>
  <c r="AFN109" i="2"/>
  <c r="AES109" i="2"/>
  <c r="RU109" i="2"/>
  <c r="QN109" i="2"/>
  <c r="QM109" i="2"/>
  <c r="QD109" i="2"/>
  <c r="QC109" i="2"/>
  <c r="PT109" i="2"/>
  <c r="PS109" i="2"/>
  <c r="PJ109" i="2"/>
  <c r="PK107" i="2" s="1"/>
  <c r="PI109" i="2"/>
  <c r="OZ109" i="2"/>
  <c r="PA107" i="2" s="1"/>
  <c r="OY109" i="2"/>
  <c r="OP109" i="2"/>
  <c r="OO109" i="2"/>
  <c r="OF109" i="2"/>
  <c r="OE109" i="2"/>
  <c r="NV109" i="2"/>
  <c r="NU109" i="2"/>
  <c r="NL109" i="2"/>
  <c r="NK109" i="2"/>
  <c r="NB109" i="2"/>
  <c r="NA109" i="2"/>
  <c r="MR109" i="2"/>
  <c r="MQ109" i="2"/>
  <c r="MH109" i="2"/>
  <c r="MG109" i="2"/>
  <c r="LX109" i="2"/>
  <c r="LW109" i="2"/>
  <c r="LN109" i="2"/>
  <c r="LM109" i="2"/>
  <c r="LD109" i="2"/>
  <c r="LC109" i="2"/>
  <c r="KT109" i="2"/>
  <c r="KS109" i="2"/>
  <c r="KJ109" i="2"/>
  <c r="KI109" i="2"/>
  <c r="JZ109" i="2"/>
  <c r="JY109" i="2"/>
  <c r="JP109" i="2"/>
  <c r="JO109" i="2"/>
  <c r="JF109" i="2"/>
  <c r="JE109" i="2"/>
  <c r="IL109" i="2"/>
  <c r="IK109" i="2"/>
  <c r="IB109" i="2"/>
  <c r="IA109" i="2"/>
  <c r="HR109" i="2"/>
  <c r="HQ109" i="2"/>
  <c r="HH109" i="2"/>
  <c r="HG109" i="2"/>
  <c r="GX109" i="2"/>
  <c r="GW109" i="2"/>
  <c r="FH109" i="2"/>
  <c r="EZ109" i="2"/>
  <c r="ER109" i="2"/>
  <c r="EJ109" i="2"/>
  <c r="EB109" i="2"/>
  <c r="DU109" i="2"/>
  <c r="DN109" i="2"/>
  <c r="DG109" i="2"/>
  <c r="CR109" i="2"/>
  <c r="CB109" i="2"/>
  <c r="BM109" i="2"/>
  <c r="BL109" i="2"/>
  <c r="AFN108" i="2"/>
  <c r="AET108" i="2"/>
  <c r="AES108" i="2"/>
  <c r="RU108" i="2"/>
  <c r="QN108" i="2"/>
  <c r="QM108" i="2"/>
  <c r="QD108" i="2"/>
  <c r="QC108" i="2"/>
  <c r="PT108" i="2"/>
  <c r="PS108" i="2"/>
  <c r="PJ108" i="2"/>
  <c r="PK106" i="2" s="1"/>
  <c r="PI108" i="2"/>
  <c r="OZ108" i="2"/>
  <c r="PA106" i="2" s="1"/>
  <c r="OY108" i="2"/>
  <c r="OP108" i="2"/>
  <c r="OO108" i="2"/>
  <c r="OF108" i="2"/>
  <c r="OE108" i="2"/>
  <c r="NV108" i="2"/>
  <c r="NU108" i="2"/>
  <c r="NL108" i="2"/>
  <c r="NK108" i="2"/>
  <c r="NB108" i="2"/>
  <c r="NA108" i="2"/>
  <c r="MR108" i="2"/>
  <c r="MQ108" i="2"/>
  <c r="MH108" i="2"/>
  <c r="MG108" i="2"/>
  <c r="LX108" i="2"/>
  <c r="LW108" i="2"/>
  <c r="LN108" i="2"/>
  <c r="LM108" i="2"/>
  <c r="LD108" i="2"/>
  <c r="LC108" i="2"/>
  <c r="KT108" i="2"/>
  <c r="KS108" i="2"/>
  <c r="KJ108" i="2"/>
  <c r="KI108" i="2"/>
  <c r="JZ108" i="2"/>
  <c r="JY108" i="2"/>
  <c r="JP108" i="2"/>
  <c r="JO108" i="2"/>
  <c r="JF108" i="2"/>
  <c r="JE108" i="2"/>
  <c r="IL108" i="2"/>
  <c r="IK108" i="2"/>
  <c r="IB108" i="2"/>
  <c r="IA108" i="2"/>
  <c r="HR108" i="2"/>
  <c r="HQ108" i="2"/>
  <c r="HH108" i="2"/>
  <c r="HG108" i="2"/>
  <c r="GX108" i="2"/>
  <c r="GW108" i="2"/>
  <c r="FH108" i="2"/>
  <c r="EZ108" i="2"/>
  <c r="ER108" i="2"/>
  <c r="EJ108" i="2"/>
  <c r="EB108" i="2"/>
  <c r="DU108" i="2"/>
  <c r="DN108" i="2"/>
  <c r="DG108" i="2"/>
  <c r="CR108" i="2"/>
  <c r="CB108" i="2"/>
  <c r="BM108" i="2"/>
  <c r="BL108" i="2"/>
  <c r="AFN107" i="2"/>
  <c r="RU107" i="2"/>
  <c r="QN107" i="2"/>
  <c r="QM107" i="2"/>
  <c r="QD107" i="2"/>
  <c r="QC107" i="2"/>
  <c r="PT107" i="2"/>
  <c r="PS107" i="2"/>
  <c r="PJ107" i="2"/>
  <c r="PK105" i="2" s="1"/>
  <c r="PI107" i="2"/>
  <c r="OZ107" i="2"/>
  <c r="PA105" i="2" s="1"/>
  <c r="OY107" i="2"/>
  <c r="OP107" i="2"/>
  <c r="OO107" i="2"/>
  <c r="OF107" i="2"/>
  <c r="OE107" i="2"/>
  <c r="NV107" i="2"/>
  <c r="NU107" i="2"/>
  <c r="NL107" i="2"/>
  <c r="NK107" i="2"/>
  <c r="NB107" i="2"/>
  <c r="NA107" i="2"/>
  <c r="MR107" i="2"/>
  <c r="MQ107" i="2"/>
  <c r="MH107" i="2"/>
  <c r="MG107" i="2"/>
  <c r="LX107" i="2"/>
  <c r="LW107" i="2"/>
  <c r="LN107" i="2"/>
  <c r="LM107" i="2"/>
  <c r="LD107" i="2"/>
  <c r="LC107" i="2"/>
  <c r="KT107" i="2"/>
  <c r="KS107" i="2"/>
  <c r="KJ107" i="2"/>
  <c r="KI107" i="2"/>
  <c r="JZ107" i="2"/>
  <c r="JY107" i="2"/>
  <c r="JP107" i="2"/>
  <c r="JO107" i="2"/>
  <c r="JF107" i="2"/>
  <c r="JE107" i="2"/>
  <c r="IL107" i="2"/>
  <c r="IK107" i="2"/>
  <c r="IB107" i="2"/>
  <c r="IA107" i="2"/>
  <c r="HR107" i="2"/>
  <c r="HQ107" i="2"/>
  <c r="HH107" i="2"/>
  <c r="HG107" i="2"/>
  <c r="GX107" i="2"/>
  <c r="GW107" i="2"/>
  <c r="FH107" i="2"/>
  <c r="EZ107" i="2"/>
  <c r="ER107" i="2"/>
  <c r="EJ107" i="2"/>
  <c r="EB107" i="2"/>
  <c r="DU107" i="2"/>
  <c r="DN107" i="2"/>
  <c r="DG107" i="2"/>
  <c r="CR107" i="2"/>
  <c r="CB107" i="2"/>
  <c r="BM107" i="2"/>
  <c r="BL107" i="2"/>
  <c r="AFN106" i="2"/>
  <c r="AEC106" i="2"/>
  <c r="RU106" i="2"/>
  <c r="QN106" i="2"/>
  <c r="QM106" i="2"/>
  <c r="QD106" i="2"/>
  <c r="QC106" i="2"/>
  <c r="PT106" i="2"/>
  <c r="PS106" i="2"/>
  <c r="PJ106" i="2"/>
  <c r="PK104" i="2" s="1"/>
  <c r="PI106" i="2"/>
  <c r="OZ106" i="2"/>
  <c r="OY106" i="2"/>
  <c r="OP106" i="2"/>
  <c r="OO106" i="2"/>
  <c r="OF106" i="2"/>
  <c r="OE106" i="2"/>
  <c r="NV106" i="2"/>
  <c r="NU106" i="2"/>
  <c r="NL106" i="2"/>
  <c r="NK106" i="2"/>
  <c r="NB106" i="2"/>
  <c r="NA106" i="2"/>
  <c r="MR106" i="2"/>
  <c r="MQ106" i="2"/>
  <c r="MH106" i="2"/>
  <c r="MG106" i="2"/>
  <c r="LX106" i="2"/>
  <c r="LW106" i="2"/>
  <c r="LN106" i="2"/>
  <c r="LM106" i="2"/>
  <c r="LD106" i="2"/>
  <c r="LC106" i="2"/>
  <c r="KT106" i="2"/>
  <c r="KS106" i="2"/>
  <c r="KJ106" i="2"/>
  <c r="KI106" i="2"/>
  <c r="JZ106" i="2"/>
  <c r="JY106" i="2"/>
  <c r="JP106" i="2"/>
  <c r="JO106" i="2"/>
  <c r="JF106" i="2"/>
  <c r="JE106" i="2"/>
  <c r="IL106" i="2"/>
  <c r="IK106" i="2"/>
  <c r="IB106" i="2"/>
  <c r="IA106" i="2"/>
  <c r="HR106" i="2"/>
  <c r="HQ106" i="2"/>
  <c r="HH106" i="2"/>
  <c r="HG106" i="2"/>
  <c r="GX106" i="2"/>
  <c r="GW106" i="2"/>
  <c r="FH106" i="2"/>
  <c r="EZ106" i="2"/>
  <c r="ER106" i="2"/>
  <c r="EJ106" i="2"/>
  <c r="EB106" i="2"/>
  <c r="DU106" i="2"/>
  <c r="DN106" i="2"/>
  <c r="DG106" i="2"/>
  <c r="CR106" i="2"/>
  <c r="CB106" i="2"/>
  <c r="BM106" i="2"/>
  <c r="BL106" i="2"/>
  <c r="AFN105" i="2"/>
  <c r="AEC105" i="2"/>
  <c r="ADP105" i="2"/>
  <c r="RU105" i="2"/>
  <c r="QN105" i="2"/>
  <c r="QM105" i="2"/>
  <c r="QD105" i="2"/>
  <c r="QC105" i="2"/>
  <c r="PT105" i="2"/>
  <c r="PS105" i="2"/>
  <c r="PJ105" i="2"/>
  <c r="PI105" i="2"/>
  <c r="OZ105" i="2"/>
  <c r="PA103" i="2" s="1"/>
  <c r="OY105" i="2"/>
  <c r="OP105" i="2"/>
  <c r="OO105" i="2"/>
  <c r="OF105" i="2"/>
  <c r="OE105" i="2"/>
  <c r="NV105" i="2"/>
  <c r="NU105" i="2"/>
  <c r="NL105" i="2"/>
  <c r="NK105" i="2"/>
  <c r="NB105" i="2"/>
  <c r="NA105" i="2"/>
  <c r="MR105" i="2"/>
  <c r="MQ105" i="2"/>
  <c r="MH105" i="2"/>
  <c r="MG105" i="2"/>
  <c r="LX105" i="2"/>
  <c r="LW105" i="2"/>
  <c r="LN105" i="2"/>
  <c r="LM105" i="2"/>
  <c r="LD105" i="2"/>
  <c r="LC105" i="2"/>
  <c r="KT105" i="2"/>
  <c r="KS105" i="2"/>
  <c r="KJ105" i="2"/>
  <c r="KI105" i="2"/>
  <c r="JZ105" i="2"/>
  <c r="JY105" i="2"/>
  <c r="JP105" i="2"/>
  <c r="JO105" i="2"/>
  <c r="JF105" i="2"/>
  <c r="JE105" i="2"/>
  <c r="IL105" i="2"/>
  <c r="IK105" i="2"/>
  <c r="IB105" i="2"/>
  <c r="IA105" i="2"/>
  <c r="HR105" i="2"/>
  <c r="HQ105" i="2"/>
  <c r="HH105" i="2"/>
  <c r="HG105" i="2"/>
  <c r="GX105" i="2"/>
  <c r="GW105" i="2"/>
  <c r="FH105" i="2"/>
  <c r="EZ105" i="2"/>
  <c r="ER105" i="2"/>
  <c r="EJ105" i="2"/>
  <c r="EB105" i="2"/>
  <c r="DU105" i="2"/>
  <c r="DN105" i="2"/>
  <c r="DG105" i="2"/>
  <c r="CR105" i="2"/>
  <c r="CB105" i="2"/>
  <c r="BM105" i="2"/>
  <c r="BL105" i="2"/>
  <c r="AFN104" i="2"/>
  <c r="AEC104" i="2"/>
  <c r="RU104" i="2"/>
  <c r="QN104" i="2"/>
  <c r="QM104" i="2"/>
  <c r="QD104" i="2"/>
  <c r="QC104" i="2"/>
  <c r="PT104" i="2"/>
  <c r="PS104" i="2"/>
  <c r="PJ104" i="2"/>
  <c r="PI104" i="2"/>
  <c r="PA104" i="2"/>
  <c r="OZ104" i="2"/>
  <c r="PA102" i="2" s="1"/>
  <c r="OY104" i="2"/>
  <c r="OP104" i="2"/>
  <c r="OO104" i="2"/>
  <c r="OF104" i="2"/>
  <c r="OE104" i="2"/>
  <c r="NV104" i="2"/>
  <c r="NU104" i="2"/>
  <c r="NL104" i="2"/>
  <c r="NK104" i="2"/>
  <c r="NB104" i="2"/>
  <c r="NA104" i="2"/>
  <c r="MR104" i="2"/>
  <c r="MQ104" i="2"/>
  <c r="MH104" i="2"/>
  <c r="MG104" i="2"/>
  <c r="LX104" i="2"/>
  <c r="LW104" i="2"/>
  <c r="LN104" i="2"/>
  <c r="LM104" i="2"/>
  <c r="LD104" i="2"/>
  <c r="LC104" i="2"/>
  <c r="KT104" i="2"/>
  <c r="KS104" i="2"/>
  <c r="KJ104" i="2"/>
  <c r="KI104" i="2"/>
  <c r="JZ104" i="2"/>
  <c r="JY104" i="2"/>
  <c r="JP104" i="2"/>
  <c r="JO104" i="2"/>
  <c r="JF104" i="2"/>
  <c r="JE104" i="2"/>
  <c r="HR104" i="2"/>
  <c r="HQ104" i="2"/>
  <c r="HH104" i="2"/>
  <c r="HG104" i="2"/>
  <c r="GX104" i="2"/>
  <c r="GW104" i="2"/>
  <c r="FH104" i="2"/>
  <c r="EZ104" i="2"/>
  <c r="ER104" i="2"/>
  <c r="EJ104" i="2"/>
  <c r="EB104" i="2"/>
  <c r="DU104" i="2"/>
  <c r="DN104" i="2"/>
  <c r="DG104" i="2"/>
  <c r="CR104" i="2"/>
  <c r="CB104" i="2"/>
  <c r="BM104" i="2"/>
  <c r="BL104" i="2"/>
  <c r="AFN103" i="2"/>
  <c r="AEC103" i="2"/>
  <c r="RU103" i="2"/>
  <c r="QN103" i="2"/>
  <c r="QM103" i="2"/>
  <c r="QD103" i="2"/>
  <c r="QC103" i="2"/>
  <c r="PT103" i="2"/>
  <c r="PS103" i="2"/>
  <c r="PJ103" i="2"/>
  <c r="PI103" i="2"/>
  <c r="OZ103" i="2"/>
  <c r="PA101" i="2" s="1"/>
  <c r="OY103" i="2"/>
  <c r="OP103" i="2"/>
  <c r="OO103" i="2"/>
  <c r="OF103" i="2"/>
  <c r="OE103" i="2"/>
  <c r="NV103" i="2"/>
  <c r="NU103" i="2"/>
  <c r="NL103" i="2"/>
  <c r="NK103" i="2"/>
  <c r="NB103" i="2"/>
  <c r="NA103" i="2"/>
  <c r="MR103" i="2"/>
  <c r="MQ103" i="2"/>
  <c r="MH103" i="2"/>
  <c r="MG103" i="2"/>
  <c r="LX103" i="2"/>
  <c r="LW103" i="2"/>
  <c r="LN103" i="2"/>
  <c r="LM103" i="2"/>
  <c r="LD103" i="2"/>
  <c r="LC103" i="2"/>
  <c r="KT103" i="2"/>
  <c r="KS103" i="2"/>
  <c r="KJ103" i="2"/>
  <c r="KI103" i="2"/>
  <c r="JZ103" i="2"/>
  <c r="JY103" i="2"/>
  <c r="JP103" i="2"/>
  <c r="JO103" i="2"/>
  <c r="JF103" i="2"/>
  <c r="JE103" i="2"/>
  <c r="HR103" i="2"/>
  <c r="HQ103" i="2"/>
  <c r="HH103" i="2"/>
  <c r="HG103" i="2"/>
  <c r="GX103" i="2"/>
  <c r="GW103" i="2"/>
  <c r="FH103" i="2"/>
  <c r="EZ103" i="2"/>
  <c r="ER103" i="2"/>
  <c r="EJ103" i="2"/>
  <c r="EB103" i="2"/>
  <c r="DU103" i="2"/>
  <c r="DN103" i="2"/>
  <c r="DG103" i="2"/>
  <c r="CR103" i="2"/>
  <c r="CB103" i="2"/>
  <c r="BM103" i="2"/>
  <c r="BL103" i="2"/>
  <c r="AFN102" i="2"/>
  <c r="AES102" i="2"/>
  <c r="AEC102" i="2"/>
  <c r="RU102" i="2"/>
  <c r="QN102" i="2"/>
  <c r="QM102" i="2"/>
  <c r="QD102" i="2"/>
  <c r="QC102" i="2"/>
  <c r="PT102" i="2"/>
  <c r="PS102" i="2"/>
  <c r="PJ102" i="2"/>
  <c r="PI102" i="2"/>
  <c r="OZ102" i="2"/>
  <c r="PA100" i="2" s="1"/>
  <c r="OY102" i="2"/>
  <c r="OP102" i="2"/>
  <c r="OO102" i="2"/>
  <c r="OF102" i="2"/>
  <c r="OE102" i="2"/>
  <c r="NV102" i="2"/>
  <c r="NU102" i="2"/>
  <c r="NL102" i="2"/>
  <c r="NK102" i="2"/>
  <c r="NB102" i="2"/>
  <c r="NA102" i="2"/>
  <c r="MR102" i="2"/>
  <c r="MQ102" i="2"/>
  <c r="MH102" i="2"/>
  <c r="MG102" i="2"/>
  <c r="LX102" i="2"/>
  <c r="LW102" i="2"/>
  <c r="LN102" i="2"/>
  <c r="LM102" i="2"/>
  <c r="LD102" i="2"/>
  <c r="LC102" i="2"/>
  <c r="KT102" i="2"/>
  <c r="KS102" i="2"/>
  <c r="KJ102" i="2"/>
  <c r="KI102" i="2"/>
  <c r="JZ102" i="2"/>
  <c r="JY102" i="2"/>
  <c r="JP102" i="2"/>
  <c r="JO102" i="2"/>
  <c r="JF102" i="2"/>
  <c r="JE102" i="2"/>
  <c r="FH102" i="2"/>
  <c r="EZ102" i="2"/>
  <c r="ER102" i="2"/>
  <c r="EJ102" i="2"/>
  <c r="EB102" i="2"/>
  <c r="DU102" i="2"/>
  <c r="DN102" i="2"/>
  <c r="DG102" i="2"/>
  <c r="CR102" i="2"/>
  <c r="CB102" i="2"/>
  <c r="BM102" i="2"/>
  <c r="BL102" i="2"/>
  <c r="AFN101" i="2"/>
  <c r="AES101" i="2"/>
  <c r="AEC101" i="2"/>
  <c r="RU101" i="2"/>
  <c r="QN101" i="2"/>
  <c r="QM101" i="2"/>
  <c r="QD101" i="2"/>
  <c r="QC101" i="2"/>
  <c r="PT101" i="2"/>
  <c r="PS101" i="2"/>
  <c r="PJ101" i="2"/>
  <c r="PI101" i="2"/>
  <c r="OZ101" i="2"/>
  <c r="PA99" i="2" s="1"/>
  <c r="OY101" i="2"/>
  <c r="OP101" i="2"/>
  <c r="OO101" i="2"/>
  <c r="OF101" i="2"/>
  <c r="OE101" i="2"/>
  <c r="NV101" i="2"/>
  <c r="NU101" i="2"/>
  <c r="NL101" i="2"/>
  <c r="NK101" i="2"/>
  <c r="NB101" i="2"/>
  <c r="NA101" i="2"/>
  <c r="MR101" i="2"/>
  <c r="MQ101" i="2"/>
  <c r="MH101" i="2"/>
  <c r="MG101" i="2"/>
  <c r="LX101" i="2"/>
  <c r="LW101" i="2"/>
  <c r="LN101" i="2"/>
  <c r="LM101" i="2"/>
  <c r="LD101" i="2"/>
  <c r="LC101" i="2"/>
  <c r="KT101" i="2"/>
  <c r="KS101" i="2"/>
  <c r="KJ101" i="2"/>
  <c r="KI101" i="2"/>
  <c r="JZ101" i="2"/>
  <c r="JY101" i="2"/>
  <c r="JP101" i="2"/>
  <c r="JO101" i="2"/>
  <c r="JF101" i="2"/>
  <c r="JE101" i="2"/>
  <c r="FH101" i="2"/>
  <c r="EZ101" i="2"/>
  <c r="ER101" i="2"/>
  <c r="EJ101" i="2"/>
  <c r="EB101" i="2"/>
  <c r="DU101" i="2"/>
  <c r="DN101" i="2"/>
  <c r="DG101" i="2"/>
  <c r="CR101" i="2"/>
  <c r="CB101" i="2"/>
  <c r="BM101" i="2"/>
  <c r="BL101" i="2"/>
  <c r="AFN100" i="2"/>
  <c r="AES100" i="2"/>
  <c r="AEC100" i="2"/>
  <c r="RU100" i="2"/>
  <c r="QN100" i="2"/>
  <c r="QM100" i="2"/>
  <c r="QD100" i="2"/>
  <c r="QC100" i="2"/>
  <c r="PT100" i="2"/>
  <c r="PS100" i="2"/>
  <c r="PJ100" i="2"/>
  <c r="PI100" i="2"/>
  <c r="OZ100" i="2"/>
  <c r="PA98" i="2" s="1"/>
  <c r="OY100" i="2"/>
  <c r="OP100" i="2"/>
  <c r="OO100" i="2"/>
  <c r="OF100" i="2"/>
  <c r="OE100" i="2"/>
  <c r="NV100" i="2"/>
  <c r="NU100" i="2"/>
  <c r="NL100" i="2"/>
  <c r="NK100" i="2"/>
  <c r="NB100" i="2"/>
  <c r="NA100" i="2"/>
  <c r="MR100" i="2"/>
  <c r="MQ100" i="2"/>
  <c r="MH100" i="2"/>
  <c r="MG100" i="2"/>
  <c r="LX100" i="2"/>
  <c r="LW100" i="2"/>
  <c r="LN100" i="2"/>
  <c r="LM100" i="2"/>
  <c r="LD100" i="2"/>
  <c r="LC100" i="2"/>
  <c r="KT100" i="2"/>
  <c r="KS100" i="2"/>
  <c r="KJ100" i="2"/>
  <c r="KI100" i="2"/>
  <c r="JZ100" i="2"/>
  <c r="JY100" i="2"/>
  <c r="JP100" i="2"/>
  <c r="JO100" i="2"/>
  <c r="JF100" i="2"/>
  <c r="JE100" i="2"/>
  <c r="FH100" i="2"/>
  <c r="EZ100" i="2"/>
  <c r="ER100" i="2"/>
  <c r="EJ100" i="2"/>
  <c r="EB100" i="2"/>
  <c r="DU100" i="2"/>
  <c r="DN100" i="2"/>
  <c r="DG100" i="2"/>
  <c r="CR100" i="2"/>
  <c r="CB100" i="2"/>
  <c r="BM100" i="2"/>
  <c r="BL100" i="2"/>
  <c r="AFN99" i="2"/>
  <c r="AES99" i="2"/>
  <c r="AEC99" i="2"/>
  <c r="RU99" i="2"/>
  <c r="QN99" i="2"/>
  <c r="QM99" i="2"/>
  <c r="QD99" i="2"/>
  <c r="QC99" i="2"/>
  <c r="PT99" i="2"/>
  <c r="PS99" i="2"/>
  <c r="PJ99" i="2"/>
  <c r="PI99" i="2"/>
  <c r="OZ99" i="2"/>
  <c r="PA97" i="2" s="1"/>
  <c r="OY99" i="2"/>
  <c r="OP99" i="2"/>
  <c r="OO99" i="2"/>
  <c r="OF99" i="2"/>
  <c r="OE99" i="2"/>
  <c r="NV99" i="2"/>
  <c r="NU99" i="2"/>
  <c r="NL99" i="2"/>
  <c r="NK99" i="2"/>
  <c r="NB99" i="2"/>
  <c r="NA99" i="2"/>
  <c r="MR99" i="2"/>
  <c r="MQ99" i="2"/>
  <c r="MH99" i="2"/>
  <c r="MG99" i="2"/>
  <c r="LX99" i="2"/>
  <c r="LW99" i="2"/>
  <c r="LN99" i="2"/>
  <c r="LM99" i="2"/>
  <c r="LD99" i="2"/>
  <c r="LC99" i="2"/>
  <c r="KT99" i="2"/>
  <c r="KS99" i="2"/>
  <c r="KJ99" i="2"/>
  <c r="KI99" i="2"/>
  <c r="JZ99" i="2"/>
  <c r="JY99" i="2"/>
  <c r="JP99" i="2"/>
  <c r="JO99" i="2"/>
  <c r="JF99" i="2"/>
  <c r="JE99" i="2"/>
  <c r="FH99" i="2"/>
  <c r="EZ99" i="2"/>
  <c r="ER99" i="2"/>
  <c r="EJ99" i="2"/>
  <c r="EB99" i="2"/>
  <c r="DU99" i="2"/>
  <c r="DN99" i="2"/>
  <c r="DG99" i="2"/>
  <c r="CR99" i="2"/>
  <c r="CB99" i="2"/>
  <c r="BM99" i="2"/>
  <c r="BL99" i="2"/>
  <c r="AFN98" i="2"/>
  <c r="AES98" i="2"/>
  <c r="AEC98" i="2"/>
  <c r="ADW98" i="2"/>
  <c r="RU98" i="2"/>
  <c r="QN98" i="2"/>
  <c r="QM98" i="2"/>
  <c r="QD98" i="2"/>
  <c r="QC98" i="2"/>
  <c r="PT98" i="2"/>
  <c r="PS98" i="2"/>
  <c r="PJ98" i="2"/>
  <c r="PI98" i="2"/>
  <c r="OZ98" i="2"/>
  <c r="PA96" i="2" s="1"/>
  <c r="OY98" i="2"/>
  <c r="OP98" i="2"/>
  <c r="OO98" i="2"/>
  <c r="OF98" i="2"/>
  <c r="OE98" i="2"/>
  <c r="NV98" i="2"/>
  <c r="NU98" i="2"/>
  <c r="NL98" i="2"/>
  <c r="NK98" i="2"/>
  <c r="NB98" i="2"/>
  <c r="NA98" i="2"/>
  <c r="MR98" i="2"/>
  <c r="MQ98" i="2"/>
  <c r="MH98" i="2"/>
  <c r="MG98" i="2"/>
  <c r="LX98" i="2"/>
  <c r="LW98" i="2"/>
  <c r="LN98" i="2"/>
  <c r="LM98" i="2"/>
  <c r="LD98" i="2"/>
  <c r="LC98" i="2"/>
  <c r="KT98" i="2"/>
  <c r="KS98" i="2"/>
  <c r="KJ98" i="2"/>
  <c r="KI98" i="2"/>
  <c r="JZ98" i="2"/>
  <c r="JY98" i="2"/>
  <c r="JP98" i="2"/>
  <c r="JO98" i="2"/>
  <c r="JF98" i="2"/>
  <c r="JE98" i="2"/>
  <c r="FH98" i="2"/>
  <c r="EZ98" i="2"/>
  <c r="ER98" i="2"/>
  <c r="EJ98" i="2"/>
  <c r="EB98" i="2"/>
  <c r="DU98" i="2"/>
  <c r="DN98" i="2"/>
  <c r="DG98" i="2"/>
  <c r="CR98" i="2"/>
  <c r="CB98" i="2"/>
  <c r="BM98" i="2"/>
  <c r="BL98" i="2"/>
  <c r="AFN97" i="2"/>
  <c r="AES97" i="2"/>
  <c r="AEC97" i="2"/>
  <c r="ADW97" i="2"/>
  <c r="RU97" i="2"/>
  <c r="QN97" i="2"/>
  <c r="QM97" i="2"/>
  <c r="QD97" i="2"/>
  <c r="QC97" i="2"/>
  <c r="PT97" i="2"/>
  <c r="PS97" i="2"/>
  <c r="PJ97" i="2"/>
  <c r="PI97" i="2"/>
  <c r="OZ97" i="2"/>
  <c r="PA95" i="2" s="1"/>
  <c r="OY97" i="2"/>
  <c r="OP97" i="2"/>
  <c r="OO97" i="2"/>
  <c r="OF97" i="2"/>
  <c r="OE97" i="2"/>
  <c r="NV97" i="2"/>
  <c r="NU97" i="2"/>
  <c r="NL97" i="2"/>
  <c r="NK97" i="2"/>
  <c r="NB97" i="2"/>
  <c r="NA97" i="2"/>
  <c r="MR97" i="2"/>
  <c r="MQ97" i="2"/>
  <c r="MH97" i="2"/>
  <c r="MG97" i="2"/>
  <c r="LX97" i="2"/>
  <c r="LW97" i="2"/>
  <c r="LN97" i="2"/>
  <c r="LM97" i="2"/>
  <c r="LD97" i="2"/>
  <c r="LC97" i="2"/>
  <c r="KT97" i="2"/>
  <c r="KS97" i="2"/>
  <c r="KJ97" i="2"/>
  <c r="KI97" i="2"/>
  <c r="JZ97" i="2"/>
  <c r="JY97" i="2"/>
  <c r="JP97" i="2"/>
  <c r="JO97" i="2"/>
  <c r="JF97" i="2"/>
  <c r="JE97" i="2"/>
  <c r="FH97" i="2"/>
  <c r="EZ97" i="2"/>
  <c r="ER97" i="2"/>
  <c r="EJ97" i="2"/>
  <c r="EB97" i="2"/>
  <c r="DU97" i="2"/>
  <c r="DN97" i="2"/>
  <c r="DG97" i="2"/>
  <c r="CR97" i="2"/>
  <c r="CB97" i="2"/>
  <c r="BM97" i="2"/>
  <c r="BL97" i="2"/>
  <c r="AFN96" i="2"/>
  <c r="AES96" i="2"/>
  <c r="RU96" i="2"/>
  <c r="QN96" i="2"/>
  <c r="QM96" i="2"/>
  <c r="QD96" i="2"/>
  <c r="QC96" i="2"/>
  <c r="PT96" i="2"/>
  <c r="PS96" i="2"/>
  <c r="PJ96" i="2"/>
  <c r="PI96" i="2"/>
  <c r="OZ96" i="2"/>
  <c r="PA94" i="2" s="1"/>
  <c r="OY96" i="2"/>
  <c r="OP96" i="2"/>
  <c r="OO96" i="2"/>
  <c r="OF96" i="2"/>
  <c r="OE96" i="2"/>
  <c r="NV96" i="2"/>
  <c r="NU96" i="2"/>
  <c r="NL96" i="2"/>
  <c r="NK96" i="2"/>
  <c r="NB96" i="2"/>
  <c r="NA96" i="2"/>
  <c r="MR96" i="2"/>
  <c r="MQ96" i="2"/>
  <c r="MH96" i="2"/>
  <c r="MG96" i="2"/>
  <c r="LX96" i="2"/>
  <c r="LW96" i="2"/>
  <c r="LN96" i="2"/>
  <c r="LM96" i="2"/>
  <c r="LD96" i="2"/>
  <c r="LC96" i="2"/>
  <c r="KT96" i="2"/>
  <c r="KS96" i="2"/>
  <c r="KJ96" i="2"/>
  <c r="KI96" i="2"/>
  <c r="JZ96" i="2"/>
  <c r="JY96" i="2"/>
  <c r="JP96" i="2"/>
  <c r="JO96" i="2"/>
  <c r="JF96" i="2"/>
  <c r="JE96" i="2"/>
  <c r="FH96" i="2"/>
  <c r="EZ96" i="2"/>
  <c r="ER96" i="2"/>
  <c r="EJ96" i="2"/>
  <c r="EB96" i="2"/>
  <c r="DU96" i="2"/>
  <c r="DN96" i="2"/>
  <c r="DG96" i="2"/>
  <c r="CR96" i="2"/>
  <c r="CB96" i="2"/>
  <c r="BM96" i="2"/>
  <c r="BL96" i="2"/>
  <c r="AFN95" i="2"/>
  <c r="AES95" i="2"/>
  <c r="RU95" i="2"/>
  <c r="QN95" i="2"/>
  <c r="QM95" i="2"/>
  <c r="QD95" i="2"/>
  <c r="QC95" i="2"/>
  <c r="PT95" i="2"/>
  <c r="PS95" i="2"/>
  <c r="PJ95" i="2"/>
  <c r="PI95" i="2"/>
  <c r="OZ95" i="2"/>
  <c r="PA93" i="2" s="1"/>
  <c r="OY95" i="2"/>
  <c r="OP95" i="2"/>
  <c r="OO95" i="2"/>
  <c r="OF95" i="2"/>
  <c r="OE95" i="2"/>
  <c r="NV95" i="2"/>
  <c r="NU95" i="2"/>
  <c r="NL95" i="2"/>
  <c r="NK95" i="2"/>
  <c r="NB95" i="2"/>
  <c r="NA95" i="2"/>
  <c r="MR95" i="2"/>
  <c r="MQ95" i="2"/>
  <c r="MH95" i="2"/>
  <c r="MG95" i="2"/>
  <c r="LX95" i="2"/>
  <c r="LW95" i="2"/>
  <c r="LN95" i="2"/>
  <c r="LM95" i="2"/>
  <c r="LD95" i="2"/>
  <c r="LC95" i="2"/>
  <c r="KT95" i="2"/>
  <c r="KS95" i="2"/>
  <c r="KJ95" i="2"/>
  <c r="KI95" i="2"/>
  <c r="JZ95" i="2"/>
  <c r="JY95" i="2"/>
  <c r="JP95" i="2"/>
  <c r="JO95" i="2"/>
  <c r="JF95" i="2"/>
  <c r="JE95" i="2"/>
  <c r="FH95" i="2"/>
  <c r="EZ95" i="2"/>
  <c r="ER95" i="2"/>
  <c r="EJ95" i="2"/>
  <c r="EB95" i="2"/>
  <c r="DU95" i="2"/>
  <c r="DN95" i="2"/>
  <c r="DG95" i="2"/>
  <c r="CR95" i="2"/>
  <c r="CB95" i="2"/>
  <c r="BM95" i="2"/>
  <c r="BL95" i="2"/>
  <c r="AFN94" i="2"/>
  <c r="AES94" i="2"/>
  <c r="RU94" i="2"/>
  <c r="QN94" i="2"/>
  <c r="QM94" i="2"/>
  <c r="QD94" i="2"/>
  <c r="QC94" i="2"/>
  <c r="PT94" i="2"/>
  <c r="PS94" i="2"/>
  <c r="PJ94" i="2"/>
  <c r="PI94" i="2"/>
  <c r="OZ94" i="2"/>
  <c r="PA92" i="2" s="1"/>
  <c r="OY94" i="2"/>
  <c r="OP94" i="2"/>
  <c r="OO94" i="2"/>
  <c r="OF94" i="2"/>
  <c r="OE94" i="2"/>
  <c r="NV94" i="2"/>
  <c r="NU94" i="2"/>
  <c r="NL94" i="2"/>
  <c r="NK94" i="2"/>
  <c r="NB94" i="2"/>
  <c r="NA94" i="2"/>
  <c r="MR94" i="2"/>
  <c r="MQ94" i="2"/>
  <c r="MH94" i="2"/>
  <c r="MG94" i="2"/>
  <c r="LX94" i="2"/>
  <c r="LW94" i="2"/>
  <c r="LN94" i="2"/>
  <c r="LM94" i="2"/>
  <c r="LD94" i="2"/>
  <c r="LC94" i="2"/>
  <c r="KT94" i="2"/>
  <c r="KS94" i="2"/>
  <c r="KJ94" i="2"/>
  <c r="KI94" i="2"/>
  <c r="JZ94" i="2"/>
  <c r="JY94" i="2"/>
  <c r="JP94" i="2"/>
  <c r="JO94" i="2"/>
  <c r="JF94" i="2"/>
  <c r="JE94" i="2"/>
  <c r="FH94" i="2"/>
  <c r="EZ94" i="2"/>
  <c r="ER94" i="2"/>
  <c r="EJ94" i="2"/>
  <c r="EB94" i="2"/>
  <c r="DU94" i="2"/>
  <c r="DN94" i="2"/>
  <c r="DG94" i="2"/>
  <c r="CR94" i="2"/>
  <c r="CB94" i="2"/>
  <c r="BU94" i="2"/>
  <c r="BT94" i="2"/>
  <c r="BM94" i="2"/>
  <c r="BL94" i="2"/>
  <c r="AFN93" i="2"/>
  <c r="AES93" i="2"/>
  <c r="RU93" i="2"/>
  <c r="QN93" i="2"/>
  <c r="QM93" i="2"/>
  <c r="QD93" i="2"/>
  <c r="QC93" i="2"/>
  <c r="PT93" i="2"/>
  <c r="PS93" i="2"/>
  <c r="PJ93" i="2"/>
  <c r="PI93" i="2"/>
  <c r="OZ93" i="2"/>
  <c r="PA91" i="2" s="1"/>
  <c r="OY93" i="2"/>
  <c r="OP93" i="2"/>
  <c r="OO93" i="2"/>
  <c r="OF93" i="2"/>
  <c r="OE93" i="2"/>
  <c r="NV93" i="2"/>
  <c r="NU93" i="2"/>
  <c r="NL93" i="2"/>
  <c r="NK93" i="2"/>
  <c r="NB93" i="2"/>
  <c r="NA93" i="2"/>
  <c r="MR93" i="2"/>
  <c r="MQ93" i="2"/>
  <c r="MH93" i="2"/>
  <c r="MG93" i="2"/>
  <c r="LX93" i="2"/>
  <c r="LW93" i="2"/>
  <c r="LN93" i="2"/>
  <c r="LM93" i="2"/>
  <c r="LD93" i="2"/>
  <c r="LC93" i="2"/>
  <c r="KT93" i="2"/>
  <c r="KS93" i="2"/>
  <c r="KJ93" i="2"/>
  <c r="KI93" i="2"/>
  <c r="JZ93" i="2"/>
  <c r="JY93" i="2"/>
  <c r="JP93" i="2"/>
  <c r="JO93" i="2"/>
  <c r="JF93" i="2"/>
  <c r="JE93" i="2"/>
  <c r="FH93" i="2"/>
  <c r="EZ93" i="2"/>
  <c r="ER93" i="2"/>
  <c r="EJ93" i="2"/>
  <c r="EB93" i="2"/>
  <c r="DU93" i="2"/>
  <c r="DN93" i="2"/>
  <c r="DG93" i="2"/>
  <c r="CR93" i="2"/>
  <c r="CB93" i="2"/>
  <c r="BU93" i="2"/>
  <c r="BT93" i="2"/>
  <c r="BM93" i="2"/>
  <c r="BL93" i="2"/>
  <c r="AFN92" i="2"/>
  <c r="AES92" i="2"/>
  <c r="RU92" i="2"/>
  <c r="QN92" i="2"/>
  <c r="QM92" i="2"/>
  <c r="QD92" i="2"/>
  <c r="QC92" i="2"/>
  <c r="PT92" i="2"/>
  <c r="PS92" i="2"/>
  <c r="PJ92" i="2"/>
  <c r="PI92" i="2"/>
  <c r="OZ92" i="2"/>
  <c r="PA90" i="2" s="1"/>
  <c r="OY92" i="2"/>
  <c r="OP92" i="2"/>
  <c r="OO92" i="2"/>
  <c r="OF92" i="2"/>
  <c r="OE92" i="2"/>
  <c r="NV92" i="2"/>
  <c r="NU92" i="2"/>
  <c r="NL92" i="2"/>
  <c r="NK92" i="2"/>
  <c r="NB92" i="2"/>
  <c r="NA92" i="2"/>
  <c r="MR92" i="2"/>
  <c r="MQ92" i="2"/>
  <c r="MH92" i="2"/>
  <c r="MG92" i="2"/>
  <c r="LX92" i="2"/>
  <c r="LW92" i="2"/>
  <c r="LN92" i="2"/>
  <c r="LM92" i="2"/>
  <c r="LD92" i="2"/>
  <c r="LC92" i="2"/>
  <c r="KT92" i="2"/>
  <c r="KS92" i="2"/>
  <c r="KJ92" i="2"/>
  <c r="KI92" i="2"/>
  <c r="JZ92" i="2"/>
  <c r="JY92" i="2"/>
  <c r="JP92" i="2"/>
  <c r="JO92" i="2"/>
  <c r="JF92" i="2"/>
  <c r="JE92" i="2"/>
  <c r="FH92" i="2"/>
  <c r="EZ92" i="2"/>
  <c r="ER92" i="2"/>
  <c r="EJ92" i="2"/>
  <c r="EB92" i="2"/>
  <c r="DU92" i="2"/>
  <c r="DN92" i="2"/>
  <c r="DG92" i="2"/>
  <c r="CR92" i="2"/>
  <c r="CB92" i="2"/>
  <c r="BU92" i="2"/>
  <c r="BT92" i="2"/>
  <c r="BM92" i="2"/>
  <c r="BL92" i="2"/>
  <c r="AFN91" i="2"/>
  <c r="AES91" i="2"/>
  <c r="RU91" i="2"/>
  <c r="QN91" i="2"/>
  <c r="QM91" i="2"/>
  <c r="QD91" i="2"/>
  <c r="QC91" i="2"/>
  <c r="PT91" i="2"/>
  <c r="PS91" i="2"/>
  <c r="PJ91" i="2"/>
  <c r="PI91" i="2"/>
  <c r="OZ91" i="2"/>
  <c r="PA89" i="2" s="1"/>
  <c r="OY91" i="2"/>
  <c r="OP91" i="2"/>
  <c r="OO91" i="2"/>
  <c r="OF91" i="2"/>
  <c r="OE91" i="2"/>
  <c r="NV91" i="2"/>
  <c r="NU91" i="2"/>
  <c r="NL91" i="2"/>
  <c r="NK91" i="2"/>
  <c r="NB91" i="2"/>
  <c r="NA91" i="2"/>
  <c r="MR91" i="2"/>
  <c r="MQ91" i="2"/>
  <c r="MH91" i="2"/>
  <c r="MG91" i="2"/>
  <c r="LX91" i="2"/>
  <c r="LW91" i="2"/>
  <c r="LN91" i="2"/>
  <c r="LM91" i="2"/>
  <c r="LD91" i="2"/>
  <c r="LC91" i="2"/>
  <c r="KT91" i="2"/>
  <c r="KS91" i="2"/>
  <c r="KJ91" i="2"/>
  <c r="KI91" i="2"/>
  <c r="JZ91" i="2"/>
  <c r="JY91" i="2"/>
  <c r="JP91" i="2"/>
  <c r="JO91" i="2"/>
  <c r="JF91" i="2"/>
  <c r="JE91" i="2"/>
  <c r="FH91" i="2"/>
  <c r="EZ91" i="2"/>
  <c r="ER91" i="2"/>
  <c r="EJ91" i="2"/>
  <c r="EB91" i="2"/>
  <c r="DU91" i="2"/>
  <c r="DN91" i="2"/>
  <c r="DG91" i="2"/>
  <c r="CR91" i="2"/>
  <c r="CB91" i="2"/>
  <c r="BU91" i="2"/>
  <c r="BT91" i="2"/>
  <c r="BM91" i="2"/>
  <c r="BL91" i="2"/>
  <c r="AFN90" i="2"/>
  <c r="AES90" i="2"/>
  <c r="RU90" i="2"/>
  <c r="QN90" i="2"/>
  <c r="QM90" i="2"/>
  <c r="QD90" i="2"/>
  <c r="QC90" i="2"/>
  <c r="PT90" i="2"/>
  <c r="PS90" i="2"/>
  <c r="PJ90" i="2"/>
  <c r="PI90" i="2"/>
  <c r="OZ90" i="2"/>
  <c r="PA88" i="2" s="1"/>
  <c r="OY90" i="2"/>
  <c r="OP90" i="2"/>
  <c r="OO90" i="2"/>
  <c r="OF90" i="2"/>
  <c r="OE90" i="2"/>
  <c r="NV90" i="2"/>
  <c r="NU90" i="2"/>
  <c r="NL90" i="2"/>
  <c r="NK90" i="2"/>
  <c r="NB90" i="2"/>
  <c r="NA90" i="2"/>
  <c r="MR90" i="2"/>
  <c r="MQ90" i="2"/>
  <c r="MH90" i="2"/>
  <c r="MG90" i="2"/>
  <c r="LX90" i="2"/>
  <c r="LW90" i="2"/>
  <c r="LN90" i="2"/>
  <c r="LM90" i="2"/>
  <c r="LD90" i="2"/>
  <c r="LC90" i="2"/>
  <c r="KT90" i="2"/>
  <c r="KS90" i="2"/>
  <c r="KJ90" i="2"/>
  <c r="KI90" i="2"/>
  <c r="JZ90" i="2"/>
  <c r="JY90" i="2"/>
  <c r="JP90" i="2"/>
  <c r="JO90" i="2"/>
  <c r="JF90" i="2"/>
  <c r="JE90" i="2"/>
  <c r="FH90" i="2"/>
  <c r="EZ90" i="2"/>
  <c r="ER90" i="2"/>
  <c r="EJ90" i="2"/>
  <c r="EB90" i="2"/>
  <c r="DU90" i="2"/>
  <c r="DN90" i="2"/>
  <c r="DG90" i="2"/>
  <c r="CR90" i="2"/>
  <c r="CB90" i="2"/>
  <c r="BU90" i="2"/>
  <c r="BT90" i="2"/>
  <c r="BM90" i="2"/>
  <c r="BL90" i="2"/>
  <c r="AFN89" i="2"/>
  <c r="AES89" i="2"/>
  <c r="RU89" i="2"/>
  <c r="QN89" i="2"/>
  <c r="QM89" i="2"/>
  <c r="QD89" i="2"/>
  <c r="QC89" i="2"/>
  <c r="PT89" i="2"/>
  <c r="PS89" i="2"/>
  <c r="PJ89" i="2"/>
  <c r="PI89" i="2"/>
  <c r="OZ89" i="2"/>
  <c r="PA87" i="2" s="1"/>
  <c r="OY89" i="2"/>
  <c r="OP89" i="2"/>
  <c r="OO89" i="2"/>
  <c r="OF89" i="2"/>
  <c r="OE89" i="2"/>
  <c r="NV89" i="2"/>
  <c r="NU89" i="2"/>
  <c r="NL89" i="2"/>
  <c r="NK89" i="2"/>
  <c r="NB89" i="2"/>
  <c r="NA89" i="2"/>
  <c r="MR89" i="2"/>
  <c r="MQ89" i="2"/>
  <c r="MH89" i="2"/>
  <c r="MG89" i="2"/>
  <c r="LX89" i="2"/>
  <c r="LW89" i="2"/>
  <c r="LN89" i="2"/>
  <c r="LM89" i="2"/>
  <c r="LD89" i="2"/>
  <c r="LC89" i="2"/>
  <c r="KT89" i="2"/>
  <c r="KS89" i="2"/>
  <c r="KJ89" i="2"/>
  <c r="KI89" i="2"/>
  <c r="JZ89" i="2"/>
  <c r="JY89" i="2"/>
  <c r="JP89" i="2"/>
  <c r="JO89" i="2"/>
  <c r="JF89" i="2"/>
  <c r="JE89" i="2"/>
  <c r="FH89" i="2"/>
  <c r="EZ89" i="2"/>
  <c r="ER89" i="2"/>
  <c r="EJ89" i="2"/>
  <c r="EB89" i="2"/>
  <c r="DU89" i="2"/>
  <c r="DN89" i="2"/>
  <c r="DG89" i="2"/>
  <c r="CR89" i="2"/>
  <c r="CB89" i="2"/>
  <c r="BU89" i="2"/>
  <c r="BT89" i="2"/>
  <c r="BM89" i="2"/>
  <c r="BL89" i="2"/>
  <c r="AFN88" i="2"/>
  <c r="AES88" i="2"/>
  <c r="RU88" i="2"/>
  <c r="QN88" i="2"/>
  <c r="QM88" i="2"/>
  <c r="QD88" i="2"/>
  <c r="QC88" i="2"/>
  <c r="PT88" i="2"/>
  <c r="PS88" i="2"/>
  <c r="PJ88" i="2"/>
  <c r="PI88" i="2"/>
  <c r="OZ88" i="2"/>
  <c r="OY88" i="2"/>
  <c r="OP88" i="2"/>
  <c r="OO88" i="2"/>
  <c r="OF88" i="2"/>
  <c r="OE88" i="2"/>
  <c r="NV88" i="2"/>
  <c r="NU88" i="2"/>
  <c r="NL88" i="2"/>
  <c r="NK88" i="2"/>
  <c r="NB88" i="2"/>
  <c r="NA88" i="2"/>
  <c r="MR88" i="2"/>
  <c r="MQ88" i="2"/>
  <c r="MH88" i="2"/>
  <c r="MG88" i="2"/>
  <c r="LX88" i="2"/>
  <c r="LW88" i="2"/>
  <c r="LN88" i="2"/>
  <c r="LM88" i="2"/>
  <c r="LD88" i="2"/>
  <c r="LC88" i="2"/>
  <c r="KT88" i="2"/>
  <c r="KS88" i="2"/>
  <c r="KJ88" i="2"/>
  <c r="KI88" i="2"/>
  <c r="JZ88" i="2"/>
  <c r="JY88" i="2"/>
  <c r="JP88" i="2"/>
  <c r="JO88" i="2"/>
  <c r="JF88" i="2"/>
  <c r="JE88" i="2"/>
  <c r="FH88" i="2"/>
  <c r="EZ88" i="2"/>
  <c r="ER88" i="2"/>
  <c r="EJ88" i="2"/>
  <c r="EB88" i="2"/>
  <c r="DU88" i="2"/>
  <c r="DN88" i="2"/>
  <c r="DG88" i="2"/>
  <c r="CR88" i="2"/>
  <c r="CB88" i="2"/>
  <c r="BU88" i="2"/>
  <c r="BT88" i="2"/>
  <c r="BM88" i="2"/>
  <c r="BL88" i="2"/>
  <c r="AFN87" i="2"/>
  <c r="AES87" i="2"/>
  <c r="RU87" i="2"/>
  <c r="QN87" i="2"/>
  <c r="QM87" i="2"/>
  <c r="QD87" i="2"/>
  <c r="QC87" i="2"/>
  <c r="PT87" i="2"/>
  <c r="PS87" i="2"/>
  <c r="PJ87" i="2"/>
  <c r="PI87" i="2"/>
  <c r="OZ87" i="2"/>
  <c r="PA85" i="2" s="1"/>
  <c r="OY87" i="2"/>
  <c r="OP87" i="2"/>
  <c r="OO87" i="2"/>
  <c r="OF87" i="2"/>
  <c r="OE87" i="2"/>
  <c r="NV87" i="2"/>
  <c r="NU87" i="2"/>
  <c r="NL87" i="2"/>
  <c r="NK87" i="2"/>
  <c r="NB87" i="2"/>
  <c r="NA87" i="2"/>
  <c r="MR87" i="2"/>
  <c r="MQ87" i="2"/>
  <c r="MH87" i="2"/>
  <c r="MG87" i="2"/>
  <c r="LX87" i="2"/>
  <c r="LW87" i="2"/>
  <c r="LN87" i="2"/>
  <c r="LM87" i="2"/>
  <c r="LD87" i="2"/>
  <c r="LC87" i="2"/>
  <c r="KT87" i="2"/>
  <c r="KS87" i="2"/>
  <c r="KJ87" i="2"/>
  <c r="KI87" i="2"/>
  <c r="JZ87" i="2"/>
  <c r="JY87" i="2"/>
  <c r="JP87" i="2"/>
  <c r="JO87" i="2"/>
  <c r="JF87" i="2"/>
  <c r="JE87" i="2"/>
  <c r="FH87" i="2"/>
  <c r="EZ87" i="2"/>
  <c r="ER87" i="2"/>
  <c r="EJ87" i="2"/>
  <c r="EB87" i="2"/>
  <c r="DU87" i="2"/>
  <c r="DN87" i="2"/>
  <c r="DG87" i="2"/>
  <c r="CR87" i="2"/>
  <c r="CB87" i="2"/>
  <c r="BU87" i="2"/>
  <c r="BT87" i="2"/>
  <c r="BM87" i="2"/>
  <c r="BL87" i="2"/>
  <c r="AFN86" i="2"/>
  <c r="AES86" i="2"/>
  <c r="RU86" i="2"/>
  <c r="QN86" i="2"/>
  <c r="QM86" i="2"/>
  <c r="QD86" i="2"/>
  <c r="QC86" i="2"/>
  <c r="PT86" i="2"/>
  <c r="PS86" i="2"/>
  <c r="PJ86" i="2"/>
  <c r="PI86" i="2"/>
  <c r="PA86" i="2"/>
  <c r="OZ86" i="2"/>
  <c r="PA84" i="2" s="1"/>
  <c r="OY86" i="2"/>
  <c r="OP86" i="2"/>
  <c r="OO86" i="2"/>
  <c r="OF86" i="2"/>
  <c r="OE86" i="2"/>
  <c r="NV86" i="2"/>
  <c r="NU86" i="2"/>
  <c r="NL86" i="2"/>
  <c r="NK86" i="2"/>
  <c r="NB86" i="2"/>
  <c r="NA86" i="2"/>
  <c r="MR86" i="2"/>
  <c r="MQ86" i="2"/>
  <c r="MH86" i="2"/>
  <c r="MG86" i="2"/>
  <c r="LX86" i="2"/>
  <c r="LW86" i="2"/>
  <c r="LN86" i="2"/>
  <c r="LM86" i="2"/>
  <c r="LD86" i="2"/>
  <c r="LC86" i="2"/>
  <c r="KT86" i="2"/>
  <c r="KS86" i="2"/>
  <c r="KJ86" i="2"/>
  <c r="KI86" i="2"/>
  <c r="JZ86" i="2"/>
  <c r="JY86" i="2"/>
  <c r="JP86" i="2"/>
  <c r="JO86" i="2"/>
  <c r="JF86" i="2"/>
  <c r="JE86" i="2"/>
  <c r="FH86" i="2"/>
  <c r="EZ86" i="2"/>
  <c r="ER86" i="2"/>
  <c r="EJ86" i="2"/>
  <c r="EB86" i="2"/>
  <c r="DU86" i="2"/>
  <c r="DN86" i="2"/>
  <c r="DG86" i="2"/>
  <c r="CR86" i="2"/>
  <c r="CB86" i="2"/>
  <c r="BU86" i="2"/>
  <c r="BT86" i="2"/>
  <c r="BM86" i="2"/>
  <c r="BL86" i="2"/>
  <c r="AFN85" i="2"/>
  <c r="AES85" i="2"/>
  <c r="ADG85" i="2"/>
  <c r="RU85" i="2"/>
  <c r="QN85" i="2"/>
  <c r="QM85" i="2"/>
  <c r="QD85" i="2"/>
  <c r="QC85" i="2"/>
  <c r="PT85" i="2"/>
  <c r="PS85" i="2"/>
  <c r="PJ85" i="2"/>
  <c r="PI85" i="2"/>
  <c r="OZ85" i="2"/>
  <c r="PA83" i="2" s="1"/>
  <c r="OY85" i="2"/>
  <c r="OP85" i="2"/>
  <c r="OO85" i="2"/>
  <c r="OF85" i="2"/>
  <c r="OE85" i="2"/>
  <c r="NV85" i="2"/>
  <c r="NU85" i="2"/>
  <c r="NL85" i="2"/>
  <c r="NK85" i="2"/>
  <c r="NB85" i="2"/>
  <c r="NA85" i="2"/>
  <c r="MR85" i="2"/>
  <c r="MQ85" i="2"/>
  <c r="MH85" i="2"/>
  <c r="MG85" i="2"/>
  <c r="LX85" i="2"/>
  <c r="LW85" i="2"/>
  <c r="LN85" i="2"/>
  <c r="LM85" i="2"/>
  <c r="LD85" i="2"/>
  <c r="LC85" i="2"/>
  <c r="KT85" i="2"/>
  <c r="KS85" i="2"/>
  <c r="KJ85" i="2"/>
  <c r="KI85" i="2"/>
  <c r="JZ85" i="2"/>
  <c r="JY85" i="2"/>
  <c r="JP85" i="2"/>
  <c r="JO85" i="2"/>
  <c r="JF85" i="2"/>
  <c r="JE85" i="2"/>
  <c r="FH85" i="2"/>
  <c r="EZ85" i="2"/>
  <c r="ER85" i="2"/>
  <c r="EJ85" i="2"/>
  <c r="EB85" i="2"/>
  <c r="DU85" i="2"/>
  <c r="DN85" i="2"/>
  <c r="DG85" i="2"/>
  <c r="CR85" i="2"/>
  <c r="CB85" i="2"/>
  <c r="BU85" i="2"/>
  <c r="BT85" i="2"/>
  <c r="BM85" i="2"/>
  <c r="BL85" i="2"/>
  <c r="AFN84" i="2"/>
  <c r="AES84" i="2"/>
  <c r="ADG84" i="2"/>
  <c r="RU84" i="2"/>
  <c r="QN84" i="2"/>
  <c r="QM84" i="2"/>
  <c r="QD84" i="2"/>
  <c r="QC84" i="2"/>
  <c r="PT84" i="2"/>
  <c r="PS84" i="2"/>
  <c r="PJ84" i="2"/>
  <c r="PI84" i="2"/>
  <c r="OZ84" i="2"/>
  <c r="PA82" i="2" s="1"/>
  <c r="OY84" i="2"/>
  <c r="OP84" i="2"/>
  <c r="OO84" i="2"/>
  <c r="OF84" i="2"/>
  <c r="OE84" i="2"/>
  <c r="NV84" i="2"/>
  <c r="NU84" i="2"/>
  <c r="NL84" i="2"/>
  <c r="NK84" i="2"/>
  <c r="NB84" i="2"/>
  <c r="NA84" i="2"/>
  <c r="MR84" i="2"/>
  <c r="MQ84" i="2"/>
  <c r="MH84" i="2"/>
  <c r="MG84" i="2"/>
  <c r="LX84" i="2"/>
  <c r="LW84" i="2"/>
  <c r="LN84" i="2"/>
  <c r="LM84" i="2"/>
  <c r="LD84" i="2"/>
  <c r="LC84" i="2"/>
  <c r="KT84" i="2"/>
  <c r="KS84" i="2"/>
  <c r="KJ84" i="2"/>
  <c r="KI84" i="2"/>
  <c r="JZ84" i="2"/>
  <c r="JY84" i="2"/>
  <c r="JP84" i="2"/>
  <c r="JO84" i="2"/>
  <c r="JF84" i="2"/>
  <c r="JE84" i="2"/>
  <c r="FH84" i="2"/>
  <c r="EZ84" i="2"/>
  <c r="ER84" i="2"/>
  <c r="EJ84" i="2"/>
  <c r="EB84" i="2"/>
  <c r="DU84" i="2"/>
  <c r="DN84" i="2"/>
  <c r="DG84" i="2"/>
  <c r="CR84" i="2"/>
  <c r="CB84" i="2"/>
  <c r="BU84" i="2"/>
  <c r="BT84" i="2"/>
  <c r="BM84" i="2"/>
  <c r="BL84" i="2"/>
  <c r="AFN83" i="2"/>
  <c r="AES83" i="2"/>
  <c r="ADG83" i="2"/>
  <c r="RU83" i="2"/>
  <c r="QN83" i="2"/>
  <c r="QM83" i="2"/>
  <c r="QD83" i="2"/>
  <c r="QC83" i="2"/>
  <c r="PT83" i="2"/>
  <c r="PS83" i="2"/>
  <c r="PJ83" i="2"/>
  <c r="PI83" i="2"/>
  <c r="OZ83" i="2"/>
  <c r="PA81" i="2" s="1"/>
  <c r="OY83" i="2"/>
  <c r="OP83" i="2"/>
  <c r="OO83" i="2"/>
  <c r="OF83" i="2"/>
  <c r="OE83" i="2"/>
  <c r="NV83" i="2"/>
  <c r="NU83" i="2"/>
  <c r="NL83" i="2"/>
  <c r="NK83" i="2"/>
  <c r="NB83" i="2"/>
  <c r="NA83" i="2"/>
  <c r="MR83" i="2"/>
  <c r="MQ83" i="2"/>
  <c r="MH83" i="2"/>
  <c r="MG83" i="2"/>
  <c r="LX83" i="2"/>
  <c r="LW83" i="2"/>
  <c r="LN83" i="2"/>
  <c r="LM83" i="2"/>
  <c r="LD83" i="2"/>
  <c r="LC83" i="2"/>
  <c r="KT83" i="2"/>
  <c r="KS83" i="2"/>
  <c r="KJ83" i="2"/>
  <c r="KI83" i="2"/>
  <c r="JZ83" i="2"/>
  <c r="JY83" i="2"/>
  <c r="JP83" i="2"/>
  <c r="JO83" i="2"/>
  <c r="JF83" i="2"/>
  <c r="JE83" i="2"/>
  <c r="FH83" i="2"/>
  <c r="EZ83" i="2"/>
  <c r="ER83" i="2"/>
  <c r="EJ83" i="2"/>
  <c r="EB83" i="2"/>
  <c r="DU83" i="2"/>
  <c r="DN83" i="2"/>
  <c r="DG83" i="2"/>
  <c r="CR83" i="2"/>
  <c r="CB83" i="2"/>
  <c r="BU83" i="2"/>
  <c r="BT83" i="2"/>
  <c r="BM83" i="2"/>
  <c r="BL83" i="2"/>
  <c r="AFN82" i="2"/>
  <c r="AES82" i="2"/>
  <c r="ADG82" i="2"/>
  <c r="RU82" i="2"/>
  <c r="RA82" i="2"/>
  <c r="QN82" i="2"/>
  <c r="QM82" i="2"/>
  <c r="QD82" i="2"/>
  <c r="QC82" i="2"/>
  <c r="PT82" i="2"/>
  <c r="PS82" i="2"/>
  <c r="PJ82" i="2"/>
  <c r="PI82" i="2"/>
  <c r="OZ82" i="2"/>
  <c r="PA80" i="2" s="1"/>
  <c r="OY82" i="2"/>
  <c r="OP82" i="2"/>
  <c r="OO82" i="2"/>
  <c r="OF82" i="2"/>
  <c r="OE82" i="2"/>
  <c r="NV82" i="2"/>
  <c r="NU82" i="2"/>
  <c r="NL82" i="2"/>
  <c r="NK82" i="2"/>
  <c r="NB82" i="2"/>
  <c r="NA82" i="2"/>
  <c r="MR82" i="2"/>
  <c r="MQ82" i="2"/>
  <c r="MH82" i="2"/>
  <c r="MG82" i="2"/>
  <c r="LX82" i="2"/>
  <c r="LW82" i="2"/>
  <c r="LN82" i="2"/>
  <c r="LM82" i="2"/>
  <c r="LD82" i="2"/>
  <c r="LC82" i="2"/>
  <c r="KT82" i="2"/>
  <c r="KS82" i="2"/>
  <c r="KJ82" i="2"/>
  <c r="KI82" i="2"/>
  <c r="JZ82" i="2"/>
  <c r="JY82" i="2"/>
  <c r="JP82" i="2"/>
  <c r="JO82" i="2"/>
  <c r="JF82" i="2"/>
  <c r="JE82" i="2"/>
  <c r="FH82" i="2"/>
  <c r="EZ82" i="2"/>
  <c r="ER82" i="2"/>
  <c r="EJ82" i="2"/>
  <c r="EB82" i="2"/>
  <c r="DU82" i="2"/>
  <c r="DN82" i="2"/>
  <c r="DG82" i="2"/>
  <c r="CR82" i="2"/>
  <c r="CB82" i="2"/>
  <c r="BU82" i="2"/>
  <c r="BT82" i="2"/>
  <c r="BM82" i="2"/>
  <c r="BL82" i="2"/>
  <c r="AFN81" i="2"/>
  <c r="AES81" i="2"/>
  <c r="AEE81" i="2"/>
  <c r="ADG81" i="2"/>
  <c r="RU81" i="2"/>
  <c r="QN81" i="2"/>
  <c r="QM81" i="2"/>
  <c r="QD81" i="2"/>
  <c r="QC81" i="2"/>
  <c r="PT81" i="2"/>
  <c r="PS81" i="2"/>
  <c r="PJ81" i="2"/>
  <c r="PI81" i="2"/>
  <c r="OZ81" i="2"/>
  <c r="PA79" i="2" s="1"/>
  <c r="OY81" i="2"/>
  <c r="OP81" i="2"/>
  <c r="OO81" i="2"/>
  <c r="OF81" i="2"/>
  <c r="OE81" i="2"/>
  <c r="NV81" i="2"/>
  <c r="NU81" i="2"/>
  <c r="NL81" i="2"/>
  <c r="NK81" i="2"/>
  <c r="NB81" i="2"/>
  <c r="NA81" i="2"/>
  <c r="MR81" i="2"/>
  <c r="MQ81" i="2"/>
  <c r="MH81" i="2"/>
  <c r="MG81" i="2"/>
  <c r="LX81" i="2"/>
  <c r="LW81" i="2"/>
  <c r="LN81" i="2"/>
  <c r="LM81" i="2"/>
  <c r="LD81" i="2"/>
  <c r="LC81" i="2"/>
  <c r="KT81" i="2"/>
  <c r="KS81" i="2"/>
  <c r="KJ81" i="2"/>
  <c r="KI81" i="2"/>
  <c r="JZ81" i="2"/>
  <c r="JY81" i="2"/>
  <c r="JP81" i="2"/>
  <c r="JO81" i="2"/>
  <c r="JF81" i="2"/>
  <c r="JE81" i="2"/>
  <c r="FH81" i="2"/>
  <c r="EZ81" i="2"/>
  <c r="ER81" i="2"/>
  <c r="EJ81" i="2"/>
  <c r="EB81" i="2"/>
  <c r="DU81" i="2"/>
  <c r="DN81" i="2"/>
  <c r="DG81" i="2"/>
  <c r="CR81" i="2"/>
  <c r="CB81" i="2"/>
  <c r="BU81" i="2"/>
  <c r="BT81" i="2"/>
  <c r="BM81" i="2"/>
  <c r="BL81" i="2"/>
  <c r="AFN80" i="2"/>
  <c r="AES80" i="2"/>
  <c r="ADG80" i="2"/>
  <c r="RU80" i="2"/>
  <c r="QN80" i="2"/>
  <c r="QM80" i="2"/>
  <c r="QD80" i="2"/>
  <c r="QC80" i="2"/>
  <c r="PT80" i="2"/>
  <c r="PS80" i="2"/>
  <c r="PJ80" i="2"/>
  <c r="PI80" i="2"/>
  <c r="OZ80" i="2"/>
  <c r="PA78" i="2" s="1"/>
  <c r="OY80" i="2"/>
  <c r="OP80" i="2"/>
  <c r="OO80" i="2"/>
  <c r="OF80" i="2"/>
  <c r="OE80" i="2"/>
  <c r="NV80" i="2"/>
  <c r="NU80" i="2"/>
  <c r="NL80" i="2"/>
  <c r="NK80" i="2"/>
  <c r="NB80" i="2"/>
  <c r="NA80" i="2"/>
  <c r="MR80" i="2"/>
  <c r="MQ80" i="2"/>
  <c r="MH80" i="2"/>
  <c r="MG80" i="2"/>
  <c r="LX80" i="2"/>
  <c r="LW80" i="2"/>
  <c r="LN80" i="2"/>
  <c r="LM80" i="2"/>
  <c r="LD80" i="2"/>
  <c r="LC80" i="2"/>
  <c r="KT80" i="2"/>
  <c r="KS80" i="2"/>
  <c r="KJ80" i="2"/>
  <c r="KI80" i="2"/>
  <c r="JZ80" i="2"/>
  <c r="JY80" i="2"/>
  <c r="JP80" i="2"/>
  <c r="JO80" i="2"/>
  <c r="JF80" i="2"/>
  <c r="JE80" i="2"/>
  <c r="FH80" i="2"/>
  <c r="EZ80" i="2"/>
  <c r="ER80" i="2"/>
  <c r="EB80" i="2"/>
  <c r="DU80" i="2"/>
  <c r="DN80" i="2"/>
  <c r="DG80" i="2"/>
  <c r="CR80" i="2"/>
  <c r="CB80" i="2"/>
  <c r="BU80" i="2"/>
  <c r="BT80" i="2"/>
  <c r="BM80" i="2"/>
  <c r="BL80" i="2"/>
  <c r="AFN79" i="2"/>
  <c r="AES79" i="2"/>
  <c r="ADW79" i="2"/>
  <c r="ADG79" i="2"/>
  <c r="RU79" i="2"/>
  <c r="QN79" i="2"/>
  <c r="QM79" i="2"/>
  <c r="QD79" i="2"/>
  <c r="QC79" i="2"/>
  <c r="PT79" i="2"/>
  <c r="PS79" i="2"/>
  <c r="PJ79" i="2"/>
  <c r="PI79" i="2"/>
  <c r="OZ79" i="2"/>
  <c r="PA77" i="2" s="1"/>
  <c r="OY79" i="2"/>
  <c r="OP79" i="2"/>
  <c r="OO79" i="2"/>
  <c r="OF79" i="2"/>
  <c r="OE79" i="2"/>
  <c r="NV79" i="2"/>
  <c r="NU79" i="2"/>
  <c r="NL79" i="2"/>
  <c r="NK79" i="2"/>
  <c r="NB79" i="2"/>
  <c r="NA79" i="2"/>
  <c r="MR79" i="2"/>
  <c r="MQ79" i="2"/>
  <c r="MH79" i="2"/>
  <c r="MG79" i="2"/>
  <c r="LX79" i="2"/>
  <c r="LW79" i="2"/>
  <c r="LN79" i="2"/>
  <c r="LM79" i="2"/>
  <c r="LD79" i="2"/>
  <c r="LC79" i="2"/>
  <c r="KT79" i="2"/>
  <c r="KS79" i="2"/>
  <c r="KJ79" i="2"/>
  <c r="KI79" i="2"/>
  <c r="JZ79" i="2"/>
  <c r="JY79" i="2"/>
  <c r="JP79" i="2"/>
  <c r="JO79" i="2"/>
  <c r="JF79" i="2"/>
  <c r="JE79" i="2"/>
  <c r="FH79" i="2"/>
  <c r="EZ79" i="2"/>
  <c r="ER79" i="2"/>
  <c r="EB79" i="2"/>
  <c r="DU79" i="2"/>
  <c r="DN79" i="2"/>
  <c r="DG79" i="2"/>
  <c r="CR79" i="2"/>
  <c r="CB79" i="2"/>
  <c r="BU79" i="2"/>
  <c r="BT79" i="2"/>
  <c r="BM79" i="2"/>
  <c r="BL79" i="2"/>
  <c r="AFN78" i="2"/>
  <c r="AES78" i="2"/>
  <c r="ADG78" i="2"/>
  <c r="RU78" i="2"/>
  <c r="QN78" i="2"/>
  <c r="QM78" i="2"/>
  <c r="QD78" i="2"/>
  <c r="QC78" i="2"/>
  <c r="PT78" i="2"/>
  <c r="PS78" i="2"/>
  <c r="PJ78" i="2"/>
  <c r="PI78" i="2"/>
  <c r="OZ78" i="2"/>
  <c r="PA76" i="2" s="1"/>
  <c r="OY78" i="2"/>
  <c r="OP78" i="2"/>
  <c r="OO78" i="2"/>
  <c r="OF78" i="2"/>
  <c r="OE78" i="2"/>
  <c r="NV78" i="2"/>
  <c r="NU78" i="2"/>
  <c r="NL78" i="2"/>
  <c r="NK78" i="2"/>
  <c r="NB78" i="2"/>
  <c r="NA78" i="2"/>
  <c r="MR78" i="2"/>
  <c r="MQ78" i="2"/>
  <c r="MH78" i="2"/>
  <c r="MG78" i="2"/>
  <c r="LX78" i="2"/>
  <c r="LW78" i="2"/>
  <c r="LN78" i="2"/>
  <c r="LM78" i="2"/>
  <c r="LD78" i="2"/>
  <c r="LC78" i="2"/>
  <c r="KT78" i="2"/>
  <c r="KS78" i="2"/>
  <c r="KJ78" i="2"/>
  <c r="KI78" i="2"/>
  <c r="JZ78" i="2"/>
  <c r="JY78" i="2"/>
  <c r="JP78" i="2"/>
  <c r="JO78" i="2"/>
  <c r="JF78" i="2"/>
  <c r="JE78" i="2"/>
  <c r="FH78" i="2"/>
  <c r="EZ78" i="2"/>
  <c r="ER78" i="2"/>
  <c r="EB78" i="2"/>
  <c r="DU78" i="2"/>
  <c r="DN78" i="2"/>
  <c r="DG78" i="2"/>
  <c r="CR78" i="2"/>
  <c r="CB78" i="2"/>
  <c r="BU78" i="2"/>
  <c r="BT78" i="2"/>
  <c r="BM78" i="2"/>
  <c r="BL78" i="2"/>
  <c r="AFN77" i="2"/>
  <c r="AES77" i="2"/>
  <c r="ADG77" i="2"/>
  <c r="RU77" i="2"/>
  <c r="QN77" i="2"/>
  <c r="QM77" i="2"/>
  <c r="QD77" i="2"/>
  <c r="QC77" i="2"/>
  <c r="PT77" i="2"/>
  <c r="PS77" i="2"/>
  <c r="PJ77" i="2"/>
  <c r="PI77" i="2"/>
  <c r="OZ77" i="2"/>
  <c r="PA75" i="2" s="1"/>
  <c r="OY77" i="2"/>
  <c r="OP77" i="2"/>
  <c r="OO77" i="2"/>
  <c r="OF77" i="2"/>
  <c r="OE77" i="2"/>
  <c r="NV77" i="2"/>
  <c r="NU77" i="2"/>
  <c r="NL77" i="2"/>
  <c r="NK77" i="2"/>
  <c r="NB77" i="2"/>
  <c r="NA77" i="2"/>
  <c r="MR77" i="2"/>
  <c r="MQ77" i="2"/>
  <c r="MH77" i="2"/>
  <c r="MG77" i="2"/>
  <c r="LX77" i="2"/>
  <c r="LW77" i="2"/>
  <c r="LN77" i="2"/>
  <c r="LM77" i="2"/>
  <c r="LD77" i="2"/>
  <c r="LC77" i="2"/>
  <c r="KT77" i="2"/>
  <c r="KS77" i="2"/>
  <c r="KJ77" i="2"/>
  <c r="KI77" i="2"/>
  <c r="JZ77" i="2"/>
  <c r="JY77" i="2"/>
  <c r="JP77" i="2"/>
  <c r="JO77" i="2"/>
  <c r="JF77" i="2"/>
  <c r="JE77" i="2"/>
  <c r="FH77" i="2"/>
  <c r="EZ77" i="2"/>
  <c r="ER77" i="2"/>
  <c r="EB77" i="2"/>
  <c r="DU77" i="2"/>
  <c r="DN77" i="2"/>
  <c r="DG77" i="2"/>
  <c r="CR77" i="2"/>
  <c r="CB77" i="2"/>
  <c r="BU77" i="2"/>
  <c r="BT77" i="2"/>
  <c r="BM77" i="2"/>
  <c r="BL77" i="2"/>
  <c r="AFN76" i="2"/>
  <c r="AES76" i="2"/>
  <c r="ADP76" i="2"/>
  <c r="ADG76" i="2"/>
  <c r="RU76" i="2"/>
  <c r="QN76" i="2"/>
  <c r="QM76" i="2"/>
  <c r="QD76" i="2"/>
  <c r="QC76" i="2"/>
  <c r="PT76" i="2"/>
  <c r="PS76" i="2"/>
  <c r="PJ76" i="2"/>
  <c r="PI76" i="2"/>
  <c r="OZ76" i="2"/>
  <c r="PA74" i="2" s="1"/>
  <c r="OY76" i="2"/>
  <c r="OP76" i="2"/>
  <c r="OO76" i="2"/>
  <c r="OF76" i="2"/>
  <c r="OE76" i="2"/>
  <c r="NV76" i="2"/>
  <c r="NU76" i="2"/>
  <c r="NL76" i="2"/>
  <c r="NK76" i="2"/>
  <c r="NB76" i="2"/>
  <c r="NA76" i="2"/>
  <c r="MR76" i="2"/>
  <c r="MQ76" i="2"/>
  <c r="MH76" i="2"/>
  <c r="MG76" i="2"/>
  <c r="LX76" i="2"/>
  <c r="LW76" i="2"/>
  <c r="LN76" i="2"/>
  <c r="LM76" i="2"/>
  <c r="LD76" i="2"/>
  <c r="LC76" i="2"/>
  <c r="KT76" i="2"/>
  <c r="KS76" i="2"/>
  <c r="KJ76" i="2"/>
  <c r="KI76" i="2"/>
  <c r="JZ76" i="2"/>
  <c r="JY76" i="2"/>
  <c r="JP76" i="2"/>
  <c r="JO76" i="2"/>
  <c r="JF76" i="2"/>
  <c r="JE76" i="2"/>
  <c r="FH76" i="2"/>
  <c r="EZ76" i="2"/>
  <c r="ER76" i="2"/>
  <c r="EB76" i="2"/>
  <c r="DU76" i="2"/>
  <c r="DN76" i="2"/>
  <c r="DG76" i="2"/>
  <c r="CR76" i="2"/>
  <c r="CB76" i="2"/>
  <c r="BU76" i="2"/>
  <c r="BT76" i="2"/>
  <c r="BM76" i="2"/>
  <c r="BL76" i="2"/>
  <c r="AFN75" i="2"/>
  <c r="AES75" i="2"/>
  <c r="ADG75" i="2"/>
  <c r="RU75" i="2"/>
  <c r="QN75" i="2"/>
  <c r="QM75" i="2"/>
  <c r="QD75" i="2"/>
  <c r="QC75" i="2"/>
  <c r="PT75" i="2"/>
  <c r="PS75" i="2"/>
  <c r="PJ75" i="2"/>
  <c r="PI75" i="2"/>
  <c r="OZ75" i="2"/>
  <c r="PA73" i="2" s="1"/>
  <c r="OY75" i="2"/>
  <c r="OP75" i="2"/>
  <c r="OO75" i="2"/>
  <c r="OF75" i="2"/>
  <c r="OE75" i="2"/>
  <c r="NV75" i="2"/>
  <c r="NU75" i="2"/>
  <c r="NL75" i="2"/>
  <c r="NK75" i="2"/>
  <c r="NB75" i="2"/>
  <c r="NA75" i="2"/>
  <c r="MR75" i="2"/>
  <c r="MQ75" i="2"/>
  <c r="MH75" i="2"/>
  <c r="MG75" i="2"/>
  <c r="LX75" i="2"/>
  <c r="LW75" i="2"/>
  <c r="LN75" i="2"/>
  <c r="LM75" i="2"/>
  <c r="LD75" i="2"/>
  <c r="LC75" i="2"/>
  <c r="KT75" i="2"/>
  <c r="KS75" i="2"/>
  <c r="KJ75" i="2"/>
  <c r="KI75" i="2"/>
  <c r="JZ75" i="2"/>
  <c r="JY75" i="2"/>
  <c r="JP75" i="2"/>
  <c r="JO75" i="2"/>
  <c r="JF75" i="2"/>
  <c r="JE75" i="2"/>
  <c r="FH75" i="2"/>
  <c r="EZ75" i="2"/>
  <c r="EB75" i="2"/>
  <c r="DU75" i="2"/>
  <c r="DN75" i="2"/>
  <c r="DG75" i="2"/>
  <c r="CR75" i="2"/>
  <c r="CB75" i="2"/>
  <c r="BU75" i="2"/>
  <c r="BT75" i="2"/>
  <c r="BM75" i="2"/>
  <c r="BL75" i="2"/>
  <c r="AFN74" i="2"/>
  <c r="AES74" i="2"/>
  <c r="ADP74" i="2"/>
  <c r="ADG74" i="2"/>
  <c r="RU74" i="2"/>
  <c r="QN74" i="2"/>
  <c r="QM74" i="2"/>
  <c r="QD74" i="2"/>
  <c r="QC74" i="2"/>
  <c r="PT74" i="2"/>
  <c r="PS74" i="2"/>
  <c r="PJ74" i="2"/>
  <c r="PI74" i="2"/>
  <c r="OZ74" i="2"/>
  <c r="PA72" i="2" s="1"/>
  <c r="OY74" i="2"/>
  <c r="OP74" i="2"/>
  <c r="OO74" i="2"/>
  <c r="OF74" i="2"/>
  <c r="OE74" i="2"/>
  <c r="NV74" i="2"/>
  <c r="NU74" i="2"/>
  <c r="NL74" i="2"/>
  <c r="NK74" i="2"/>
  <c r="NB74" i="2"/>
  <c r="NA74" i="2"/>
  <c r="MR74" i="2"/>
  <c r="MQ74" i="2"/>
  <c r="MH74" i="2"/>
  <c r="MG74" i="2"/>
  <c r="LX74" i="2"/>
  <c r="LW74" i="2"/>
  <c r="LN74" i="2"/>
  <c r="LM74" i="2"/>
  <c r="LD74" i="2"/>
  <c r="LC74" i="2"/>
  <c r="KT74" i="2"/>
  <c r="KS74" i="2"/>
  <c r="KJ74" i="2"/>
  <c r="KI74" i="2"/>
  <c r="JZ74" i="2"/>
  <c r="JY74" i="2"/>
  <c r="JP74" i="2"/>
  <c r="JO74" i="2"/>
  <c r="JF74" i="2"/>
  <c r="JE74" i="2"/>
  <c r="FH74" i="2"/>
  <c r="EZ74" i="2"/>
  <c r="EB74" i="2"/>
  <c r="DU74" i="2"/>
  <c r="DN74" i="2"/>
  <c r="DG74" i="2"/>
  <c r="CR74" i="2"/>
  <c r="CB74" i="2"/>
  <c r="BU74" i="2"/>
  <c r="BT74" i="2"/>
  <c r="BM74" i="2"/>
  <c r="BL74" i="2"/>
  <c r="AFN73" i="2"/>
  <c r="AES73" i="2"/>
  <c r="ADG73" i="2"/>
  <c r="RU73" i="2"/>
  <c r="QN73" i="2"/>
  <c r="QM73" i="2"/>
  <c r="QD73" i="2"/>
  <c r="QC73" i="2"/>
  <c r="PT73" i="2"/>
  <c r="PS73" i="2"/>
  <c r="PJ73" i="2"/>
  <c r="PI73" i="2"/>
  <c r="OZ73" i="2"/>
  <c r="PA71" i="2" s="1"/>
  <c r="OY73" i="2"/>
  <c r="OP73" i="2"/>
  <c r="OO73" i="2"/>
  <c r="OF73" i="2"/>
  <c r="OE73" i="2"/>
  <c r="NV73" i="2"/>
  <c r="NU73" i="2"/>
  <c r="NL73" i="2"/>
  <c r="NK73" i="2"/>
  <c r="NB73" i="2"/>
  <c r="NA73" i="2"/>
  <c r="MR73" i="2"/>
  <c r="MQ73" i="2"/>
  <c r="MH73" i="2"/>
  <c r="MG73" i="2"/>
  <c r="LX73" i="2"/>
  <c r="LW73" i="2"/>
  <c r="LN73" i="2"/>
  <c r="LM73" i="2"/>
  <c r="LD73" i="2"/>
  <c r="LC73" i="2"/>
  <c r="KT73" i="2"/>
  <c r="KS73" i="2"/>
  <c r="KJ73" i="2"/>
  <c r="KI73" i="2"/>
  <c r="JZ73" i="2"/>
  <c r="JY73" i="2"/>
  <c r="JP73" i="2"/>
  <c r="JO73" i="2"/>
  <c r="JF73" i="2"/>
  <c r="JE73" i="2"/>
  <c r="FH73" i="2"/>
  <c r="EZ73" i="2"/>
  <c r="EB73" i="2"/>
  <c r="DU73" i="2"/>
  <c r="DN73" i="2"/>
  <c r="DG73" i="2"/>
  <c r="CR73" i="2"/>
  <c r="CB73" i="2"/>
  <c r="BU73" i="2"/>
  <c r="BT73" i="2"/>
  <c r="BM73" i="2"/>
  <c r="BL73" i="2"/>
  <c r="AFN72" i="2"/>
  <c r="AES72" i="2"/>
  <c r="ADG72" i="2"/>
  <c r="RU72" i="2"/>
  <c r="QN72" i="2"/>
  <c r="QM72" i="2"/>
  <c r="QD72" i="2"/>
  <c r="QC72" i="2"/>
  <c r="PT72" i="2"/>
  <c r="PS72" i="2"/>
  <c r="PJ72" i="2"/>
  <c r="PI72" i="2"/>
  <c r="OZ72" i="2"/>
  <c r="PA70" i="2" s="1"/>
  <c r="OY72" i="2"/>
  <c r="OP72" i="2"/>
  <c r="OO72" i="2"/>
  <c r="OF72" i="2"/>
  <c r="OE72" i="2"/>
  <c r="NV72" i="2"/>
  <c r="NU72" i="2"/>
  <c r="NL72" i="2"/>
  <c r="NK72" i="2"/>
  <c r="NB72" i="2"/>
  <c r="NA72" i="2"/>
  <c r="MR72" i="2"/>
  <c r="MQ72" i="2"/>
  <c r="MH72" i="2"/>
  <c r="MG72" i="2"/>
  <c r="LX72" i="2"/>
  <c r="LW72" i="2"/>
  <c r="LN72" i="2"/>
  <c r="LM72" i="2"/>
  <c r="LD72" i="2"/>
  <c r="LC72" i="2"/>
  <c r="KT72" i="2"/>
  <c r="KS72" i="2"/>
  <c r="KJ72" i="2"/>
  <c r="KI72" i="2"/>
  <c r="JZ72" i="2"/>
  <c r="JY72" i="2"/>
  <c r="JP72" i="2"/>
  <c r="JO72" i="2"/>
  <c r="JF72" i="2"/>
  <c r="JE72" i="2"/>
  <c r="FH72" i="2"/>
  <c r="EZ72" i="2"/>
  <c r="ER72" i="2"/>
  <c r="EJ72" i="2"/>
  <c r="EB72" i="2"/>
  <c r="DU72" i="2"/>
  <c r="DN72" i="2"/>
  <c r="DG72" i="2"/>
  <c r="CR72" i="2"/>
  <c r="CB72" i="2"/>
  <c r="BU72" i="2"/>
  <c r="BT72" i="2"/>
  <c r="BM72" i="2"/>
  <c r="BL72" i="2"/>
  <c r="AFN71" i="2"/>
  <c r="AES71" i="2"/>
  <c r="ADW71" i="2"/>
  <c r="ADG71" i="2"/>
  <c r="RU71" i="2"/>
  <c r="QN71" i="2"/>
  <c r="QM71" i="2"/>
  <c r="QD71" i="2"/>
  <c r="QC71" i="2"/>
  <c r="PT71" i="2"/>
  <c r="PS71" i="2"/>
  <c r="PJ71" i="2"/>
  <c r="PI71" i="2"/>
  <c r="OZ71" i="2"/>
  <c r="PA69" i="2" s="1"/>
  <c r="OY71" i="2"/>
  <c r="OP71" i="2"/>
  <c r="OO71" i="2"/>
  <c r="OF71" i="2"/>
  <c r="OE71" i="2"/>
  <c r="NV71" i="2"/>
  <c r="NU71" i="2"/>
  <c r="NL71" i="2"/>
  <c r="NK71" i="2"/>
  <c r="NB71" i="2"/>
  <c r="NA71" i="2"/>
  <c r="MR71" i="2"/>
  <c r="MQ71" i="2"/>
  <c r="MH71" i="2"/>
  <c r="MG71" i="2"/>
  <c r="LX71" i="2"/>
  <c r="LW71" i="2"/>
  <c r="LN71" i="2"/>
  <c r="LM71" i="2"/>
  <c r="LD71" i="2"/>
  <c r="LC71" i="2"/>
  <c r="KT71" i="2"/>
  <c r="KS71" i="2"/>
  <c r="KJ71" i="2"/>
  <c r="KI71" i="2"/>
  <c r="JZ71" i="2"/>
  <c r="JY71" i="2"/>
  <c r="JP71" i="2"/>
  <c r="JO71" i="2"/>
  <c r="JF71" i="2"/>
  <c r="JE71" i="2"/>
  <c r="FH71" i="2"/>
  <c r="EZ71" i="2"/>
  <c r="ER71" i="2"/>
  <c r="EJ71" i="2"/>
  <c r="EB71" i="2"/>
  <c r="DU71" i="2"/>
  <c r="DN71" i="2"/>
  <c r="DG71" i="2"/>
  <c r="CR71" i="2"/>
  <c r="CB71" i="2"/>
  <c r="BU71" i="2"/>
  <c r="BT71" i="2"/>
  <c r="BM71" i="2"/>
  <c r="BL71" i="2"/>
  <c r="AFN70" i="2"/>
  <c r="AFA70" i="2"/>
  <c r="AES70" i="2"/>
  <c r="AEL70" i="2"/>
  <c r="ADG70" i="2"/>
  <c r="RU70" i="2"/>
  <c r="QN70" i="2"/>
  <c r="QM70" i="2"/>
  <c r="QD70" i="2"/>
  <c r="QC70" i="2"/>
  <c r="PT70" i="2"/>
  <c r="PS70" i="2"/>
  <c r="PJ70" i="2"/>
  <c r="PK70" i="2" s="1"/>
  <c r="PI70" i="2"/>
  <c r="OZ70" i="2"/>
  <c r="PA68" i="2" s="1"/>
  <c r="OY70" i="2"/>
  <c r="OP70" i="2"/>
  <c r="OO70" i="2"/>
  <c r="OF70" i="2"/>
  <c r="OE70" i="2"/>
  <c r="NV70" i="2"/>
  <c r="NU70" i="2"/>
  <c r="NL70" i="2"/>
  <c r="NK70" i="2"/>
  <c r="NB70" i="2"/>
  <c r="NA70" i="2"/>
  <c r="MR70" i="2"/>
  <c r="MQ70" i="2"/>
  <c r="MH70" i="2"/>
  <c r="MG70" i="2"/>
  <c r="LX70" i="2"/>
  <c r="LW70" i="2"/>
  <c r="LN70" i="2"/>
  <c r="LM70" i="2"/>
  <c r="LD70" i="2"/>
  <c r="LC70" i="2"/>
  <c r="KT70" i="2"/>
  <c r="KS70" i="2"/>
  <c r="KJ70" i="2"/>
  <c r="KI70" i="2"/>
  <c r="JZ70" i="2"/>
  <c r="JY70" i="2"/>
  <c r="JP70" i="2"/>
  <c r="JO70" i="2"/>
  <c r="JF70" i="2"/>
  <c r="JE70" i="2"/>
  <c r="FH70" i="2"/>
  <c r="EZ70" i="2"/>
  <c r="ER70" i="2"/>
  <c r="EJ70" i="2"/>
  <c r="EB70" i="2"/>
  <c r="DU70" i="2"/>
  <c r="DN70" i="2"/>
  <c r="DG70" i="2"/>
  <c r="CR70" i="2"/>
  <c r="CB70" i="2"/>
  <c r="BU70" i="2"/>
  <c r="BT70" i="2"/>
  <c r="BM70" i="2"/>
  <c r="BL70" i="2"/>
  <c r="AFN69" i="2"/>
  <c r="AES69" i="2"/>
  <c r="ADG69" i="2"/>
  <c r="RU69" i="2"/>
  <c r="QN69" i="2"/>
  <c r="QM69" i="2"/>
  <c r="QD69" i="2"/>
  <c r="QC69" i="2"/>
  <c r="PT69" i="2"/>
  <c r="PS69" i="2"/>
  <c r="PJ69" i="2"/>
  <c r="PI69" i="2"/>
  <c r="OZ69" i="2"/>
  <c r="PA67" i="2" s="1"/>
  <c r="OY69" i="2"/>
  <c r="OP69" i="2"/>
  <c r="OO69" i="2"/>
  <c r="OF69" i="2"/>
  <c r="OE69" i="2"/>
  <c r="NV69" i="2"/>
  <c r="NU69" i="2"/>
  <c r="NL69" i="2"/>
  <c r="NK69" i="2"/>
  <c r="NB69" i="2"/>
  <c r="NA69" i="2"/>
  <c r="MR69" i="2"/>
  <c r="MQ69" i="2"/>
  <c r="MH69" i="2"/>
  <c r="MG69" i="2"/>
  <c r="LX69" i="2"/>
  <c r="LW69" i="2"/>
  <c r="LN69" i="2"/>
  <c r="LM69" i="2"/>
  <c r="LD69" i="2"/>
  <c r="LC69" i="2"/>
  <c r="KT69" i="2"/>
  <c r="KS69" i="2"/>
  <c r="KJ69" i="2"/>
  <c r="KI69" i="2"/>
  <c r="JZ69" i="2"/>
  <c r="JY69" i="2"/>
  <c r="JP69" i="2"/>
  <c r="JO69" i="2"/>
  <c r="JF69" i="2"/>
  <c r="JE69" i="2"/>
  <c r="FH69" i="2"/>
  <c r="EZ69" i="2"/>
  <c r="ER69" i="2"/>
  <c r="EJ69" i="2"/>
  <c r="EB69" i="2"/>
  <c r="DU69" i="2"/>
  <c r="DN69" i="2"/>
  <c r="DG69" i="2"/>
  <c r="CR69" i="2"/>
  <c r="CB69" i="2"/>
  <c r="BU69" i="2"/>
  <c r="BT69" i="2"/>
  <c r="BM69" i="2"/>
  <c r="BL69" i="2"/>
  <c r="AFN68" i="2"/>
  <c r="AES68" i="2"/>
  <c r="ADG68" i="2"/>
  <c r="RU68" i="2"/>
  <c r="QN68" i="2"/>
  <c r="QM68" i="2"/>
  <c r="QD68" i="2"/>
  <c r="QC68" i="2"/>
  <c r="PT68" i="2"/>
  <c r="PS68" i="2"/>
  <c r="PJ68" i="2"/>
  <c r="PI68" i="2"/>
  <c r="OZ68" i="2"/>
  <c r="PA66" i="2" s="1"/>
  <c r="OY68" i="2"/>
  <c r="OP68" i="2"/>
  <c r="OO68" i="2"/>
  <c r="OF68" i="2"/>
  <c r="OE68" i="2"/>
  <c r="NV68" i="2"/>
  <c r="NU68" i="2"/>
  <c r="NL68" i="2"/>
  <c r="NK68" i="2"/>
  <c r="NB68" i="2"/>
  <c r="NA68" i="2"/>
  <c r="MR68" i="2"/>
  <c r="MQ68" i="2"/>
  <c r="MH68" i="2"/>
  <c r="MG68" i="2"/>
  <c r="LX68" i="2"/>
  <c r="LW68" i="2"/>
  <c r="LN68" i="2"/>
  <c r="LM68" i="2"/>
  <c r="LD68" i="2"/>
  <c r="LC68" i="2"/>
  <c r="KT68" i="2"/>
  <c r="KS68" i="2"/>
  <c r="KJ68" i="2"/>
  <c r="KI68" i="2"/>
  <c r="JZ68" i="2"/>
  <c r="JY68" i="2"/>
  <c r="JP68" i="2"/>
  <c r="JO68" i="2"/>
  <c r="JF68" i="2"/>
  <c r="JE68" i="2"/>
  <c r="FH68" i="2"/>
  <c r="EZ68" i="2"/>
  <c r="ER68" i="2"/>
  <c r="EJ68" i="2"/>
  <c r="EB68" i="2"/>
  <c r="DU68" i="2"/>
  <c r="DN68" i="2"/>
  <c r="DG68" i="2"/>
  <c r="CR68" i="2"/>
  <c r="CB68" i="2"/>
  <c r="BU68" i="2"/>
  <c r="BT68" i="2"/>
  <c r="BM68" i="2"/>
  <c r="BL68" i="2"/>
  <c r="AFN67" i="2"/>
  <c r="AES67" i="2"/>
  <c r="ADP67" i="2"/>
  <c r="ADG67" i="2"/>
  <c r="RU67" i="2"/>
  <c r="QN67" i="2"/>
  <c r="QM67" i="2"/>
  <c r="QD67" i="2"/>
  <c r="QC67" i="2"/>
  <c r="PT67" i="2"/>
  <c r="PS67" i="2"/>
  <c r="PJ67" i="2"/>
  <c r="PI67" i="2"/>
  <c r="OZ67" i="2"/>
  <c r="PA65" i="2" s="1"/>
  <c r="OY67" i="2"/>
  <c r="OP67" i="2"/>
  <c r="OO67" i="2"/>
  <c r="OF67" i="2"/>
  <c r="OE67" i="2"/>
  <c r="NV67" i="2"/>
  <c r="NU67" i="2"/>
  <c r="NL67" i="2"/>
  <c r="NK67" i="2"/>
  <c r="NB67" i="2"/>
  <c r="NA67" i="2"/>
  <c r="MR67" i="2"/>
  <c r="MQ67" i="2"/>
  <c r="MH67" i="2"/>
  <c r="MG67" i="2"/>
  <c r="LX67" i="2"/>
  <c r="LW67" i="2"/>
  <c r="LN67" i="2"/>
  <c r="LM67" i="2"/>
  <c r="LD67" i="2"/>
  <c r="LC67" i="2"/>
  <c r="KT67" i="2"/>
  <c r="KS67" i="2"/>
  <c r="KJ67" i="2"/>
  <c r="KI67" i="2"/>
  <c r="JZ67" i="2"/>
  <c r="JY67" i="2"/>
  <c r="JP67" i="2"/>
  <c r="JO67" i="2"/>
  <c r="JF67" i="2"/>
  <c r="JE67" i="2"/>
  <c r="FH67" i="2"/>
  <c r="EZ67" i="2"/>
  <c r="ER67" i="2"/>
  <c r="EJ67" i="2"/>
  <c r="EB67" i="2"/>
  <c r="DU67" i="2"/>
  <c r="DN67" i="2"/>
  <c r="DG67" i="2"/>
  <c r="CR67" i="2"/>
  <c r="CB67" i="2"/>
  <c r="BU67" i="2"/>
  <c r="BT67" i="2"/>
  <c r="BM67" i="2"/>
  <c r="BL67" i="2"/>
  <c r="AFN66" i="2"/>
  <c r="AES66" i="2"/>
  <c r="AEE66" i="2"/>
  <c r="RU66" i="2"/>
  <c r="QN66" i="2"/>
  <c r="QM66" i="2"/>
  <c r="QD66" i="2"/>
  <c r="QC66" i="2"/>
  <c r="PT66" i="2"/>
  <c r="PS66" i="2"/>
  <c r="PJ66" i="2"/>
  <c r="PI66" i="2"/>
  <c r="OZ66" i="2"/>
  <c r="PA64" i="2" s="1"/>
  <c r="OY66" i="2"/>
  <c r="OP66" i="2"/>
  <c r="OO66" i="2"/>
  <c r="OF66" i="2"/>
  <c r="OE66" i="2"/>
  <c r="NV66" i="2"/>
  <c r="NU66" i="2"/>
  <c r="NL66" i="2"/>
  <c r="NK66" i="2"/>
  <c r="NB66" i="2"/>
  <c r="NA66" i="2"/>
  <c r="MR66" i="2"/>
  <c r="MQ66" i="2"/>
  <c r="MH66" i="2"/>
  <c r="MG66" i="2"/>
  <c r="LX66" i="2"/>
  <c r="LW66" i="2"/>
  <c r="LN66" i="2"/>
  <c r="LM66" i="2"/>
  <c r="LD66" i="2"/>
  <c r="LC66" i="2"/>
  <c r="KT66" i="2"/>
  <c r="KS66" i="2"/>
  <c r="KJ66" i="2"/>
  <c r="KI66" i="2"/>
  <c r="JZ66" i="2"/>
  <c r="JY66" i="2"/>
  <c r="JP66" i="2"/>
  <c r="JO66" i="2"/>
  <c r="JF66" i="2"/>
  <c r="JE66" i="2"/>
  <c r="FH66" i="2"/>
  <c r="EZ66" i="2"/>
  <c r="ER66" i="2"/>
  <c r="EJ66" i="2"/>
  <c r="EB66" i="2"/>
  <c r="DU66" i="2"/>
  <c r="DN66" i="2"/>
  <c r="DG66" i="2"/>
  <c r="CR66" i="2"/>
  <c r="CB66" i="2"/>
  <c r="BU66" i="2"/>
  <c r="BT66" i="2"/>
  <c r="BM66" i="2"/>
  <c r="BL66" i="2"/>
  <c r="AFN65" i="2"/>
  <c r="AES65" i="2"/>
  <c r="AEE65" i="2"/>
  <c r="RU65" i="2"/>
  <c r="QN65" i="2"/>
  <c r="QM65" i="2"/>
  <c r="QD65" i="2"/>
  <c r="QC65" i="2"/>
  <c r="PT65" i="2"/>
  <c r="PS65" i="2"/>
  <c r="PJ65" i="2"/>
  <c r="PI65" i="2"/>
  <c r="OZ65" i="2"/>
  <c r="PA63" i="2" s="1"/>
  <c r="OY65" i="2"/>
  <c r="OP65" i="2"/>
  <c r="OO65" i="2"/>
  <c r="OF65" i="2"/>
  <c r="OE65" i="2"/>
  <c r="NV65" i="2"/>
  <c r="NU65" i="2"/>
  <c r="NL65" i="2"/>
  <c r="NK65" i="2"/>
  <c r="NB65" i="2"/>
  <c r="NA65" i="2"/>
  <c r="MR65" i="2"/>
  <c r="MQ65" i="2"/>
  <c r="MH65" i="2"/>
  <c r="MG65" i="2"/>
  <c r="LX65" i="2"/>
  <c r="LW65" i="2"/>
  <c r="LN65" i="2"/>
  <c r="LM65" i="2"/>
  <c r="LD65" i="2"/>
  <c r="LC65" i="2"/>
  <c r="KT65" i="2"/>
  <c r="KS65" i="2"/>
  <c r="KJ65" i="2"/>
  <c r="KI65" i="2"/>
  <c r="JZ65" i="2"/>
  <c r="JY65" i="2"/>
  <c r="JP65" i="2"/>
  <c r="JO65" i="2"/>
  <c r="JF65" i="2"/>
  <c r="JE65" i="2"/>
  <c r="FH65" i="2"/>
  <c r="EZ65" i="2"/>
  <c r="ER65" i="2"/>
  <c r="EJ65" i="2"/>
  <c r="EB65" i="2"/>
  <c r="DU65" i="2"/>
  <c r="DN65" i="2"/>
  <c r="DG65" i="2"/>
  <c r="CR65" i="2"/>
  <c r="CB65" i="2"/>
  <c r="BU65" i="2"/>
  <c r="BT65" i="2"/>
  <c r="BM65" i="2"/>
  <c r="BL65" i="2"/>
  <c r="AFN64" i="2"/>
  <c r="AES64" i="2"/>
  <c r="RU64" i="2"/>
  <c r="QN64" i="2"/>
  <c r="QM64" i="2"/>
  <c r="QD64" i="2"/>
  <c r="QC64" i="2"/>
  <c r="PT64" i="2"/>
  <c r="PS64" i="2"/>
  <c r="PJ64" i="2"/>
  <c r="PI64" i="2"/>
  <c r="OZ64" i="2"/>
  <c r="PA62" i="2" s="1"/>
  <c r="OY64" i="2"/>
  <c r="OP64" i="2"/>
  <c r="OO64" i="2"/>
  <c r="OF64" i="2"/>
  <c r="OE64" i="2"/>
  <c r="NV64" i="2"/>
  <c r="NU64" i="2"/>
  <c r="NL64" i="2"/>
  <c r="NK64" i="2"/>
  <c r="NB64" i="2"/>
  <c r="NA64" i="2"/>
  <c r="MR64" i="2"/>
  <c r="MQ64" i="2"/>
  <c r="MH64" i="2"/>
  <c r="MG64" i="2"/>
  <c r="LX64" i="2"/>
  <c r="LW64" i="2"/>
  <c r="LN64" i="2"/>
  <c r="LM64" i="2"/>
  <c r="LD64" i="2"/>
  <c r="LC64" i="2"/>
  <c r="KT64" i="2"/>
  <c r="KS64" i="2"/>
  <c r="KJ64" i="2"/>
  <c r="KI64" i="2"/>
  <c r="JZ64" i="2"/>
  <c r="JY64" i="2"/>
  <c r="JP64" i="2"/>
  <c r="JO64" i="2"/>
  <c r="JF64" i="2"/>
  <c r="JE64" i="2"/>
  <c r="FH64" i="2"/>
  <c r="EZ64" i="2"/>
  <c r="ER64" i="2"/>
  <c r="EJ64" i="2"/>
  <c r="EB64" i="2"/>
  <c r="DU64" i="2"/>
  <c r="DN64" i="2"/>
  <c r="DG64" i="2"/>
  <c r="CR64" i="2"/>
  <c r="CB64" i="2"/>
  <c r="BU64" i="2"/>
  <c r="BT64" i="2"/>
  <c r="BM64" i="2"/>
  <c r="BL64" i="2"/>
  <c r="AFN63" i="2"/>
  <c r="AES63" i="2"/>
  <c r="RU63" i="2"/>
  <c r="QN63" i="2"/>
  <c r="QM63" i="2"/>
  <c r="QD63" i="2"/>
  <c r="QC63" i="2"/>
  <c r="PT63" i="2"/>
  <c r="PS63" i="2"/>
  <c r="PJ63" i="2"/>
  <c r="PI63" i="2"/>
  <c r="OZ63" i="2"/>
  <c r="PA61" i="2" s="1"/>
  <c r="OY63" i="2"/>
  <c r="OP63" i="2"/>
  <c r="OO63" i="2"/>
  <c r="OF63" i="2"/>
  <c r="OE63" i="2"/>
  <c r="NV63" i="2"/>
  <c r="NU63" i="2"/>
  <c r="NL63" i="2"/>
  <c r="NK63" i="2"/>
  <c r="NB63" i="2"/>
  <c r="NA63" i="2"/>
  <c r="MR63" i="2"/>
  <c r="MQ63" i="2"/>
  <c r="MH63" i="2"/>
  <c r="MG63" i="2"/>
  <c r="LX63" i="2"/>
  <c r="LW63" i="2"/>
  <c r="LN63" i="2"/>
  <c r="LM63" i="2"/>
  <c r="LD63" i="2"/>
  <c r="LC63" i="2"/>
  <c r="KT63" i="2"/>
  <c r="KS63" i="2"/>
  <c r="KJ63" i="2"/>
  <c r="KI63" i="2"/>
  <c r="JZ63" i="2"/>
  <c r="JY63" i="2"/>
  <c r="JP63" i="2"/>
  <c r="JO63" i="2"/>
  <c r="JF63" i="2"/>
  <c r="JE63" i="2"/>
  <c r="FH63" i="2"/>
  <c r="EZ63" i="2"/>
  <c r="ER63" i="2"/>
  <c r="EJ63" i="2"/>
  <c r="EB63" i="2"/>
  <c r="DU63" i="2"/>
  <c r="DN63" i="2"/>
  <c r="DG63" i="2"/>
  <c r="CZ63" i="2"/>
  <c r="CR63" i="2"/>
  <c r="CJ63" i="2"/>
  <c r="CB63" i="2"/>
  <c r="BU63" i="2"/>
  <c r="BT63" i="2"/>
  <c r="BM63" i="2"/>
  <c r="BL63" i="2"/>
  <c r="AFN62" i="2"/>
  <c r="AES62" i="2"/>
  <c r="RU62" i="2"/>
  <c r="QN62" i="2"/>
  <c r="QM62" i="2"/>
  <c r="QD62" i="2"/>
  <c r="QC62" i="2"/>
  <c r="PT62" i="2"/>
  <c r="PS62" i="2"/>
  <c r="PJ62" i="2"/>
  <c r="PI62" i="2"/>
  <c r="OZ62" i="2"/>
  <c r="PA60" i="2" s="1"/>
  <c r="OY62" i="2"/>
  <c r="OP62" i="2"/>
  <c r="OO62" i="2"/>
  <c r="OF62" i="2"/>
  <c r="OE62" i="2"/>
  <c r="NV62" i="2"/>
  <c r="NU62" i="2"/>
  <c r="NL62" i="2"/>
  <c r="NK62" i="2"/>
  <c r="NB62" i="2"/>
  <c r="NA62" i="2"/>
  <c r="MR62" i="2"/>
  <c r="MQ62" i="2"/>
  <c r="MH62" i="2"/>
  <c r="MG62" i="2"/>
  <c r="LX62" i="2"/>
  <c r="LW62" i="2"/>
  <c r="LN62" i="2"/>
  <c r="LM62" i="2"/>
  <c r="LD62" i="2"/>
  <c r="LC62" i="2"/>
  <c r="KT62" i="2"/>
  <c r="KS62" i="2"/>
  <c r="KJ62" i="2"/>
  <c r="KI62" i="2"/>
  <c r="JZ62" i="2"/>
  <c r="JY62" i="2"/>
  <c r="JP62" i="2"/>
  <c r="JO62" i="2"/>
  <c r="JF62" i="2"/>
  <c r="JE62" i="2"/>
  <c r="FH62" i="2"/>
  <c r="EZ62" i="2"/>
  <c r="ER62" i="2"/>
  <c r="EJ62" i="2"/>
  <c r="EB62" i="2"/>
  <c r="DU62" i="2"/>
  <c r="DN62" i="2"/>
  <c r="DG62" i="2"/>
  <c r="CZ62" i="2"/>
  <c r="CR62" i="2"/>
  <c r="CJ62" i="2"/>
  <c r="CB62" i="2"/>
  <c r="BU62" i="2"/>
  <c r="BT62" i="2"/>
  <c r="BM62" i="2"/>
  <c r="BL62" i="2"/>
  <c r="AFN61" i="2"/>
  <c r="AES61" i="2"/>
  <c r="AEE61" i="2"/>
  <c r="RU61" i="2"/>
  <c r="QN61" i="2"/>
  <c r="QM61" i="2"/>
  <c r="QD61" i="2"/>
  <c r="QC61" i="2"/>
  <c r="PT61" i="2"/>
  <c r="PS61" i="2"/>
  <c r="PJ61" i="2"/>
  <c r="PI61" i="2"/>
  <c r="OZ61" i="2"/>
  <c r="PA59" i="2" s="1"/>
  <c r="OY61" i="2"/>
  <c r="OP61" i="2"/>
  <c r="OO61" i="2"/>
  <c r="OF61" i="2"/>
  <c r="OE61" i="2"/>
  <c r="NV61" i="2"/>
  <c r="NU61" i="2"/>
  <c r="NL61" i="2"/>
  <c r="NK61" i="2"/>
  <c r="NB61" i="2"/>
  <c r="NA61" i="2"/>
  <c r="MR61" i="2"/>
  <c r="MQ61" i="2"/>
  <c r="MH61" i="2"/>
  <c r="MG61" i="2"/>
  <c r="LX61" i="2"/>
  <c r="LW61" i="2"/>
  <c r="LN61" i="2"/>
  <c r="LM61" i="2"/>
  <c r="LD61" i="2"/>
  <c r="LC61" i="2"/>
  <c r="KT61" i="2"/>
  <c r="KS61" i="2"/>
  <c r="KJ61" i="2"/>
  <c r="KI61" i="2"/>
  <c r="JZ61" i="2"/>
  <c r="JY61" i="2"/>
  <c r="JP61" i="2"/>
  <c r="JO61" i="2"/>
  <c r="JF61" i="2"/>
  <c r="JE61" i="2"/>
  <c r="FH61" i="2"/>
  <c r="EZ61" i="2"/>
  <c r="ER61" i="2"/>
  <c r="EJ61" i="2"/>
  <c r="EB61" i="2"/>
  <c r="DU61" i="2"/>
  <c r="DN61" i="2"/>
  <c r="DG61" i="2"/>
  <c r="CZ61" i="2"/>
  <c r="CR61" i="2"/>
  <c r="CJ61" i="2"/>
  <c r="CB61" i="2"/>
  <c r="BU61" i="2"/>
  <c r="BT61" i="2"/>
  <c r="BM61" i="2"/>
  <c r="BL61" i="2"/>
  <c r="AFN60" i="2"/>
  <c r="AES60" i="2"/>
  <c r="ADG60" i="2"/>
  <c r="RU60" i="2"/>
  <c r="QN60" i="2"/>
  <c r="QM60" i="2"/>
  <c r="QD60" i="2"/>
  <c r="QC60" i="2"/>
  <c r="PT60" i="2"/>
  <c r="PS60" i="2"/>
  <c r="PJ60" i="2"/>
  <c r="PI60" i="2"/>
  <c r="OZ60" i="2"/>
  <c r="PA58" i="2" s="1"/>
  <c r="OY60" i="2"/>
  <c r="OP60" i="2"/>
  <c r="OO60" i="2"/>
  <c r="OF60" i="2"/>
  <c r="OE60" i="2"/>
  <c r="NV60" i="2"/>
  <c r="NU60" i="2"/>
  <c r="NL60" i="2"/>
  <c r="NK60" i="2"/>
  <c r="NB60" i="2"/>
  <c r="NA60" i="2"/>
  <c r="MR60" i="2"/>
  <c r="MQ60" i="2"/>
  <c r="MH60" i="2"/>
  <c r="MG60" i="2"/>
  <c r="LX60" i="2"/>
  <c r="LW60" i="2"/>
  <c r="LN60" i="2"/>
  <c r="LM60" i="2"/>
  <c r="LD60" i="2"/>
  <c r="LC60" i="2"/>
  <c r="KT60" i="2"/>
  <c r="KS60" i="2"/>
  <c r="KJ60" i="2"/>
  <c r="KI60" i="2"/>
  <c r="JZ60" i="2"/>
  <c r="JY60" i="2"/>
  <c r="JP60" i="2"/>
  <c r="JO60" i="2"/>
  <c r="JF60" i="2"/>
  <c r="JE60" i="2"/>
  <c r="FH60" i="2"/>
  <c r="EZ60" i="2"/>
  <c r="ER60" i="2"/>
  <c r="EJ60" i="2"/>
  <c r="EB60" i="2"/>
  <c r="DU60" i="2"/>
  <c r="DN60" i="2"/>
  <c r="DG60" i="2"/>
  <c r="CZ60" i="2"/>
  <c r="CR60" i="2"/>
  <c r="CJ60" i="2"/>
  <c r="CB60" i="2"/>
  <c r="BU60" i="2"/>
  <c r="BT60" i="2"/>
  <c r="BM60" i="2"/>
  <c r="BL60" i="2"/>
  <c r="AFN59" i="2"/>
  <c r="AES59" i="2"/>
  <c r="ADG59" i="2"/>
  <c r="RU59" i="2"/>
  <c r="QN59" i="2"/>
  <c r="QM59" i="2"/>
  <c r="QD59" i="2"/>
  <c r="QC59" i="2"/>
  <c r="PT59" i="2"/>
  <c r="PS59" i="2"/>
  <c r="PJ59" i="2"/>
  <c r="PI59" i="2"/>
  <c r="OZ59" i="2"/>
  <c r="PA57" i="2" s="1"/>
  <c r="OY59" i="2"/>
  <c r="OP59" i="2"/>
  <c r="OO59" i="2"/>
  <c r="OF59" i="2"/>
  <c r="OE59" i="2"/>
  <c r="NV59" i="2"/>
  <c r="NU59" i="2"/>
  <c r="NL59" i="2"/>
  <c r="NK59" i="2"/>
  <c r="NB59" i="2"/>
  <c r="NA59" i="2"/>
  <c r="MR59" i="2"/>
  <c r="MQ59" i="2"/>
  <c r="MH59" i="2"/>
  <c r="MG59" i="2"/>
  <c r="LX59" i="2"/>
  <c r="LW59" i="2"/>
  <c r="LN59" i="2"/>
  <c r="LM59" i="2"/>
  <c r="LD59" i="2"/>
  <c r="LC59" i="2"/>
  <c r="KT59" i="2"/>
  <c r="KS59" i="2"/>
  <c r="KJ59" i="2"/>
  <c r="KI59" i="2"/>
  <c r="JZ59" i="2"/>
  <c r="JY59" i="2"/>
  <c r="JP59" i="2"/>
  <c r="JO59" i="2"/>
  <c r="JF59" i="2"/>
  <c r="JE59" i="2"/>
  <c r="FH59" i="2"/>
  <c r="EZ59" i="2"/>
  <c r="ER59" i="2"/>
  <c r="EJ59" i="2"/>
  <c r="EB59" i="2"/>
  <c r="DU59" i="2"/>
  <c r="DN59" i="2"/>
  <c r="DG59" i="2"/>
  <c r="CZ59" i="2"/>
  <c r="CR59" i="2"/>
  <c r="CJ59" i="2"/>
  <c r="CB59" i="2"/>
  <c r="BU59" i="2"/>
  <c r="BT59" i="2"/>
  <c r="BL59" i="2"/>
  <c r="AFN58" i="2"/>
  <c r="AES58" i="2"/>
  <c r="ADG58" i="2"/>
  <c r="RU58" i="2"/>
  <c r="QN58" i="2"/>
  <c r="QM58" i="2"/>
  <c r="QD58" i="2"/>
  <c r="QC58" i="2"/>
  <c r="PT58" i="2"/>
  <c r="PS58" i="2"/>
  <c r="PJ58" i="2"/>
  <c r="PI58" i="2"/>
  <c r="OZ58" i="2"/>
  <c r="PA56" i="2" s="1"/>
  <c r="OY58" i="2"/>
  <c r="OP58" i="2"/>
  <c r="OO58" i="2"/>
  <c r="OF58" i="2"/>
  <c r="OE58" i="2"/>
  <c r="NV58" i="2"/>
  <c r="NU58" i="2"/>
  <c r="NL58" i="2"/>
  <c r="NK58" i="2"/>
  <c r="NB58" i="2"/>
  <c r="NA58" i="2"/>
  <c r="MR58" i="2"/>
  <c r="MQ58" i="2"/>
  <c r="MH58" i="2"/>
  <c r="MG58" i="2"/>
  <c r="LX58" i="2"/>
  <c r="LW58" i="2"/>
  <c r="LN58" i="2"/>
  <c r="LM58" i="2"/>
  <c r="LD58" i="2"/>
  <c r="LC58" i="2"/>
  <c r="KT58" i="2"/>
  <c r="KS58" i="2"/>
  <c r="KJ58" i="2"/>
  <c r="KI58" i="2"/>
  <c r="JZ58" i="2"/>
  <c r="JY58" i="2"/>
  <c r="JP58" i="2"/>
  <c r="JQ58" i="2" s="1"/>
  <c r="JO58" i="2"/>
  <c r="JF58" i="2"/>
  <c r="JE58" i="2"/>
  <c r="FH58" i="2"/>
  <c r="EZ58" i="2"/>
  <c r="ER58" i="2"/>
  <c r="EJ58" i="2"/>
  <c r="EB58" i="2"/>
  <c r="DU58" i="2"/>
  <c r="DN58" i="2"/>
  <c r="DG58" i="2"/>
  <c r="CZ58" i="2"/>
  <c r="CR58" i="2"/>
  <c r="CJ58" i="2"/>
  <c r="CB58" i="2"/>
  <c r="BU58" i="2"/>
  <c r="BT58" i="2"/>
  <c r="BL58" i="2"/>
  <c r="AFN57" i="2"/>
  <c r="AFA57" i="2"/>
  <c r="AES57" i="2"/>
  <c r="ADG57" i="2"/>
  <c r="RU57" i="2"/>
  <c r="QN57" i="2"/>
  <c r="QM57" i="2"/>
  <c r="QD57" i="2"/>
  <c r="QC57" i="2"/>
  <c r="PT57" i="2"/>
  <c r="PS57" i="2"/>
  <c r="PJ57" i="2"/>
  <c r="PI57" i="2"/>
  <c r="OZ57" i="2"/>
  <c r="PA55" i="2" s="1"/>
  <c r="OY57" i="2"/>
  <c r="OP57" i="2"/>
  <c r="OO57" i="2"/>
  <c r="OF57" i="2"/>
  <c r="OE57" i="2"/>
  <c r="NV57" i="2"/>
  <c r="NU57" i="2"/>
  <c r="NL57" i="2"/>
  <c r="NK57" i="2"/>
  <c r="NB57" i="2"/>
  <c r="NA57" i="2"/>
  <c r="MR57" i="2"/>
  <c r="MQ57" i="2"/>
  <c r="MH57" i="2"/>
  <c r="MG57" i="2"/>
  <c r="LX57" i="2"/>
  <c r="LW57" i="2"/>
  <c r="LN57" i="2"/>
  <c r="LM57" i="2"/>
  <c r="LD57" i="2"/>
  <c r="LC57" i="2"/>
  <c r="KT57" i="2"/>
  <c r="KS57" i="2"/>
  <c r="KJ57" i="2"/>
  <c r="KI57" i="2"/>
  <c r="JZ57" i="2"/>
  <c r="JY57" i="2"/>
  <c r="JP57" i="2"/>
  <c r="JO57" i="2"/>
  <c r="JF57" i="2"/>
  <c r="JE57" i="2"/>
  <c r="FH57" i="2"/>
  <c r="EZ57" i="2"/>
  <c r="ER57" i="2"/>
  <c r="EJ57" i="2"/>
  <c r="EB57" i="2"/>
  <c r="DU57" i="2"/>
  <c r="DN57" i="2"/>
  <c r="DG57" i="2"/>
  <c r="CZ57" i="2"/>
  <c r="CR57" i="2"/>
  <c r="CJ57" i="2"/>
  <c r="CB57" i="2"/>
  <c r="BU57" i="2"/>
  <c r="BT57" i="2"/>
  <c r="BL57" i="2"/>
  <c r="AFN56" i="2"/>
  <c r="AES56" i="2"/>
  <c r="ADG56" i="2"/>
  <c r="RU56" i="2"/>
  <c r="QN56" i="2"/>
  <c r="QM56" i="2"/>
  <c r="QD56" i="2"/>
  <c r="QC56" i="2"/>
  <c r="PT56" i="2"/>
  <c r="PS56" i="2"/>
  <c r="PJ56" i="2"/>
  <c r="PI56" i="2"/>
  <c r="OZ56" i="2"/>
  <c r="OY56" i="2"/>
  <c r="OP56" i="2"/>
  <c r="OO56" i="2"/>
  <c r="OF56" i="2"/>
  <c r="OE56" i="2"/>
  <c r="NV56" i="2"/>
  <c r="NU56" i="2"/>
  <c r="NL56" i="2"/>
  <c r="NK56" i="2"/>
  <c r="NB56" i="2"/>
  <c r="NA56" i="2"/>
  <c r="MR56" i="2"/>
  <c r="MQ56" i="2"/>
  <c r="MH56" i="2"/>
  <c r="MG56" i="2"/>
  <c r="LX56" i="2"/>
  <c r="LW56" i="2"/>
  <c r="LN56" i="2"/>
  <c r="LM56" i="2"/>
  <c r="LD56" i="2"/>
  <c r="LC56" i="2"/>
  <c r="KT56" i="2"/>
  <c r="KS56" i="2"/>
  <c r="KJ56" i="2"/>
  <c r="KI56" i="2"/>
  <c r="JZ56" i="2"/>
  <c r="JY56" i="2"/>
  <c r="JP56" i="2"/>
  <c r="JO56" i="2"/>
  <c r="JF56" i="2"/>
  <c r="JE56" i="2"/>
  <c r="FH56" i="2"/>
  <c r="EZ56" i="2"/>
  <c r="ER56" i="2"/>
  <c r="EJ56" i="2"/>
  <c r="EB56" i="2"/>
  <c r="DU56" i="2"/>
  <c r="DN56" i="2"/>
  <c r="DG56" i="2"/>
  <c r="CZ56" i="2"/>
  <c r="CR56" i="2"/>
  <c r="CJ56" i="2"/>
  <c r="CB56" i="2"/>
  <c r="BU56" i="2"/>
  <c r="BT56" i="2"/>
  <c r="BL56" i="2"/>
  <c r="AFN55" i="2"/>
  <c r="AES55" i="2"/>
  <c r="ADG55" i="2"/>
  <c r="RU55" i="2"/>
  <c r="QN55" i="2"/>
  <c r="QM55" i="2"/>
  <c r="QD55" i="2"/>
  <c r="QC55" i="2"/>
  <c r="PT55" i="2"/>
  <c r="PS55" i="2"/>
  <c r="PJ55" i="2"/>
  <c r="PI55" i="2"/>
  <c r="OZ55" i="2"/>
  <c r="PA53" i="2" s="1"/>
  <c r="OY55" i="2"/>
  <c r="OP55" i="2"/>
  <c r="OO55" i="2"/>
  <c r="OF55" i="2"/>
  <c r="OE55" i="2"/>
  <c r="NV55" i="2"/>
  <c r="NU55" i="2"/>
  <c r="NL55" i="2"/>
  <c r="NK55" i="2"/>
  <c r="NB55" i="2"/>
  <c r="NA55" i="2"/>
  <c r="MR55" i="2"/>
  <c r="MQ55" i="2"/>
  <c r="MH55" i="2"/>
  <c r="MG55" i="2"/>
  <c r="LX55" i="2"/>
  <c r="LW55" i="2"/>
  <c r="LN55" i="2"/>
  <c r="LM55" i="2"/>
  <c r="LD55" i="2"/>
  <c r="LC55" i="2"/>
  <c r="KT55" i="2"/>
  <c r="KS55" i="2"/>
  <c r="KJ55" i="2"/>
  <c r="KI55" i="2"/>
  <c r="JZ55" i="2"/>
  <c r="JY55" i="2"/>
  <c r="JP55" i="2"/>
  <c r="JO55" i="2"/>
  <c r="JF55" i="2"/>
  <c r="JE55" i="2"/>
  <c r="FH55" i="2"/>
  <c r="EZ55" i="2"/>
  <c r="ER55" i="2"/>
  <c r="EJ55" i="2"/>
  <c r="EB55" i="2"/>
  <c r="DU55" i="2"/>
  <c r="DN55" i="2"/>
  <c r="DG55" i="2"/>
  <c r="CZ55" i="2"/>
  <c r="CR55" i="2"/>
  <c r="CJ55" i="2"/>
  <c r="CB55" i="2"/>
  <c r="BU55" i="2"/>
  <c r="BT55" i="2"/>
  <c r="BL55" i="2"/>
  <c r="AFN54" i="2"/>
  <c r="AFA54" i="2"/>
  <c r="AES54" i="2"/>
  <c r="AEL54" i="2"/>
  <c r="ADG54" i="2"/>
  <c r="RU54" i="2"/>
  <c r="QN54" i="2"/>
  <c r="QM54" i="2"/>
  <c r="QD54" i="2"/>
  <c r="QC54" i="2"/>
  <c r="PT54" i="2"/>
  <c r="PS54" i="2"/>
  <c r="PJ54" i="2"/>
  <c r="PI54" i="2"/>
  <c r="PA54" i="2"/>
  <c r="OZ54" i="2"/>
  <c r="PA52" i="2" s="1"/>
  <c r="OY54" i="2"/>
  <c r="OP54" i="2"/>
  <c r="OO54" i="2"/>
  <c r="OF54" i="2"/>
  <c r="OE54" i="2"/>
  <c r="NV54" i="2"/>
  <c r="NU54" i="2"/>
  <c r="NL54" i="2"/>
  <c r="NK54" i="2"/>
  <c r="NB54" i="2"/>
  <c r="NA54" i="2"/>
  <c r="MR54" i="2"/>
  <c r="MQ54" i="2"/>
  <c r="MH54" i="2"/>
  <c r="MG54" i="2"/>
  <c r="LX54" i="2"/>
  <c r="LW54" i="2"/>
  <c r="LN54" i="2"/>
  <c r="LM54" i="2"/>
  <c r="LD54" i="2"/>
  <c r="LC54" i="2"/>
  <c r="KT54" i="2"/>
  <c r="KS54" i="2"/>
  <c r="KJ54" i="2"/>
  <c r="KI54" i="2"/>
  <c r="JZ54" i="2"/>
  <c r="JY54" i="2"/>
  <c r="JP54" i="2"/>
  <c r="JO54" i="2"/>
  <c r="JF54" i="2"/>
  <c r="JE54" i="2"/>
  <c r="FH54" i="2"/>
  <c r="EZ54" i="2"/>
  <c r="ER54" i="2"/>
  <c r="EJ54" i="2"/>
  <c r="EB54" i="2"/>
  <c r="DU54" i="2"/>
  <c r="DN54" i="2"/>
  <c r="DG54" i="2"/>
  <c r="CZ54" i="2"/>
  <c r="CR54" i="2"/>
  <c r="CJ54" i="2"/>
  <c r="CB54" i="2"/>
  <c r="BU54" i="2"/>
  <c r="BT54" i="2"/>
  <c r="BL54" i="2"/>
  <c r="AFN53" i="2"/>
  <c r="AES53" i="2"/>
  <c r="AEL53" i="2"/>
  <c r="ADW53" i="2"/>
  <c r="ADG53" i="2"/>
  <c r="RU53" i="2"/>
  <c r="QN53" i="2"/>
  <c r="QM53" i="2"/>
  <c r="QD53" i="2"/>
  <c r="QC53" i="2"/>
  <c r="PT53" i="2"/>
  <c r="PS53" i="2"/>
  <c r="PJ53" i="2"/>
  <c r="PI53" i="2"/>
  <c r="OZ53" i="2"/>
  <c r="PA51" i="2" s="1"/>
  <c r="OY53" i="2"/>
  <c r="OP53" i="2"/>
  <c r="OO53" i="2"/>
  <c r="OF53" i="2"/>
  <c r="OE53" i="2"/>
  <c r="NV53" i="2"/>
  <c r="NU53" i="2"/>
  <c r="NL53" i="2"/>
  <c r="NK53" i="2"/>
  <c r="NB53" i="2"/>
  <c r="NA53" i="2"/>
  <c r="MR53" i="2"/>
  <c r="MQ53" i="2"/>
  <c r="MH53" i="2"/>
  <c r="MG53" i="2"/>
  <c r="LX53" i="2"/>
  <c r="LW53" i="2"/>
  <c r="LN53" i="2"/>
  <c r="LM53" i="2"/>
  <c r="LD53" i="2"/>
  <c r="LC53" i="2"/>
  <c r="KT53" i="2"/>
  <c r="KS53" i="2"/>
  <c r="KJ53" i="2"/>
  <c r="KI53" i="2"/>
  <c r="JZ53" i="2"/>
  <c r="JY53" i="2"/>
  <c r="JP53" i="2"/>
  <c r="JO53" i="2"/>
  <c r="JF53" i="2"/>
  <c r="JE53" i="2"/>
  <c r="FH53" i="2"/>
  <c r="EZ53" i="2"/>
  <c r="ER53" i="2"/>
  <c r="EJ53" i="2"/>
  <c r="EB53" i="2"/>
  <c r="DU53" i="2"/>
  <c r="DN53" i="2"/>
  <c r="DG53" i="2"/>
  <c r="CZ53" i="2"/>
  <c r="CR53" i="2"/>
  <c r="CJ53" i="2"/>
  <c r="CB53" i="2"/>
  <c r="BU53" i="2"/>
  <c r="BT53" i="2"/>
  <c r="BL53" i="2"/>
  <c r="AFN52" i="2"/>
  <c r="AFA52" i="2"/>
  <c r="AES52" i="2"/>
  <c r="ADG52" i="2"/>
  <c r="RU52" i="2"/>
  <c r="QZ52" i="2"/>
  <c r="QY52" i="2"/>
  <c r="QX52" i="2"/>
  <c r="QN52" i="2"/>
  <c r="QM52" i="2"/>
  <c r="QD52" i="2"/>
  <c r="QC52" i="2"/>
  <c r="PT52" i="2"/>
  <c r="PS52" i="2"/>
  <c r="PJ52" i="2"/>
  <c r="PI52" i="2"/>
  <c r="OZ52" i="2"/>
  <c r="PA50" i="2" s="1"/>
  <c r="OY52" i="2"/>
  <c r="OP52" i="2"/>
  <c r="OO52" i="2"/>
  <c r="OF52" i="2"/>
  <c r="OE52" i="2"/>
  <c r="NV52" i="2"/>
  <c r="NU52" i="2"/>
  <c r="NL52" i="2"/>
  <c r="NK52" i="2"/>
  <c r="NB52" i="2"/>
  <c r="NA52" i="2"/>
  <c r="MR52" i="2"/>
  <c r="MQ52" i="2"/>
  <c r="MH52" i="2"/>
  <c r="MG52" i="2"/>
  <c r="LX52" i="2"/>
  <c r="LW52" i="2"/>
  <c r="LN52" i="2"/>
  <c r="LM52" i="2"/>
  <c r="LD52" i="2"/>
  <c r="LC52" i="2"/>
  <c r="KT52" i="2"/>
  <c r="KS52" i="2"/>
  <c r="KJ52" i="2"/>
  <c r="KI52" i="2"/>
  <c r="JZ52" i="2"/>
  <c r="JY52" i="2"/>
  <c r="JP52" i="2"/>
  <c r="JO52" i="2"/>
  <c r="JF52" i="2"/>
  <c r="JE52" i="2"/>
  <c r="FH52" i="2"/>
  <c r="EZ52" i="2"/>
  <c r="ER52" i="2"/>
  <c r="EJ52" i="2"/>
  <c r="EB52" i="2"/>
  <c r="DU52" i="2"/>
  <c r="DN52" i="2"/>
  <c r="DG52" i="2"/>
  <c r="CZ52" i="2"/>
  <c r="CR52" i="2"/>
  <c r="CJ52" i="2"/>
  <c r="CB52" i="2"/>
  <c r="BU52" i="2"/>
  <c r="BT52" i="2"/>
  <c r="BL52" i="2"/>
  <c r="BE52" i="2"/>
  <c r="AS52" i="2"/>
  <c r="AG52" i="2"/>
  <c r="U52" i="2"/>
  <c r="AFN51" i="2"/>
  <c r="AES51" i="2"/>
  <c r="ADW51" i="2"/>
  <c r="ADG51" i="2"/>
  <c r="ACU51" i="2"/>
  <c r="ACK51" i="2"/>
  <c r="ABG51" i="2"/>
  <c r="AAM51" i="2"/>
  <c r="AAC51" i="2"/>
  <c r="ZS51" i="2"/>
  <c r="ZI51" i="2"/>
  <c r="YY51" i="2"/>
  <c r="YI51" i="2"/>
  <c r="XY51" i="2"/>
  <c r="XO51" i="2"/>
  <c r="WU51" i="2"/>
  <c r="WK51" i="2"/>
  <c r="WA51" i="2"/>
  <c r="VQ51" i="2"/>
  <c r="VG51" i="2"/>
  <c r="UW51" i="2"/>
  <c r="UM51" i="2"/>
  <c r="UC51" i="2"/>
  <c r="TS51" i="2"/>
  <c r="SY51" i="2"/>
  <c r="RU51" i="2"/>
  <c r="QZ51" i="2"/>
  <c r="QY51" i="2"/>
  <c r="QX51" i="2"/>
  <c r="QN51" i="2"/>
  <c r="QM51" i="2"/>
  <c r="QD51" i="2"/>
  <c r="QC51" i="2"/>
  <c r="PT51" i="2"/>
  <c r="PS51" i="2"/>
  <c r="PJ51" i="2"/>
  <c r="PI51" i="2"/>
  <c r="OZ51" i="2"/>
  <c r="PA49" i="2" s="1"/>
  <c r="OY51" i="2"/>
  <c r="OP51" i="2"/>
  <c r="OO51" i="2"/>
  <c r="OF51" i="2"/>
  <c r="OE51" i="2"/>
  <c r="NV51" i="2"/>
  <c r="NU51" i="2"/>
  <c r="NL51" i="2"/>
  <c r="NK51" i="2"/>
  <c r="NB51" i="2"/>
  <c r="NA51" i="2"/>
  <c r="MR51" i="2"/>
  <c r="MQ51" i="2"/>
  <c r="MH51" i="2"/>
  <c r="MG51" i="2"/>
  <c r="LX51" i="2"/>
  <c r="LW51" i="2"/>
  <c r="LN51" i="2"/>
  <c r="LM51" i="2"/>
  <c r="LD51" i="2"/>
  <c r="LC51" i="2"/>
  <c r="KT51" i="2"/>
  <c r="KS51" i="2"/>
  <c r="KJ51" i="2"/>
  <c r="KI51" i="2"/>
  <c r="JZ51" i="2"/>
  <c r="JY51" i="2"/>
  <c r="JP51" i="2"/>
  <c r="JO51" i="2"/>
  <c r="JF51" i="2"/>
  <c r="JE51" i="2"/>
  <c r="FH51" i="2"/>
  <c r="EZ51" i="2"/>
  <c r="ER51" i="2"/>
  <c r="EJ51" i="2"/>
  <c r="EB51" i="2"/>
  <c r="DU51" i="2"/>
  <c r="DN51" i="2"/>
  <c r="DG51" i="2"/>
  <c r="CZ51" i="2"/>
  <c r="CR51" i="2"/>
  <c r="CJ51" i="2"/>
  <c r="CB51" i="2"/>
  <c r="BU51" i="2"/>
  <c r="BT51" i="2"/>
  <c r="BL51" i="2"/>
  <c r="BE51" i="2"/>
  <c r="AS51" i="2"/>
  <c r="AG51" i="2"/>
  <c r="U51" i="2"/>
  <c r="AFN50" i="2"/>
  <c r="AES50" i="2"/>
  <c r="AEL50" i="2"/>
  <c r="ADG50" i="2"/>
  <c r="ACU50" i="2"/>
  <c r="ACK50" i="2"/>
  <c r="ABG50" i="2"/>
  <c r="AAM50" i="2"/>
  <c r="AAC50" i="2"/>
  <c r="ZS50" i="2"/>
  <c r="ZI50" i="2"/>
  <c r="YY50" i="2"/>
  <c r="YI50" i="2"/>
  <c r="XY50" i="2"/>
  <c r="XO50" i="2"/>
  <c r="WU50" i="2"/>
  <c r="WK50" i="2"/>
  <c r="WA50" i="2"/>
  <c r="VQ50" i="2"/>
  <c r="VG50" i="2"/>
  <c r="UW50" i="2"/>
  <c r="UM50" i="2"/>
  <c r="UC50" i="2"/>
  <c r="TS50" i="2"/>
  <c r="SY50" i="2"/>
  <c r="RU50" i="2"/>
  <c r="QZ50" i="2"/>
  <c r="QY50" i="2"/>
  <c r="QX50" i="2"/>
  <c r="QN50" i="2"/>
  <c r="QM50" i="2"/>
  <c r="QD50" i="2"/>
  <c r="QC50" i="2"/>
  <c r="PT50" i="2"/>
  <c r="PS50" i="2"/>
  <c r="PJ50" i="2"/>
  <c r="PI50" i="2"/>
  <c r="OZ50" i="2"/>
  <c r="PA48" i="2" s="1"/>
  <c r="OY50" i="2"/>
  <c r="OP50" i="2"/>
  <c r="OO50" i="2"/>
  <c r="OF50" i="2"/>
  <c r="OE50" i="2"/>
  <c r="NV50" i="2"/>
  <c r="NU50" i="2"/>
  <c r="NL50" i="2"/>
  <c r="NK50" i="2"/>
  <c r="NB50" i="2"/>
  <c r="NA50" i="2"/>
  <c r="MR50" i="2"/>
  <c r="MQ50" i="2"/>
  <c r="MH50" i="2"/>
  <c r="MG50" i="2"/>
  <c r="LX50" i="2"/>
  <c r="LW50" i="2"/>
  <c r="LN50" i="2"/>
  <c r="LM50" i="2"/>
  <c r="LD50" i="2"/>
  <c r="LC50" i="2"/>
  <c r="KT50" i="2"/>
  <c r="KS50" i="2"/>
  <c r="KJ50" i="2"/>
  <c r="KI50" i="2"/>
  <c r="JZ50" i="2"/>
  <c r="JY50" i="2"/>
  <c r="JP50" i="2"/>
  <c r="JO50" i="2"/>
  <c r="JF50" i="2"/>
  <c r="JE50" i="2"/>
  <c r="FH50" i="2"/>
  <c r="EZ50" i="2"/>
  <c r="ER50" i="2"/>
  <c r="EJ50" i="2"/>
  <c r="EB50" i="2"/>
  <c r="DU50" i="2"/>
  <c r="DN50" i="2"/>
  <c r="DG50" i="2"/>
  <c r="CZ50" i="2"/>
  <c r="CR50" i="2"/>
  <c r="CJ50" i="2"/>
  <c r="CB50" i="2"/>
  <c r="BU50" i="2"/>
  <c r="BT50" i="2"/>
  <c r="BL50" i="2"/>
  <c r="BE50" i="2"/>
  <c r="AS50" i="2"/>
  <c r="AG50" i="2"/>
  <c r="U50" i="2"/>
  <c r="AFN49" i="2"/>
  <c r="AES49" i="2"/>
  <c r="ADG49" i="2"/>
  <c r="ACU49" i="2"/>
  <c r="ACK49" i="2"/>
  <c r="ABG49" i="2"/>
  <c r="AAM49" i="2"/>
  <c r="AAC49" i="2"/>
  <c r="ZS49" i="2"/>
  <c r="ZI49" i="2"/>
  <c r="YY49" i="2"/>
  <c r="YI49" i="2"/>
  <c r="XY49" i="2"/>
  <c r="XO49" i="2"/>
  <c r="WU49" i="2"/>
  <c r="WK49" i="2"/>
  <c r="WA49" i="2"/>
  <c r="VQ49" i="2"/>
  <c r="VG49" i="2"/>
  <c r="UW49" i="2"/>
  <c r="UM49" i="2"/>
  <c r="UC49" i="2"/>
  <c r="TS49" i="2"/>
  <c r="TI49" i="2"/>
  <c r="SY49" i="2"/>
  <c r="RU49" i="2"/>
  <c r="QZ49" i="2"/>
  <c r="QY49" i="2"/>
  <c r="QX49" i="2"/>
  <c r="QN49" i="2"/>
  <c r="QM49" i="2"/>
  <c r="QD49" i="2"/>
  <c r="QC49" i="2"/>
  <c r="PT49" i="2"/>
  <c r="PS49" i="2"/>
  <c r="PJ49" i="2"/>
  <c r="PI49" i="2"/>
  <c r="OZ49" i="2"/>
  <c r="PA47" i="2" s="1"/>
  <c r="OY49" i="2"/>
  <c r="OP49" i="2"/>
  <c r="OO49" i="2"/>
  <c r="OF49" i="2"/>
  <c r="OE49" i="2"/>
  <c r="NV49" i="2"/>
  <c r="NU49" i="2"/>
  <c r="NL49" i="2"/>
  <c r="NK49" i="2"/>
  <c r="NB49" i="2"/>
  <c r="NA49" i="2"/>
  <c r="MR49" i="2"/>
  <c r="MQ49" i="2"/>
  <c r="MH49" i="2"/>
  <c r="MG49" i="2"/>
  <c r="LX49" i="2"/>
  <c r="LW49" i="2"/>
  <c r="LN49" i="2"/>
  <c r="LM49" i="2"/>
  <c r="LD49" i="2"/>
  <c r="LC49" i="2"/>
  <c r="KT49" i="2"/>
  <c r="KS49" i="2"/>
  <c r="KJ49" i="2"/>
  <c r="KI49" i="2"/>
  <c r="JZ49" i="2"/>
  <c r="JY49" i="2"/>
  <c r="JP49" i="2"/>
  <c r="JO49" i="2"/>
  <c r="JF49" i="2"/>
  <c r="JE49" i="2"/>
  <c r="FH49" i="2"/>
  <c r="EZ49" i="2"/>
  <c r="ER49" i="2"/>
  <c r="EJ49" i="2"/>
  <c r="EB49" i="2"/>
  <c r="DU49" i="2"/>
  <c r="DN49" i="2"/>
  <c r="DG49" i="2"/>
  <c r="CZ49" i="2"/>
  <c r="CR49" i="2"/>
  <c r="CJ49" i="2"/>
  <c r="CB49" i="2"/>
  <c r="BU49" i="2"/>
  <c r="BT49" i="2"/>
  <c r="BL49" i="2"/>
  <c r="BE49" i="2"/>
  <c r="AS49" i="2"/>
  <c r="AG49" i="2"/>
  <c r="U49" i="2"/>
  <c r="AFN48" i="2"/>
  <c r="AFA48" i="2"/>
  <c r="AES48" i="2"/>
  <c r="ADW48" i="2"/>
  <c r="ADO48" i="2"/>
  <c r="ADG48" i="2"/>
  <c r="ACU48" i="2"/>
  <c r="ACK48" i="2"/>
  <c r="ABG48" i="2"/>
  <c r="AAM48" i="2"/>
  <c r="AAC48" i="2"/>
  <c r="ZS48" i="2"/>
  <c r="ZI48" i="2"/>
  <c r="YY48" i="2"/>
  <c r="YI48" i="2"/>
  <c r="XY48" i="2"/>
  <c r="XO48" i="2"/>
  <c r="WU48" i="2"/>
  <c r="WK48" i="2"/>
  <c r="WA48" i="2"/>
  <c r="VQ48" i="2"/>
  <c r="VG48" i="2"/>
  <c r="UW48" i="2"/>
  <c r="UM48" i="2"/>
  <c r="UC48" i="2"/>
  <c r="TS48" i="2"/>
  <c r="TI48" i="2"/>
  <c r="SY48" i="2"/>
  <c r="RU48" i="2"/>
  <c r="QZ48" i="2"/>
  <c r="QY48" i="2"/>
  <c r="QX48" i="2"/>
  <c r="QN48" i="2"/>
  <c r="QM48" i="2"/>
  <c r="QD48" i="2"/>
  <c r="QC48" i="2"/>
  <c r="PT48" i="2"/>
  <c r="PS48" i="2"/>
  <c r="PJ48" i="2"/>
  <c r="PI48" i="2"/>
  <c r="OZ48" i="2"/>
  <c r="PA46" i="2" s="1"/>
  <c r="OY48" i="2"/>
  <c r="OP48" i="2"/>
  <c r="OO48" i="2"/>
  <c r="OF48" i="2"/>
  <c r="OE48" i="2"/>
  <c r="NV48" i="2"/>
  <c r="NU48" i="2"/>
  <c r="NL48" i="2"/>
  <c r="NK48" i="2"/>
  <c r="NB48" i="2"/>
  <c r="NA48" i="2"/>
  <c r="MR48" i="2"/>
  <c r="MQ48" i="2"/>
  <c r="MH48" i="2"/>
  <c r="MG48" i="2"/>
  <c r="LX48" i="2"/>
  <c r="LW48" i="2"/>
  <c r="LN48" i="2"/>
  <c r="LM48" i="2"/>
  <c r="LD48" i="2"/>
  <c r="LC48" i="2"/>
  <c r="KT48" i="2"/>
  <c r="KS48" i="2"/>
  <c r="KJ48" i="2"/>
  <c r="KI48" i="2"/>
  <c r="JZ48" i="2"/>
  <c r="JY48" i="2"/>
  <c r="JP48" i="2"/>
  <c r="JO48" i="2"/>
  <c r="JF48" i="2"/>
  <c r="JE48" i="2"/>
  <c r="FH48" i="2"/>
  <c r="EZ48" i="2"/>
  <c r="ER48" i="2"/>
  <c r="EJ48" i="2"/>
  <c r="EB48" i="2"/>
  <c r="DU48" i="2"/>
  <c r="DN48" i="2"/>
  <c r="DG48" i="2"/>
  <c r="CZ48" i="2"/>
  <c r="CR48" i="2"/>
  <c r="CJ48" i="2"/>
  <c r="CB48" i="2"/>
  <c r="BU48" i="2"/>
  <c r="BT48" i="2"/>
  <c r="BL48" i="2"/>
  <c r="BE48" i="2"/>
  <c r="AS48" i="2"/>
  <c r="AG48" i="2"/>
  <c r="U48" i="2"/>
  <c r="AFN47" i="2"/>
  <c r="AES47" i="2"/>
  <c r="ADO47" i="2"/>
  <c r="ADG47" i="2"/>
  <c r="ACU47" i="2"/>
  <c r="ACK47" i="2"/>
  <c r="ABG47" i="2"/>
  <c r="AAM47" i="2"/>
  <c r="AAC47" i="2"/>
  <c r="ZS47" i="2"/>
  <c r="ZI47" i="2"/>
  <c r="YY47" i="2"/>
  <c r="YI47" i="2"/>
  <c r="XY47" i="2"/>
  <c r="XO47" i="2"/>
  <c r="WU47" i="2"/>
  <c r="WK47" i="2"/>
  <c r="WA47" i="2"/>
  <c r="VQ47" i="2"/>
  <c r="VG47" i="2"/>
  <c r="UW47" i="2"/>
  <c r="UM47" i="2"/>
  <c r="UC47" i="2"/>
  <c r="TS47" i="2"/>
  <c r="TI47" i="2"/>
  <c r="SY47" i="2"/>
  <c r="RU47" i="2"/>
  <c r="QZ47" i="2"/>
  <c r="QY47" i="2"/>
  <c r="QX47" i="2"/>
  <c r="QN47" i="2"/>
  <c r="QM47" i="2"/>
  <c r="QD47" i="2"/>
  <c r="QC47" i="2"/>
  <c r="PT47" i="2"/>
  <c r="PS47" i="2"/>
  <c r="PJ47" i="2"/>
  <c r="PI47" i="2"/>
  <c r="OZ47" i="2"/>
  <c r="OY47" i="2"/>
  <c r="OP47" i="2"/>
  <c r="OO47" i="2"/>
  <c r="OF47" i="2"/>
  <c r="OE47" i="2"/>
  <c r="NV47" i="2"/>
  <c r="NU47" i="2"/>
  <c r="NL47" i="2"/>
  <c r="NK47" i="2"/>
  <c r="NB47" i="2"/>
  <c r="NA47" i="2"/>
  <c r="MR47" i="2"/>
  <c r="MQ47" i="2"/>
  <c r="MH47" i="2"/>
  <c r="MG47" i="2"/>
  <c r="LX47" i="2"/>
  <c r="LW47" i="2"/>
  <c r="LN47" i="2"/>
  <c r="LM47" i="2"/>
  <c r="LD47" i="2"/>
  <c r="LC47" i="2"/>
  <c r="KT47" i="2"/>
  <c r="KS47" i="2"/>
  <c r="KJ47" i="2"/>
  <c r="KI47" i="2"/>
  <c r="JZ47" i="2"/>
  <c r="JY47" i="2"/>
  <c r="JP47" i="2"/>
  <c r="JO47" i="2"/>
  <c r="JF47" i="2"/>
  <c r="JE47" i="2"/>
  <c r="FH47" i="2"/>
  <c r="EZ47" i="2"/>
  <c r="ER47" i="2"/>
  <c r="EJ47" i="2"/>
  <c r="EB47" i="2"/>
  <c r="DU47" i="2"/>
  <c r="DN47" i="2"/>
  <c r="DG47" i="2"/>
  <c r="CZ47" i="2"/>
  <c r="CR47" i="2"/>
  <c r="CJ47" i="2"/>
  <c r="CB47" i="2"/>
  <c r="BU47" i="2"/>
  <c r="BT47" i="2"/>
  <c r="BL47" i="2"/>
  <c r="BE47" i="2"/>
  <c r="AS47" i="2"/>
  <c r="AG47" i="2"/>
  <c r="U47" i="2"/>
  <c r="AFN46" i="2"/>
  <c r="AES46" i="2"/>
  <c r="ADO46" i="2"/>
  <c r="ADG46" i="2"/>
  <c r="ACU46" i="2"/>
  <c r="ACK46" i="2"/>
  <c r="ABG46" i="2"/>
  <c r="AAM46" i="2"/>
  <c r="AAC46" i="2"/>
  <c r="ZS46" i="2"/>
  <c r="ZI46" i="2"/>
  <c r="YY46" i="2"/>
  <c r="YI46" i="2"/>
  <c r="XY46" i="2"/>
  <c r="XO46" i="2"/>
  <c r="WU46" i="2"/>
  <c r="WK46" i="2"/>
  <c r="WA46" i="2"/>
  <c r="VQ46" i="2"/>
  <c r="VG46" i="2"/>
  <c r="UW46" i="2"/>
  <c r="UM46" i="2"/>
  <c r="UC46" i="2"/>
  <c r="TS46" i="2"/>
  <c r="TI46" i="2"/>
  <c r="SY46" i="2"/>
  <c r="RU46" i="2"/>
  <c r="QZ46" i="2"/>
  <c r="QY46" i="2"/>
  <c r="QX46" i="2"/>
  <c r="QN46" i="2"/>
  <c r="QM46" i="2"/>
  <c r="QD46" i="2"/>
  <c r="QC46" i="2"/>
  <c r="PT46" i="2"/>
  <c r="PS46" i="2"/>
  <c r="PJ46" i="2"/>
  <c r="PI46" i="2"/>
  <c r="OZ46" i="2"/>
  <c r="OY46" i="2"/>
  <c r="OP46" i="2"/>
  <c r="OO46" i="2"/>
  <c r="OF46" i="2"/>
  <c r="OE46" i="2"/>
  <c r="NV46" i="2"/>
  <c r="NU46" i="2"/>
  <c r="NL46" i="2"/>
  <c r="NK46" i="2"/>
  <c r="NB46" i="2"/>
  <c r="NA46" i="2"/>
  <c r="MR46" i="2"/>
  <c r="MQ46" i="2"/>
  <c r="MH46" i="2"/>
  <c r="MG46" i="2"/>
  <c r="LX46" i="2"/>
  <c r="LW46" i="2"/>
  <c r="LN46" i="2"/>
  <c r="LM46" i="2"/>
  <c r="LD46" i="2"/>
  <c r="LC46" i="2"/>
  <c r="KT46" i="2"/>
  <c r="KS46" i="2"/>
  <c r="KJ46" i="2"/>
  <c r="KI46" i="2"/>
  <c r="JZ46" i="2"/>
  <c r="JY46" i="2"/>
  <c r="JP46" i="2"/>
  <c r="JO46" i="2"/>
  <c r="JF46" i="2"/>
  <c r="JE46" i="2"/>
  <c r="FH46" i="2"/>
  <c r="EZ46" i="2"/>
  <c r="ER46" i="2"/>
  <c r="EJ46" i="2"/>
  <c r="EB46" i="2"/>
  <c r="DU46" i="2"/>
  <c r="DN46" i="2"/>
  <c r="DG46" i="2"/>
  <c r="CZ46" i="2"/>
  <c r="CR46" i="2"/>
  <c r="CJ46" i="2"/>
  <c r="CB46" i="2"/>
  <c r="BU46" i="2"/>
  <c r="BT46" i="2"/>
  <c r="BL46" i="2"/>
  <c r="BE46" i="2"/>
  <c r="AS46" i="2"/>
  <c r="AG46" i="2"/>
  <c r="U46" i="2"/>
  <c r="AGC45" i="2"/>
  <c r="AFZ45" i="2"/>
  <c r="AGA45" i="2" s="1"/>
  <c r="AFS45" i="2"/>
  <c r="AFR45" i="2"/>
  <c r="AFV45" i="2" s="1"/>
  <c r="AFN45" i="2"/>
  <c r="AES45" i="2"/>
  <c r="ADO45" i="2"/>
  <c r="ADG45" i="2"/>
  <c r="AAM45" i="2"/>
  <c r="AAC45" i="2"/>
  <c r="ZS45" i="2"/>
  <c r="ZI45" i="2"/>
  <c r="YY45" i="2"/>
  <c r="YI45" i="2"/>
  <c r="XY45" i="2"/>
  <c r="XO45" i="2"/>
  <c r="WU45" i="2"/>
  <c r="WK45" i="2"/>
  <c r="WA45" i="2"/>
  <c r="VQ45" i="2"/>
  <c r="VG45" i="2"/>
  <c r="UW45" i="2"/>
  <c r="UM45" i="2"/>
  <c r="UC45" i="2"/>
  <c r="TS45" i="2"/>
  <c r="TI45" i="2"/>
  <c r="SY45" i="2"/>
  <c r="RU45" i="2"/>
  <c r="QZ45" i="2"/>
  <c r="QY45" i="2"/>
  <c r="QX45" i="2"/>
  <c r="QN45" i="2"/>
  <c r="QM45" i="2"/>
  <c r="QD45" i="2"/>
  <c r="QC45" i="2"/>
  <c r="PT45" i="2"/>
  <c r="PS45" i="2"/>
  <c r="PJ45" i="2"/>
  <c r="PI45" i="2"/>
  <c r="OZ45" i="2"/>
  <c r="OY45" i="2"/>
  <c r="OP45" i="2"/>
  <c r="OO45" i="2"/>
  <c r="OF45" i="2"/>
  <c r="OE45" i="2"/>
  <c r="NV45" i="2"/>
  <c r="NU45" i="2"/>
  <c r="NL45" i="2"/>
  <c r="NK45" i="2"/>
  <c r="NB45" i="2"/>
  <c r="NA45" i="2"/>
  <c r="MR45" i="2"/>
  <c r="MQ45" i="2"/>
  <c r="MH45" i="2"/>
  <c r="MG45" i="2"/>
  <c r="LX45" i="2"/>
  <c r="LW45" i="2"/>
  <c r="LN45" i="2"/>
  <c r="LM45" i="2"/>
  <c r="LD45" i="2"/>
  <c r="LC45" i="2"/>
  <c r="KT45" i="2"/>
  <c r="KS45" i="2"/>
  <c r="KJ45" i="2"/>
  <c r="KI45" i="2"/>
  <c r="JZ45" i="2"/>
  <c r="JY45" i="2"/>
  <c r="JP45" i="2"/>
  <c r="JO45" i="2"/>
  <c r="JF45" i="2"/>
  <c r="JE45" i="2"/>
  <c r="FH45" i="2"/>
  <c r="EZ45" i="2"/>
  <c r="ER45" i="2"/>
  <c r="EJ45" i="2"/>
  <c r="EB45" i="2"/>
  <c r="DU45" i="2"/>
  <c r="DN45" i="2"/>
  <c r="DG45" i="2"/>
  <c r="CZ45" i="2"/>
  <c r="CR45" i="2"/>
  <c r="CJ45" i="2"/>
  <c r="CB45" i="2"/>
  <c r="BU45" i="2"/>
  <c r="BT45" i="2"/>
  <c r="BL45" i="2"/>
  <c r="BE45" i="2"/>
  <c r="AS45" i="2"/>
  <c r="AG45" i="2"/>
  <c r="U45" i="2"/>
  <c r="AFN44" i="2"/>
  <c r="AES44" i="2"/>
  <c r="ADO44" i="2"/>
  <c r="ADG44" i="2"/>
  <c r="AAM44" i="2"/>
  <c r="AAC44" i="2"/>
  <c r="ZS44" i="2"/>
  <c r="ZI44" i="2"/>
  <c r="YY44" i="2"/>
  <c r="YI44" i="2"/>
  <c r="XY44" i="2"/>
  <c r="XO44" i="2"/>
  <c r="WU44" i="2"/>
  <c r="WK44" i="2"/>
  <c r="WA44" i="2"/>
  <c r="VQ44" i="2"/>
  <c r="VG44" i="2"/>
  <c r="UW44" i="2"/>
  <c r="UM44" i="2"/>
  <c r="UC44" i="2"/>
  <c r="TS44" i="2"/>
  <c r="TI44" i="2"/>
  <c r="SY44" i="2"/>
  <c r="RU44" i="2"/>
  <c r="QZ44" i="2"/>
  <c r="QY44" i="2"/>
  <c r="QX44" i="2"/>
  <c r="QN44" i="2"/>
  <c r="QM44" i="2"/>
  <c r="QD44" i="2"/>
  <c r="QC44" i="2"/>
  <c r="PT44" i="2"/>
  <c r="PS44" i="2"/>
  <c r="PJ44" i="2"/>
  <c r="PI44" i="2"/>
  <c r="OZ44" i="2"/>
  <c r="OY44" i="2"/>
  <c r="OP44" i="2"/>
  <c r="OO44" i="2"/>
  <c r="OF44" i="2"/>
  <c r="OE44" i="2"/>
  <c r="NV44" i="2"/>
  <c r="NU44" i="2"/>
  <c r="NL44" i="2"/>
  <c r="NK44" i="2"/>
  <c r="NB44" i="2"/>
  <c r="NA44" i="2"/>
  <c r="MR44" i="2"/>
  <c r="MQ44" i="2"/>
  <c r="MH44" i="2"/>
  <c r="MG44" i="2"/>
  <c r="LX44" i="2"/>
  <c r="LW44" i="2"/>
  <c r="LN44" i="2"/>
  <c r="LM44" i="2"/>
  <c r="LD44" i="2"/>
  <c r="LC44" i="2"/>
  <c r="KT44" i="2"/>
  <c r="KS44" i="2"/>
  <c r="KJ44" i="2"/>
  <c r="KI44" i="2"/>
  <c r="JZ44" i="2"/>
  <c r="JY44" i="2"/>
  <c r="JP44" i="2"/>
  <c r="JO44" i="2"/>
  <c r="JF44" i="2"/>
  <c r="JE44" i="2"/>
  <c r="FH44" i="2"/>
  <c r="EZ44" i="2"/>
  <c r="ER44" i="2"/>
  <c r="EJ44" i="2"/>
  <c r="EB44" i="2"/>
  <c r="DU44" i="2"/>
  <c r="DN44" i="2"/>
  <c r="DG44" i="2"/>
  <c r="CZ44" i="2"/>
  <c r="CR44" i="2"/>
  <c r="CJ44" i="2"/>
  <c r="CB44" i="2"/>
  <c r="BU44" i="2"/>
  <c r="BT44" i="2"/>
  <c r="BL44" i="2"/>
  <c r="BE44" i="2"/>
  <c r="AS44" i="2"/>
  <c r="AG44" i="2"/>
  <c r="U44" i="2"/>
  <c r="AGC43" i="2"/>
  <c r="AFZ43" i="2"/>
  <c r="AGA43" i="2" s="1"/>
  <c r="AFS43" i="2"/>
  <c r="AFR43" i="2"/>
  <c r="AFV43" i="2" s="1"/>
  <c r="AFN43" i="2"/>
  <c r="AES43" i="2"/>
  <c r="ADO43" i="2"/>
  <c r="ADG43" i="2"/>
  <c r="AAM43" i="2"/>
  <c r="AAC43" i="2"/>
  <c r="ZS43" i="2"/>
  <c r="ZI43" i="2"/>
  <c r="YY43" i="2"/>
  <c r="YI43" i="2"/>
  <c r="XY43" i="2"/>
  <c r="XO43" i="2"/>
  <c r="WU43" i="2"/>
  <c r="WK43" i="2"/>
  <c r="WA43" i="2"/>
  <c r="VQ43" i="2"/>
  <c r="VG43" i="2"/>
  <c r="UW43" i="2"/>
  <c r="UM43" i="2"/>
  <c r="UC43" i="2"/>
  <c r="TS43" i="2"/>
  <c r="TI43" i="2"/>
  <c r="SY43" i="2"/>
  <c r="RU43" i="2"/>
  <c r="QZ43" i="2"/>
  <c r="QY43" i="2"/>
  <c r="QX43" i="2"/>
  <c r="QN43" i="2"/>
  <c r="QM43" i="2"/>
  <c r="QD43" i="2"/>
  <c r="QC43" i="2"/>
  <c r="PT43" i="2"/>
  <c r="PS43" i="2"/>
  <c r="PJ43" i="2"/>
  <c r="PI43" i="2"/>
  <c r="OZ43" i="2"/>
  <c r="OY43" i="2"/>
  <c r="OP43" i="2"/>
  <c r="OO43" i="2"/>
  <c r="OF43" i="2"/>
  <c r="OE43" i="2"/>
  <c r="NV43" i="2"/>
  <c r="NU43" i="2"/>
  <c r="NL43" i="2"/>
  <c r="NK43" i="2"/>
  <c r="NB43" i="2"/>
  <c r="NA43" i="2"/>
  <c r="MR43" i="2"/>
  <c r="MQ43" i="2"/>
  <c r="MH43" i="2"/>
  <c r="MG43" i="2"/>
  <c r="LX43" i="2"/>
  <c r="LW43" i="2"/>
  <c r="LN43" i="2"/>
  <c r="LM43" i="2"/>
  <c r="LD43" i="2"/>
  <c r="LC43" i="2"/>
  <c r="KT43" i="2"/>
  <c r="KS43" i="2"/>
  <c r="KJ43" i="2"/>
  <c r="KI43" i="2"/>
  <c r="JZ43" i="2"/>
  <c r="JY43" i="2"/>
  <c r="JP43" i="2"/>
  <c r="JO43" i="2"/>
  <c r="JF43" i="2"/>
  <c r="JE43" i="2"/>
  <c r="HR43" i="2"/>
  <c r="HQ43" i="2"/>
  <c r="HH43" i="2"/>
  <c r="HG43" i="2"/>
  <c r="GX43" i="2"/>
  <c r="GW43" i="2"/>
  <c r="FH43" i="2"/>
  <c r="EZ43" i="2"/>
  <c r="ER43" i="2"/>
  <c r="EJ43" i="2"/>
  <c r="EB43" i="2"/>
  <c r="DU43" i="2"/>
  <c r="DN43" i="2"/>
  <c r="DG43" i="2"/>
  <c r="CZ43" i="2"/>
  <c r="CR43" i="2"/>
  <c r="CJ43" i="2"/>
  <c r="CB43" i="2"/>
  <c r="BU43" i="2"/>
  <c r="BT43" i="2"/>
  <c r="BL43" i="2"/>
  <c r="BE43" i="2"/>
  <c r="AS43" i="2"/>
  <c r="AG43" i="2"/>
  <c r="U43" i="2"/>
  <c r="AFN42" i="2"/>
  <c r="AES42" i="2"/>
  <c r="ADO42" i="2"/>
  <c r="ADG42" i="2"/>
  <c r="AAM42" i="2"/>
  <c r="AAC42" i="2"/>
  <c r="ZS42" i="2"/>
  <c r="ZI42" i="2"/>
  <c r="YY42" i="2"/>
  <c r="YI42" i="2"/>
  <c r="XY42" i="2"/>
  <c r="XO42" i="2"/>
  <c r="WU42" i="2"/>
  <c r="WK42" i="2"/>
  <c r="WA42" i="2"/>
  <c r="VQ42" i="2"/>
  <c r="VG42" i="2"/>
  <c r="UW42" i="2"/>
  <c r="UM42" i="2"/>
  <c r="UC42" i="2"/>
  <c r="TS42" i="2"/>
  <c r="TI42" i="2"/>
  <c r="RU42" i="2"/>
  <c r="QZ42" i="2"/>
  <c r="QY42" i="2"/>
  <c r="QX42" i="2"/>
  <c r="QN42" i="2"/>
  <c r="QM42" i="2"/>
  <c r="QD42" i="2"/>
  <c r="QC42" i="2"/>
  <c r="PT42" i="2"/>
  <c r="PS42" i="2"/>
  <c r="PJ42" i="2"/>
  <c r="PI42" i="2"/>
  <c r="OZ42" i="2"/>
  <c r="OY42" i="2"/>
  <c r="OP42" i="2"/>
  <c r="OO42" i="2"/>
  <c r="OF42" i="2"/>
  <c r="OE42" i="2"/>
  <c r="NV42" i="2"/>
  <c r="NU42" i="2"/>
  <c r="NL42" i="2"/>
  <c r="NK42" i="2"/>
  <c r="NB42" i="2"/>
  <c r="NA42" i="2"/>
  <c r="MR42" i="2"/>
  <c r="MQ42" i="2"/>
  <c r="MH42" i="2"/>
  <c r="MG42" i="2"/>
  <c r="LX42" i="2"/>
  <c r="LW42" i="2"/>
  <c r="LN42" i="2"/>
  <c r="LM42" i="2"/>
  <c r="LD42" i="2"/>
  <c r="LC42" i="2"/>
  <c r="KT42" i="2"/>
  <c r="KS42" i="2"/>
  <c r="KJ42" i="2"/>
  <c r="KI42" i="2"/>
  <c r="JZ42" i="2"/>
  <c r="JY42" i="2"/>
  <c r="JP42" i="2"/>
  <c r="JO42" i="2"/>
  <c r="JF42" i="2"/>
  <c r="JE42" i="2"/>
  <c r="HR42" i="2"/>
  <c r="HQ42" i="2"/>
  <c r="HH42" i="2"/>
  <c r="HG42" i="2"/>
  <c r="GX42" i="2"/>
  <c r="GW42" i="2"/>
  <c r="FH42" i="2"/>
  <c r="EZ42" i="2"/>
  <c r="ER42" i="2"/>
  <c r="EJ42" i="2"/>
  <c r="EB42" i="2"/>
  <c r="DU42" i="2"/>
  <c r="DN42" i="2"/>
  <c r="DG42" i="2"/>
  <c r="CZ42" i="2"/>
  <c r="CR42" i="2"/>
  <c r="CJ42" i="2"/>
  <c r="CB42" i="2"/>
  <c r="BU42" i="2"/>
  <c r="BT42" i="2"/>
  <c r="BL42" i="2"/>
  <c r="BE42" i="2"/>
  <c r="AS42" i="2"/>
  <c r="AG42" i="2"/>
  <c r="U42" i="2"/>
  <c r="AGC41" i="2"/>
  <c r="AFZ41" i="2"/>
  <c r="AGA41" i="2" s="1"/>
  <c r="AFS41" i="2"/>
  <c r="AFR41" i="2"/>
  <c r="AFV41" i="2" s="1"/>
  <c r="AFN41" i="2"/>
  <c r="AES41" i="2"/>
  <c r="ADO41" i="2"/>
  <c r="AAM41" i="2"/>
  <c r="AAC41" i="2"/>
  <c r="ZS41" i="2"/>
  <c r="ZI41" i="2"/>
  <c r="YY41" i="2"/>
  <c r="YI41" i="2"/>
  <c r="XY41" i="2"/>
  <c r="XO41" i="2"/>
  <c r="WU41" i="2"/>
  <c r="WK41" i="2"/>
  <c r="WA41" i="2"/>
  <c r="VQ41" i="2"/>
  <c r="VG41" i="2"/>
  <c r="UW41" i="2"/>
  <c r="UM41" i="2"/>
  <c r="UC41" i="2"/>
  <c r="TS41" i="2"/>
  <c r="TI41" i="2"/>
  <c r="RU41" i="2"/>
  <c r="QZ41" i="2"/>
  <c r="QY41" i="2"/>
  <c r="QX41" i="2"/>
  <c r="QN41" i="2"/>
  <c r="QM41" i="2"/>
  <c r="QD41" i="2"/>
  <c r="QC41" i="2"/>
  <c r="PT41" i="2"/>
  <c r="PS41" i="2"/>
  <c r="PJ41" i="2"/>
  <c r="PI41" i="2"/>
  <c r="OZ41" i="2"/>
  <c r="OY41" i="2"/>
  <c r="OP41" i="2"/>
  <c r="OO41" i="2"/>
  <c r="OF41" i="2"/>
  <c r="OE41" i="2"/>
  <c r="NV41" i="2"/>
  <c r="NU41" i="2"/>
  <c r="NL41" i="2"/>
  <c r="NK41" i="2"/>
  <c r="NB41" i="2"/>
  <c r="NA41" i="2"/>
  <c r="MR41" i="2"/>
  <c r="MQ41" i="2"/>
  <c r="MH41" i="2"/>
  <c r="MG41" i="2"/>
  <c r="LX41" i="2"/>
  <c r="LW41" i="2"/>
  <c r="LN41" i="2"/>
  <c r="LM41" i="2"/>
  <c r="LD41" i="2"/>
  <c r="LC41" i="2"/>
  <c r="KT41" i="2"/>
  <c r="KS41" i="2"/>
  <c r="KJ41" i="2"/>
  <c r="KI41" i="2"/>
  <c r="JZ41" i="2"/>
  <c r="JY41" i="2"/>
  <c r="JP41" i="2"/>
  <c r="JO41" i="2"/>
  <c r="JF41" i="2"/>
  <c r="JE41" i="2"/>
  <c r="HR41" i="2"/>
  <c r="HQ41" i="2"/>
  <c r="HH41" i="2"/>
  <c r="HG41" i="2"/>
  <c r="GX41" i="2"/>
  <c r="GW41" i="2"/>
  <c r="FH41" i="2"/>
  <c r="EZ41" i="2"/>
  <c r="ER41" i="2"/>
  <c r="EJ41" i="2"/>
  <c r="EB41" i="2"/>
  <c r="DU41" i="2"/>
  <c r="DN41" i="2"/>
  <c r="DG41" i="2"/>
  <c r="CZ41" i="2"/>
  <c r="CR41" i="2"/>
  <c r="CJ41" i="2"/>
  <c r="CB41" i="2"/>
  <c r="BU41" i="2"/>
  <c r="BT41" i="2"/>
  <c r="BL41" i="2"/>
  <c r="BE41" i="2"/>
  <c r="AS41" i="2"/>
  <c r="AG41" i="2"/>
  <c r="U41" i="2"/>
  <c r="AFN40" i="2"/>
  <c r="AES40" i="2"/>
  <c r="ADO40" i="2"/>
  <c r="AAM40" i="2"/>
  <c r="AAC40" i="2"/>
  <c r="ZS40" i="2"/>
  <c r="ZI40" i="2"/>
  <c r="YY40" i="2"/>
  <c r="YI40" i="2"/>
  <c r="XY40" i="2"/>
  <c r="XO40" i="2"/>
  <c r="WU40" i="2"/>
  <c r="WK40" i="2"/>
  <c r="WA40" i="2"/>
  <c r="VQ40" i="2"/>
  <c r="VG40" i="2"/>
  <c r="UW40" i="2"/>
  <c r="UM40" i="2"/>
  <c r="UC40" i="2"/>
  <c r="TS40" i="2"/>
  <c r="TI40" i="2"/>
  <c r="RU40" i="2"/>
  <c r="QZ40" i="2"/>
  <c r="QY40" i="2"/>
  <c r="QX40" i="2"/>
  <c r="QN40" i="2"/>
  <c r="QM40" i="2"/>
  <c r="QD40" i="2"/>
  <c r="QC40" i="2"/>
  <c r="PT40" i="2"/>
  <c r="PS40" i="2"/>
  <c r="PJ40" i="2"/>
  <c r="PI40" i="2"/>
  <c r="OZ40" i="2"/>
  <c r="OY40" i="2"/>
  <c r="OP40" i="2"/>
  <c r="OO40" i="2"/>
  <c r="OF40" i="2"/>
  <c r="OE40" i="2"/>
  <c r="NV40" i="2"/>
  <c r="NU40" i="2"/>
  <c r="NL40" i="2"/>
  <c r="NK40" i="2"/>
  <c r="NB40" i="2"/>
  <c r="NA40" i="2"/>
  <c r="MR40" i="2"/>
  <c r="MQ40" i="2"/>
  <c r="MH40" i="2"/>
  <c r="MG40" i="2"/>
  <c r="LX40" i="2"/>
  <c r="LW40" i="2"/>
  <c r="LN40" i="2"/>
  <c r="LM40" i="2"/>
  <c r="LD40" i="2"/>
  <c r="LC40" i="2"/>
  <c r="KT40" i="2"/>
  <c r="KS40" i="2"/>
  <c r="KJ40" i="2"/>
  <c r="KI40" i="2"/>
  <c r="JZ40" i="2"/>
  <c r="JY40" i="2"/>
  <c r="JP40" i="2"/>
  <c r="JO40" i="2"/>
  <c r="JF40" i="2"/>
  <c r="JE40" i="2"/>
  <c r="HR40" i="2"/>
  <c r="HQ40" i="2"/>
  <c r="HH40" i="2"/>
  <c r="HG40" i="2"/>
  <c r="GX40" i="2"/>
  <c r="GW40" i="2"/>
  <c r="FH40" i="2"/>
  <c r="EZ40" i="2"/>
  <c r="ER40" i="2"/>
  <c r="EJ40" i="2"/>
  <c r="EB40" i="2"/>
  <c r="DU40" i="2"/>
  <c r="DN40" i="2"/>
  <c r="DG40" i="2"/>
  <c r="CZ40" i="2"/>
  <c r="CR40" i="2"/>
  <c r="CJ40" i="2"/>
  <c r="CB40" i="2"/>
  <c r="BU40" i="2"/>
  <c r="BT40" i="2"/>
  <c r="BL40" i="2"/>
  <c r="BE40" i="2"/>
  <c r="AS40" i="2"/>
  <c r="AG40" i="2"/>
  <c r="T40" i="2"/>
  <c r="S40" i="2"/>
  <c r="R40" i="2"/>
  <c r="AGC39" i="2"/>
  <c r="AGA39" i="2"/>
  <c r="AFR39" i="2"/>
  <c r="AFV39" i="2" s="1"/>
  <c r="AFN39" i="2"/>
  <c r="AES39" i="2"/>
  <c r="ADO39" i="2"/>
  <c r="WU39" i="2"/>
  <c r="WK39" i="2"/>
  <c r="WA39" i="2"/>
  <c r="VQ39" i="2"/>
  <c r="VG39" i="2"/>
  <c r="UW39" i="2"/>
  <c r="UM39" i="2"/>
  <c r="UC39" i="2"/>
  <c r="TS39" i="2"/>
  <c r="TI39" i="2"/>
  <c r="SX39" i="2"/>
  <c r="SW39" i="2"/>
  <c r="RU39" i="2"/>
  <c r="QZ39" i="2"/>
  <c r="QY39" i="2"/>
  <c r="QX39" i="2"/>
  <c r="QN39" i="2"/>
  <c r="QM39" i="2"/>
  <c r="QD39" i="2"/>
  <c r="QC39" i="2"/>
  <c r="PT39" i="2"/>
  <c r="PS39" i="2"/>
  <c r="PJ39" i="2"/>
  <c r="PI39" i="2"/>
  <c r="OZ39" i="2"/>
  <c r="OY39" i="2"/>
  <c r="OP39" i="2"/>
  <c r="OO39" i="2"/>
  <c r="OF39" i="2"/>
  <c r="OE39" i="2"/>
  <c r="NV39" i="2"/>
  <c r="NU39" i="2"/>
  <c r="NL39" i="2"/>
  <c r="NK39" i="2"/>
  <c r="NB39" i="2"/>
  <c r="NA39" i="2"/>
  <c r="MR39" i="2"/>
  <c r="MQ39" i="2"/>
  <c r="MH39" i="2"/>
  <c r="MG39" i="2"/>
  <c r="LX39" i="2"/>
  <c r="LW39" i="2"/>
  <c r="LN39" i="2"/>
  <c r="LM39" i="2"/>
  <c r="LD39" i="2"/>
  <c r="LC39" i="2"/>
  <c r="KT39" i="2"/>
  <c r="KS39" i="2"/>
  <c r="KJ39" i="2"/>
  <c r="KI39" i="2"/>
  <c r="JZ39" i="2"/>
  <c r="JY39" i="2"/>
  <c r="JP39" i="2"/>
  <c r="JO39" i="2"/>
  <c r="JF39" i="2"/>
  <c r="JE39" i="2"/>
  <c r="IV39" i="2"/>
  <c r="IW39" i="2" s="1"/>
  <c r="HR39" i="2"/>
  <c r="HQ39" i="2"/>
  <c r="HH39" i="2"/>
  <c r="HG39" i="2"/>
  <c r="GX39" i="2"/>
  <c r="GW39" i="2"/>
  <c r="FH39" i="2"/>
  <c r="EZ39" i="2"/>
  <c r="ER39" i="2"/>
  <c r="EJ39" i="2"/>
  <c r="EB39" i="2"/>
  <c r="DU39" i="2"/>
  <c r="DN39" i="2"/>
  <c r="DG39" i="2"/>
  <c r="CZ39" i="2"/>
  <c r="CR39" i="2"/>
  <c r="CJ39" i="2"/>
  <c r="CB39" i="2"/>
  <c r="BT39" i="2"/>
  <c r="BL39" i="2"/>
  <c r="BE39" i="2"/>
  <c r="AS39" i="2"/>
  <c r="AG39" i="2"/>
  <c r="T39" i="2"/>
  <c r="S39" i="2"/>
  <c r="R39" i="2"/>
  <c r="AFN38" i="2"/>
  <c r="AFA38" i="2"/>
  <c r="AES38" i="2"/>
  <c r="ADO38" i="2"/>
  <c r="ADG38" i="2"/>
  <c r="AAW38" i="2"/>
  <c r="WU38" i="2"/>
  <c r="WK38" i="2"/>
  <c r="WA38" i="2"/>
  <c r="VQ38" i="2"/>
  <c r="VG38" i="2"/>
  <c r="UW38" i="2"/>
  <c r="UM38" i="2"/>
  <c r="UC38" i="2"/>
  <c r="TS38" i="2"/>
  <c r="TI38" i="2"/>
  <c r="SX38" i="2"/>
  <c r="SW38" i="2"/>
  <c r="RU38" i="2"/>
  <c r="QZ38" i="2"/>
  <c r="QY38" i="2"/>
  <c r="QX38" i="2"/>
  <c r="QN38" i="2"/>
  <c r="QM38" i="2"/>
  <c r="QD38" i="2"/>
  <c r="QC38" i="2"/>
  <c r="PT38" i="2"/>
  <c r="PS38" i="2"/>
  <c r="PJ38" i="2"/>
  <c r="PI38" i="2"/>
  <c r="OZ38" i="2"/>
  <c r="OY38" i="2"/>
  <c r="OP38" i="2"/>
  <c r="OO38" i="2"/>
  <c r="OF38" i="2"/>
  <c r="OE38" i="2"/>
  <c r="NV38" i="2"/>
  <c r="NU38" i="2"/>
  <c r="NL38" i="2"/>
  <c r="NK38" i="2"/>
  <c r="NB38" i="2"/>
  <c r="NA38" i="2"/>
  <c r="MR38" i="2"/>
  <c r="MQ38" i="2"/>
  <c r="MH38" i="2"/>
  <c r="MG38" i="2"/>
  <c r="LX38" i="2"/>
  <c r="LW38" i="2"/>
  <c r="LN38" i="2"/>
  <c r="LM38" i="2"/>
  <c r="LD38" i="2"/>
  <c r="LC38" i="2"/>
  <c r="KT38" i="2"/>
  <c r="KS38" i="2"/>
  <c r="KJ38" i="2"/>
  <c r="KI38" i="2"/>
  <c r="JZ38" i="2"/>
  <c r="JY38" i="2"/>
  <c r="JP38" i="2"/>
  <c r="JO38" i="2"/>
  <c r="JF38" i="2"/>
  <c r="JE38" i="2"/>
  <c r="IV38" i="2"/>
  <c r="HR38" i="2"/>
  <c r="HQ38" i="2"/>
  <c r="HH38" i="2"/>
  <c r="HG38" i="2"/>
  <c r="GX38" i="2"/>
  <c r="GW38" i="2"/>
  <c r="FH38" i="2"/>
  <c r="EZ38" i="2"/>
  <c r="ER38" i="2"/>
  <c r="EJ38" i="2"/>
  <c r="EB38" i="2"/>
  <c r="DU38" i="2"/>
  <c r="DN38" i="2"/>
  <c r="DG38" i="2"/>
  <c r="CZ38" i="2"/>
  <c r="CR38" i="2"/>
  <c r="CJ38" i="2"/>
  <c r="CB38" i="2"/>
  <c r="BT38" i="2"/>
  <c r="BL38" i="2"/>
  <c r="BE38" i="2"/>
  <c r="AS38" i="2"/>
  <c r="AG38" i="2"/>
  <c r="T38" i="2"/>
  <c r="S38" i="2"/>
  <c r="R38" i="2"/>
  <c r="AGC37" i="2"/>
  <c r="AFZ37" i="2"/>
  <c r="AGA37" i="2" s="1"/>
  <c r="AFS37" i="2"/>
  <c r="AFR37" i="2"/>
  <c r="AFV37" i="2" s="1"/>
  <c r="AFN37" i="2"/>
  <c r="AES37" i="2"/>
  <c r="ADO37" i="2"/>
  <c r="ADG37" i="2"/>
  <c r="AAW37" i="2"/>
  <c r="WU37" i="2"/>
  <c r="WK37" i="2"/>
  <c r="WA37" i="2"/>
  <c r="VQ37" i="2"/>
  <c r="VG37" i="2"/>
  <c r="UW37" i="2"/>
  <c r="UM37" i="2"/>
  <c r="UC37" i="2"/>
  <c r="TS37" i="2"/>
  <c r="TI37" i="2"/>
  <c r="SX37" i="2"/>
  <c r="SW37" i="2"/>
  <c r="SN37" i="2"/>
  <c r="SM37" i="2"/>
  <c r="RU37" i="2"/>
  <c r="QZ37" i="2"/>
  <c r="QY37" i="2"/>
  <c r="QX37" i="2"/>
  <c r="QN37" i="2"/>
  <c r="QM37" i="2"/>
  <c r="QD37" i="2"/>
  <c r="QC37" i="2"/>
  <c r="PT37" i="2"/>
  <c r="PS37" i="2"/>
  <c r="PJ37" i="2"/>
  <c r="PI37" i="2"/>
  <c r="OZ37" i="2"/>
  <c r="OY37" i="2"/>
  <c r="OP37" i="2"/>
  <c r="OO37" i="2"/>
  <c r="OF37" i="2"/>
  <c r="OE37" i="2"/>
  <c r="NV37" i="2"/>
  <c r="NU37" i="2"/>
  <c r="NL37" i="2"/>
  <c r="NK37" i="2"/>
  <c r="NB37" i="2"/>
  <c r="NA37" i="2"/>
  <c r="MR37" i="2"/>
  <c r="MQ37" i="2"/>
  <c r="MH37" i="2"/>
  <c r="MG37" i="2"/>
  <c r="LX37" i="2"/>
  <c r="LW37" i="2"/>
  <c r="LN37" i="2"/>
  <c r="LM37" i="2"/>
  <c r="LD37" i="2"/>
  <c r="LC37" i="2"/>
  <c r="KT37" i="2"/>
  <c r="KS37" i="2"/>
  <c r="KJ37" i="2"/>
  <c r="KI37" i="2"/>
  <c r="JZ37" i="2"/>
  <c r="JY37" i="2"/>
  <c r="JP37" i="2"/>
  <c r="JO37" i="2"/>
  <c r="JF37" i="2"/>
  <c r="JE37" i="2"/>
  <c r="IV37" i="2"/>
  <c r="HR37" i="2"/>
  <c r="HQ37" i="2"/>
  <c r="HH37" i="2"/>
  <c r="HG37" i="2"/>
  <c r="GX37" i="2"/>
  <c r="GW37" i="2"/>
  <c r="FH37" i="2"/>
  <c r="EZ37" i="2"/>
  <c r="ER37" i="2"/>
  <c r="EJ37" i="2"/>
  <c r="EB37" i="2"/>
  <c r="DU37" i="2"/>
  <c r="DN37" i="2"/>
  <c r="DG37" i="2"/>
  <c r="CZ37" i="2"/>
  <c r="CR37" i="2"/>
  <c r="CJ37" i="2"/>
  <c r="CB37" i="2"/>
  <c r="BT37" i="2"/>
  <c r="BL37" i="2"/>
  <c r="BE37" i="2"/>
  <c r="AS37" i="2"/>
  <c r="AG37" i="2"/>
  <c r="T37" i="2"/>
  <c r="S37" i="2"/>
  <c r="R37" i="2"/>
  <c r="AFN36" i="2"/>
  <c r="AES36" i="2"/>
  <c r="ADO36" i="2"/>
  <c r="ADG36" i="2"/>
  <c r="ADC36" i="2"/>
  <c r="AAW36" i="2"/>
  <c r="WU36" i="2"/>
  <c r="WK36" i="2"/>
  <c r="WA36" i="2"/>
  <c r="VQ36" i="2"/>
  <c r="VG36" i="2"/>
  <c r="UW36" i="2"/>
  <c r="UM36" i="2"/>
  <c r="UC36" i="2"/>
  <c r="TS36" i="2"/>
  <c r="TI36" i="2"/>
  <c r="SX36" i="2"/>
  <c r="SW36" i="2"/>
  <c r="SN36" i="2"/>
  <c r="SM36" i="2"/>
  <c r="RU36" i="2"/>
  <c r="QZ36" i="2"/>
  <c r="QY36" i="2"/>
  <c r="QX36" i="2"/>
  <c r="QN36" i="2"/>
  <c r="QM36" i="2"/>
  <c r="QD36" i="2"/>
  <c r="QC36" i="2"/>
  <c r="PT36" i="2"/>
  <c r="PS36" i="2"/>
  <c r="PJ36" i="2"/>
  <c r="PI36" i="2"/>
  <c r="OZ36" i="2"/>
  <c r="OY36" i="2"/>
  <c r="OP36" i="2"/>
  <c r="OO36" i="2"/>
  <c r="OF36" i="2"/>
  <c r="OE36" i="2"/>
  <c r="NV36" i="2"/>
  <c r="NU36" i="2"/>
  <c r="NL36" i="2"/>
  <c r="NK36" i="2"/>
  <c r="NB36" i="2"/>
  <c r="NA36" i="2"/>
  <c r="MR36" i="2"/>
  <c r="MQ36" i="2"/>
  <c r="MH36" i="2"/>
  <c r="MG36" i="2"/>
  <c r="LX36" i="2"/>
  <c r="LW36" i="2"/>
  <c r="LN36" i="2"/>
  <c r="LM36" i="2"/>
  <c r="LD36" i="2"/>
  <c r="LC36" i="2"/>
  <c r="KT36" i="2"/>
  <c r="KS36" i="2"/>
  <c r="KJ36" i="2"/>
  <c r="KI36" i="2"/>
  <c r="JZ36" i="2"/>
  <c r="JY36" i="2"/>
  <c r="JP36" i="2"/>
  <c r="JO36" i="2"/>
  <c r="JF36" i="2"/>
  <c r="JE36" i="2"/>
  <c r="IV36" i="2"/>
  <c r="HR36" i="2"/>
  <c r="HQ36" i="2"/>
  <c r="HH36" i="2"/>
  <c r="HG36" i="2"/>
  <c r="GX36" i="2"/>
  <c r="GW36" i="2"/>
  <c r="FH36" i="2"/>
  <c r="EZ36" i="2"/>
  <c r="ER36" i="2"/>
  <c r="EJ36" i="2"/>
  <c r="EB36" i="2"/>
  <c r="DU36" i="2"/>
  <c r="DN36" i="2"/>
  <c r="DG36" i="2"/>
  <c r="CZ36" i="2"/>
  <c r="CR36" i="2"/>
  <c r="CJ36" i="2"/>
  <c r="CB36" i="2"/>
  <c r="BT36" i="2"/>
  <c r="BL36" i="2"/>
  <c r="BE36" i="2"/>
  <c r="AS36" i="2"/>
  <c r="AG36" i="2"/>
  <c r="T36" i="2"/>
  <c r="S36" i="2"/>
  <c r="R36" i="2"/>
  <c r="AGC35" i="2"/>
  <c r="AFZ35" i="2"/>
  <c r="AGA35" i="2" s="1"/>
  <c r="AFS35" i="2"/>
  <c r="AFR35" i="2"/>
  <c r="AFV35" i="2" s="1"/>
  <c r="AFN35" i="2"/>
  <c r="AES35" i="2"/>
  <c r="ADO35" i="2"/>
  <c r="ADG35" i="2"/>
  <c r="ADC35" i="2"/>
  <c r="AAW35" i="2"/>
  <c r="XN35" i="2"/>
  <c r="XM35" i="2"/>
  <c r="WU35" i="2"/>
  <c r="WK35" i="2"/>
  <c r="WA35" i="2"/>
  <c r="VQ35" i="2"/>
  <c r="VG35" i="2"/>
  <c r="UW35" i="2"/>
  <c r="UM35" i="2"/>
  <c r="UC35" i="2"/>
  <c r="TS35" i="2"/>
  <c r="TI35" i="2"/>
  <c r="SX35" i="2"/>
  <c r="SW35" i="2"/>
  <c r="SN35" i="2"/>
  <c r="SM35" i="2"/>
  <c r="RU35" i="2"/>
  <c r="QZ35" i="2"/>
  <c r="QY35" i="2"/>
  <c r="QX35" i="2"/>
  <c r="QN35" i="2"/>
  <c r="QM35" i="2"/>
  <c r="QD35" i="2"/>
  <c r="QC35" i="2"/>
  <c r="PT35" i="2"/>
  <c r="PS35" i="2"/>
  <c r="PJ35" i="2"/>
  <c r="PI35" i="2"/>
  <c r="OZ35" i="2"/>
  <c r="OY35" i="2"/>
  <c r="OP35" i="2"/>
  <c r="OO35" i="2"/>
  <c r="OF35" i="2"/>
  <c r="OE35" i="2"/>
  <c r="NV35" i="2"/>
  <c r="NU35" i="2"/>
  <c r="NL35" i="2"/>
  <c r="NK35" i="2"/>
  <c r="NB35" i="2"/>
  <c r="NA35" i="2"/>
  <c r="MR35" i="2"/>
  <c r="MQ35" i="2"/>
  <c r="MH35" i="2"/>
  <c r="MG35" i="2"/>
  <c r="LX35" i="2"/>
  <c r="LW35" i="2"/>
  <c r="LN35" i="2"/>
  <c r="LM35" i="2"/>
  <c r="LD35" i="2"/>
  <c r="LC35" i="2"/>
  <c r="KT35" i="2"/>
  <c r="KS35" i="2"/>
  <c r="KJ35" i="2"/>
  <c r="KI35" i="2"/>
  <c r="JZ35" i="2"/>
  <c r="JY35" i="2"/>
  <c r="JP35" i="2"/>
  <c r="JO35" i="2"/>
  <c r="JF35" i="2"/>
  <c r="JE35" i="2"/>
  <c r="IV35" i="2"/>
  <c r="HR35" i="2"/>
  <c r="HQ35" i="2"/>
  <c r="HH35" i="2"/>
  <c r="HG35" i="2"/>
  <c r="GX35" i="2"/>
  <c r="GW35" i="2"/>
  <c r="FH35" i="2"/>
  <c r="EZ35" i="2"/>
  <c r="ER35" i="2"/>
  <c r="EJ35" i="2"/>
  <c r="EB35" i="2"/>
  <c r="DU35" i="2"/>
  <c r="DN35" i="2"/>
  <c r="DG35" i="2"/>
  <c r="CZ35" i="2"/>
  <c r="CR35" i="2"/>
  <c r="CJ35" i="2"/>
  <c r="BT35" i="2"/>
  <c r="BL35" i="2"/>
  <c r="BE35" i="2"/>
  <c r="AS35" i="2"/>
  <c r="AG35" i="2"/>
  <c r="T35" i="2"/>
  <c r="S35" i="2"/>
  <c r="R35" i="2"/>
  <c r="AFN34" i="2"/>
  <c r="AES34" i="2"/>
  <c r="ADO34" i="2"/>
  <c r="ADG34" i="2"/>
  <c r="AAW34" i="2"/>
  <c r="XN34" i="2"/>
  <c r="XM34" i="2"/>
  <c r="WU34" i="2"/>
  <c r="WK34" i="2"/>
  <c r="WA34" i="2"/>
  <c r="VQ34" i="2"/>
  <c r="VG34" i="2"/>
  <c r="UW34" i="2"/>
  <c r="UM34" i="2"/>
  <c r="UC34" i="2"/>
  <c r="TS34" i="2"/>
  <c r="TI34" i="2"/>
  <c r="SX34" i="2"/>
  <c r="SW34" i="2"/>
  <c r="SN34" i="2"/>
  <c r="SM34" i="2"/>
  <c r="RU34" i="2"/>
  <c r="QZ34" i="2"/>
  <c r="QY34" i="2"/>
  <c r="QX34" i="2"/>
  <c r="QN34" i="2"/>
  <c r="QM34" i="2"/>
  <c r="QD34" i="2"/>
  <c r="QC34" i="2"/>
  <c r="PT34" i="2"/>
  <c r="PS34" i="2"/>
  <c r="PJ34" i="2"/>
  <c r="PI34" i="2"/>
  <c r="OZ34" i="2"/>
  <c r="OY34" i="2"/>
  <c r="OP34" i="2"/>
  <c r="OO34" i="2"/>
  <c r="OF34" i="2"/>
  <c r="OE34" i="2"/>
  <c r="NV34" i="2"/>
  <c r="NU34" i="2"/>
  <c r="NL34" i="2"/>
  <c r="NK34" i="2"/>
  <c r="NB34" i="2"/>
  <c r="NA34" i="2"/>
  <c r="MR34" i="2"/>
  <c r="MQ34" i="2"/>
  <c r="MH34" i="2"/>
  <c r="MG34" i="2"/>
  <c r="LX34" i="2"/>
  <c r="LW34" i="2"/>
  <c r="LN34" i="2"/>
  <c r="LM34" i="2"/>
  <c r="LD34" i="2"/>
  <c r="LC34" i="2"/>
  <c r="KT34" i="2"/>
  <c r="KS34" i="2"/>
  <c r="KJ34" i="2"/>
  <c r="KI34" i="2"/>
  <c r="JZ34" i="2"/>
  <c r="JY34" i="2"/>
  <c r="JP34" i="2"/>
  <c r="JO34" i="2"/>
  <c r="JF34" i="2"/>
  <c r="JE34" i="2"/>
  <c r="IV34" i="2"/>
  <c r="HR34" i="2"/>
  <c r="HQ34" i="2"/>
  <c r="HH34" i="2"/>
  <c r="HG34" i="2"/>
  <c r="GX34" i="2"/>
  <c r="GW34" i="2"/>
  <c r="FH34" i="2"/>
  <c r="EZ34" i="2"/>
  <c r="ER34" i="2"/>
  <c r="EJ34" i="2"/>
  <c r="EB34" i="2"/>
  <c r="DU34" i="2"/>
  <c r="DN34" i="2"/>
  <c r="DG34" i="2"/>
  <c r="CZ34" i="2"/>
  <c r="CR34" i="2"/>
  <c r="CJ34" i="2"/>
  <c r="BT34" i="2"/>
  <c r="BL34" i="2"/>
  <c r="BE34" i="2"/>
  <c r="AS34" i="2"/>
  <c r="AG34" i="2"/>
  <c r="T34" i="2"/>
  <c r="S34" i="2"/>
  <c r="R34" i="2"/>
  <c r="AGC33" i="2"/>
  <c r="AFZ33" i="2"/>
  <c r="AGA33" i="2" s="1"/>
  <c r="AFS33" i="2"/>
  <c r="AFR33" i="2"/>
  <c r="AFV33" i="2" s="1"/>
  <c r="AFN33" i="2"/>
  <c r="AES33" i="2"/>
  <c r="ADO33" i="2"/>
  <c r="ADG33" i="2"/>
  <c r="ADC33" i="2"/>
  <c r="AAW33" i="2"/>
  <c r="XN33" i="2"/>
  <c r="XM33" i="2"/>
  <c r="WU33" i="2"/>
  <c r="WK33" i="2"/>
  <c r="WA33" i="2"/>
  <c r="VQ33" i="2"/>
  <c r="VG33" i="2"/>
  <c r="UW33" i="2"/>
  <c r="UM33" i="2"/>
  <c r="UC33" i="2"/>
  <c r="TS33" i="2"/>
  <c r="TI33" i="2"/>
  <c r="SX33" i="2"/>
  <c r="SW33" i="2"/>
  <c r="SN33" i="2"/>
  <c r="SM33" i="2"/>
  <c r="RU33" i="2"/>
  <c r="QZ33" i="2"/>
  <c r="QY33" i="2"/>
  <c r="QX33" i="2"/>
  <c r="QN33" i="2"/>
  <c r="QM33" i="2"/>
  <c r="QD33" i="2"/>
  <c r="QC33" i="2"/>
  <c r="PT33" i="2"/>
  <c r="PS33" i="2"/>
  <c r="PJ33" i="2"/>
  <c r="PI33" i="2"/>
  <c r="OZ33" i="2"/>
  <c r="OY33" i="2"/>
  <c r="OP33" i="2"/>
  <c r="OO33" i="2"/>
  <c r="OF33" i="2"/>
  <c r="OE33" i="2"/>
  <c r="NV33" i="2"/>
  <c r="NU33" i="2"/>
  <c r="NL33" i="2"/>
  <c r="NK33" i="2"/>
  <c r="NB33" i="2"/>
  <c r="NA33" i="2"/>
  <c r="MR33" i="2"/>
  <c r="MQ33" i="2"/>
  <c r="MH33" i="2"/>
  <c r="MG33" i="2"/>
  <c r="LX33" i="2"/>
  <c r="LW33" i="2"/>
  <c r="LN33" i="2"/>
  <c r="LM33" i="2"/>
  <c r="LD33" i="2"/>
  <c r="LC33" i="2"/>
  <c r="KT33" i="2"/>
  <c r="KS33" i="2"/>
  <c r="KJ33" i="2"/>
  <c r="KI33" i="2"/>
  <c r="JZ33" i="2"/>
  <c r="JY33" i="2"/>
  <c r="JP33" i="2"/>
  <c r="JO33" i="2"/>
  <c r="JF33" i="2"/>
  <c r="JE33" i="2"/>
  <c r="IV33" i="2"/>
  <c r="HS33" i="2"/>
  <c r="HR33" i="2"/>
  <c r="HQ33" i="2"/>
  <c r="HI33" i="2"/>
  <c r="HH33" i="2"/>
  <c r="HG33" i="2"/>
  <c r="GY33" i="2"/>
  <c r="GX33" i="2"/>
  <c r="GW33" i="2"/>
  <c r="FH33" i="2"/>
  <c r="EZ33" i="2"/>
  <c r="ER33" i="2"/>
  <c r="EJ33" i="2"/>
  <c r="EB33" i="2"/>
  <c r="DU33" i="2"/>
  <c r="DN33" i="2"/>
  <c r="DG33" i="2"/>
  <c r="CZ33" i="2"/>
  <c r="CR33" i="2"/>
  <c r="CJ33" i="2"/>
  <c r="BT33" i="2"/>
  <c r="BL33" i="2"/>
  <c r="BE33" i="2"/>
  <c r="AS33" i="2"/>
  <c r="AG33" i="2"/>
  <c r="T33" i="2"/>
  <c r="S33" i="2"/>
  <c r="R33" i="2"/>
  <c r="AFN32" i="2"/>
  <c r="AES32" i="2"/>
  <c r="ADO32" i="2"/>
  <c r="ADG32" i="2"/>
  <c r="ADC32" i="2"/>
  <c r="AAW32" i="2"/>
  <c r="AAV32" i="2"/>
  <c r="AAU32" i="2"/>
  <c r="XN32" i="2"/>
  <c r="XM32" i="2"/>
  <c r="WU32" i="2"/>
  <c r="WK32" i="2"/>
  <c r="WA32" i="2"/>
  <c r="VQ32" i="2"/>
  <c r="VG32" i="2"/>
  <c r="UW32" i="2"/>
  <c r="UM32" i="2"/>
  <c r="UC32" i="2"/>
  <c r="TS32" i="2"/>
  <c r="TI32" i="2"/>
  <c r="SX32" i="2"/>
  <c r="SW32" i="2"/>
  <c r="SN32" i="2"/>
  <c r="SM32" i="2"/>
  <c r="RU32" i="2"/>
  <c r="QZ32" i="2"/>
  <c r="QY32" i="2"/>
  <c r="QX32" i="2"/>
  <c r="QN32" i="2"/>
  <c r="QM32" i="2"/>
  <c r="QD32" i="2"/>
  <c r="QC32" i="2"/>
  <c r="PT32" i="2"/>
  <c r="PS32" i="2"/>
  <c r="PJ32" i="2"/>
  <c r="PI32" i="2"/>
  <c r="OZ32" i="2"/>
  <c r="OY32" i="2"/>
  <c r="OP32" i="2"/>
  <c r="OO32" i="2"/>
  <c r="OF32" i="2"/>
  <c r="OE32" i="2"/>
  <c r="NV32" i="2"/>
  <c r="NU32" i="2"/>
  <c r="NL32" i="2"/>
  <c r="NK32" i="2"/>
  <c r="NB32" i="2"/>
  <c r="NA32" i="2"/>
  <c r="MR32" i="2"/>
  <c r="MQ32" i="2"/>
  <c r="MH32" i="2"/>
  <c r="MG32" i="2"/>
  <c r="LX32" i="2"/>
  <c r="LW32" i="2"/>
  <c r="LN32" i="2"/>
  <c r="LM32" i="2"/>
  <c r="LD32" i="2"/>
  <c r="LC32" i="2"/>
  <c r="KT32" i="2"/>
  <c r="KS32" i="2"/>
  <c r="KJ32" i="2"/>
  <c r="KI32" i="2"/>
  <c r="JZ32" i="2"/>
  <c r="JY32" i="2"/>
  <c r="JP32" i="2"/>
  <c r="JO32" i="2"/>
  <c r="JF32" i="2"/>
  <c r="JE32" i="2"/>
  <c r="IV32" i="2"/>
  <c r="HR32" i="2"/>
  <c r="HQ32" i="2"/>
  <c r="HH32" i="2"/>
  <c r="HG32" i="2"/>
  <c r="GX32" i="2"/>
  <c r="GW32" i="2"/>
  <c r="FH32" i="2"/>
  <c r="EZ32" i="2"/>
  <c r="ER32" i="2"/>
  <c r="EJ32" i="2"/>
  <c r="EB32" i="2"/>
  <c r="DU32" i="2"/>
  <c r="DN32" i="2"/>
  <c r="DG32" i="2"/>
  <c r="CZ32" i="2"/>
  <c r="CR32" i="2"/>
  <c r="CJ32" i="2"/>
  <c r="BT32" i="2"/>
  <c r="BL32" i="2"/>
  <c r="BE32" i="2"/>
  <c r="AS32" i="2"/>
  <c r="AG32" i="2"/>
  <c r="T32" i="2"/>
  <c r="S32" i="2"/>
  <c r="R32" i="2"/>
  <c r="AGB31" i="2"/>
  <c r="AFY31" i="2"/>
  <c r="AFZ31" i="2" s="1"/>
  <c r="AFR31" i="2"/>
  <c r="AFQ31" i="2"/>
  <c r="AFU31" i="2" s="1"/>
  <c r="ADG31" i="2"/>
  <c r="ADB31" i="2"/>
  <c r="AAW31" i="2"/>
  <c r="AAV31" i="2"/>
  <c r="AAU31" i="2"/>
  <c r="XN31" i="2"/>
  <c r="XM31" i="2"/>
  <c r="WU31" i="2"/>
  <c r="WK31" i="2"/>
  <c r="WA31" i="2"/>
  <c r="VQ31" i="2"/>
  <c r="VG31" i="2"/>
  <c r="UW31" i="2"/>
  <c r="UM31" i="2"/>
  <c r="UC31" i="2"/>
  <c r="TS31" i="2"/>
  <c r="TI31" i="2"/>
  <c r="SX31" i="2"/>
  <c r="SW31" i="2"/>
  <c r="SN31" i="2"/>
  <c r="SM31" i="2"/>
  <c r="RU31" i="2"/>
  <c r="QZ31" i="2"/>
  <c r="QY31" i="2"/>
  <c r="QX31" i="2"/>
  <c r="QN31" i="2"/>
  <c r="QM31" i="2"/>
  <c r="QD31" i="2"/>
  <c r="QC31" i="2"/>
  <c r="PT31" i="2"/>
  <c r="PS31" i="2"/>
  <c r="PJ31" i="2"/>
  <c r="PI31" i="2"/>
  <c r="OZ31" i="2"/>
  <c r="OY31" i="2"/>
  <c r="OP31" i="2"/>
  <c r="OO31" i="2"/>
  <c r="OF31" i="2"/>
  <c r="OE31" i="2"/>
  <c r="NV31" i="2"/>
  <c r="NU31" i="2"/>
  <c r="NL31" i="2"/>
  <c r="NK31" i="2"/>
  <c r="NB31" i="2"/>
  <c r="NA31" i="2"/>
  <c r="MR31" i="2"/>
  <c r="MQ31" i="2"/>
  <c r="MH31" i="2"/>
  <c r="MG31" i="2"/>
  <c r="LX31" i="2"/>
  <c r="LW31" i="2"/>
  <c r="LN31" i="2"/>
  <c r="LM31" i="2"/>
  <c r="LD31" i="2"/>
  <c r="LC31" i="2"/>
  <c r="KT31" i="2"/>
  <c r="KS31" i="2"/>
  <c r="KJ31" i="2"/>
  <c r="KI31" i="2"/>
  <c r="JZ31" i="2"/>
  <c r="JY31" i="2"/>
  <c r="JP31" i="2"/>
  <c r="JO31" i="2"/>
  <c r="JF31" i="2"/>
  <c r="JE31" i="2"/>
  <c r="IV31" i="2"/>
  <c r="HR31" i="2"/>
  <c r="HQ31" i="2"/>
  <c r="HH31" i="2"/>
  <c r="HG31" i="2"/>
  <c r="GX31" i="2"/>
  <c r="GW31" i="2"/>
  <c r="FH31" i="2"/>
  <c r="EZ31" i="2"/>
  <c r="ER31" i="2"/>
  <c r="EJ31" i="2"/>
  <c r="EB31" i="2"/>
  <c r="DU31" i="2"/>
  <c r="DN31" i="2"/>
  <c r="DG31" i="2"/>
  <c r="CZ31" i="2"/>
  <c r="CR31" i="2"/>
  <c r="CJ31" i="2"/>
  <c r="BT31" i="2"/>
  <c r="BL31" i="2"/>
  <c r="BE31" i="2"/>
  <c r="AS31" i="2"/>
  <c r="AG31" i="2"/>
  <c r="T31" i="2"/>
  <c r="S31" i="2"/>
  <c r="R31" i="2"/>
  <c r="ADG30" i="2"/>
  <c r="ADB30" i="2"/>
  <c r="AAW30" i="2"/>
  <c r="AAV30" i="2"/>
  <c r="AAU30" i="2"/>
  <c r="XN30" i="2"/>
  <c r="XM30" i="2"/>
  <c r="WU30" i="2"/>
  <c r="WK30" i="2"/>
  <c r="WA30" i="2"/>
  <c r="VQ30" i="2"/>
  <c r="VG30" i="2"/>
  <c r="UW30" i="2"/>
  <c r="UM30" i="2"/>
  <c r="UC30" i="2"/>
  <c r="TS30" i="2"/>
  <c r="TI30" i="2"/>
  <c r="SX30" i="2"/>
  <c r="SW30" i="2"/>
  <c r="SN30" i="2"/>
  <c r="SM30" i="2"/>
  <c r="RU30" i="2"/>
  <c r="QZ30" i="2"/>
  <c r="QY30" i="2"/>
  <c r="QX30" i="2"/>
  <c r="QN30" i="2"/>
  <c r="QM30" i="2"/>
  <c r="QD30" i="2"/>
  <c r="QC30" i="2"/>
  <c r="PT30" i="2"/>
  <c r="PS30" i="2"/>
  <c r="PJ30" i="2"/>
  <c r="PI30" i="2"/>
  <c r="OZ30" i="2"/>
  <c r="OY30" i="2"/>
  <c r="OP30" i="2"/>
  <c r="OO30" i="2"/>
  <c r="OF30" i="2"/>
  <c r="OE30" i="2"/>
  <c r="NV30" i="2"/>
  <c r="NU30" i="2"/>
  <c r="NL30" i="2"/>
  <c r="NK30" i="2"/>
  <c r="NB30" i="2"/>
  <c r="NA30" i="2"/>
  <c r="MR30" i="2"/>
  <c r="MQ30" i="2"/>
  <c r="MH30" i="2"/>
  <c r="MG30" i="2"/>
  <c r="LX30" i="2"/>
  <c r="LW30" i="2"/>
  <c r="LN30" i="2"/>
  <c r="LM30" i="2"/>
  <c r="LD30" i="2"/>
  <c r="LC30" i="2"/>
  <c r="KT30" i="2"/>
  <c r="KS30" i="2"/>
  <c r="KJ30" i="2"/>
  <c r="KI30" i="2"/>
  <c r="JZ30" i="2"/>
  <c r="JY30" i="2"/>
  <c r="JP30" i="2"/>
  <c r="JO30" i="2"/>
  <c r="JF30" i="2"/>
  <c r="JE30" i="2"/>
  <c r="IV30" i="2"/>
  <c r="HR30" i="2"/>
  <c r="HQ30" i="2"/>
  <c r="HH30" i="2"/>
  <c r="HG30" i="2"/>
  <c r="GX30" i="2"/>
  <c r="GW30" i="2"/>
  <c r="FH30" i="2"/>
  <c r="EZ30" i="2"/>
  <c r="ER30" i="2"/>
  <c r="EJ30" i="2"/>
  <c r="EB30" i="2"/>
  <c r="DU30" i="2"/>
  <c r="DN30" i="2"/>
  <c r="DG30" i="2"/>
  <c r="CZ30" i="2"/>
  <c r="CR30" i="2"/>
  <c r="CJ30" i="2"/>
  <c r="BT30" i="2"/>
  <c r="BL30" i="2"/>
  <c r="BE30" i="2"/>
  <c r="AS30" i="2"/>
  <c r="AG30" i="2"/>
  <c r="T30" i="2"/>
  <c r="S30" i="2"/>
  <c r="R30" i="2"/>
  <c r="AGB29" i="2"/>
  <c r="AFY29" i="2"/>
  <c r="AFZ29" i="2" s="1"/>
  <c r="AFR29" i="2"/>
  <c r="AFQ29" i="2"/>
  <c r="AFS29" i="2" s="1"/>
  <c r="ADG29" i="2"/>
  <c r="ADB29" i="2"/>
  <c r="AAV29" i="2"/>
  <c r="AAU29" i="2"/>
  <c r="XN29" i="2"/>
  <c r="XM29" i="2"/>
  <c r="WU29" i="2"/>
  <c r="WK29" i="2"/>
  <c r="WA29" i="2"/>
  <c r="VQ29" i="2"/>
  <c r="VG29" i="2"/>
  <c r="UW29" i="2"/>
  <c r="UM29" i="2"/>
  <c r="UC29" i="2"/>
  <c r="TS29" i="2"/>
  <c r="TR29" i="2"/>
  <c r="TQ29" i="2"/>
  <c r="TI29" i="2"/>
  <c r="SX29" i="2"/>
  <c r="SW29" i="2"/>
  <c r="SN29" i="2"/>
  <c r="SM29" i="2"/>
  <c r="RU29" i="2"/>
  <c r="QZ29" i="2"/>
  <c r="QY29" i="2"/>
  <c r="QX29" i="2"/>
  <c r="QN29" i="2"/>
  <c r="QM29" i="2"/>
  <c r="QD29" i="2"/>
  <c r="QC29" i="2"/>
  <c r="PT29" i="2"/>
  <c r="PS29" i="2"/>
  <c r="PJ29" i="2"/>
  <c r="PI29" i="2"/>
  <c r="OZ29" i="2"/>
  <c r="OY29" i="2"/>
  <c r="OP29" i="2"/>
  <c r="OO29" i="2"/>
  <c r="OF29" i="2"/>
  <c r="OE29" i="2"/>
  <c r="NV29" i="2"/>
  <c r="NU29" i="2"/>
  <c r="NL29" i="2"/>
  <c r="NK29" i="2"/>
  <c r="NB29" i="2"/>
  <c r="NA29" i="2"/>
  <c r="MR29" i="2"/>
  <c r="MQ29" i="2"/>
  <c r="MH29" i="2"/>
  <c r="MG29" i="2"/>
  <c r="LX29" i="2"/>
  <c r="LW29" i="2"/>
  <c r="LN29" i="2"/>
  <c r="LM29" i="2"/>
  <c r="LD29" i="2"/>
  <c r="LC29" i="2"/>
  <c r="KT29" i="2"/>
  <c r="KS29" i="2"/>
  <c r="KJ29" i="2"/>
  <c r="KI29" i="2"/>
  <c r="JZ29" i="2"/>
  <c r="JY29" i="2"/>
  <c r="JP29" i="2"/>
  <c r="JO29" i="2"/>
  <c r="JF29" i="2"/>
  <c r="JE29" i="2"/>
  <c r="IV29" i="2"/>
  <c r="HR29" i="2"/>
  <c r="HQ29" i="2"/>
  <c r="HH29" i="2"/>
  <c r="HG29" i="2"/>
  <c r="GX29" i="2"/>
  <c r="GW29" i="2"/>
  <c r="FH29" i="2"/>
  <c r="EZ29" i="2"/>
  <c r="ER29" i="2"/>
  <c r="EJ29" i="2"/>
  <c r="EB29" i="2"/>
  <c r="DU29" i="2"/>
  <c r="DN29" i="2"/>
  <c r="DG29" i="2"/>
  <c r="CZ29" i="2"/>
  <c r="CR29" i="2"/>
  <c r="CJ29" i="2"/>
  <c r="BT29" i="2"/>
  <c r="BL29" i="2"/>
  <c r="BE29" i="2"/>
  <c r="AS29" i="2"/>
  <c r="AG29" i="2"/>
  <c r="T29" i="2"/>
  <c r="S29" i="2"/>
  <c r="R29" i="2"/>
  <c r="H29" i="2"/>
  <c r="ADG28" i="2"/>
  <c r="ADB28" i="2"/>
  <c r="AAV28" i="2"/>
  <c r="AAU28" i="2"/>
  <c r="XN28" i="2"/>
  <c r="XM28" i="2"/>
  <c r="WU28" i="2"/>
  <c r="WK28" i="2"/>
  <c r="WA28" i="2"/>
  <c r="VQ28" i="2"/>
  <c r="VG28" i="2"/>
  <c r="UW28" i="2"/>
  <c r="UM28" i="2"/>
  <c r="UC28" i="2"/>
  <c r="TS28" i="2"/>
  <c r="TR28" i="2"/>
  <c r="TQ28" i="2"/>
  <c r="TI28" i="2"/>
  <c r="SX28" i="2"/>
  <c r="SW28" i="2"/>
  <c r="SN28" i="2"/>
  <c r="SM28" i="2"/>
  <c r="RU28" i="2"/>
  <c r="QZ28" i="2"/>
  <c r="QY28" i="2"/>
  <c r="QX28" i="2"/>
  <c r="QN28" i="2"/>
  <c r="QM28" i="2"/>
  <c r="QD28" i="2"/>
  <c r="QC28" i="2"/>
  <c r="PT28" i="2"/>
  <c r="PS28" i="2"/>
  <c r="PJ28" i="2"/>
  <c r="PI28" i="2"/>
  <c r="OZ28" i="2"/>
  <c r="OY28" i="2"/>
  <c r="OP28" i="2"/>
  <c r="OO28" i="2"/>
  <c r="OF28" i="2"/>
  <c r="OE28" i="2"/>
  <c r="NV28" i="2"/>
  <c r="NU28" i="2"/>
  <c r="NL28" i="2"/>
  <c r="NK28" i="2"/>
  <c r="NB28" i="2"/>
  <c r="NA28" i="2"/>
  <c r="MR28" i="2"/>
  <c r="MQ28" i="2"/>
  <c r="MH28" i="2"/>
  <c r="MG28" i="2"/>
  <c r="LX28" i="2"/>
  <c r="LW28" i="2"/>
  <c r="LN28" i="2"/>
  <c r="LM28" i="2"/>
  <c r="LD28" i="2"/>
  <c r="LC28" i="2"/>
  <c r="KT28" i="2"/>
  <c r="KS28" i="2"/>
  <c r="KJ28" i="2"/>
  <c r="KI28" i="2"/>
  <c r="JZ28" i="2"/>
  <c r="JY28" i="2"/>
  <c r="JP28" i="2"/>
  <c r="JO28" i="2"/>
  <c r="JF28" i="2"/>
  <c r="JE28" i="2"/>
  <c r="IV28" i="2"/>
  <c r="HR28" i="2"/>
  <c r="HQ28" i="2"/>
  <c r="HH28" i="2"/>
  <c r="HG28" i="2"/>
  <c r="GX28" i="2"/>
  <c r="GW28" i="2"/>
  <c r="FH28" i="2"/>
  <c r="EZ28" i="2"/>
  <c r="ER28" i="2"/>
  <c r="EJ28" i="2"/>
  <c r="EB28" i="2"/>
  <c r="DU28" i="2"/>
  <c r="DN28" i="2"/>
  <c r="DG28" i="2"/>
  <c r="CZ28" i="2"/>
  <c r="CR28" i="2"/>
  <c r="CJ28" i="2"/>
  <c r="CB28" i="2"/>
  <c r="BT28" i="2"/>
  <c r="BL28" i="2"/>
  <c r="BE28" i="2"/>
  <c r="AS28" i="2"/>
  <c r="AG28" i="2"/>
  <c r="T28" i="2"/>
  <c r="S28" i="2"/>
  <c r="R28" i="2"/>
  <c r="I28" i="2"/>
  <c r="H28" i="2"/>
  <c r="AGB27" i="2"/>
  <c r="AFZ27" i="2"/>
  <c r="AFQ27" i="2"/>
  <c r="AFU27" i="2" s="1"/>
  <c r="ADG27" i="2"/>
  <c r="ADB27" i="2"/>
  <c r="AAV27" i="2"/>
  <c r="AAU27" i="2"/>
  <c r="XN27" i="2"/>
  <c r="XM27" i="2"/>
  <c r="WU27" i="2"/>
  <c r="WK27" i="2"/>
  <c r="WA27" i="2"/>
  <c r="VQ27" i="2"/>
  <c r="VG27" i="2"/>
  <c r="UW27" i="2"/>
  <c r="UM27" i="2"/>
  <c r="UC27" i="2"/>
  <c r="TS27" i="2"/>
  <c r="TR27" i="2"/>
  <c r="TQ27" i="2"/>
  <c r="TI27" i="2"/>
  <c r="SX27" i="2"/>
  <c r="SW27" i="2"/>
  <c r="SN27" i="2"/>
  <c r="SM27" i="2"/>
  <c r="RU27" i="2"/>
  <c r="QZ27" i="2"/>
  <c r="QY27" i="2"/>
  <c r="QX27" i="2"/>
  <c r="QN27" i="2"/>
  <c r="QM27" i="2"/>
  <c r="QD27" i="2"/>
  <c r="QC27" i="2"/>
  <c r="PT27" i="2"/>
  <c r="PS27" i="2"/>
  <c r="PJ27" i="2"/>
  <c r="PI27" i="2"/>
  <c r="OZ27" i="2"/>
  <c r="OY27" i="2"/>
  <c r="OP27" i="2"/>
  <c r="OO27" i="2"/>
  <c r="OF27" i="2"/>
  <c r="OE27" i="2"/>
  <c r="NV27" i="2"/>
  <c r="NU27" i="2"/>
  <c r="NL27" i="2"/>
  <c r="NK27" i="2"/>
  <c r="NB27" i="2"/>
  <c r="NA27" i="2"/>
  <c r="MR27" i="2"/>
  <c r="MQ27" i="2"/>
  <c r="MH27" i="2"/>
  <c r="MG27" i="2"/>
  <c r="LX27" i="2"/>
  <c r="LW27" i="2"/>
  <c r="LN27" i="2"/>
  <c r="LM27" i="2"/>
  <c r="LD27" i="2"/>
  <c r="LC27" i="2"/>
  <c r="KT27" i="2"/>
  <c r="KS27" i="2"/>
  <c r="KJ27" i="2"/>
  <c r="KI27" i="2"/>
  <c r="JZ27" i="2"/>
  <c r="JY27" i="2"/>
  <c r="JP27" i="2"/>
  <c r="JO27" i="2"/>
  <c r="JF27" i="2"/>
  <c r="JE27" i="2"/>
  <c r="IV27" i="2"/>
  <c r="HR27" i="2"/>
  <c r="HQ27" i="2"/>
  <c r="HH27" i="2"/>
  <c r="HG27" i="2"/>
  <c r="GX27" i="2"/>
  <c r="GW27" i="2"/>
  <c r="GG27" i="2"/>
  <c r="GF27" i="2"/>
  <c r="FH27" i="2"/>
  <c r="EZ27" i="2"/>
  <c r="ER27" i="2"/>
  <c r="EJ27" i="2"/>
  <c r="EB27" i="2"/>
  <c r="DU27" i="2"/>
  <c r="DN27" i="2"/>
  <c r="DG27" i="2"/>
  <c r="CZ27" i="2"/>
  <c r="CR27" i="2"/>
  <c r="CJ27" i="2"/>
  <c r="CB27" i="2"/>
  <c r="BT27" i="2"/>
  <c r="BL27" i="2"/>
  <c r="BE27" i="2"/>
  <c r="AS27" i="2"/>
  <c r="AG27" i="2"/>
  <c r="T27" i="2"/>
  <c r="S27" i="2"/>
  <c r="R27" i="2"/>
  <c r="I27" i="2"/>
  <c r="H27" i="2"/>
  <c r="ADG26" i="2"/>
  <c r="ADB26" i="2"/>
  <c r="AAV26" i="2"/>
  <c r="AAU26" i="2"/>
  <c r="XN26" i="2"/>
  <c r="XM26" i="2"/>
  <c r="WU26" i="2"/>
  <c r="WK26" i="2"/>
  <c r="WA26" i="2"/>
  <c r="VQ26" i="2"/>
  <c r="VG26" i="2"/>
  <c r="UW26" i="2"/>
  <c r="UM26" i="2"/>
  <c r="UC26" i="2"/>
  <c r="TS26" i="2"/>
  <c r="TR26" i="2"/>
  <c r="TQ26" i="2"/>
  <c r="TI26" i="2"/>
  <c r="SX26" i="2"/>
  <c r="SW26" i="2"/>
  <c r="SN26" i="2"/>
  <c r="SM26" i="2"/>
  <c r="RU26" i="2"/>
  <c r="QZ26" i="2"/>
  <c r="QY26" i="2"/>
  <c r="QX26" i="2"/>
  <c r="QN26" i="2"/>
  <c r="QM26" i="2"/>
  <c r="QD26" i="2"/>
  <c r="QC26" i="2"/>
  <c r="PT26" i="2"/>
  <c r="PS26" i="2"/>
  <c r="PJ26" i="2"/>
  <c r="PI26" i="2"/>
  <c r="OZ26" i="2"/>
  <c r="OY26" i="2"/>
  <c r="OP26" i="2"/>
  <c r="OO26" i="2"/>
  <c r="OF26" i="2"/>
  <c r="OE26" i="2"/>
  <c r="NV26" i="2"/>
  <c r="NU26" i="2"/>
  <c r="NL26" i="2"/>
  <c r="NK26" i="2"/>
  <c r="NB26" i="2"/>
  <c r="NA26" i="2"/>
  <c r="MR26" i="2"/>
  <c r="MQ26" i="2"/>
  <c r="MH26" i="2"/>
  <c r="MG26" i="2"/>
  <c r="LX26" i="2"/>
  <c r="LW26" i="2"/>
  <c r="LN26" i="2"/>
  <c r="LM26" i="2"/>
  <c r="LD26" i="2"/>
  <c r="LC26" i="2"/>
  <c r="KT26" i="2"/>
  <c r="KS26" i="2"/>
  <c r="KJ26" i="2"/>
  <c r="KI26" i="2"/>
  <c r="JZ26" i="2"/>
  <c r="JY26" i="2"/>
  <c r="JP26" i="2"/>
  <c r="JO26" i="2"/>
  <c r="JF26" i="2"/>
  <c r="JE26" i="2"/>
  <c r="IV26" i="2"/>
  <c r="HR26" i="2"/>
  <c r="HQ26" i="2"/>
  <c r="HH26" i="2"/>
  <c r="HG26" i="2"/>
  <c r="GX26" i="2"/>
  <c r="GW26" i="2"/>
  <c r="GG26" i="2"/>
  <c r="GF26" i="2"/>
  <c r="FH26" i="2"/>
  <c r="EZ26" i="2"/>
  <c r="ER26" i="2"/>
  <c r="EJ26" i="2"/>
  <c r="EB26" i="2"/>
  <c r="DU26" i="2"/>
  <c r="DN26" i="2"/>
  <c r="DG26" i="2"/>
  <c r="CZ26" i="2"/>
  <c r="CR26" i="2"/>
  <c r="CJ26" i="2"/>
  <c r="CB26" i="2"/>
  <c r="BT26" i="2"/>
  <c r="BL26" i="2"/>
  <c r="BE26" i="2"/>
  <c r="AS26" i="2"/>
  <c r="AG26" i="2"/>
  <c r="T26" i="2"/>
  <c r="S26" i="2"/>
  <c r="R26" i="2"/>
  <c r="I26" i="2"/>
  <c r="H26" i="2"/>
  <c r="AGB25" i="2"/>
  <c r="AFY25" i="2"/>
  <c r="AFZ25" i="2" s="1"/>
  <c r="AFR25" i="2"/>
  <c r="AFQ25" i="2"/>
  <c r="AFU25" i="2" s="1"/>
  <c r="ADG25" i="2"/>
  <c r="ADB25" i="2"/>
  <c r="AAV25" i="2"/>
  <c r="AAU25" i="2"/>
  <c r="YH25" i="2"/>
  <c r="YG25" i="2"/>
  <c r="XX25" i="2"/>
  <c r="XW25" i="2"/>
  <c r="XN25" i="2"/>
  <c r="XM25" i="2"/>
  <c r="WU25" i="2"/>
  <c r="WK25" i="2"/>
  <c r="WA25" i="2"/>
  <c r="VQ25" i="2"/>
  <c r="VG25" i="2"/>
  <c r="UW25" i="2"/>
  <c r="UM25" i="2"/>
  <c r="UC25" i="2"/>
  <c r="TS25" i="2"/>
  <c r="TR25" i="2"/>
  <c r="TQ25" i="2"/>
  <c r="TI25" i="2"/>
  <c r="SX25" i="2"/>
  <c r="SW25" i="2"/>
  <c r="SN25" i="2"/>
  <c r="SM25" i="2"/>
  <c r="RU25" i="2"/>
  <c r="QZ25" i="2"/>
  <c r="QY25" i="2"/>
  <c r="QX25" i="2"/>
  <c r="QN25" i="2"/>
  <c r="QM25" i="2"/>
  <c r="QD25" i="2"/>
  <c r="QC25" i="2"/>
  <c r="PT25" i="2"/>
  <c r="PS25" i="2"/>
  <c r="PJ25" i="2"/>
  <c r="PI25" i="2"/>
  <c r="OZ25" i="2"/>
  <c r="OY25" i="2"/>
  <c r="OP25" i="2"/>
  <c r="OO25" i="2"/>
  <c r="OF25" i="2"/>
  <c r="OE25" i="2"/>
  <c r="NV25" i="2"/>
  <c r="NU25" i="2"/>
  <c r="NL25" i="2"/>
  <c r="NK25" i="2"/>
  <c r="NB25" i="2"/>
  <c r="NA25" i="2"/>
  <c r="MR25" i="2"/>
  <c r="MQ25" i="2"/>
  <c r="MH25" i="2"/>
  <c r="MG25" i="2"/>
  <c r="LX25" i="2"/>
  <c r="LW25" i="2"/>
  <c r="LN25" i="2"/>
  <c r="LM25" i="2"/>
  <c r="LD25" i="2"/>
  <c r="LC25" i="2"/>
  <c r="KT25" i="2"/>
  <c r="KS25" i="2"/>
  <c r="KJ25" i="2"/>
  <c r="KI25" i="2"/>
  <c r="JZ25" i="2"/>
  <c r="JY25" i="2"/>
  <c r="JP25" i="2"/>
  <c r="JO25" i="2"/>
  <c r="JF25" i="2"/>
  <c r="JE25" i="2"/>
  <c r="IV25" i="2"/>
  <c r="HR25" i="2"/>
  <c r="HQ25" i="2"/>
  <c r="HH25" i="2"/>
  <c r="HG25" i="2"/>
  <c r="GX25" i="2"/>
  <c r="GW25" i="2"/>
  <c r="GG25" i="2"/>
  <c r="GF25" i="2"/>
  <c r="FH25" i="2"/>
  <c r="EZ25" i="2"/>
  <c r="ER25" i="2"/>
  <c r="EJ25" i="2"/>
  <c r="EB25" i="2"/>
  <c r="DU25" i="2"/>
  <c r="DN25" i="2"/>
  <c r="DG25" i="2"/>
  <c r="CZ25" i="2"/>
  <c r="CR25" i="2"/>
  <c r="CJ25" i="2"/>
  <c r="CB25" i="2"/>
  <c r="BT25" i="2"/>
  <c r="BL25" i="2"/>
  <c r="BE25" i="2"/>
  <c r="AS25" i="2"/>
  <c r="AG25" i="2"/>
  <c r="T25" i="2"/>
  <c r="S25" i="2"/>
  <c r="R25" i="2"/>
  <c r="I25" i="2"/>
  <c r="H25" i="2"/>
  <c r="ADB23" i="2"/>
  <c r="AAV24" i="2"/>
  <c r="AAU24" i="2"/>
  <c r="YH24" i="2"/>
  <c r="YG24" i="2"/>
  <c r="XX24" i="2"/>
  <c r="XW24" i="2"/>
  <c r="XN24" i="2"/>
  <c r="XM24" i="2"/>
  <c r="WU24" i="2"/>
  <c r="WK24" i="2"/>
  <c r="WA24" i="2"/>
  <c r="VQ24" i="2"/>
  <c r="VG24" i="2"/>
  <c r="UW24" i="2"/>
  <c r="UM24" i="2"/>
  <c r="UC24" i="2"/>
  <c r="TS24" i="2"/>
  <c r="TR24" i="2"/>
  <c r="TQ24" i="2"/>
  <c r="TI24" i="2"/>
  <c r="SX24" i="2"/>
  <c r="SW24" i="2"/>
  <c r="SN24" i="2"/>
  <c r="SM24" i="2"/>
  <c r="RU24" i="2"/>
  <c r="QZ24" i="2"/>
  <c r="QY24" i="2"/>
  <c r="QX24" i="2"/>
  <c r="QN24" i="2"/>
  <c r="QM24" i="2"/>
  <c r="QD24" i="2"/>
  <c r="QC24" i="2"/>
  <c r="PT24" i="2"/>
  <c r="PS24" i="2"/>
  <c r="PJ24" i="2"/>
  <c r="PI24" i="2"/>
  <c r="OZ24" i="2"/>
  <c r="OY24" i="2"/>
  <c r="OP24" i="2"/>
  <c r="OO24" i="2"/>
  <c r="OF24" i="2"/>
  <c r="OE24" i="2"/>
  <c r="NV24" i="2"/>
  <c r="NU24" i="2"/>
  <c r="NL24" i="2"/>
  <c r="NK24" i="2"/>
  <c r="NB24" i="2"/>
  <c r="NA24" i="2"/>
  <c r="MR24" i="2"/>
  <c r="MQ24" i="2"/>
  <c r="MH24" i="2"/>
  <c r="MG24" i="2"/>
  <c r="LX24" i="2"/>
  <c r="LW24" i="2"/>
  <c r="LN24" i="2"/>
  <c r="LM24" i="2"/>
  <c r="LD24" i="2"/>
  <c r="LC24" i="2"/>
  <c r="KT24" i="2"/>
  <c r="KS24" i="2"/>
  <c r="KJ24" i="2"/>
  <c r="KI24" i="2"/>
  <c r="JZ24" i="2"/>
  <c r="JY24" i="2"/>
  <c r="JP24" i="2"/>
  <c r="JO24" i="2"/>
  <c r="JF24" i="2"/>
  <c r="JE24" i="2"/>
  <c r="IV24" i="2"/>
  <c r="HR24" i="2"/>
  <c r="HQ24" i="2"/>
  <c r="HH24" i="2"/>
  <c r="HG24" i="2"/>
  <c r="GX24" i="2"/>
  <c r="GW24" i="2"/>
  <c r="GG24" i="2"/>
  <c r="GF24" i="2"/>
  <c r="FH24" i="2"/>
  <c r="EZ24" i="2"/>
  <c r="ER24" i="2"/>
  <c r="EJ24" i="2"/>
  <c r="EB24" i="2"/>
  <c r="DU24" i="2"/>
  <c r="DN24" i="2"/>
  <c r="DG24" i="2"/>
  <c r="CZ24" i="2"/>
  <c r="CR24" i="2"/>
  <c r="CJ24" i="2"/>
  <c r="CB24" i="2"/>
  <c r="BT24" i="2"/>
  <c r="BL24" i="2"/>
  <c r="BE24" i="2"/>
  <c r="AS24" i="2"/>
  <c r="AG24" i="2"/>
  <c r="T24" i="2"/>
  <c r="S24" i="2"/>
  <c r="R24" i="2"/>
  <c r="I24" i="2"/>
  <c r="H24" i="2"/>
  <c r="AGB23" i="2"/>
  <c r="AFY23" i="2"/>
  <c r="AFZ23" i="2" s="1"/>
  <c r="AFR23" i="2"/>
  <c r="AFQ23" i="2"/>
  <c r="AFU23" i="2" s="1"/>
  <c r="ADG23" i="2"/>
  <c r="AAV23" i="2"/>
  <c r="AAU23" i="2"/>
  <c r="YH23" i="2"/>
  <c r="YG23" i="2"/>
  <c r="XX23" i="2"/>
  <c r="XW23" i="2"/>
  <c r="XN23" i="2"/>
  <c r="XM23" i="2"/>
  <c r="TR23" i="2"/>
  <c r="TQ23" i="2"/>
  <c r="TI23" i="2"/>
  <c r="SX23" i="2"/>
  <c r="SW23" i="2"/>
  <c r="SN23" i="2"/>
  <c r="SM23" i="2"/>
  <c r="RU23" i="2"/>
  <c r="QZ23" i="2"/>
  <c r="QY23" i="2"/>
  <c r="QX23" i="2"/>
  <c r="QN23" i="2"/>
  <c r="QM23" i="2"/>
  <c r="QD23" i="2"/>
  <c r="QC23" i="2"/>
  <c r="PT23" i="2"/>
  <c r="PS23" i="2"/>
  <c r="PJ23" i="2"/>
  <c r="PI23" i="2"/>
  <c r="OZ23" i="2"/>
  <c r="OY23" i="2"/>
  <c r="OP23" i="2"/>
  <c r="OO23" i="2"/>
  <c r="OF23" i="2"/>
  <c r="OE23" i="2"/>
  <c r="NV23" i="2"/>
  <c r="NU23" i="2"/>
  <c r="NL23" i="2"/>
  <c r="NK23" i="2"/>
  <c r="NB23" i="2"/>
  <c r="NA23" i="2"/>
  <c r="MR23" i="2"/>
  <c r="MQ23" i="2"/>
  <c r="MH23" i="2"/>
  <c r="MG23" i="2"/>
  <c r="LX23" i="2"/>
  <c r="LW23" i="2"/>
  <c r="LN23" i="2"/>
  <c r="LM23" i="2"/>
  <c r="LD23" i="2"/>
  <c r="LC23" i="2"/>
  <c r="KT23" i="2"/>
  <c r="KS23" i="2"/>
  <c r="KJ23" i="2"/>
  <c r="KI23" i="2"/>
  <c r="JZ23" i="2"/>
  <c r="JY23" i="2"/>
  <c r="JP23" i="2"/>
  <c r="JO23" i="2"/>
  <c r="JF23" i="2"/>
  <c r="JE23" i="2"/>
  <c r="IV23" i="2"/>
  <c r="HR23" i="2"/>
  <c r="HQ23" i="2"/>
  <c r="HH23" i="2"/>
  <c r="HG23" i="2"/>
  <c r="GX23" i="2"/>
  <c r="GW23" i="2"/>
  <c r="GG23" i="2"/>
  <c r="GF23" i="2"/>
  <c r="FH23" i="2"/>
  <c r="EZ23" i="2"/>
  <c r="ER23" i="2"/>
  <c r="EJ23" i="2"/>
  <c r="EB23" i="2"/>
  <c r="DU23" i="2"/>
  <c r="DN23" i="2"/>
  <c r="DG23" i="2"/>
  <c r="CZ23" i="2"/>
  <c r="CR23" i="2"/>
  <c r="CJ23" i="2"/>
  <c r="CB23" i="2"/>
  <c r="BT23" i="2"/>
  <c r="BL23" i="2"/>
  <c r="BE23" i="2"/>
  <c r="AS23" i="2"/>
  <c r="AG23" i="2"/>
  <c r="T23" i="2"/>
  <c r="S23" i="2"/>
  <c r="R23" i="2"/>
  <c r="I23" i="2"/>
  <c r="H23" i="2"/>
  <c r="ADG22" i="2"/>
  <c r="ADB18" i="2"/>
  <c r="AAV22" i="2"/>
  <c r="AAU22" i="2"/>
  <c r="YH22" i="2"/>
  <c r="YG22" i="2"/>
  <c r="XX22" i="2"/>
  <c r="XW22" i="2"/>
  <c r="XN22" i="2"/>
  <c r="XM22" i="2"/>
  <c r="TR22" i="2"/>
  <c r="TQ22" i="2"/>
  <c r="TI22" i="2"/>
  <c r="SX22" i="2"/>
  <c r="SW22" i="2"/>
  <c r="SN22" i="2"/>
  <c r="SM22" i="2"/>
  <c r="SD22" i="2"/>
  <c r="SC22" i="2"/>
  <c r="RU22" i="2"/>
  <c r="QZ22" i="2"/>
  <c r="QY22" i="2"/>
  <c r="QX22" i="2"/>
  <c r="QN22" i="2"/>
  <c r="QM22" i="2"/>
  <c r="QD22" i="2"/>
  <c r="QC22" i="2"/>
  <c r="PT22" i="2"/>
  <c r="PS22" i="2"/>
  <c r="PJ22" i="2"/>
  <c r="PI22" i="2"/>
  <c r="OZ22" i="2"/>
  <c r="OY22" i="2"/>
  <c r="OP22" i="2"/>
  <c r="OO22" i="2"/>
  <c r="OF22" i="2"/>
  <c r="OE22" i="2"/>
  <c r="NV22" i="2"/>
  <c r="NU22" i="2"/>
  <c r="NL22" i="2"/>
  <c r="NK22" i="2"/>
  <c r="NB22" i="2"/>
  <c r="NA22" i="2"/>
  <c r="MR22" i="2"/>
  <c r="MQ22" i="2"/>
  <c r="MH22" i="2"/>
  <c r="MG22" i="2"/>
  <c r="LX22" i="2"/>
  <c r="LW22" i="2"/>
  <c r="LN22" i="2"/>
  <c r="LM22" i="2"/>
  <c r="LD22" i="2"/>
  <c r="LC22" i="2"/>
  <c r="KT22" i="2"/>
  <c r="KS22" i="2"/>
  <c r="KJ22" i="2"/>
  <c r="KI22" i="2"/>
  <c r="JZ22" i="2"/>
  <c r="JY22" i="2"/>
  <c r="JP22" i="2"/>
  <c r="JO22" i="2"/>
  <c r="JF22" i="2"/>
  <c r="JE22" i="2"/>
  <c r="IV22" i="2"/>
  <c r="HR22" i="2"/>
  <c r="HQ22" i="2"/>
  <c r="HH22" i="2"/>
  <c r="HG22" i="2"/>
  <c r="GX22" i="2"/>
  <c r="GW22" i="2"/>
  <c r="GG22" i="2"/>
  <c r="GF22" i="2"/>
  <c r="FH22" i="2"/>
  <c r="EZ22" i="2"/>
  <c r="ER22" i="2"/>
  <c r="EJ22" i="2"/>
  <c r="EB22" i="2"/>
  <c r="DU22" i="2"/>
  <c r="DN22" i="2"/>
  <c r="DG22" i="2"/>
  <c r="CZ22" i="2"/>
  <c r="CR22" i="2"/>
  <c r="CJ22" i="2"/>
  <c r="CB22" i="2"/>
  <c r="BT22" i="2"/>
  <c r="BL22" i="2"/>
  <c r="BD22" i="2"/>
  <c r="BC22" i="2"/>
  <c r="BE22" i="2" s="1"/>
  <c r="BB22" i="2"/>
  <c r="AR22" i="2"/>
  <c r="AQ22" i="2"/>
  <c r="AS22" i="2" s="1"/>
  <c r="AP22" i="2"/>
  <c r="AF22" i="2"/>
  <c r="AE22" i="2"/>
  <c r="AG22" i="2" s="1"/>
  <c r="AD22" i="2"/>
  <c r="T22" i="2"/>
  <c r="S22" i="2"/>
  <c r="R22" i="2"/>
  <c r="I22" i="2"/>
  <c r="H22" i="2"/>
  <c r="AGB21" i="2"/>
  <c r="AFY21" i="2"/>
  <c r="AFZ21" i="2" s="1"/>
  <c r="AFR21" i="2"/>
  <c r="AFQ21" i="2"/>
  <c r="AFU21" i="2" s="1"/>
  <c r="AEZ21" i="2"/>
  <c r="ADG21" i="2"/>
  <c r="ADB17" i="2"/>
  <c r="AAV21" i="2"/>
  <c r="AAU21" i="2"/>
  <c r="AAB21" i="2"/>
  <c r="AAA21" i="2"/>
  <c r="ZR21" i="2"/>
  <c r="ZQ21" i="2"/>
  <c r="YH21" i="2"/>
  <c r="YG21" i="2"/>
  <c r="XX21" i="2"/>
  <c r="XW21" i="2"/>
  <c r="XN21" i="2"/>
  <c r="XM21" i="2"/>
  <c r="TR21" i="2"/>
  <c r="TQ21" i="2"/>
  <c r="SX21" i="2"/>
  <c r="SW21" i="2"/>
  <c r="SN21" i="2"/>
  <c r="SM21" i="2"/>
  <c r="SD21" i="2"/>
  <c r="SC21" i="2"/>
  <c r="RU21" i="2"/>
  <c r="QZ21" i="2"/>
  <c r="QY21" i="2"/>
  <c r="QX21" i="2"/>
  <c r="QN21" i="2"/>
  <c r="QM21" i="2"/>
  <c r="QD21" i="2"/>
  <c r="QC21" i="2"/>
  <c r="PT21" i="2"/>
  <c r="PS21" i="2"/>
  <c r="PJ21" i="2"/>
  <c r="PI21" i="2"/>
  <c r="OZ21" i="2"/>
  <c r="OY21" i="2"/>
  <c r="OP21" i="2"/>
  <c r="OO21" i="2"/>
  <c r="OF21" i="2"/>
  <c r="OE21" i="2"/>
  <c r="NV21" i="2"/>
  <c r="NU21" i="2"/>
  <c r="NL21" i="2"/>
  <c r="NK21" i="2"/>
  <c r="NB21" i="2"/>
  <c r="NA21" i="2"/>
  <c r="MR21" i="2"/>
  <c r="MS21" i="2" s="1"/>
  <c r="MQ21" i="2"/>
  <c r="MH21" i="2"/>
  <c r="MG21" i="2"/>
  <c r="LX21" i="2"/>
  <c r="LW21" i="2"/>
  <c r="LN21" i="2"/>
  <c r="LM21" i="2"/>
  <c r="LD21" i="2"/>
  <c r="LC21" i="2"/>
  <c r="KT21" i="2"/>
  <c r="KS21" i="2"/>
  <c r="KJ21" i="2"/>
  <c r="KI21" i="2"/>
  <c r="JZ21" i="2"/>
  <c r="JY21" i="2"/>
  <c r="JP21" i="2"/>
  <c r="JO21" i="2"/>
  <c r="JF21" i="2"/>
  <c r="JE21" i="2"/>
  <c r="IV21" i="2"/>
  <c r="HR21" i="2"/>
  <c r="HQ21" i="2"/>
  <c r="HH21" i="2"/>
  <c r="HG21" i="2"/>
  <c r="GX21" i="2"/>
  <c r="GW21" i="2"/>
  <c r="GG21" i="2"/>
  <c r="GF21" i="2"/>
  <c r="FH21" i="2"/>
  <c r="EZ21" i="2"/>
  <c r="ER21" i="2"/>
  <c r="EJ21" i="2"/>
  <c r="EB21" i="2"/>
  <c r="DU21" i="2"/>
  <c r="DN21" i="2"/>
  <c r="DG21" i="2"/>
  <c r="CZ21" i="2"/>
  <c r="CR21" i="2"/>
  <c r="CJ21" i="2"/>
  <c r="CB21" i="2"/>
  <c r="BT21" i="2"/>
  <c r="BL21" i="2"/>
  <c r="BD21" i="2"/>
  <c r="BC21" i="2"/>
  <c r="BB21" i="2"/>
  <c r="AR21" i="2"/>
  <c r="AQ21" i="2"/>
  <c r="AS21" i="2" s="1"/>
  <c r="AP21" i="2"/>
  <c r="AF21" i="2"/>
  <c r="AE21" i="2"/>
  <c r="AG21" i="2" s="1"/>
  <c r="AD21" i="2"/>
  <c r="T21" i="2"/>
  <c r="S21" i="2"/>
  <c r="R21" i="2"/>
  <c r="I21" i="2"/>
  <c r="H21" i="2"/>
  <c r="ADG20" i="2"/>
  <c r="ADB16" i="2"/>
  <c r="AAV20" i="2"/>
  <c r="AAU20" i="2"/>
  <c r="AAB20" i="2"/>
  <c r="AAA20" i="2"/>
  <c r="ZR20" i="2"/>
  <c r="ZQ20" i="2"/>
  <c r="YH20" i="2"/>
  <c r="YG20" i="2"/>
  <c r="XX20" i="2"/>
  <c r="XW20" i="2"/>
  <c r="XN20" i="2"/>
  <c r="XM20" i="2"/>
  <c r="TR20" i="2"/>
  <c r="TQ20" i="2"/>
  <c r="SX20" i="2"/>
  <c r="SW20" i="2"/>
  <c r="SN20" i="2"/>
  <c r="SM20" i="2"/>
  <c r="SD20" i="2"/>
  <c r="SC20" i="2"/>
  <c r="RU20" i="2"/>
  <c r="QZ20" i="2"/>
  <c r="QY20" i="2"/>
  <c r="QX20" i="2"/>
  <c r="QN20" i="2"/>
  <c r="QM20" i="2"/>
  <c r="QD20" i="2"/>
  <c r="QC20" i="2"/>
  <c r="PT20" i="2"/>
  <c r="PS20" i="2"/>
  <c r="PJ20" i="2"/>
  <c r="PI20" i="2"/>
  <c r="OZ20" i="2"/>
  <c r="OY20" i="2"/>
  <c r="OP20" i="2"/>
  <c r="OO20" i="2"/>
  <c r="OF20" i="2"/>
  <c r="OE20" i="2"/>
  <c r="NV20" i="2"/>
  <c r="NU20" i="2"/>
  <c r="NL20" i="2"/>
  <c r="NK20" i="2"/>
  <c r="NB20" i="2"/>
  <c r="NA20" i="2"/>
  <c r="MR20" i="2"/>
  <c r="MS20" i="2" s="1"/>
  <c r="MQ20" i="2"/>
  <c r="MH20" i="2"/>
  <c r="MG20" i="2"/>
  <c r="LX20" i="2"/>
  <c r="LW20" i="2"/>
  <c r="LN20" i="2"/>
  <c r="LM20" i="2"/>
  <c r="LD20" i="2"/>
  <c r="LC20" i="2"/>
  <c r="KT20" i="2"/>
  <c r="KS20" i="2"/>
  <c r="KJ20" i="2"/>
  <c r="KI20" i="2"/>
  <c r="JZ20" i="2"/>
  <c r="JY20" i="2"/>
  <c r="JP20" i="2"/>
  <c r="JO20" i="2"/>
  <c r="JF20" i="2"/>
  <c r="JE20" i="2"/>
  <c r="IV20" i="2"/>
  <c r="HR20" i="2"/>
  <c r="HQ20" i="2"/>
  <c r="HH20" i="2"/>
  <c r="HG20" i="2"/>
  <c r="GX20" i="2"/>
  <c r="GW20" i="2"/>
  <c r="GG20" i="2"/>
  <c r="GF20" i="2"/>
  <c r="FH20" i="2"/>
  <c r="EZ20" i="2"/>
  <c r="ER20" i="2"/>
  <c r="EJ20" i="2"/>
  <c r="EB20" i="2"/>
  <c r="DU20" i="2"/>
  <c r="DN20" i="2"/>
  <c r="DG20" i="2"/>
  <c r="CZ20" i="2"/>
  <c r="CR20" i="2"/>
  <c r="CJ20" i="2"/>
  <c r="CB20" i="2"/>
  <c r="BT20" i="2"/>
  <c r="BL20" i="2"/>
  <c r="BD20" i="2"/>
  <c r="BC20" i="2"/>
  <c r="BB20" i="2"/>
  <c r="AR20" i="2"/>
  <c r="AQ20" i="2"/>
  <c r="AP20" i="2"/>
  <c r="AF20" i="2"/>
  <c r="AE20" i="2"/>
  <c r="AD20" i="2"/>
  <c r="T20" i="2"/>
  <c r="S20" i="2"/>
  <c r="R20" i="2"/>
  <c r="I20" i="2"/>
  <c r="H20" i="2"/>
  <c r="AGB19" i="2"/>
  <c r="AFY19" i="2"/>
  <c r="AFZ19" i="2" s="1"/>
  <c r="AFR19" i="2"/>
  <c r="AFQ19" i="2"/>
  <c r="AFU19" i="2" s="1"/>
  <c r="ADG19" i="2"/>
  <c r="ADB15" i="2"/>
  <c r="AAV19" i="2"/>
  <c r="AAU19" i="2"/>
  <c r="AAB19" i="2"/>
  <c r="AAA19" i="2"/>
  <c r="ZR19" i="2"/>
  <c r="ZQ19" i="2"/>
  <c r="YH19" i="2"/>
  <c r="YG19" i="2"/>
  <c r="XX19" i="2"/>
  <c r="XW19" i="2"/>
  <c r="XN19" i="2"/>
  <c r="XM19" i="2"/>
  <c r="TR19" i="2"/>
  <c r="TQ19" i="2"/>
  <c r="SX19" i="2"/>
  <c r="SW19" i="2"/>
  <c r="SN19" i="2"/>
  <c r="SM19" i="2"/>
  <c r="SD19" i="2"/>
  <c r="SC19" i="2"/>
  <c r="RU19" i="2"/>
  <c r="QZ19" i="2"/>
  <c r="QY19" i="2"/>
  <c r="QX19" i="2"/>
  <c r="QN19" i="2"/>
  <c r="QM19" i="2"/>
  <c r="QD19" i="2"/>
  <c r="QC19" i="2"/>
  <c r="PT19" i="2"/>
  <c r="PU19" i="2" s="1"/>
  <c r="PS19" i="2"/>
  <c r="PJ19" i="2"/>
  <c r="PI19" i="2"/>
  <c r="OZ19" i="2"/>
  <c r="OY19" i="2"/>
  <c r="OP19" i="2"/>
  <c r="OO19" i="2"/>
  <c r="OF19" i="2"/>
  <c r="OE19" i="2"/>
  <c r="NV19" i="2"/>
  <c r="NU19" i="2"/>
  <c r="NL19" i="2"/>
  <c r="NK19" i="2"/>
  <c r="NB19" i="2"/>
  <c r="NA19" i="2"/>
  <c r="MR19" i="2"/>
  <c r="MS19" i="2" s="1"/>
  <c r="MQ19" i="2"/>
  <c r="MH19" i="2"/>
  <c r="MG19" i="2"/>
  <c r="LX19" i="2"/>
  <c r="LW19" i="2"/>
  <c r="LN19" i="2"/>
  <c r="LM19" i="2"/>
  <c r="LD19" i="2"/>
  <c r="LC19" i="2"/>
  <c r="KT19" i="2"/>
  <c r="KS19" i="2"/>
  <c r="KJ19" i="2"/>
  <c r="KI19" i="2"/>
  <c r="JZ19" i="2"/>
  <c r="JY19" i="2"/>
  <c r="JP19" i="2"/>
  <c r="JO19" i="2"/>
  <c r="JF19" i="2"/>
  <c r="JE19" i="2"/>
  <c r="IV19" i="2"/>
  <c r="HR19" i="2"/>
  <c r="HQ19" i="2"/>
  <c r="HH19" i="2"/>
  <c r="HG19" i="2"/>
  <c r="GX19" i="2"/>
  <c r="GW19" i="2"/>
  <c r="GG19" i="2"/>
  <c r="GF19" i="2"/>
  <c r="FY19" i="2"/>
  <c r="FX19" i="2"/>
  <c r="FQ19" i="2"/>
  <c r="FP19" i="2"/>
  <c r="FH19" i="2"/>
  <c r="EZ19" i="2"/>
  <c r="ER19" i="2"/>
  <c r="EJ19" i="2"/>
  <c r="EB19" i="2"/>
  <c r="DU19" i="2"/>
  <c r="DN19" i="2"/>
  <c r="DG19" i="2"/>
  <c r="CZ19" i="2"/>
  <c r="CR19" i="2"/>
  <c r="CJ19" i="2"/>
  <c r="CB19" i="2"/>
  <c r="BT19" i="2"/>
  <c r="BL19" i="2"/>
  <c r="BD19" i="2"/>
  <c r="BC19" i="2"/>
  <c r="BB19" i="2"/>
  <c r="AR19" i="2"/>
  <c r="AQ19" i="2"/>
  <c r="AP19" i="2"/>
  <c r="AF19" i="2"/>
  <c r="AE19" i="2"/>
  <c r="AD19" i="2"/>
  <c r="T19" i="2"/>
  <c r="S19" i="2"/>
  <c r="R19" i="2"/>
  <c r="I19" i="2"/>
  <c r="H19" i="2"/>
  <c r="ADG18" i="2"/>
  <c r="ADB14" i="2"/>
  <c r="AAV18" i="2"/>
  <c r="AAU18" i="2"/>
  <c r="AAB18" i="2"/>
  <c r="AAA18" i="2"/>
  <c r="ZR18" i="2"/>
  <c r="ZQ18" i="2"/>
  <c r="YH18" i="2"/>
  <c r="YG18" i="2"/>
  <c r="XX18" i="2"/>
  <c r="XW18" i="2"/>
  <c r="XN18" i="2"/>
  <c r="XM18" i="2"/>
  <c r="TR18" i="2"/>
  <c r="TQ18" i="2"/>
  <c r="SX18" i="2"/>
  <c r="SW18" i="2"/>
  <c r="SN18" i="2"/>
  <c r="SM18" i="2"/>
  <c r="SD18" i="2"/>
  <c r="SC18" i="2"/>
  <c r="RT18" i="2"/>
  <c r="RS18" i="2"/>
  <c r="QZ18" i="2"/>
  <c r="QY18" i="2"/>
  <c r="QX18" i="2"/>
  <c r="QN18" i="2"/>
  <c r="QM18" i="2"/>
  <c r="QD18" i="2"/>
  <c r="QC18" i="2"/>
  <c r="PT18" i="2"/>
  <c r="PU18" i="2" s="1"/>
  <c r="PS18" i="2"/>
  <c r="PJ18" i="2"/>
  <c r="PI18" i="2"/>
  <c r="OZ18" i="2"/>
  <c r="OY18" i="2"/>
  <c r="OP18" i="2"/>
  <c r="OO18" i="2"/>
  <c r="OF18" i="2"/>
  <c r="OE18" i="2"/>
  <c r="NV18" i="2"/>
  <c r="NU18" i="2"/>
  <c r="NL18" i="2"/>
  <c r="NK18" i="2"/>
  <c r="NB18" i="2"/>
  <c r="NA18" i="2"/>
  <c r="MR18" i="2"/>
  <c r="MS18" i="2" s="1"/>
  <c r="MQ18" i="2"/>
  <c r="MH18" i="2"/>
  <c r="MG18" i="2"/>
  <c r="LX18" i="2"/>
  <c r="LW18" i="2"/>
  <c r="LN18" i="2"/>
  <c r="LM18" i="2"/>
  <c r="LD18" i="2"/>
  <c r="LE18" i="2" s="1"/>
  <c r="LC18" i="2"/>
  <c r="KT18" i="2"/>
  <c r="KS18" i="2"/>
  <c r="KJ18" i="2"/>
  <c r="KI18" i="2"/>
  <c r="JZ18" i="2"/>
  <c r="JY18" i="2"/>
  <c r="JP18" i="2"/>
  <c r="JO18" i="2"/>
  <c r="JF18" i="2"/>
  <c r="JE18" i="2"/>
  <c r="IV18" i="2"/>
  <c r="HR18" i="2"/>
  <c r="HQ18" i="2"/>
  <c r="HH18" i="2"/>
  <c r="HG18" i="2"/>
  <c r="GX18" i="2"/>
  <c r="GW18" i="2"/>
  <c r="GG18" i="2"/>
  <c r="GF18" i="2"/>
  <c r="FY18" i="2"/>
  <c r="FX18" i="2"/>
  <c r="FQ18" i="2"/>
  <c r="FP18" i="2"/>
  <c r="FH18" i="2"/>
  <c r="EZ18" i="2"/>
  <c r="ER18" i="2"/>
  <c r="EJ18" i="2"/>
  <c r="EB18" i="2"/>
  <c r="DU18" i="2"/>
  <c r="DN18" i="2"/>
  <c r="DG18" i="2"/>
  <c r="CZ18" i="2"/>
  <c r="CR18" i="2"/>
  <c r="CJ18" i="2"/>
  <c r="CB18" i="2"/>
  <c r="BT18" i="2"/>
  <c r="BL18" i="2"/>
  <c r="BD18" i="2"/>
  <c r="BC18" i="2"/>
  <c r="BB18" i="2"/>
  <c r="AR18" i="2"/>
  <c r="AQ18" i="2"/>
  <c r="AP18" i="2"/>
  <c r="AF18" i="2"/>
  <c r="AE18" i="2"/>
  <c r="AD18" i="2"/>
  <c r="T18" i="2"/>
  <c r="S18" i="2"/>
  <c r="R18" i="2"/>
  <c r="I18" i="2"/>
  <c r="H18" i="2"/>
  <c r="AGB17" i="2"/>
  <c r="AFZ17" i="2"/>
  <c r="AFQ17" i="2"/>
  <c r="AFS17" i="2" s="1"/>
  <c r="ADG17" i="2"/>
  <c r="ADB13" i="2"/>
  <c r="AAV17" i="2"/>
  <c r="AAU17" i="2"/>
  <c r="AAB17" i="2"/>
  <c r="AAA17" i="2"/>
  <c r="ZR17" i="2"/>
  <c r="ZQ17" i="2"/>
  <c r="YH17" i="2"/>
  <c r="YG17" i="2"/>
  <c r="XX17" i="2"/>
  <c r="XW17" i="2"/>
  <c r="XN17" i="2"/>
  <c r="XM17" i="2"/>
  <c r="TR17" i="2"/>
  <c r="TQ17" i="2"/>
  <c r="SX17" i="2"/>
  <c r="SW17" i="2"/>
  <c r="SN17" i="2"/>
  <c r="SM17" i="2"/>
  <c r="SD17" i="2"/>
  <c r="SC17" i="2"/>
  <c r="RT17" i="2"/>
  <c r="RS17" i="2"/>
  <c r="QZ17" i="2"/>
  <c r="QY17" i="2"/>
  <c r="QX17" i="2"/>
  <c r="QN17" i="2"/>
  <c r="QM17" i="2"/>
  <c r="QD17" i="2"/>
  <c r="QC17" i="2"/>
  <c r="PT17" i="2"/>
  <c r="PU17" i="2" s="1"/>
  <c r="PS17" i="2"/>
  <c r="PJ17" i="2"/>
  <c r="PI17" i="2"/>
  <c r="OZ17" i="2"/>
  <c r="OY17" i="2"/>
  <c r="OP17" i="2"/>
  <c r="OO17" i="2"/>
  <c r="OF17" i="2"/>
  <c r="OE17" i="2"/>
  <c r="NV17" i="2"/>
  <c r="NU17" i="2"/>
  <c r="NL17" i="2"/>
  <c r="NK17" i="2"/>
  <c r="NB17" i="2"/>
  <c r="NA17" i="2"/>
  <c r="MR17" i="2"/>
  <c r="MS17" i="2" s="1"/>
  <c r="MQ17" i="2"/>
  <c r="MH17" i="2"/>
  <c r="MG17" i="2"/>
  <c r="LX17" i="2"/>
  <c r="LW17" i="2"/>
  <c r="LN17" i="2"/>
  <c r="LM17" i="2"/>
  <c r="LD17" i="2"/>
  <c r="LC17" i="2"/>
  <c r="KT17" i="2"/>
  <c r="KS17" i="2"/>
  <c r="KJ17" i="2"/>
  <c r="KI17" i="2"/>
  <c r="JZ17" i="2"/>
  <c r="JY17" i="2"/>
  <c r="JP17" i="2"/>
  <c r="JO17" i="2"/>
  <c r="JF17" i="2"/>
  <c r="JE17" i="2"/>
  <c r="IV17" i="2"/>
  <c r="HR17" i="2"/>
  <c r="HQ17" i="2"/>
  <c r="HH17" i="2"/>
  <c r="HG17" i="2"/>
  <c r="GX17" i="2"/>
  <c r="GW17" i="2"/>
  <c r="GG17" i="2"/>
  <c r="GF17" i="2"/>
  <c r="FY17" i="2"/>
  <c r="FX17" i="2"/>
  <c r="FQ17" i="2"/>
  <c r="FP17" i="2"/>
  <c r="FH17" i="2"/>
  <c r="EZ17" i="2"/>
  <c r="ER17" i="2"/>
  <c r="EJ17" i="2"/>
  <c r="EB17" i="2"/>
  <c r="DU17" i="2"/>
  <c r="DN17" i="2"/>
  <c r="DG17" i="2"/>
  <c r="CZ17" i="2"/>
  <c r="CR17" i="2"/>
  <c r="CJ17" i="2"/>
  <c r="CB17" i="2"/>
  <c r="BT17" i="2"/>
  <c r="BL17" i="2"/>
  <c r="BD17" i="2"/>
  <c r="BC17" i="2"/>
  <c r="BB17" i="2"/>
  <c r="AR17" i="2"/>
  <c r="AQ17" i="2"/>
  <c r="AP17" i="2"/>
  <c r="AF17" i="2"/>
  <c r="AE17" i="2"/>
  <c r="AD17" i="2"/>
  <c r="T17" i="2"/>
  <c r="S17" i="2"/>
  <c r="R17" i="2"/>
  <c r="I17" i="2"/>
  <c r="H17" i="2"/>
  <c r="ADG16" i="2"/>
  <c r="ADB12" i="2"/>
  <c r="AAV16" i="2"/>
  <c r="AAU16" i="2"/>
  <c r="AAB16" i="2"/>
  <c r="AAA16" i="2"/>
  <c r="ZR16" i="2"/>
  <c r="ZQ16" i="2"/>
  <c r="YH16" i="2"/>
  <c r="YG16" i="2"/>
  <c r="XX16" i="2"/>
  <c r="XW16" i="2"/>
  <c r="XN16" i="2"/>
  <c r="XM16" i="2"/>
  <c r="UB16" i="2"/>
  <c r="UA16" i="2"/>
  <c r="TR16" i="2"/>
  <c r="TQ16" i="2"/>
  <c r="SX16" i="2"/>
  <c r="SW16" i="2"/>
  <c r="SN16" i="2"/>
  <c r="SM16" i="2"/>
  <c r="SD16" i="2"/>
  <c r="SC16" i="2"/>
  <c r="RT16" i="2"/>
  <c r="RS16" i="2"/>
  <c r="QZ16" i="2"/>
  <c r="QY16" i="2"/>
  <c r="QX16" i="2"/>
  <c r="QN16" i="2"/>
  <c r="QM16" i="2"/>
  <c r="QD16" i="2"/>
  <c r="QC16" i="2"/>
  <c r="PT16" i="2"/>
  <c r="PS16" i="2"/>
  <c r="PJ16" i="2"/>
  <c r="PI16" i="2"/>
  <c r="OZ16" i="2"/>
  <c r="OY16" i="2"/>
  <c r="OP16" i="2"/>
  <c r="OO16" i="2"/>
  <c r="OF16" i="2"/>
  <c r="OE16" i="2"/>
  <c r="NV16" i="2"/>
  <c r="NU16" i="2"/>
  <c r="NL16" i="2"/>
  <c r="NK16" i="2"/>
  <c r="NB16" i="2"/>
  <c r="NA16" i="2"/>
  <c r="MR16" i="2"/>
  <c r="MS16" i="2" s="1"/>
  <c r="MQ16" i="2"/>
  <c r="MH16" i="2"/>
  <c r="MG16" i="2"/>
  <c r="LX16" i="2"/>
  <c r="LW16" i="2"/>
  <c r="LN16" i="2"/>
  <c r="LM16" i="2"/>
  <c r="LD16" i="2"/>
  <c r="LC16" i="2"/>
  <c r="KT16" i="2"/>
  <c r="KS16" i="2"/>
  <c r="KJ16" i="2"/>
  <c r="KI16" i="2"/>
  <c r="JZ16" i="2"/>
  <c r="JY16" i="2"/>
  <c r="JP16" i="2"/>
  <c r="JO16" i="2"/>
  <c r="JF16" i="2"/>
  <c r="JE16" i="2"/>
  <c r="IV16" i="2"/>
  <c r="HR16" i="2"/>
  <c r="HQ16" i="2"/>
  <c r="HH16" i="2"/>
  <c r="HG16" i="2"/>
  <c r="GX16" i="2"/>
  <c r="GW16" i="2"/>
  <c r="GG16" i="2"/>
  <c r="GF16" i="2"/>
  <c r="FY16" i="2"/>
  <c r="FX16" i="2"/>
  <c r="FQ16" i="2"/>
  <c r="FP16" i="2"/>
  <c r="FH16" i="2"/>
  <c r="EZ16" i="2"/>
  <c r="ER16" i="2"/>
  <c r="EJ16" i="2"/>
  <c r="EB16" i="2"/>
  <c r="DU16" i="2"/>
  <c r="DN16" i="2"/>
  <c r="DG16" i="2"/>
  <c r="CZ16" i="2"/>
  <c r="CR16" i="2"/>
  <c r="CJ16" i="2"/>
  <c r="CB16" i="2"/>
  <c r="BT16" i="2"/>
  <c r="BL16" i="2"/>
  <c r="BD16" i="2"/>
  <c r="BC16" i="2"/>
  <c r="BB16" i="2"/>
  <c r="AR16" i="2"/>
  <c r="AQ16" i="2"/>
  <c r="AP16" i="2"/>
  <c r="AF16" i="2"/>
  <c r="AE16" i="2"/>
  <c r="AD16" i="2"/>
  <c r="T16" i="2"/>
  <c r="S16" i="2"/>
  <c r="R16" i="2"/>
  <c r="I16" i="2"/>
  <c r="H16" i="2"/>
  <c r="AGB15" i="2"/>
  <c r="AFY15" i="2"/>
  <c r="AFZ15" i="2" s="1"/>
  <c r="AFR15" i="2"/>
  <c r="AFQ15" i="2"/>
  <c r="AFU15" i="2" s="1"/>
  <c r="ADG15" i="2"/>
  <c r="ADB11" i="2"/>
  <c r="AAV15" i="2"/>
  <c r="AAU15" i="2"/>
  <c r="AAB15" i="2"/>
  <c r="AAA15" i="2"/>
  <c r="ZR15" i="2"/>
  <c r="ZQ15" i="2"/>
  <c r="YH15" i="2"/>
  <c r="YG15" i="2"/>
  <c r="XX15" i="2"/>
  <c r="XW15" i="2"/>
  <c r="XN15" i="2"/>
  <c r="XM15" i="2"/>
  <c r="UV15" i="2"/>
  <c r="UU15" i="2"/>
  <c r="UL15" i="2"/>
  <c r="UK15" i="2"/>
  <c r="UB15" i="2"/>
  <c r="UA15" i="2"/>
  <c r="TR15" i="2"/>
  <c r="TQ15" i="2"/>
  <c r="TH15" i="2"/>
  <c r="TG15" i="2"/>
  <c r="SX15" i="2"/>
  <c r="SW15" i="2"/>
  <c r="SN15" i="2"/>
  <c r="SM15" i="2"/>
  <c r="SD15" i="2"/>
  <c r="SC15" i="2"/>
  <c r="RT15" i="2"/>
  <c r="RS15" i="2"/>
  <c r="QZ15" i="2"/>
  <c r="QY15" i="2"/>
  <c r="QX15" i="2"/>
  <c r="QN15" i="2"/>
  <c r="QM15" i="2"/>
  <c r="QD15" i="2"/>
  <c r="QC15" i="2"/>
  <c r="PT15" i="2"/>
  <c r="PS15" i="2"/>
  <c r="PJ15" i="2"/>
  <c r="PI15" i="2"/>
  <c r="OZ15" i="2"/>
  <c r="OY15" i="2"/>
  <c r="OP15" i="2"/>
  <c r="OO15" i="2"/>
  <c r="OF15" i="2"/>
  <c r="OE15" i="2"/>
  <c r="NV15" i="2"/>
  <c r="NU15" i="2"/>
  <c r="NL15" i="2"/>
  <c r="NK15" i="2"/>
  <c r="NB15" i="2"/>
  <c r="NA15" i="2"/>
  <c r="MR15" i="2"/>
  <c r="MQ15" i="2"/>
  <c r="MH15" i="2"/>
  <c r="MG15" i="2"/>
  <c r="LX15" i="2"/>
  <c r="LW15" i="2"/>
  <c r="LN15" i="2"/>
  <c r="LM15" i="2"/>
  <c r="LD15" i="2"/>
  <c r="LC15" i="2"/>
  <c r="KT15" i="2"/>
  <c r="KS15" i="2"/>
  <c r="KJ15" i="2"/>
  <c r="KI15" i="2"/>
  <c r="JZ15" i="2"/>
  <c r="JY15" i="2"/>
  <c r="JP15" i="2"/>
  <c r="JO15" i="2"/>
  <c r="JF15" i="2"/>
  <c r="JE15" i="2"/>
  <c r="IV15" i="2"/>
  <c r="IU15" i="2"/>
  <c r="HR15" i="2"/>
  <c r="HQ15" i="2"/>
  <c r="HH15" i="2"/>
  <c r="HG15" i="2"/>
  <c r="GX15" i="2"/>
  <c r="GW15" i="2"/>
  <c r="GG15" i="2"/>
  <c r="GF15" i="2"/>
  <c r="FY15" i="2"/>
  <c r="FX15" i="2"/>
  <c r="FQ15" i="2"/>
  <c r="FP15" i="2"/>
  <c r="FH15" i="2"/>
  <c r="EZ15" i="2"/>
  <c r="ER15" i="2"/>
  <c r="EJ15" i="2"/>
  <c r="EB15" i="2"/>
  <c r="DU15" i="2"/>
  <c r="DN15" i="2"/>
  <c r="DG15" i="2"/>
  <c r="CZ15" i="2"/>
  <c r="CR15" i="2"/>
  <c r="CJ15" i="2"/>
  <c r="CB15" i="2"/>
  <c r="BT15" i="2"/>
  <c r="BL15" i="2"/>
  <c r="BD15" i="2"/>
  <c r="BC15" i="2"/>
  <c r="BB15" i="2"/>
  <c r="AR15" i="2"/>
  <c r="AQ15" i="2"/>
  <c r="AP15" i="2"/>
  <c r="AF15" i="2"/>
  <c r="AE15" i="2"/>
  <c r="AD15" i="2"/>
  <c r="T15" i="2"/>
  <c r="S15" i="2"/>
  <c r="R15" i="2"/>
  <c r="I15" i="2"/>
  <c r="H15" i="2"/>
  <c r="ADG14" i="2"/>
  <c r="ADB19" i="2"/>
  <c r="AAV14" i="2"/>
  <c r="AAU14" i="2"/>
  <c r="AAB14" i="2"/>
  <c r="AAA14" i="2"/>
  <c r="ZR14" i="2"/>
  <c r="ZQ14" i="2"/>
  <c r="YH14" i="2"/>
  <c r="YG14" i="2"/>
  <c r="XX14" i="2"/>
  <c r="XW14" i="2"/>
  <c r="XN14" i="2"/>
  <c r="XM14" i="2"/>
  <c r="UV14" i="2"/>
  <c r="UU14" i="2"/>
  <c r="UL14" i="2"/>
  <c r="UK14" i="2"/>
  <c r="UB14" i="2"/>
  <c r="UA14" i="2"/>
  <c r="TR14" i="2"/>
  <c r="TQ14" i="2"/>
  <c r="TH14" i="2"/>
  <c r="TG14" i="2"/>
  <c r="SX14" i="2"/>
  <c r="SW14" i="2"/>
  <c r="SN14" i="2"/>
  <c r="SM14" i="2"/>
  <c r="SD14" i="2"/>
  <c r="SC14" i="2"/>
  <c r="RT14" i="2"/>
  <c r="RS14" i="2"/>
  <c r="QZ14" i="2"/>
  <c r="QY14" i="2"/>
  <c r="QX14" i="2"/>
  <c r="QN14" i="2"/>
  <c r="QM14" i="2"/>
  <c r="QD14" i="2"/>
  <c r="QC14" i="2"/>
  <c r="PT14" i="2"/>
  <c r="PS14" i="2"/>
  <c r="PJ14" i="2"/>
  <c r="PI14" i="2"/>
  <c r="OZ14" i="2"/>
  <c r="OY14" i="2"/>
  <c r="OP14" i="2"/>
  <c r="OO14" i="2"/>
  <c r="OF14" i="2"/>
  <c r="OE14" i="2"/>
  <c r="NV14" i="2"/>
  <c r="NU14" i="2"/>
  <c r="NL14" i="2"/>
  <c r="NK14" i="2"/>
  <c r="NB14" i="2"/>
  <c r="NA14" i="2"/>
  <c r="MR14" i="2"/>
  <c r="MQ14" i="2"/>
  <c r="MH14" i="2"/>
  <c r="MG14" i="2"/>
  <c r="LX14" i="2"/>
  <c r="LW14" i="2"/>
  <c r="LN14" i="2"/>
  <c r="LM14" i="2"/>
  <c r="LD14" i="2"/>
  <c r="LC14" i="2"/>
  <c r="KT14" i="2"/>
  <c r="KS14" i="2"/>
  <c r="KJ14" i="2"/>
  <c r="KI14" i="2"/>
  <c r="JZ14" i="2"/>
  <c r="JY14" i="2"/>
  <c r="JP14" i="2"/>
  <c r="JO14" i="2"/>
  <c r="JF14" i="2"/>
  <c r="JE14" i="2"/>
  <c r="IV14" i="2"/>
  <c r="IU14" i="2"/>
  <c r="HR14" i="2"/>
  <c r="HQ14" i="2"/>
  <c r="HH14" i="2"/>
  <c r="HG14" i="2"/>
  <c r="GX14" i="2"/>
  <c r="GW14" i="2"/>
  <c r="GG14" i="2"/>
  <c r="GF14" i="2"/>
  <c r="FY14" i="2"/>
  <c r="FX14" i="2"/>
  <c r="FQ14" i="2"/>
  <c r="FP14" i="2"/>
  <c r="FH14" i="2"/>
  <c r="EZ14" i="2"/>
  <c r="ER14" i="2"/>
  <c r="EJ14" i="2"/>
  <c r="EB14" i="2"/>
  <c r="DU14" i="2"/>
  <c r="DN14" i="2"/>
  <c r="DG14" i="2"/>
  <c r="CZ14" i="2"/>
  <c r="CR14" i="2"/>
  <c r="CJ14" i="2"/>
  <c r="CB14" i="2"/>
  <c r="BT14" i="2"/>
  <c r="BL14" i="2"/>
  <c r="BD14" i="2"/>
  <c r="BC14" i="2"/>
  <c r="BB14" i="2"/>
  <c r="AR14" i="2"/>
  <c r="AQ14" i="2"/>
  <c r="AP14" i="2"/>
  <c r="AF14" i="2"/>
  <c r="AE14" i="2"/>
  <c r="AD14" i="2"/>
  <c r="T14" i="2"/>
  <c r="S14" i="2"/>
  <c r="R14" i="2"/>
  <c r="I14" i="2"/>
  <c r="H14" i="2"/>
  <c r="AGB13" i="2"/>
  <c r="AFY13" i="2"/>
  <c r="AFZ13" i="2" s="1"/>
  <c r="AFR13" i="2"/>
  <c r="AFQ13" i="2"/>
  <c r="AFU13" i="2" s="1"/>
  <c r="AEK13" i="2"/>
  <c r="ADG13" i="2"/>
  <c r="ADB20" i="2"/>
  <c r="ABF13" i="2"/>
  <c r="ABE13" i="2"/>
  <c r="AAV13" i="2"/>
  <c r="AAU13" i="2"/>
  <c r="AAB13" i="2"/>
  <c r="AAA13" i="2"/>
  <c r="ZR13" i="2"/>
  <c r="ZQ13" i="2"/>
  <c r="YH13" i="2"/>
  <c r="YG13" i="2"/>
  <c r="XX13" i="2"/>
  <c r="XW13" i="2"/>
  <c r="XN13" i="2"/>
  <c r="XM13" i="2"/>
  <c r="WJ13" i="2"/>
  <c r="WI13" i="2"/>
  <c r="UV13" i="2"/>
  <c r="UU13" i="2"/>
  <c r="UL13" i="2"/>
  <c r="UK13" i="2"/>
  <c r="UB13" i="2"/>
  <c r="UA13" i="2"/>
  <c r="TR13" i="2"/>
  <c r="TQ13" i="2"/>
  <c r="TH13" i="2"/>
  <c r="TG13" i="2"/>
  <c r="SX13" i="2"/>
  <c r="SW13" i="2"/>
  <c r="SN13" i="2"/>
  <c r="SM13" i="2"/>
  <c r="SD13" i="2"/>
  <c r="SC13" i="2"/>
  <c r="RT13" i="2"/>
  <c r="RS13" i="2"/>
  <c r="RJ13" i="2"/>
  <c r="RI13" i="2"/>
  <c r="QZ13" i="2"/>
  <c r="QY13" i="2"/>
  <c r="QX13" i="2"/>
  <c r="QN13" i="2"/>
  <c r="QM13" i="2"/>
  <c r="QD13" i="2"/>
  <c r="QC13" i="2"/>
  <c r="PT13" i="2"/>
  <c r="PS13" i="2"/>
  <c r="PJ13" i="2"/>
  <c r="PI13" i="2"/>
  <c r="OZ13" i="2"/>
  <c r="OY13" i="2"/>
  <c r="OP13" i="2"/>
  <c r="OO13" i="2"/>
  <c r="OF13" i="2"/>
  <c r="OE13" i="2"/>
  <c r="NV13" i="2"/>
  <c r="NU13" i="2"/>
  <c r="NL13" i="2"/>
  <c r="NK13" i="2"/>
  <c r="NB13" i="2"/>
  <c r="NA13" i="2"/>
  <c r="MR13" i="2"/>
  <c r="MQ13" i="2"/>
  <c r="MH13" i="2"/>
  <c r="MG13" i="2"/>
  <c r="LX13" i="2"/>
  <c r="LW13" i="2"/>
  <c r="LN13" i="2"/>
  <c r="LM13" i="2"/>
  <c r="LD13" i="2"/>
  <c r="LC13" i="2"/>
  <c r="KT13" i="2"/>
  <c r="KS13" i="2"/>
  <c r="KJ13" i="2"/>
  <c r="KI13" i="2"/>
  <c r="JZ13" i="2"/>
  <c r="JY13" i="2"/>
  <c r="JP13" i="2"/>
  <c r="JO13" i="2"/>
  <c r="JF13" i="2"/>
  <c r="JE13" i="2"/>
  <c r="IV13" i="2"/>
  <c r="IU13" i="2"/>
  <c r="HR13" i="2"/>
  <c r="HQ13" i="2"/>
  <c r="HH13" i="2"/>
  <c r="HG13" i="2"/>
  <c r="GX13" i="2"/>
  <c r="GW13" i="2"/>
  <c r="GG13" i="2"/>
  <c r="GF13" i="2"/>
  <c r="FY13" i="2"/>
  <c r="FX13" i="2"/>
  <c r="FQ13" i="2"/>
  <c r="FP13" i="2"/>
  <c r="FH13" i="2"/>
  <c r="EZ13" i="2"/>
  <c r="ER13" i="2"/>
  <c r="EJ13" i="2"/>
  <c r="EB13" i="2"/>
  <c r="DU13" i="2"/>
  <c r="DN13" i="2"/>
  <c r="DG13" i="2"/>
  <c r="CZ13" i="2"/>
  <c r="CR13" i="2"/>
  <c r="CJ13" i="2"/>
  <c r="CB13" i="2"/>
  <c r="BT13" i="2"/>
  <c r="BL13" i="2"/>
  <c r="BD13" i="2"/>
  <c r="BC13" i="2"/>
  <c r="BB13" i="2"/>
  <c r="AR13" i="2"/>
  <c r="AQ13" i="2"/>
  <c r="AP13" i="2"/>
  <c r="AF13" i="2"/>
  <c r="AE13" i="2"/>
  <c r="AD13" i="2"/>
  <c r="T13" i="2"/>
  <c r="S13" i="2"/>
  <c r="R13" i="2"/>
  <c r="I13" i="2"/>
  <c r="H13" i="2"/>
  <c r="ADG12" i="2"/>
  <c r="ADB21" i="2"/>
  <c r="ABF12" i="2"/>
  <c r="ABE12" i="2"/>
  <c r="AAV12" i="2"/>
  <c r="AAU12" i="2"/>
  <c r="AAB12" i="2"/>
  <c r="AAA12" i="2"/>
  <c r="ZR12" i="2"/>
  <c r="ZQ12" i="2"/>
  <c r="YH12" i="2"/>
  <c r="YG12" i="2"/>
  <c r="XX12" i="2"/>
  <c r="XW12" i="2"/>
  <c r="XN12" i="2"/>
  <c r="XM12" i="2"/>
  <c r="WJ12" i="2"/>
  <c r="WI12" i="2"/>
  <c r="UV12" i="2"/>
  <c r="UU12" i="2"/>
  <c r="UL12" i="2"/>
  <c r="UK12" i="2"/>
  <c r="UB12" i="2"/>
  <c r="UA12" i="2"/>
  <c r="TR12" i="2"/>
  <c r="TQ12" i="2"/>
  <c r="TH12" i="2"/>
  <c r="TG12" i="2"/>
  <c r="SX12" i="2"/>
  <c r="SW12" i="2"/>
  <c r="SN12" i="2"/>
  <c r="SM12" i="2"/>
  <c r="SD12" i="2"/>
  <c r="SC12" i="2"/>
  <c r="RT12" i="2"/>
  <c r="RS12" i="2"/>
  <c r="RJ12" i="2"/>
  <c r="RI12" i="2"/>
  <c r="QZ12" i="2"/>
  <c r="QY12" i="2"/>
  <c r="QX12" i="2"/>
  <c r="QN12" i="2"/>
  <c r="QM12" i="2"/>
  <c r="QD12" i="2"/>
  <c r="QC12" i="2"/>
  <c r="PT12" i="2"/>
  <c r="PU12" i="2" s="1"/>
  <c r="PS12" i="2"/>
  <c r="PJ12" i="2"/>
  <c r="PI12" i="2"/>
  <c r="OZ12" i="2"/>
  <c r="OY12" i="2"/>
  <c r="OP12" i="2"/>
  <c r="OO12" i="2"/>
  <c r="OF12" i="2"/>
  <c r="OE12" i="2"/>
  <c r="NV12" i="2"/>
  <c r="NU12" i="2"/>
  <c r="NL12" i="2"/>
  <c r="NK12" i="2"/>
  <c r="NB12" i="2"/>
  <c r="NA12" i="2"/>
  <c r="MR12" i="2"/>
  <c r="MQ12" i="2"/>
  <c r="MH12" i="2"/>
  <c r="MG12" i="2"/>
  <c r="LX12" i="2"/>
  <c r="LW12" i="2"/>
  <c r="LN12" i="2"/>
  <c r="LM12" i="2"/>
  <c r="LD12" i="2"/>
  <c r="LC12" i="2"/>
  <c r="KT12" i="2"/>
  <c r="KS12" i="2"/>
  <c r="KJ12" i="2"/>
  <c r="KI12" i="2"/>
  <c r="JZ12" i="2"/>
  <c r="JY12" i="2"/>
  <c r="JP12" i="2"/>
  <c r="JO12" i="2"/>
  <c r="JF12" i="2"/>
  <c r="JE12" i="2"/>
  <c r="IV12" i="2"/>
  <c r="IU12" i="2"/>
  <c r="HR12" i="2"/>
  <c r="HQ12" i="2"/>
  <c r="HH12" i="2"/>
  <c r="HG12" i="2"/>
  <c r="GX12" i="2"/>
  <c r="GW12" i="2"/>
  <c r="GG12" i="2"/>
  <c r="GD12" i="2"/>
  <c r="GD2" i="2" s="1"/>
  <c r="FY12" i="2"/>
  <c r="FX12" i="2"/>
  <c r="FQ12" i="2"/>
  <c r="FP12" i="2"/>
  <c r="FH12" i="2"/>
  <c r="EZ12" i="2"/>
  <c r="ER12" i="2"/>
  <c r="EJ12" i="2"/>
  <c r="EB12" i="2"/>
  <c r="DU12" i="2"/>
  <c r="DN12" i="2"/>
  <c r="DG12" i="2"/>
  <c r="CZ12" i="2"/>
  <c r="CR12" i="2"/>
  <c r="CJ12" i="2"/>
  <c r="CB12" i="2"/>
  <c r="BT12" i="2"/>
  <c r="BL12" i="2"/>
  <c r="BD12" i="2"/>
  <c r="BC12" i="2"/>
  <c r="BB12" i="2"/>
  <c r="AR12" i="2"/>
  <c r="AQ12" i="2"/>
  <c r="AP12" i="2"/>
  <c r="AF12" i="2"/>
  <c r="AE12" i="2"/>
  <c r="AD12" i="2"/>
  <c r="T12" i="2"/>
  <c r="S12" i="2"/>
  <c r="R12" i="2"/>
  <c r="I12" i="2"/>
  <c r="H12" i="2"/>
  <c r="AGB11" i="2"/>
  <c r="AFY11" i="2"/>
  <c r="AFZ11" i="2" s="1"/>
  <c r="AFR11" i="2"/>
  <c r="AFQ11" i="2"/>
  <c r="AFU11" i="2" s="1"/>
  <c r="ADG11" i="2"/>
  <c r="ADB10" i="2"/>
  <c r="ABF11" i="2"/>
  <c r="ABE11" i="2"/>
  <c r="AAV11" i="2"/>
  <c r="AAU11" i="2"/>
  <c r="AAB11" i="2"/>
  <c r="AAA11" i="2"/>
  <c r="ZR11" i="2"/>
  <c r="ZQ11" i="2"/>
  <c r="ZH11" i="2"/>
  <c r="ZG11" i="2"/>
  <c r="YH11" i="2"/>
  <c r="YG11" i="2"/>
  <c r="XX11" i="2"/>
  <c r="XW11" i="2"/>
  <c r="XN11" i="2"/>
  <c r="XM11" i="2"/>
  <c r="WT11" i="2"/>
  <c r="WU11" i="2" s="1"/>
  <c r="G53" i="9" s="1"/>
  <c r="WS11" i="2"/>
  <c r="WJ11" i="2"/>
  <c r="WI11" i="2"/>
  <c r="VP11" i="2"/>
  <c r="VO11" i="2"/>
  <c r="UV11" i="2"/>
  <c r="UU11" i="2"/>
  <c r="UL11" i="2"/>
  <c r="UK11" i="2"/>
  <c r="UB11" i="2"/>
  <c r="UA11" i="2"/>
  <c r="TR11" i="2"/>
  <c r="TQ11" i="2"/>
  <c r="TH11" i="2"/>
  <c r="TG11" i="2"/>
  <c r="SX11" i="2"/>
  <c r="SW11" i="2"/>
  <c r="SN11" i="2"/>
  <c r="SM11" i="2"/>
  <c r="SD11" i="2"/>
  <c r="SC11" i="2"/>
  <c r="RT11" i="2"/>
  <c r="RS11" i="2"/>
  <c r="RJ11" i="2"/>
  <c r="RI11" i="2"/>
  <c r="QZ11" i="2"/>
  <c r="QY11" i="2"/>
  <c r="QX11" i="2"/>
  <c r="QN11" i="2"/>
  <c r="QO11" i="2" s="1"/>
  <c r="QM11" i="2"/>
  <c r="QD11" i="2"/>
  <c r="QC11" i="2"/>
  <c r="PT11" i="2"/>
  <c r="PU11" i="2" s="1"/>
  <c r="PS11" i="2"/>
  <c r="PJ11" i="2"/>
  <c r="PI11" i="2"/>
  <c r="OZ11" i="2"/>
  <c r="OY11" i="2"/>
  <c r="OP11" i="2"/>
  <c r="OO11" i="2"/>
  <c r="OF11" i="2"/>
  <c r="OE11" i="2"/>
  <c r="NV11" i="2"/>
  <c r="NU11" i="2"/>
  <c r="NL11" i="2"/>
  <c r="NM11" i="2" s="1"/>
  <c r="NK11" i="2"/>
  <c r="NB11" i="2"/>
  <c r="NA11" i="2"/>
  <c r="MR11" i="2"/>
  <c r="MQ11" i="2"/>
  <c r="MH11" i="2"/>
  <c r="MG11" i="2"/>
  <c r="LX11" i="2"/>
  <c r="LW11" i="2"/>
  <c r="LN11" i="2"/>
  <c r="LM11" i="2"/>
  <c r="LD11" i="2"/>
  <c r="LC11" i="2"/>
  <c r="KT11" i="2"/>
  <c r="KS11" i="2"/>
  <c r="KJ11" i="2"/>
  <c r="KI11" i="2"/>
  <c r="JZ11" i="2"/>
  <c r="JY11" i="2"/>
  <c r="JP11" i="2"/>
  <c r="JO11" i="2"/>
  <c r="JF11" i="2"/>
  <c r="JE11" i="2"/>
  <c r="IV11" i="2"/>
  <c r="IU11" i="2"/>
  <c r="HR11" i="2"/>
  <c r="HQ11" i="2"/>
  <c r="HH11" i="2"/>
  <c r="HG11" i="2"/>
  <c r="GX11" i="2"/>
  <c r="GW11" i="2"/>
  <c r="GG11" i="2"/>
  <c r="GF11" i="2"/>
  <c r="FY11" i="2"/>
  <c r="FX11" i="2"/>
  <c r="FQ11" i="2"/>
  <c r="FP11" i="2"/>
  <c r="FH11" i="2"/>
  <c r="EZ11" i="2"/>
  <c r="ER11" i="2"/>
  <c r="EJ11" i="2"/>
  <c r="EB11" i="2"/>
  <c r="DU11" i="2"/>
  <c r="DN11" i="2"/>
  <c r="DG11" i="2"/>
  <c r="CZ11" i="2"/>
  <c r="CR11" i="2"/>
  <c r="CJ11" i="2"/>
  <c r="CB11" i="2"/>
  <c r="BT11" i="2"/>
  <c r="BL11" i="2"/>
  <c r="BD11" i="2"/>
  <c r="BC11" i="2"/>
  <c r="BB11" i="2"/>
  <c r="AR11" i="2"/>
  <c r="AQ11" i="2"/>
  <c r="AP11" i="2"/>
  <c r="AF11" i="2"/>
  <c r="AE11" i="2"/>
  <c r="AD11" i="2"/>
  <c r="T11" i="2"/>
  <c r="S11" i="2"/>
  <c r="R11" i="2"/>
  <c r="I11" i="2"/>
  <c r="H11" i="2"/>
  <c r="ADG10" i="2"/>
  <c r="ADB9" i="2"/>
  <c r="ABF10" i="2"/>
  <c r="ABE10" i="2"/>
  <c r="AAV10" i="2"/>
  <c r="AAU10" i="2"/>
  <c r="AAM10" i="2"/>
  <c r="AAB10" i="2"/>
  <c r="AAA10" i="2"/>
  <c r="ZR10" i="2"/>
  <c r="ZQ10" i="2"/>
  <c r="ZH10" i="2"/>
  <c r="ZG10" i="2"/>
  <c r="YO10" i="2"/>
  <c r="YH10" i="2"/>
  <c r="YG10" i="2"/>
  <c r="XX10" i="2"/>
  <c r="XW10" i="2"/>
  <c r="XN10" i="2"/>
  <c r="XM10" i="2"/>
  <c r="WT10" i="2"/>
  <c r="WU10" i="2" s="1"/>
  <c r="WS10" i="2"/>
  <c r="WJ10" i="2"/>
  <c r="WI10" i="2"/>
  <c r="VP10" i="2"/>
  <c r="VO10" i="2"/>
  <c r="UV10" i="2"/>
  <c r="UU10" i="2"/>
  <c r="UL10" i="2"/>
  <c r="UK10" i="2"/>
  <c r="UB10" i="2"/>
  <c r="UA10" i="2"/>
  <c r="TR10" i="2"/>
  <c r="TQ10" i="2"/>
  <c r="TH10" i="2"/>
  <c r="TG10" i="2"/>
  <c r="SX10" i="2"/>
  <c r="SW10" i="2"/>
  <c r="SN10" i="2"/>
  <c r="SM10" i="2"/>
  <c r="SD10" i="2"/>
  <c r="SC10" i="2"/>
  <c r="RT10" i="2"/>
  <c r="RS10" i="2"/>
  <c r="RJ10" i="2"/>
  <c r="RI10" i="2"/>
  <c r="QZ10" i="2"/>
  <c r="QY10" i="2"/>
  <c r="QX10" i="2"/>
  <c r="QN10" i="2"/>
  <c r="QO10" i="2" s="1"/>
  <c r="QM10" i="2"/>
  <c r="QD10" i="2"/>
  <c r="QC10" i="2"/>
  <c r="PT10" i="2"/>
  <c r="PU10" i="2" s="1"/>
  <c r="PS10" i="2"/>
  <c r="PJ10" i="2"/>
  <c r="PI10" i="2"/>
  <c r="OZ10" i="2"/>
  <c r="OY10" i="2"/>
  <c r="OP10" i="2"/>
  <c r="OO10" i="2"/>
  <c r="OF10" i="2"/>
  <c r="OE10" i="2"/>
  <c r="NV10" i="2"/>
  <c r="NU10" i="2"/>
  <c r="NL10" i="2"/>
  <c r="NM10" i="2" s="1"/>
  <c r="NK10" i="2"/>
  <c r="NB10" i="2"/>
  <c r="NA10" i="2"/>
  <c r="MR10" i="2"/>
  <c r="MQ10" i="2"/>
  <c r="MH10" i="2"/>
  <c r="MG10" i="2"/>
  <c r="LX10" i="2"/>
  <c r="LW10" i="2"/>
  <c r="LN10" i="2"/>
  <c r="LM10" i="2"/>
  <c r="LD10" i="2"/>
  <c r="LC10" i="2"/>
  <c r="KT10" i="2"/>
  <c r="KS10" i="2"/>
  <c r="KJ10" i="2"/>
  <c r="KI10" i="2"/>
  <c r="JZ10" i="2"/>
  <c r="JY10" i="2"/>
  <c r="JP10" i="2"/>
  <c r="JO10" i="2"/>
  <c r="JF10" i="2"/>
  <c r="JE10" i="2"/>
  <c r="IV10" i="2"/>
  <c r="IU10" i="2"/>
  <c r="IB10" i="2"/>
  <c r="IA10" i="2"/>
  <c r="HR10" i="2"/>
  <c r="HQ10" i="2"/>
  <c r="HH10" i="2"/>
  <c r="HG10" i="2"/>
  <c r="GX10" i="2"/>
  <c r="GW10" i="2"/>
  <c r="GG10" i="2"/>
  <c r="GF10" i="2"/>
  <c r="FY10" i="2"/>
  <c r="FX10" i="2"/>
  <c r="FQ10" i="2"/>
  <c r="FP10" i="2"/>
  <c r="FH10" i="2"/>
  <c r="EZ10" i="2"/>
  <c r="ER10" i="2"/>
  <c r="EJ10" i="2"/>
  <c r="EB10" i="2"/>
  <c r="DU10" i="2"/>
  <c r="DO10" i="2"/>
  <c r="DG10" i="2"/>
  <c r="CZ10" i="2"/>
  <c r="CR10" i="2"/>
  <c r="CJ10" i="2"/>
  <c r="CB10" i="2"/>
  <c r="BT10" i="2"/>
  <c r="BL10" i="2"/>
  <c r="BD10" i="2"/>
  <c r="BC10" i="2"/>
  <c r="BB10" i="2"/>
  <c r="AR10" i="2"/>
  <c r="AQ10" i="2"/>
  <c r="AP10" i="2"/>
  <c r="AF10" i="2"/>
  <c r="AE10" i="2"/>
  <c r="AD10" i="2"/>
  <c r="T10" i="2"/>
  <c r="S10" i="2"/>
  <c r="R10" i="2"/>
  <c r="I10" i="2"/>
  <c r="H10" i="2"/>
  <c r="AGB9" i="2"/>
  <c r="AFY9" i="2"/>
  <c r="AFZ9" i="2" s="1"/>
  <c r="AFR9" i="2"/>
  <c r="AFQ9" i="2"/>
  <c r="AFU9" i="2" s="1"/>
  <c r="ADG9" i="2"/>
  <c r="ADB8" i="2"/>
  <c r="ABF9" i="2"/>
  <c r="ABE9" i="2"/>
  <c r="AAV9" i="2"/>
  <c r="AAU9" i="2"/>
  <c r="AAB9" i="2"/>
  <c r="AAA9" i="2"/>
  <c r="ZR9" i="2"/>
  <c r="ZQ9" i="2"/>
  <c r="ZH9" i="2"/>
  <c r="ZG9" i="2"/>
  <c r="YO9" i="2"/>
  <c r="YH9" i="2"/>
  <c r="YG9" i="2"/>
  <c r="XX9" i="2"/>
  <c r="XW9" i="2"/>
  <c r="XN9" i="2"/>
  <c r="XM9" i="2"/>
  <c r="WT9" i="2"/>
  <c r="WU9" i="2" s="1"/>
  <c r="WQ2" i="2" s="1"/>
  <c r="WS9" i="2"/>
  <c r="WJ9" i="2"/>
  <c r="WI9" i="2"/>
  <c r="VP9" i="2"/>
  <c r="VO9" i="2"/>
  <c r="UV9" i="2"/>
  <c r="UU9" i="2"/>
  <c r="UL9" i="2"/>
  <c r="UK9" i="2"/>
  <c r="UB9" i="2"/>
  <c r="UA9" i="2"/>
  <c r="TR9" i="2"/>
  <c r="TQ9" i="2"/>
  <c r="TH9" i="2"/>
  <c r="TG9" i="2"/>
  <c r="SX9" i="2"/>
  <c r="SW9" i="2"/>
  <c r="SN9" i="2"/>
  <c r="SM9" i="2"/>
  <c r="SD9" i="2"/>
  <c r="SC9" i="2"/>
  <c r="RT9" i="2"/>
  <c r="RS9" i="2"/>
  <c r="RJ9" i="2"/>
  <c r="RI9" i="2"/>
  <c r="QZ9" i="2"/>
  <c r="QY9" i="2"/>
  <c r="QX9" i="2"/>
  <c r="QN9" i="2"/>
  <c r="QO9" i="2" s="1"/>
  <c r="QM9" i="2"/>
  <c r="QD9" i="2"/>
  <c r="QC9" i="2"/>
  <c r="PT9" i="2"/>
  <c r="PU9" i="2" s="1"/>
  <c r="PS9" i="2"/>
  <c r="PJ9" i="2"/>
  <c r="PI9" i="2"/>
  <c r="OZ9" i="2"/>
  <c r="PA9" i="2" s="1"/>
  <c r="OY9" i="2"/>
  <c r="OP9" i="2"/>
  <c r="OO9" i="2"/>
  <c r="OF9" i="2"/>
  <c r="OE9" i="2"/>
  <c r="NV9" i="2"/>
  <c r="NU9" i="2"/>
  <c r="NL9" i="2"/>
  <c r="NM9" i="2" s="1"/>
  <c r="NK9" i="2"/>
  <c r="NB9" i="2"/>
  <c r="NA9" i="2"/>
  <c r="MR9" i="2"/>
  <c r="MQ9" i="2"/>
  <c r="MH9" i="2"/>
  <c r="MG9" i="2"/>
  <c r="LX9" i="2"/>
  <c r="LW9" i="2"/>
  <c r="LN9" i="2"/>
  <c r="LM9" i="2"/>
  <c r="LD9" i="2"/>
  <c r="LC9" i="2"/>
  <c r="KT9" i="2"/>
  <c r="KS9" i="2"/>
  <c r="KJ9" i="2"/>
  <c r="KI9" i="2"/>
  <c r="JZ9" i="2"/>
  <c r="JY9" i="2"/>
  <c r="JP9" i="2"/>
  <c r="JO9" i="2"/>
  <c r="JF9" i="2"/>
  <c r="JE9" i="2"/>
  <c r="IV9" i="2"/>
  <c r="IU9" i="2"/>
  <c r="IB9" i="2"/>
  <c r="IA9" i="2"/>
  <c r="HR9" i="2"/>
  <c r="HQ9" i="2"/>
  <c r="HH9" i="2"/>
  <c r="HG9" i="2"/>
  <c r="GX9" i="2"/>
  <c r="GW9" i="2"/>
  <c r="GG9" i="2"/>
  <c r="GF9" i="2"/>
  <c r="FY9" i="2"/>
  <c r="FX9" i="2"/>
  <c r="FQ9" i="2"/>
  <c r="FP9" i="2"/>
  <c r="FH9" i="2"/>
  <c r="EZ9" i="2"/>
  <c r="ER9" i="2"/>
  <c r="EJ9" i="2"/>
  <c r="EB9" i="2"/>
  <c r="DU9" i="2"/>
  <c r="DO9" i="2"/>
  <c r="DG9" i="2"/>
  <c r="CZ9" i="2"/>
  <c r="CR9" i="2"/>
  <c r="CJ9" i="2"/>
  <c r="CB9" i="2"/>
  <c r="BT9" i="2"/>
  <c r="BL9" i="2"/>
  <c r="BD9" i="2"/>
  <c r="BC9" i="2"/>
  <c r="BB9" i="2"/>
  <c r="AR9" i="2"/>
  <c r="AQ9" i="2"/>
  <c r="AP9" i="2"/>
  <c r="AF9" i="2"/>
  <c r="AE9" i="2"/>
  <c r="AD9" i="2"/>
  <c r="T9" i="2"/>
  <c r="S9" i="2"/>
  <c r="R9" i="2"/>
  <c r="I9" i="2"/>
  <c r="H9" i="2"/>
  <c r="AFG8" i="2"/>
  <c r="ADV8" i="2"/>
  <c r="ADG8" i="2"/>
  <c r="ADB7" i="2"/>
  <c r="ABF8" i="2"/>
  <c r="ABE8" i="2"/>
  <c r="AAV8" i="2"/>
  <c r="AAU8" i="2"/>
  <c r="AAB8" i="2"/>
  <c r="AAA8" i="2"/>
  <c r="ZR8" i="2"/>
  <c r="ZQ8" i="2"/>
  <c r="ZH8" i="2"/>
  <c r="ZG8" i="2"/>
  <c r="YO8" i="2"/>
  <c r="YH8" i="2"/>
  <c r="YG8" i="2"/>
  <c r="XX8" i="2"/>
  <c r="XW8" i="2"/>
  <c r="XN8" i="2"/>
  <c r="XM8" i="2"/>
  <c r="WT8" i="2"/>
  <c r="WU8" i="2" s="1"/>
  <c r="WS8" i="2"/>
  <c r="WJ8" i="2"/>
  <c r="WI8" i="2"/>
  <c r="VP8" i="2"/>
  <c r="VO8" i="2"/>
  <c r="UV8" i="2"/>
  <c r="UU8" i="2"/>
  <c r="UL8" i="2"/>
  <c r="UK8" i="2"/>
  <c r="UB8" i="2"/>
  <c r="UA8" i="2"/>
  <c r="TR8" i="2"/>
  <c r="TQ8" i="2"/>
  <c r="TH8" i="2"/>
  <c r="TG8" i="2"/>
  <c r="SX8" i="2"/>
  <c r="SW8" i="2"/>
  <c r="SN8" i="2"/>
  <c r="SM8" i="2"/>
  <c r="SD8" i="2"/>
  <c r="SC8" i="2"/>
  <c r="RT8" i="2"/>
  <c r="RS8" i="2"/>
  <c r="RJ8" i="2"/>
  <c r="RI8" i="2"/>
  <c r="QZ8" i="2"/>
  <c r="QY8" i="2"/>
  <c r="QX8" i="2"/>
  <c r="QN8" i="2"/>
  <c r="QM8" i="2"/>
  <c r="QD8" i="2"/>
  <c r="QC8" i="2"/>
  <c r="PT8" i="2"/>
  <c r="PS8" i="2"/>
  <c r="PJ8" i="2"/>
  <c r="PI8" i="2"/>
  <c r="OZ8" i="2"/>
  <c r="PA8" i="2" s="1"/>
  <c r="OY8" i="2"/>
  <c r="OP8" i="2"/>
  <c r="OO8" i="2"/>
  <c r="OF8" i="2"/>
  <c r="OE8" i="2"/>
  <c r="NV8" i="2"/>
  <c r="NU8" i="2"/>
  <c r="NL8" i="2"/>
  <c r="NM8" i="2" s="1"/>
  <c r="NK8" i="2"/>
  <c r="NB8" i="2"/>
  <c r="NA8" i="2"/>
  <c r="MR8" i="2"/>
  <c r="MQ8" i="2"/>
  <c r="MH8" i="2"/>
  <c r="MG8" i="2"/>
  <c r="LX8" i="2"/>
  <c r="LW8" i="2"/>
  <c r="LN8" i="2"/>
  <c r="LO8" i="2" s="1"/>
  <c r="LM8" i="2"/>
  <c r="LD8" i="2"/>
  <c r="LC8" i="2"/>
  <c r="KT8" i="2"/>
  <c r="KS8" i="2"/>
  <c r="KJ8" i="2"/>
  <c r="KI8" i="2"/>
  <c r="JZ8" i="2"/>
  <c r="JY8" i="2"/>
  <c r="JP8" i="2"/>
  <c r="JO8" i="2"/>
  <c r="JF8" i="2"/>
  <c r="JE8" i="2"/>
  <c r="IV8" i="2"/>
  <c r="IU8" i="2"/>
  <c r="IB8" i="2"/>
  <c r="IA8" i="2"/>
  <c r="HR8" i="2"/>
  <c r="HQ8" i="2"/>
  <c r="HH8" i="2"/>
  <c r="HG8" i="2"/>
  <c r="GX8" i="2"/>
  <c r="GW8" i="2"/>
  <c r="GG8" i="2"/>
  <c r="GF8" i="2"/>
  <c r="FY8" i="2"/>
  <c r="FX8" i="2"/>
  <c r="FQ8" i="2"/>
  <c r="FP8" i="2"/>
  <c r="FH8" i="2"/>
  <c r="EZ8" i="2"/>
  <c r="ER8" i="2"/>
  <c r="EJ8" i="2"/>
  <c r="EB8" i="2"/>
  <c r="DU8" i="2"/>
  <c r="DO8" i="2"/>
  <c r="DG8" i="2"/>
  <c r="CZ8" i="2"/>
  <c r="CR8" i="2"/>
  <c r="CJ8" i="2"/>
  <c r="CB8" i="2"/>
  <c r="BT8" i="2"/>
  <c r="BL8" i="2"/>
  <c r="BD8" i="2"/>
  <c r="BC8" i="2"/>
  <c r="BE8" i="2" s="1"/>
  <c r="BB8" i="2"/>
  <c r="AR8" i="2"/>
  <c r="AQ8" i="2"/>
  <c r="AP8" i="2"/>
  <c r="AF8" i="2"/>
  <c r="AE8" i="2"/>
  <c r="AD8" i="2"/>
  <c r="T8" i="2"/>
  <c r="S8" i="2"/>
  <c r="R8" i="2"/>
  <c r="I8" i="2"/>
  <c r="H8" i="2"/>
  <c r="AGB7" i="2"/>
  <c r="AFZ7" i="2"/>
  <c r="AFQ7" i="2"/>
  <c r="AFU7" i="2" s="1"/>
  <c r="AFG7" i="2"/>
  <c r="ADG7" i="2"/>
  <c r="ADB6" i="2"/>
  <c r="ABF7" i="2"/>
  <c r="ABE7" i="2"/>
  <c r="AAV7" i="2"/>
  <c r="AAU7" i="2"/>
  <c r="AAL7" i="2"/>
  <c r="AAK7" i="2"/>
  <c r="AAB7" i="2"/>
  <c r="AAA7" i="2"/>
  <c r="ZR7" i="2"/>
  <c r="ZQ7" i="2"/>
  <c r="ZH7" i="2"/>
  <c r="ZG7" i="2"/>
  <c r="YO7" i="2"/>
  <c r="YH7" i="2"/>
  <c r="YG7" i="2"/>
  <c r="XX7" i="2"/>
  <c r="XW7" i="2"/>
  <c r="XN7" i="2"/>
  <c r="XO7" i="2" s="1"/>
  <c r="XM7" i="2"/>
  <c r="WT7" i="2"/>
  <c r="WU7" i="2" s="1"/>
  <c r="WS7" i="2"/>
  <c r="WJ7" i="2"/>
  <c r="WI7" i="2"/>
  <c r="VP7" i="2"/>
  <c r="VO7" i="2"/>
  <c r="VF7" i="2"/>
  <c r="VE7" i="2"/>
  <c r="UV7" i="2"/>
  <c r="UU7" i="2"/>
  <c r="UL7" i="2"/>
  <c r="UK7" i="2"/>
  <c r="UB7" i="2"/>
  <c r="UA7" i="2"/>
  <c r="TR7" i="2"/>
  <c r="TQ7" i="2"/>
  <c r="TH7" i="2"/>
  <c r="TG7" i="2"/>
  <c r="SX7" i="2"/>
  <c r="SW7" i="2"/>
  <c r="SN7" i="2"/>
  <c r="SM7" i="2"/>
  <c r="SD7" i="2"/>
  <c r="SC7" i="2"/>
  <c r="RT7" i="2"/>
  <c r="RS7" i="2"/>
  <c r="RJ7" i="2"/>
  <c r="RI7" i="2"/>
  <c r="QZ7" i="2"/>
  <c r="QY7" i="2"/>
  <c r="QX7" i="2"/>
  <c r="QN7" i="2"/>
  <c r="QO7" i="2" s="1"/>
  <c r="QM7" i="2"/>
  <c r="QD7" i="2"/>
  <c r="QC7" i="2"/>
  <c r="PT7" i="2"/>
  <c r="PS7" i="2"/>
  <c r="PJ7" i="2"/>
  <c r="PI7" i="2"/>
  <c r="OZ7" i="2"/>
  <c r="PA7" i="2" s="1"/>
  <c r="OY7" i="2"/>
  <c r="OP7" i="2"/>
  <c r="OO7" i="2"/>
  <c r="OF7" i="2"/>
  <c r="OE7" i="2"/>
  <c r="NV7" i="2"/>
  <c r="NU7" i="2"/>
  <c r="NL7" i="2"/>
  <c r="NK7" i="2"/>
  <c r="NB7" i="2"/>
  <c r="NA7" i="2"/>
  <c r="MR7" i="2"/>
  <c r="MQ7" i="2"/>
  <c r="MH7" i="2"/>
  <c r="MG7" i="2"/>
  <c r="LX7" i="2"/>
  <c r="LW7" i="2"/>
  <c r="LN7" i="2"/>
  <c r="LO7" i="2" s="1"/>
  <c r="LM7" i="2"/>
  <c r="LD7" i="2"/>
  <c r="LC7" i="2"/>
  <c r="KT7" i="2"/>
  <c r="KS7" i="2"/>
  <c r="KJ7" i="2"/>
  <c r="KI7" i="2"/>
  <c r="JZ7" i="2"/>
  <c r="JY7" i="2"/>
  <c r="JP7" i="2"/>
  <c r="JO7" i="2"/>
  <c r="JF7" i="2"/>
  <c r="JE7" i="2"/>
  <c r="IV7" i="2"/>
  <c r="IU7" i="2"/>
  <c r="IL7" i="2"/>
  <c r="IK7" i="2"/>
  <c r="IB7" i="2"/>
  <c r="IA7" i="2"/>
  <c r="HR7" i="2"/>
  <c r="HQ7" i="2"/>
  <c r="HH7" i="2"/>
  <c r="HG7" i="2"/>
  <c r="GX7" i="2"/>
  <c r="GW7" i="2"/>
  <c r="GG7" i="2"/>
  <c r="GF7" i="2"/>
  <c r="FY7" i="2"/>
  <c r="FX7" i="2"/>
  <c r="FQ7" i="2"/>
  <c r="FP7" i="2"/>
  <c r="FH7" i="2"/>
  <c r="EZ7" i="2"/>
  <c r="ER7" i="2"/>
  <c r="EJ7" i="2"/>
  <c r="EB7" i="2"/>
  <c r="DU7" i="2"/>
  <c r="DO7" i="2"/>
  <c r="DG7" i="2"/>
  <c r="CZ7" i="2"/>
  <c r="CR7" i="2"/>
  <c r="CJ7" i="2"/>
  <c r="CB7" i="2"/>
  <c r="BT7" i="2"/>
  <c r="BL7" i="2"/>
  <c r="BD7" i="2"/>
  <c r="BC7" i="2"/>
  <c r="BE7" i="2" s="1"/>
  <c r="BB7" i="2"/>
  <c r="AR7" i="2"/>
  <c r="AQ7" i="2"/>
  <c r="AP7" i="2"/>
  <c r="AF7" i="2"/>
  <c r="AE7" i="2"/>
  <c r="AD7" i="2"/>
  <c r="T7" i="2"/>
  <c r="S7" i="2"/>
  <c r="R7" i="2"/>
  <c r="I7" i="2"/>
  <c r="H7" i="2"/>
  <c r="AFG6" i="2"/>
  <c r="ADG6" i="2"/>
  <c r="ADB5" i="2"/>
  <c r="ACT6" i="2"/>
  <c r="ACS6" i="2"/>
  <c r="ACJ6" i="2"/>
  <c r="ACI6" i="2"/>
  <c r="ABF6" i="2"/>
  <c r="ABE6" i="2"/>
  <c r="AAV6" i="2"/>
  <c r="AAU6" i="2"/>
  <c r="AAL6" i="2"/>
  <c r="AAK6" i="2"/>
  <c r="AAB6" i="2"/>
  <c r="AAA6" i="2"/>
  <c r="ZR6" i="2"/>
  <c r="ZQ6" i="2"/>
  <c r="ZH6" i="2"/>
  <c r="ZG6" i="2"/>
  <c r="YX6" i="2"/>
  <c r="YW6" i="2"/>
  <c r="YO6" i="2"/>
  <c r="YH6" i="2"/>
  <c r="YG6" i="2"/>
  <c r="XX6" i="2"/>
  <c r="XW6" i="2"/>
  <c r="XN6" i="2"/>
  <c r="XO6" i="2" s="1"/>
  <c r="XM6" i="2"/>
  <c r="WT6" i="2"/>
  <c r="WU6" i="2" s="1"/>
  <c r="WS6" i="2"/>
  <c r="WJ6" i="2"/>
  <c r="WI6" i="2"/>
  <c r="VP6" i="2"/>
  <c r="VO6" i="2"/>
  <c r="VF6" i="2"/>
  <c r="VE6" i="2"/>
  <c r="UV6" i="2"/>
  <c r="UU6" i="2"/>
  <c r="UL6" i="2"/>
  <c r="UK6" i="2"/>
  <c r="UB6" i="2"/>
  <c r="UA6" i="2"/>
  <c r="TR6" i="2"/>
  <c r="TQ6" i="2"/>
  <c r="TH6" i="2"/>
  <c r="TG6" i="2"/>
  <c r="SX6" i="2"/>
  <c r="SW6" i="2"/>
  <c r="SN6" i="2"/>
  <c r="SM6" i="2"/>
  <c r="SD6" i="2"/>
  <c r="SC6" i="2"/>
  <c r="RT6" i="2"/>
  <c r="RS6" i="2"/>
  <c r="RJ6" i="2"/>
  <c r="RI6" i="2"/>
  <c r="QZ6" i="2"/>
  <c r="QY6" i="2"/>
  <c r="QX6" i="2"/>
  <c r="QN6" i="2"/>
  <c r="QM6" i="2"/>
  <c r="QD6" i="2"/>
  <c r="QC6" i="2"/>
  <c r="PT6" i="2"/>
  <c r="PS6" i="2"/>
  <c r="PJ6" i="2"/>
  <c r="PI6" i="2"/>
  <c r="OZ6" i="2"/>
  <c r="OY6" i="2"/>
  <c r="PA6" i="2" s="1"/>
  <c r="OP6" i="2"/>
  <c r="OO6" i="2"/>
  <c r="OF6" i="2"/>
  <c r="OE6" i="2"/>
  <c r="NV6" i="2"/>
  <c r="NU6" i="2"/>
  <c r="NL6" i="2"/>
  <c r="NK6" i="2"/>
  <c r="NB6" i="2"/>
  <c r="NA6" i="2"/>
  <c r="MR6" i="2"/>
  <c r="MQ6" i="2"/>
  <c r="MH6" i="2"/>
  <c r="MG6" i="2"/>
  <c r="LX6" i="2"/>
  <c r="LW6" i="2"/>
  <c r="LN6" i="2"/>
  <c r="LM6" i="2"/>
  <c r="LD6" i="2"/>
  <c r="LC6" i="2"/>
  <c r="KT6" i="2"/>
  <c r="KS6" i="2"/>
  <c r="KJ6" i="2"/>
  <c r="KI6" i="2"/>
  <c r="JZ6" i="2"/>
  <c r="JY6" i="2"/>
  <c r="JP6" i="2"/>
  <c r="JO6" i="2"/>
  <c r="JF6" i="2"/>
  <c r="JE6" i="2"/>
  <c r="IV6" i="2"/>
  <c r="IU6" i="2"/>
  <c r="IL6" i="2"/>
  <c r="IK6" i="2"/>
  <c r="IB6" i="2"/>
  <c r="IA6" i="2"/>
  <c r="HR6" i="2"/>
  <c r="HQ6" i="2"/>
  <c r="HH6" i="2"/>
  <c r="HG6" i="2"/>
  <c r="GX6" i="2"/>
  <c r="GW6" i="2"/>
  <c r="GG6" i="2"/>
  <c r="GF6" i="2"/>
  <c r="FY6" i="2"/>
  <c r="FX6" i="2"/>
  <c r="FQ6" i="2"/>
  <c r="FP6" i="2"/>
  <c r="FH6" i="2"/>
  <c r="EZ6" i="2"/>
  <c r="ER6" i="2"/>
  <c r="EJ6" i="2"/>
  <c r="EB6" i="2"/>
  <c r="DU6" i="2"/>
  <c r="DO6" i="2"/>
  <c r="DG6" i="2"/>
  <c r="CZ6" i="2"/>
  <c r="CR6" i="2"/>
  <c r="CJ6" i="2"/>
  <c r="CB6" i="2"/>
  <c r="BT6" i="2"/>
  <c r="BL6" i="2"/>
  <c r="BD6" i="2"/>
  <c r="BC6" i="2"/>
  <c r="BB6" i="2"/>
  <c r="AR6" i="2"/>
  <c r="AQ6" i="2"/>
  <c r="AS6" i="2" s="1"/>
  <c r="AP6" i="2"/>
  <c r="AF6" i="2"/>
  <c r="AE6" i="2"/>
  <c r="AD6" i="2"/>
  <c r="T6" i="2"/>
  <c r="S6" i="2"/>
  <c r="R6" i="2"/>
  <c r="I6" i="2"/>
  <c r="H6" i="2"/>
  <c r="AGB5" i="2"/>
  <c r="AFZ5" i="2"/>
  <c r="AFQ5" i="2"/>
  <c r="AFU5" i="2" s="1"/>
  <c r="AFG5" i="2"/>
  <c r="ADG5" i="2"/>
  <c r="ADB24" i="2"/>
  <c r="ACU5" i="2"/>
  <c r="ACS2" i="2" s="1"/>
  <c r="ACT5" i="2"/>
  <c r="ACS5" i="2"/>
  <c r="ACK5" i="2"/>
  <c r="ACI2" i="2" s="1"/>
  <c r="ACJ5" i="2"/>
  <c r="ACI5" i="2"/>
  <c r="ABF5" i="2"/>
  <c r="ABE5" i="2"/>
  <c r="AAV5" i="2"/>
  <c r="AAU5" i="2"/>
  <c r="AAL5" i="2"/>
  <c r="AAK5" i="2"/>
  <c r="AAB5" i="2"/>
  <c r="AAA5" i="2"/>
  <c r="ZR5" i="2"/>
  <c r="ZQ5" i="2"/>
  <c r="ZH5" i="2"/>
  <c r="ZG5" i="2"/>
  <c r="YX5" i="2"/>
  <c r="YW5" i="2"/>
  <c r="YO5" i="2"/>
  <c r="YH5" i="2"/>
  <c r="YG5" i="2"/>
  <c r="XX5" i="2"/>
  <c r="XW5" i="2"/>
  <c r="XN5" i="2"/>
  <c r="XO5" i="2" s="1"/>
  <c r="XM5" i="2"/>
  <c r="WT5" i="2"/>
  <c r="WU5" i="2" s="1"/>
  <c r="WS5" i="2"/>
  <c r="WJ5" i="2"/>
  <c r="WI5" i="2"/>
  <c r="VZ5" i="2"/>
  <c r="WA5" i="2" s="1"/>
  <c r="VW2" i="2" s="1"/>
  <c r="VY5" i="2"/>
  <c r="VP5" i="2"/>
  <c r="VO5" i="2"/>
  <c r="VF5" i="2"/>
  <c r="VE5" i="2"/>
  <c r="UV5" i="2"/>
  <c r="UU5" i="2"/>
  <c r="UL5" i="2"/>
  <c r="UK5" i="2"/>
  <c r="UB5" i="2"/>
  <c r="UA5" i="2"/>
  <c r="TR5" i="2"/>
  <c r="TQ5" i="2"/>
  <c r="TH5" i="2"/>
  <c r="TG5" i="2"/>
  <c r="SX5" i="2"/>
  <c r="SW5" i="2"/>
  <c r="SN5" i="2"/>
  <c r="SM5" i="2"/>
  <c r="SD5" i="2"/>
  <c r="SC5" i="2"/>
  <c r="RT5" i="2"/>
  <c r="RS5" i="2"/>
  <c r="RJ5" i="2"/>
  <c r="RI5" i="2"/>
  <c r="QZ5" i="2"/>
  <c r="QY5" i="2"/>
  <c r="QX5" i="2"/>
  <c r="QN5" i="2"/>
  <c r="QM5" i="2"/>
  <c r="QD5" i="2"/>
  <c r="QC5" i="2"/>
  <c r="PT5" i="2"/>
  <c r="PS5" i="2"/>
  <c r="PJ5" i="2"/>
  <c r="PI5" i="2"/>
  <c r="OZ5" i="2"/>
  <c r="PA5" i="2" s="1"/>
  <c r="OY5" i="2"/>
  <c r="OP5" i="2"/>
  <c r="OO5" i="2"/>
  <c r="OF5" i="2"/>
  <c r="OE5" i="2"/>
  <c r="NV5" i="2"/>
  <c r="NU5" i="2"/>
  <c r="NL5" i="2"/>
  <c r="NK5" i="2"/>
  <c r="NB5" i="2"/>
  <c r="NA5" i="2"/>
  <c r="MR5" i="2"/>
  <c r="MQ5" i="2"/>
  <c r="MH5" i="2"/>
  <c r="MG5" i="2"/>
  <c r="LX5" i="2"/>
  <c r="LW5" i="2"/>
  <c r="LN5" i="2"/>
  <c r="LM5" i="2"/>
  <c r="LD5" i="2"/>
  <c r="LC5" i="2"/>
  <c r="KT5" i="2"/>
  <c r="KS5" i="2"/>
  <c r="KJ5" i="2"/>
  <c r="KI5" i="2"/>
  <c r="JZ5" i="2"/>
  <c r="JY5" i="2"/>
  <c r="JP5" i="2"/>
  <c r="JO5" i="2"/>
  <c r="JF5" i="2"/>
  <c r="JE5" i="2"/>
  <c r="IV5" i="2"/>
  <c r="IU5" i="2"/>
  <c r="IL5" i="2"/>
  <c r="IK5" i="2"/>
  <c r="IB5" i="2"/>
  <c r="IA5" i="2"/>
  <c r="HR5" i="2"/>
  <c r="HQ5" i="2"/>
  <c r="HH5" i="2"/>
  <c r="HG5" i="2"/>
  <c r="GX5" i="2"/>
  <c r="GW5" i="2"/>
  <c r="GN5" i="2"/>
  <c r="GG5" i="2"/>
  <c r="GF5" i="2"/>
  <c r="FY5" i="2"/>
  <c r="FX5" i="2"/>
  <c r="FQ5" i="2"/>
  <c r="FN5" i="2"/>
  <c r="FN2" i="2" s="1"/>
  <c r="FH5" i="2"/>
  <c r="EZ5" i="2"/>
  <c r="ER5" i="2"/>
  <c r="EJ5" i="2"/>
  <c r="EB5" i="2"/>
  <c r="DU5" i="2"/>
  <c r="DO5" i="2"/>
  <c r="DG5" i="2"/>
  <c r="CZ5" i="2"/>
  <c r="CR5" i="2"/>
  <c r="CJ5" i="2"/>
  <c r="CB5" i="2"/>
  <c r="BT5" i="2"/>
  <c r="BL5" i="2"/>
  <c r="BD5" i="2"/>
  <c r="BC5" i="2"/>
  <c r="BB5" i="2"/>
  <c r="AR5" i="2"/>
  <c r="AQ5" i="2"/>
  <c r="AS5" i="2" s="1"/>
  <c r="AP5" i="2"/>
  <c r="AF5" i="2"/>
  <c r="AE5" i="2"/>
  <c r="AD5" i="2"/>
  <c r="T5" i="2"/>
  <c r="S5" i="2"/>
  <c r="R5" i="2"/>
  <c r="I5" i="2"/>
  <c r="H5" i="2"/>
  <c r="AFG4" i="2"/>
  <c r="AEZ4" i="2"/>
  <c r="AEK4" i="2"/>
  <c r="ADV4" i="2"/>
  <c r="ADG4" i="2"/>
  <c r="ADB4" i="2"/>
  <c r="ACU4" i="2"/>
  <c r="ACU2" i="2" s="1"/>
  <c r="ACT4" i="2"/>
  <c r="ACS4" i="2"/>
  <c r="ACK4" i="2"/>
  <c r="ACK2" i="2" s="1"/>
  <c r="ACJ4" i="2"/>
  <c r="ACI4" i="2"/>
  <c r="ABF4" i="2"/>
  <c r="ABE4" i="2"/>
  <c r="AAV4" i="2"/>
  <c r="AAU4" i="2"/>
  <c r="AAL4" i="2"/>
  <c r="AAK4" i="2"/>
  <c r="AAB4" i="2"/>
  <c r="AAA4" i="2"/>
  <c r="ZR4" i="2"/>
  <c r="ZQ4" i="2"/>
  <c r="ZH4" i="2"/>
  <c r="ZG4" i="2"/>
  <c r="YX4" i="2"/>
  <c r="YW4" i="2"/>
  <c r="YO4" i="2"/>
  <c r="YH4" i="2"/>
  <c r="YG4" i="2"/>
  <c r="XX4" i="2"/>
  <c r="XW4" i="2"/>
  <c r="XN4" i="2"/>
  <c r="XO4" i="2" s="1"/>
  <c r="XM4" i="2"/>
  <c r="WT4" i="2"/>
  <c r="WU4" i="2" s="1"/>
  <c r="WS4" i="2"/>
  <c r="WJ4" i="2"/>
  <c r="WI4" i="2"/>
  <c r="VZ4" i="2"/>
  <c r="WA4" i="2" s="1"/>
  <c r="VY4" i="2"/>
  <c r="VP4" i="2"/>
  <c r="VO4" i="2"/>
  <c r="VF4" i="2"/>
  <c r="VG4" i="2" s="1"/>
  <c r="VG2" i="2" s="1"/>
  <c r="VE4" i="2"/>
  <c r="UV4" i="2"/>
  <c r="UU4" i="2"/>
  <c r="UL4" i="2"/>
  <c r="UK4" i="2"/>
  <c r="UB4" i="2"/>
  <c r="UC2" i="2" s="1"/>
  <c r="UA4" i="2"/>
  <c r="TR4" i="2"/>
  <c r="TQ4" i="2"/>
  <c r="TH4" i="2"/>
  <c r="TG4" i="2"/>
  <c r="SX4" i="2"/>
  <c r="SW4" i="2"/>
  <c r="SN4" i="2"/>
  <c r="SM4" i="2"/>
  <c r="SD4" i="2"/>
  <c r="SC4" i="2"/>
  <c r="RT4" i="2"/>
  <c r="RS4" i="2"/>
  <c r="RJ4" i="2"/>
  <c r="RI4" i="2"/>
  <c r="QZ4" i="2"/>
  <c r="QY4" i="2"/>
  <c r="QX4" i="2"/>
  <c r="QN4" i="2"/>
  <c r="QO4" i="2" s="1"/>
  <c r="QO2" i="2" s="1"/>
  <c r="QM4" i="2"/>
  <c r="QD4" i="2"/>
  <c r="QC4" i="2"/>
  <c r="PT4" i="2"/>
  <c r="PS4" i="2"/>
  <c r="PJ4" i="2"/>
  <c r="PI4" i="2"/>
  <c r="OZ4" i="2"/>
  <c r="PA4" i="2" s="1"/>
  <c r="PA2" i="2" s="1"/>
  <c r="OY4" i="2"/>
  <c r="OP4" i="2"/>
  <c r="OO4" i="2"/>
  <c r="OF4" i="2"/>
  <c r="OE4" i="2"/>
  <c r="NV4" i="2"/>
  <c r="NU4" i="2"/>
  <c r="NL4" i="2"/>
  <c r="NK4" i="2"/>
  <c r="NB4" i="2"/>
  <c r="NA4" i="2"/>
  <c r="MR4" i="2"/>
  <c r="MQ4" i="2"/>
  <c r="MH4" i="2"/>
  <c r="MG4" i="2"/>
  <c r="LX4" i="2"/>
  <c r="LW4" i="2"/>
  <c r="LN4" i="2"/>
  <c r="LO4" i="2" s="1"/>
  <c r="LM4" i="2"/>
  <c r="LD4" i="2"/>
  <c r="LC4" i="2"/>
  <c r="KT4" i="2"/>
  <c r="KS4" i="2"/>
  <c r="KJ4" i="2"/>
  <c r="KI4" i="2"/>
  <c r="JZ4" i="2"/>
  <c r="JY4" i="2"/>
  <c r="JP4" i="2"/>
  <c r="JO4" i="2"/>
  <c r="JF4" i="2"/>
  <c r="JE4" i="2"/>
  <c r="IV4" i="2"/>
  <c r="IU4" i="2"/>
  <c r="IL4" i="2"/>
  <c r="IK4" i="2"/>
  <c r="IB4" i="2"/>
  <c r="IA4" i="2"/>
  <c r="HR4" i="2"/>
  <c r="HQ4" i="2"/>
  <c r="HH4" i="2"/>
  <c r="HG4" i="2"/>
  <c r="GX4" i="2"/>
  <c r="GW4" i="2"/>
  <c r="GL4" i="2"/>
  <c r="GL2" i="2" s="1"/>
  <c r="GH4" i="2"/>
  <c r="GO4" i="2" s="1"/>
  <c r="GN2" i="2" s="1"/>
  <c r="GG4" i="2"/>
  <c r="GF4" i="2"/>
  <c r="FY4" i="2"/>
  <c r="FX4" i="2"/>
  <c r="FQ4" i="2"/>
  <c r="FP4" i="2"/>
  <c r="FH4" i="2"/>
  <c r="EZ4" i="2"/>
  <c r="ER4" i="2"/>
  <c r="EJ4" i="2"/>
  <c r="EB4" i="2"/>
  <c r="DU4" i="2"/>
  <c r="DO4" i="2"/>
  <c r="DG4" i="2"/>
  <c r="CZ4" i="2"/>
  <c r="CR4" i="2"/>
  <c r="CJ4" i="2"/>
  <c r="CB4" i="2"/>
  <c r="BT4" i="2"/>
  <c r="BL4" i="2"/>
  <c r="BD4" i="2"/>
  <c r="BC4" i="2"/>
  <c r="BE4" i="2" s="1"/>
  <c r="BB4" i="2"/>
  <c r="AR4" i="2"/>
  <c r="AQ4" i="2"/>
  <c r="AS4" i="2" s="1"/>
  <c r="AP4" i="2"/>
  <c r="AF4" i="2"/>
  <c r="AE4" i="2"/>
  <c r="AD4" i="2"/>
  <c r="T4" i="2"/>
  <c r="S4" i="2"/>
  <c r="R4" i="2"/>
  <c r="I4" i="2"/>
  <c r="H4" i="2"/>
  <c r="AAK2" i="2"/>
  <c r="XW2" i="2"/>
  <c r="WG2" i="2"/>
  <c r="VU2" i="2"/>
  <c r="UQ2" i="2"/>
  <c r="UG2" i="2"/>
  <c r="TY2" i="2"/>
  <c r="SU2" i="2"/>
  <c r="QM2" i="2"/>
  <c r="QK2" i="2"/>
  <c r="QA2" i="2"/>
  <c r="PQ2" i="2"/>
  <c r="PI2" i="2"/>
  <c r="PG2" i="2"/>
  <c r="OY2" i="2"/>
  <c r="OW2" i="2"/>
  <c r="JO2" i="2"/>
  <c r="JE2" i="2"/>
  <c r="HQ2" i="2"/>
  <c r="HG2" i="2"/>
  <c r="GW2" i="2"/>
  <c r="FV2" i="2"/>
  <c r="CB2" i="2"/>
  <c r="R50" i="1" s="1"/>
  <c r="L178" i="1" a="1"/>
  <c r="L178" i="1" s="1"/>
  <c r="L177" i="1" a="1"/>
  <c r="L177" i="1" s="1"/>
  <c r="L176" i="1" a="1"/>
  <c r="L176" i="1" s="1"/>
  <c r="L175" i="1" a="1"/>
  <c r="L175" i="1" s="1"/>
  <c r="L174" i="1" a="1"/>
  <c r="L174" i="1" s="1"/>
  <c r="L173" i="1" a="1"/>
  <c r="L173" i="1" s="1"/>
  <c r="L172" i="1" a="1"/>
  <c r="L172" i="1" s="1"/>
  <c r="L171" i="1" a="1"/>
  <c r="L171" i="1" s="1"/>
  <c r="L170" i="1" a="1"/>
  <c r="L170" i="1" s="1"/>
  <c r="L169" i="1" a="1"/>
  <c r="L169" i="1" s="1"/>
  <c r="L168" i="1" a="1"/>
  <c r="L168" i="1" s="1"/>
  <c r="L167" i="1" a="1"/>
  <c r="L167" i="1" s="1"/>
  <c r="L166" i="1" a="1"/>
  <c r="L166" i="1" s="1"/>
  <c r="L165" i="1" a="1"/>
  <c r="L165" i="1" s="1"/>
  <c r="D165" i="1"/>
  <c r="I165" i="1" s="1"/>
  <c r="L164" i="1" a="1"/>
  <c r="L164" i="1" s="1"/>
  <c r="L163" i="1" a="1"/>
  <c r="L163" i="1" s="1"/>
  <c r="D163" i="1"/>
  <c r="L162" i="1" a="1"/>
  <c r="L162" i="1" s="1"/>
  <c r="D162" i="1"/>
  <c r="L161" i="1" a="1"/>
  <c r="L161" i="1" s="1"/>
  <c r="D161" i="1"/>
  <c r="I161" i="1" s="1"/>
  <c r="L160" i="1" a="1"/>
  <c r="L160" i="1" s="1"/>
  <c r="L159" i="1" a="1"/>
  <c r="L159" i="1" s="1"/>
  <c r="D159" i="1"/>
  <c r="G159" i="1" s="1"/>
  <c r="L158" i="1" a="1"/>
  <c r="L158" i="1" s="1"/>
  <c r="L157" i="1" a="1"/>
  <c r="L157" i="1" s="1"/>
  <c r="D157" i="1"/>
  <c r="L156" i="1" a="1"/>
  <c r="L156" i="1" s="1"/>
  <c r="D156" i="1"/>
  <c r="L155" i="1" a="1"/>
  <c r="L155" i="1" s="1"/>
  <c r="L154" i="1" a="1"/>
  <c r="L154" i="1" s="1"/>
  <c r="L153" i="1"/>
  <c r="L153" i="1" a="1"/>
  <c r="D153" i="1"/>
  <c r="L152" i="1" a="1"/>
  <c r="L152" i="1" s="1"/>
  <c r="D152" i="1"/>
  <c r="L151" i="1" a="1"/>
  <c r="L151" i="1" s="1"/>
  <c r="D151" i="1"/>
  <c r="L150" i="1" a="1"/>
  <c r="L150" i="1" s="1"/>
  <c r="L149" i="1" a="1"/>
  <c r="L149" i="1" s="1"/>
  <c r="L148" i="1" a="1"/>
  <c r="L148" i="1" s="1"/>
  <c r="L147" i="1" a="1"/>
  <c r="L147" i="1" s="1"/>
  <c r="L146" i="1" a="1"/>
  <c r="L146" i="1" s="1"/>
  <c r="L145" i="1" a="1"/>
  <c r="L145" i="1" s="1"/>
  <c r="L144" i="1" a="1"/>
  <c r="L144" i="1" s="1"/>
  <c r="L143" i="1" a="1"/>
  <c r="L143" i="1" s="1"/>
  <c r="L142" i="1" a="1"/>
  <c r="L142" i="1" s="1"/>
  <c r="L141" i="1" a="1"/>
  <c r="L141" i="1" s="1"/>
  <c r="L140" i="1" a="1"/>
  <c r="L140" i="1" s="1"/>
  <c r="K140" i="1"/>
  <c r="J140" i="1"/>
  <c r="I140" i="1"/>
  <c r="G140" i="1"/>
  <c r="F140" i="1"/>
  <c r="E140" i="1"/>
  <c r="D140" i="1"/>
  <c r="C140" i="1"/>
  <c r="L134" i="1"/>
  <c r="L133" i="1"/>
  <c r="L132" i="1"/>
  <c r="L131" i="1"/>
  <c r="L130" i="1"/>
  <c r="L129" i="1"/>
  <c r="L128" i="1"/>
  <c r="L127" i="1"/>
  <c r="L126" i="1"/>
  <c r="L125" i="1"/>
  <c r="M124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D87" i="1"/>
  <c r="L86" i="1"/>
  <c r="L85" i="1"/>
  <c r="L84" i="1"/>
  <c r="L83" i="1"/>
  <c r="D83" i="1"/>
  <c r="F83" i="1" s="1"/>
  <c r="L82" i="1"/>
  <c r="L81" i="1"/>
  <c r="D81" i="1"/>
  <c r="G81" i="1" s="1"/>
  <c r="L80" i="1"/>
  <c r="L79" i="1"/>
  <c r="L78" i="1"/>
  <c r="L77" i="1"/>
  <c r="D77" i="1"/>
  <c r="G77" i="1" s="1"/>
  <c r="L76" i="1"/>
  <c r="D76" i="1"/>
  <c r="I76" i="1" s="1"/>
  <c r="L75" i="1"/>
  <c r="L74" i="1"/>
  <c r="L73" i="1"/>
  <c r="L72" i="1"/>
  <c r="L71" i="1"/>
  <c r="D71" i="1"/>
  <c r="I71" i="1" s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D58" i="1"/>
  <c r="L57" i="1"/>
  <c r="D57" i="1"/>
  <c r="M56" i="1"/>
  <c r="L56" i="1"/>
  <c r="M55" i="1"/>
  <c r="L55" i="1"/>
  <c r="L54" i="1"/>
  <c r="D54" i="1"/>
  <c r="T53" i="1"/>
  <c r="R53" i="1"/>
  <c r="L53" i="1"/>
  <c r="T52" i="1"/>
  <c r="R52" i="1"/>
  <c r="M52" i="1"/>
  <c r="L52" i="1"/>
  <c r="R51" i="1"/>
  <c r="L51" i="1"/>
  <c r="D51" i="1"/>
  <c r="L50" i="1"/>
  <c r="D50" i="1"/>
  <c r="L49" i="1"/>
  <c r="D49" i="1"/>
  <c r="G49" i="1" s="1"/>
  <c r="L48" i="1"/>
  <c r="D48" i="1"/>
  <c r="L47" i="1"/>
  <c r="D47" i="1"/>
  <c r="L46" i="1"/>
  <c r="D46" i="1"/>
  <c r="L45" i="1"/>
  <c r="D45" i="1"/>
  <c r="G45" i="1" s="1"/>
  <c r="L44" i="1"/>
  <c r="D44" i="1"/>
  <c r="F44" i="1" s="1"/>
  <c r="L43" i="1"/>
  <c r="D43" i="1"/>
  <c r="L42" i="1"/>
  <c r="K42" i="1"/>
  <c r="J42" i="1"/>
  <c r="I42" i="1"/>
  <c r="G42" i="1"/>
  <c r="F42" i="1"/>
  <c r="E42" i="1"/>
  <c r="D42" i="1"/>
  <c r="C8" i="1"/>
  <c r="C7" i="1"/>
  <c r="T621" i="10"/>
  <c r="I621" i="10"/>
  <c r="G621" i="10"/>
  <c r="Q621" i="10" s="1"/>
  <c r="T620" i="10"/>
  <c r="I620" i="10"/>
  <c r="G620" i="10"/>
  <c r="T616" i="10"/>
  <c r="I616" i="10"/>
  <c r="G616" i="10"/>
  <c r="T615" i="10"/>
  <c r="I615" i="10"/>
  <c r="G615" i="10"/>
  <c r="T614" i="10"/>
  <c r="I614" i="10"/>
  <c r="G614" i="10"/>
  <c r="T613" i="10"/>
  <c r="I613" i="10"/>
  <c r="G613" i="10"/>
  <c r="T612" i="10"/>
  <c r="I612" i="10"/>
  <c r="G612" i="10"/>
  <c r="T611" i="10"/>
  <c r="I611" i="10"/>
  <c r="G611" i="10"/>
  <c r="T610" i="10"/>
  <c r="I610" i="10"/>
  <c r="G610" i="10"/>
  <c r="T609" i="10"/>
  <c r="I609" i="10"/>
  <c r="G609" i="10"/>
  <c r="T608" i="10"/>
  <c r="I608" i="10"/>
  <c r="G608" i="10"/>
  <c r="T607" i="10"/>
  <c r="I607" i="10"/>
  <c r="G607" i="10"/>
  <c r="T606" i="10"/>
  <c r="I606" i="10"/>
  <c r="G606" i="10"/>
  <c r="Q606" i="10" s="1"/>
  <c r="T605" i="10"/>
  <c r="I605" i="10"/>
  <c r="G605" i="10"/>
  <c r="T604" i="10"/>
  <c r="I604" i="10"/>
  <c r="G604" i="10"/>
  <c r="T603" i="10"/>
  <c r="I603" i="10"/>
  <c r="G603" i="10"/>
  <c r="Q603" i="10" s="1"/>
  <c r="T602" i="10"/>
  <c r="I602" i="10"/>
  <c r="G602" i="10"/>
  <c r="T601" i="10"/>
  <c r="I601" i="10"/>
  <c r="G601" i="10"/>
  <c r="T600" i="10"/>
  <c r="I600" i="10"/>
  <c r="G600" i="10"/>
  <c r="T599" i="10"/>
  <c r="I599" i="10"/>
  <c r="G599" i="10"/>
  <c r="T598" i="10"/>
  <c r="I598" i="10"/>
  <c r="G598" i="10"/>
  <c r="T597" i="10"/>
  <c r="I597" i="10"/>
  <c r="G597" i="10"/>
  <c r="T596" i="10"/>
  <c r="I596" i="10"/>
  <c r="G596" i="10"/>
  <c r="T595" i="10"/>
  <c r="I595" i="10"/>
  <c r="G595" i="10"/>
  <c r="T594" i="10"/>
  <c r="I594" i="10"/>
  <c r="G594" i="10"/>
  <c r="T593" i="10"/>
  <c r="I593" i="10"/>
  <c r="G593" i="10"/>
  <c r="T592" i="10"/>
  <c r="I592" i="10"/>
  <c r="G592" i="10"/>
  <c r="T591" i="10"/>
  <c r="I591" i="10"/>
  <c r="G591" i="10"/>
  <c r="T590" i="10"/>
  <c r="I590" i="10"/>
  <c r="G590" i="10"/>
  <c r="Q590" i="10" s="1"/>
  <c r="T589" i="10"/>
  <c r="I589" i="10"/>
  <c r="G589" i="10"/>
  <c r="T588" i="10"/>
  <c r="I588" i="10"/>
  <c r="G588" i="10"/>
  <c r="T587" i="10"/>
  <c r="I587" i="10"/>
  <c r="G587" i="10"/>
  <c r="T586" i="10"/>
  <c r="I586" i="10"/>
  <c r="G586" i="10"/>
  <c r="T585" i="10"/>
  <c r="I585" i="10"/>
  <c r="G585" i="10"/>
  <c r="E585" i="10"/>
  <c r="T584" i="10"/>
  <c r="I584" i="10"/>
  <c r="G584" i="10"/>
  <c r="E584" i="10"/>
  <c r="T583" i="10"/>
  <c r="I583" i="10"/>
  <c r="G583" i="10"/>
  <c r="T582" i="10"/>
  <c r="I582" i="10"/>
  <c r="G582" i="10"/>
  <c r="T578" i="10"/>
  <c r="I578" i="10"/>
  <c r="G578" i="10"/>
  <c r="T577" i="10"/>
  <c r="I577" i="10"/>
  <c r="G577" i="10"/>
  <c r="T574" i="10"/>
  <c r="I574" i="10"/>
  <c r="G574" i="10"/>
  <c r="T573" i="10"/>
  <c r="I573" i="10"/>
  <c r="G573" i="10"/>
  <c r="T572" i="10"/>
  <c r="I572" i="10"/>
  <c r="G572" i="10"/>
  <c r="T571" i="10"/>
  <c r="I571" i="10"/>
  <c r="G571" i="10"/>
  <c r="T570" i="10"/>
  <c r="I570" i="10"/>
  <c r="G570" i="10"/>
  <c r="T569" i="10"/>
  <c r="I569" i="10"/>
  <c r="G569" i="10"/>
  <c r="T568" i="10"/>
  <c r="I568" i="10"/>
  <c r="G568" i="10"/>
  <c r="T567" i="10"/>
  <c r="I567" i="10"/>
  <c r="G567" i="10"/>
  <c r="T563" i="10"/>
  <c r="I563" i="10"/>
  <c r="G563" i="10"/>
  <c r="T562" i="10"/>
  <c r="I562" i="10"/>
  <c r="G562" i="10"/>
  <c r="T561" i="10"/>
  <c r="I561" i="10"/>
  <c r="G561" i="10"/>
  <c r="Q561" i="10" s="1"/>
  <c r="U561" i="10" s="1"/>
  <c r="T560" i="10"/>
  <c r="I560" i="10"/>
  <c r="G560" i="10"/>
  <c r="T559" i="10"/>
  <c r="I559" i="10"/>
  <c r="G559" i="10"/>
  <c r="T558" i="10"/>
  <c r="I558" i="10"/>
  <c r="G558" i="10"/>
  <c r="T557" i="10"/>
  <c r="I557" i="10"/>
  <c r="G557" i="10"/>
  <c r="T556" i="10"/>
  <c r="I556" i="10"/>
  <c r="G556" i="10"/>
  <c r="M549" i="10"/>
  <c r="I549" i="10"/>
  <c r="G549" i="10"/>
  <c r="M548" i="10"/>
  <c r="I548" i="10"/>
  <c r="G548" i="10"/>
  <c r="M547" i="10"/>
  <c r="I547" i="10"/>
  <c r="G547" i="10"/>
  <c r="M546" i="10"/>
  <c r="I546" i="10"/>
  <c r="G546" i="10"/>
  <c r="M545" i="10"/>
  <c r="I545" i="10"/>
  <c r="G545" i="10"/>
  <c r="M544" i="10"/>
  <c r="I544" i="10"/>
  <c r="G544" i="10"/>
  <c r="M543" i="10"/>
  <c r="I543" i="10"/>
  <c r="G543" i="10"/>
  <c r="M542" i="10"/>
  <c r="I542" i="10"/>
  <c r="G542" i="10"/>
  <c r="M541" i="10"/>
  <c r="I541" i="10"/>
  <c r="G541" i="10"/>
  <c r="M537" i="10"/>
  <c r="I537" i="10"/>
  <c r="G537" i="10"/>
  <c r="Q536" i="10"/>
  <c r="M536" i="10"/>
  <c r="I536" i="10"/>
  <c r="G536" i="10"/>
  <c r="M535" i="10"/>
  <c r="I535" i="10"/>
  <c r="G535" i="10"/>
  <c r="M534" i="10"/>
  <c r="I534" i="10"/>
  <c r="G534" i="10"/>
  <c r="M533" i="10"/>
  <c r="I533" i="10"/>
  <c r="G533" i="10"/>
  <c r="Q533" i="10" s="1"/>
  <c r="R533" i="10" s="1"/>
  <c r="M532" i="10"/>
  <c r="I532" i="10"/>
  <c r="G532" i="10"/>
  <c r="M531" i="10"/>
  <c r="I531" i="10"/>
  <c r="G531" i="10"/>
  <c r="M530" i="10"/>
  <c r="I530" i="10"/>
  <c r="G530" i="10"/>
  <c r="M529" i="10"/>
  <c r="I529" i="10"/>
  <c r="G529" i="10"/>
  <c r="M528" i="10"/>
  <c r="I528" i="10"/>
  <c r="G528" i="10"/>
  <c r="M527" i="10"/>
  <c r="I527" i="10"/>
  <c r="G527" i="10"/>
  <c r="M526" i="10"/>
  <c r="I526" i="10"/>
  <c r="G526" i="10"/>
  <c r="Q526" i="10" s="1"/>
  <c r="M525" i="10"/>
  <c r="I525" i="10"/>
  <c r="G525" i="10"/>
  <c r="M524" i="10"/>
  <c r="I524" i="10"/>
  <c r="G524" i="10"/>
  <c r="M523" i="10"/>
  <c r="I523" i="10"/>
  <c r="G523" i="10"/>
  <c r="Q523" i="10" s="1"/>
  <c r="R523" i="10" s="1"/>
  <c r="M522" i="10"/>
  <c r="I522" i="10"/>
  <c r="G522" i="10"/>
  <c r="M518" i="10"/>
  <c r="I518" i="10"/>
  <c r="G518" i="10"/>
  <c r="M517" i="10"/>
  <c r="I517" i="10"/>
  <c r="G517" i="10"/>
  <c r="Q517" i="10" s="1"/>
  <c r="M516" i="10"/>
  <c r="I516" i="10"/>
  <c r="G516" i="10"/>
  <c r="M515" i="10"/>
  <c r="I515" i="10"/>
  <c r="G515" i="10"/>
  <c r="M514" i="10"/>
  <c r="I514" i="10"/>
  <c r="G514" i="10"/>
  <c r="Q514" i="10" s="1"/>
  <c r="R514" i="10" s="1"/>
  <c r="M513" i="10"/>
  <c r="I513" i="10"/>
  <c r="G513" i="10"/>
  <c r="M512" i="10"/>
  <c r="I512" i="10"/>
  <c r="G512" i="10"/>
  <c r="M511" i="10"/>
  <c r="I511" i="10"/>
  <c r="G511" i="10"/>
  <c r="M510" i="10"/>
  <c r="G510" i="10"/>
  <c r="M509" i="10"/>
  <c r="I509" i="10"/>
  <c r="G509" i="10"/>
  <c r="Q509" i="10" s="1"/>
  <c r="R509" i="10" s="1"/>
  <c r="M508" i="10"/>
  <c r="I508" i="10"/>
  <c r="G508" i="10"/>
  <c r="M507" i="10"/>
  <c r="I507" i="10"/>
  <c r="G507" i="10"/>
  <c r="M506" i="10"/>
  <c r="I506" i="10"/>
  <c r="G506" i="10"/>
  <c r="M501" i="10"/>
  <c r="I501" i="10"/>
  <c r="G501" i="10"/>
  <c r="M500" i="10"/>
  <c r="I500" i="10"/>
  <c r="G500" i="10"/>
  <c r="M499" i="10"/>
  <c r="I499" i="10"/>
  <c r="G499" i="10"/>
  <c r="M498" i="10"/>
  <c r="I498" i="10"/>
  <c r="G498" i="10"/>
  <c r="M497" i="10"/>
  <c r="I497" i="10"/>
  <c r="G497" i="10"/>
  <c r="M493" i="10"/>
  <c r="I493" i="10"/>
  <c r="G493" i="10"/>
  <c r="Q492" i="10"/>
  <c r="M492" i="10"/>
  <c r="I492" i="10"/>
  <c r="G492" i="10"/>
  <c r="M491" i="10"/>
  <c r="I491" i="10"/>
  <c r="G491" i="10"/>
  <c r="M490" i="10"/>
  <c r="I490" i="10"/>
  <c r="G490" i="10"/>
  <c r="Q490" i="10" s="1"/>
  <c r="M489" i="10"/>
  <c r="I489" i="10"/>
  <c r="G489" i="10"/>
  <c r="Q489" i="10" s="1"/>
  <c r="M488" i="10"/>
  <c r="I488" i="10"/>
  <c r="G488" i="10"/>
  <c r="M487" i="10"/>
  <c r="I487" i="10"/>
  <c r="G487" i="10"/>
  <c r="M486" i="10"/>
  <c r="I486" i="10"/>
  <c r="G486" i="10"/>
  <c r="M485" i="10"/>
  <c r="I485" i="10"/>
  <c r="G485" i="10"/>
  <c r="Q485" i="10" s="1"/>
  <c r="M484" i="10"/>
  <c r="I484" i="10"/>
  <c r="G484" i="10"/>
  <c r="I483" i="10"/>
  <c r="G483" i="10"/>
  <c r="Q483" i="10" s="1"/>
  <c r="E483" i="10"/>
  <c r="M483" i="10" s="1"/>
  <c r="M479" i="10"/>
  <c r="I479" i="10"/>
  <c r="G479" i="10"/>
  <c r="M477" i="10"/>
  <c r="I477" i="10"/>
  <c r="G477" i="10"/>
  <c r="M476" i="10"/>
  <c r="I476" i="10"/>
  <c r="G476" i="10"/>
  <c r="M475" i="10"/>
  <c r="I475" i="10"/>
  <c r="G475" i="10"/>
  <c r="M474" i="10"/>
  <c r="I474" i="10"/>
  <c r="G474" i="10"/>
  <c r="M473" i="10"/>
  <c r="I473" i="10"/>
  <c r="G473" i="10"/>
  <c r="M469" i="10"/>
  <c r="I469" i="10"/>
  <c r="G469" i="10"/>
  <c r="M468" i="10"/>
  <c r="I468" i="10"/>
  <c r="G468" i="10"/>
  <c r="M467" i="10"/>
  <c r="I467" i="10"/>
  <c r="G467" i="10"/>
  <c r="M466" i="10"/>
  <c r="I466" i="10"/>
  <c r="G466" i="10"/>
  <c r="M465" i="10"/>
  <c r="I465" i="10"/>
  <c r="G465" i="10"/>
  <c r="M464" i="10"/>
  <c r="I464" i="10"/>
  <c r="G464" i="10"/>
  <c r="M463" i="10"/>
  <c r="I463" i="10"/>
  <c r="G463" i="10"/>
  <c r="M462" i="10"/>
  <c r="I462" i="10"/>
  <c r="G462" i="10"/>
  <c r="M460" i="10"/>
  <c r="I460" i="10"/>
  <c r="G460" i="10"/>
  <c r="M459" i="10"/>
  <c r="I459" i="10"/>
  <c r="G459" i="10"/>
  <c r="M458" i="10"/>
  <c r="I458" i="10"/>
  <c r="G458" i="10"/>
  <c r="M457" i="10"/>
  <c r="I457" i="10"/>
  <c r="G457" i="10"/>
  <c r="M452" i="10"/>
  <c r="I452" i="10"/>
  <c r="G452" i="10"/>
  <c r="Q452" i="10" s="1"/>
  <c r="R452" i="10" s="1"/>
  <c r="M451" i="10"/>
  <c r="I451" i="10"/>
  <c r="G451" i="10"/>
  <c r="M450" i="10"/>
  <c r="I450" i="10"/>
  <c r="G450" i="10"/>
  <c r="M449" i="10"/>
  <c r="I449" i="10"/>
  <c r="G449" i="10"/>
  <c r="M448" i="10"/>
  <c r="I448" i="10"/>
  <c r="G448" i="10"/>
  <c r="I447" i="10"/>
  <c r="G447" i="10"/>
  <c r="E447" i="10"/>
  <c r="M447" i="10" s="1"/>
  <c r="M446" i="10"/>
  <c r="I446" i="10"/>
  <c r="G446" i="10"/>
  <c r="Q446" i="10" s="1"/>
  <c r="R446" i="10" s="1"/>
  <c r="M445" i="10"/>
  <c r="I445" i="10"/>
  <c r="G445" i="10"/>
  <c r="M444" i="10"/>
  <c r="I444" i="10"/>
  <c r="G444" i="10"/>
  <c r="M440" i="10"/>
  <c r="I440" i="10"/>
  <c r="G440" i="10"/>
  <c r="Q440" i="10" s="1"/>
  <c r="M439" i="10"/>
  <c r="I439" i="10"/>
  <c r="G439" i="10"/>
  <c r="M438" i="10"/>
  <c r="I438" i="10"/>
  <c r="G438" i="10"/>
  <c r="M437" i="10"/>
  <c r="I437" i="10"/>
  <c r="G437" i="10"/>
  <c r="M436" i="10"/>
  <c r="I436" i="10"/>
  <c r="G436" i="10"/>
  <c r="M435" i="10"/>
  <c r="I435" i="10"/>
  <c r="G435" i="10"/>
  <c r="M434" i="10"/>
  <c r="I434" i="10"/>
  <c r="G434" i="10"/>
  <c r="M433" i="10"/>
  <c r="I433" i="10"/>
  <c r="G433" i="10"/>
  <c r="Q433" i="10" s="1"/>
  <c r="R433" i="10" s="1"/>
  <c r="M432" i="10"/>
  <c r="I432" i="10"/>
  <c r="G432" i="10"/>
  <c r="M431" i="10"/>
  <c r="I431" i="10"/>
  <c r="G431" i="10"/>
  <c r="M430" i="10"/>
  <c r="I430" i="10"/>
  <c r="G430" i="10"/>
  <c r="Q430" i="10" s="1"/>
  <c r="M429" i="10"/>
  <c r="I429" i="10"/>
  <c r="G429" i="10"/>
  <c r="M428" i="10"/>
  <c r="I428" i="10"/>
  <c r="G428" i="10"/>
  <c r="M427" i="10"/>
  <c r="I427" i="10"/>
  <c r="G427" i="10"/>
  <c r="M426" i="10"/>
  <c r="I426" i="10"/>
  <c r="G426" i="10"/>
  <c r="M425" i="10"/>
  <c r="I425" i="10"/>
  <c r="G425" i="10"/>
  <c r="M421" i="10"/>
  <c r="I421" i="10"/>
  <c r="G421" i="10"/>
  <c r="M420" i="10"/>
  <c r="I420" i="10"/>
  <c r="G420" i="10"/>
  <c r="M419" i="10"/>
  <c r="I419" i="10"/>
  <c r="G419" i="10"/>
  <c r="M418" i="10"/>
  <c r="I418" i="10"/>
  <c r="G418" i="10"/>
  <c r="Q417" i="10"/>
  <c r="M417" i="10"/>
  <c r="I417" i="10"/>
  <c r="G417" i="10"/>
  <c r="M416" i="10"/>
  <c r="I416" i="10"/>
  <c r="G416" i="10"/>
  <c r="M415" i="10"/>
  <c r="I415" i="10"/>
  <c r="G415" i="10"/>
  <c r="M414" i="10"/>
  <c r="I414" i="10"/>
  <c r="G414" i="10"/>
  <c r="T408" i="10"/>
  <c r="I408" i="10"/>
  <c r="G408" i="10"/>
  <c r="T407" i="10"/>
  <c r="I407" i="10"/>
  <c r="G407" i="10"/>
  <c r="T406" i="10"/>
  <c r="I406" i="10"/>
  <c r="G406" i="10"/>
  <c r="Q406" i="10" s="1"/>
  <c r="Q401" i="10"/>
  <c r="S401" i="10" s="1"/>
  <c r="T398" i="10"/>
  <c r="I398" i="10"/>
  <c r="G398" i="10"/>
  <c r="Q398" i="10" s="1"/>
  <c r="T397" i="10"/>
  <c r="I397" i="10"/>
  <c r="G397" i="10"/>
  <c r="I396" i="10"/>
  <c r="G396" i="10"/>
  <c r="E396" i="10"/>
  <c r="T396" i="10" s="1"/>
  <c r="I395" i="10"/>
  <c r="G395" i="10"/>
  <c r="E395" i="10"/>
  <c r="T395" i="10" s="1"/>
  <c r="I394" i="10"/>
  <c r="G394" i="10"/>
  <c r="E394" i="10"/>
  <c r="T394" i="10" s="1"/>
  <c r="I393" i="10"/>
  <c r="G393" i="10"/>
  <c r="Q393" i="10" s="1"/>
  <c r="E393" i="10"/>
  <c r="T393" i="10" s="1"/>
  <c r="T392" i="10"/>
  <c r="I392" i="10"/>
  <c r="G392" i="10"/>
  <c r="T391" i="10"/>
  <c r="T401" i="10" s="1"/>
  <c r="U401" i="10" s="1"/>
  <c r="M401" i="10" s="1"/>
  <c r="I391" i="10"/>
  <c r="G391" i="10"/>
  <c r="T387" i="10"/>
  <c r="T386" i="10"/>
  <c r="I386" i="10"/>
  <c r="G386" i="10"/>
  <c r="T385" i="10"/>
  <c r="I385" i="10"/>
  <c r="G385" i="10"/>
  <c r="T384" i="10"/>
  <c r="I384" i="10"/>
  <c r="G384" i="10"/>
  <c r="T383" i="10"/>
  <c r="I383" i="10"/>
  <c r="G383" i="10"/>
  <c r="T376" i="10"/>
  <c r="I376" i="10"/>
  <c r="G376" i="10"/>
  <c r="T375" i="10"/>
  <c r="I375" i="10"/>
  <c r="G375" i="10"/>
  <c r="T374" i="10"/>
  <c r="I374" i="10"/>
  <c r="G374" i="10"/>
  <c r="Q374" i="10" s="1"/>
  <c r="S374" i="10" s="1"/>
  <c r="T373" i="10"/>
  <c r="I373" i="10"/>
  <c r="G373" i="10"/>
  <c r="T372" i="10"/>
  <c r="I372" i="10"/>
  <c r="G372" i="10"/>
  <c r="T371" i="10"/>
  <c r="I371" i="10"/>
  <c r="G371" i="10"/>
  <c r="M362" i="10"/>
  <c r="I362" i="10"/>
  <c r="G362" i="10"/>
  <c r="Q362" i="10" s="1"/>
  <c r="R362" i="10" s="1"/>
  <c r="M361" i="10"/>
  <c r="I361" i="10"/>
  <c r="G361" i="10"/>
  <c r="M360" i="10"/>
  <c r="I360" i="10"/>
  <c r="G360" i="10"/>
  <c r="M359" i="10"/>
  <c r="I359" i="10"/>
  <c r="G359" i="10"/>
  <c r="Q359" i="10" s="1"/>
  <c r="M358" i="10"/>
  <c r="I358" i="10"/>
  <c r="G358" i="10"/>
  <c r="I352" i="10"/>
  <c r="G352" i="10"/>
  <c r="Q352" i="10" s="1"/>
  <c r="E352" i="10"/>
  <c r="M352" i="10" s="1"/>
  <c r="M351" i="10"/>
  <c r="I351" i="10"/>
  <c r="G351" i="10"/>
  <c r="M350" i="10"/>
  <c r="I350" i="10"/>
  <c r="G350" i="10"/>
  <c r="M349" i="10"/>
  <c r="I349" i="10"/>
  <c r="G349" i="10"/>
  <c r="M348" i="10"/>
  <c r="I348" i="10"/>
  <c r="G348" i="10"/>
  <c r="M344" i="10"/>
  <c r="I344" i="10"/>
  <c r="G344" i="10"/>
  <c r="M343" i="10"/>
  <c r="I343" i="10"/>
  <c r="G343" i="10"/>
  <c r="M342" i="10"/>
  <c r="I342" i="10"/>
  <c r="G342" i="10"/>
  <c r="Q342" i="10" s="1"/>
  <c r="M341" i="10"/>
  <c r="I341" i="10"/>
  <c r="G341" i="10"/>
  <c r="M340" i="10"/>
  <c r="I340" i="10"/>
  <c r="G340" i="10"/>
  <c r="M339" i="10"/>
  <c r="I339" i="10"/>
  <c r="G339" i="10"/>
  <c r="Q339" i="10" s="1"/>
  <c r="M338" i="10"/>
  <c r="I338" i="10"/>
  <c r="G338" i="10"/>
  <c r="M337" i="10"/>
  <c r="I337" i="10"/>
  <c r="G337" i="10"/>
  <c r="M336" i="10"/>
  <c r="I336" i="10"/>
  <c r="G336" i="10"/>
  <c r="M335" i="10"/>
  <c r="I335" i="10"/>
  <c r="G335" i="10"/>
  <c r="M334" i="10"/>
  <c r="I334" i="10"/>
  <c r="G334" i="10"/>
  <c r="Q333" i="10"/>
  <c r="M333" i="10"/>
  <c r="I333" i="10"/>
  <c r="G333" i="10"/>
  <c r="M332" i="10"/>
  <c r="I332" i="10"/>
  <c r="G332" i="10"/>
  <c r="M331" i="10"/>
  <c r="I331" i="10"/>
  <c r="G331" i="10"/>
  <c r="M330" i="10"/>
  <c r="I330" i="10"/>
  <c r="G330" i="10"/>
  <c r="M329" i="10"/>
  <c r="I329" i="10"/>
  <c r="G329" i="10"/>
  <c r="M328" i="10"/>
  <c r="I328" i="10"/>
  <c r="G328" i="10"/>
  <c r="M327" i="10"/>
  <c r="I327" i="10"/>
  <c r="G327" i="10"/>
  <c r="M326" i="10"/>
  <c r="I326" i="10"/>
  <c r="G326" i="10"/>
  <c r="M325" i="10"/>
  <c r="I325" i="10"/>
  <c r="G325" i="10"/>
  <c r="Q325" i="10" s="1"/>
  <c r="M324" i="10"/>
  <c r="I324" i="10"/>
  <c r="G324" i="10"/>
  <c r="M323" i="10"/>
  <c r="I323" i="10"/>
  <c r="G323" i="10"/>
  <c r="M322" i="10"/>
  <c r="I322" i="10"/>
  <c r="G322" i="10"/>
  <c r="Q322" i="10" s="1"/>
  <c r="M321" i="10"/>
  <c r="I321" i="10"/>
  <c r="G321" i="10"/>
  <c r="M320" i="10"/>
  <c r="I320" i="10"/>
  <c r="G320" i="10"/>
  <c r="M319" i="10"/>
  <c r="I319" i="10"/>
  <c r="G319" i="10"/>
  <c r="M318" i="10"/>
  <c r="I318" i="10"/>
  <c r="G318" i="10"/>
  <c r="Q318" i="10" s="1"/>
  <c r="M317" i="10"/>
  <c r="I317" i="10"/>
  <c r="G317" i="10"/>
  <c r="M316" i="10"/>
  <c r="I316" i="10"/>
  <c r="G316" i="10"/>
  <c r="M315" i="10"/>
  <c r="I315" i="10"/>
  <c r="G315" i="10"/>
  <c r="Q315" i="10" s="1"/>
  <c r="R315" i="10" s="1"/>
  <c r="M314" i="10"/>
  <c r="I314" i="10"/>
  <c r="G314" i="10"/>
  <c r="M313" i="10"/>
  <c r="I313" i="10"/>
  <c r="G313" i="10"/>
  <c r="Q313" i="10" s="1"/>
  <c r="R313" i="10" s="1"/>
  <c r="M312" i="10"/>
  <c r="I312" i="10"/>
  <c r="G312" i="10"/>
  <c r="M311" i="10"/>
  <c r="I311" i="10"/>
  <c r="G311" i="10"/>
  <c r="M310" i="10"/>
  <c r="I310" i="10"/>
  <c r="G310" i="10"/>
  <c r="M309" i="10"/>
  <c r="I309" i="10"/>
  <c r="G309" i="10"/>
  <c r="M308" i="10"/>
  <c r="I308" i="10"/>
  <c r="G308" i="10"/>
  <c r="Q308" i="10" s="1"/>
  <c r="R308" i="10" s="1"/>
  <c r="M307" i="10"/>
  <c r="I307" i="10"/>
  <c r="G307" i="10"/>
  <c r="M306" i="10"/>
  <c r="I306" i="10"/>
  <c r="G306" i="10"/>
  <c r="M305" i="10"/>
  <c r="I305" i="10"/>
  <c r="G305" i="10"/>
  <c r="Q305" i="10" s="1"/>
  <c r="R305" i="10" s="1"/>
  <c r="M304" i="10"/>
  <c r="I304" i="10"/>
  <c r="G304" i="10"/>
  <c r="M303" i="10"/>
  <c r="I303" i="10"/>
  <c r="G303" i="10"/>
  <c r="Q303" i="10" s="1"/>
  <c r="M302" i="10"/>
  <c r="I302" i="10"/>
  <c r="G302" i="10"/>
  <c r="M298" i="10"/>
  <c r="I298" i="10"/>
  <c r="G298" i="10"/>
  <c r="M297" i="10"/>
  <c r="I297" i="10"/>
  <c r="G297" i="10"/>
  <c r="M296" i="10"/>
  <c r="I296" i="10"/>
  <c r="G296" i="10"/>
  <c r="Q296" i="10" s="1"/>
  <c r="M295" i="10"/>
  <c r="I295" i="10"/>
  <c r="G295" i="10"/>
  <c r="M294" i="10"/>
  <c r="I294" i="10"/>
  <c r="G294" i="10"/>
  <c r="M293" i="10"/>
  <c r="I293" i="10"/>
  <c r="G293" i="10"/>
  <c r="Q293" i="10" s="1"/>
  <c r="R293" i="10" s="1"/>
  <c r="M292" i="10"/>
  <c r="I292" i="10"/>
  <c r="G292" i="10"/>
  <c r="M291" i="10"/>
  <c r="I291" i="10"/>
  <c r="G291" i="10"/>
  <c r="M290" i="10"/>
  <c r="I290" i="10"/>
  <c r="G290" i="10"/>
  <c r="Q290" i="10" s="1"/>
  <c r="R290" i="10" s="1"/>
  <c r="M289" i="10"/>
  <c r="I289" i="10"/>
  <c r="G289" i="10"/>
  <c r="M288" i="10"/>
  <c r="I288" i="10"/>
  <c r="G288" i="10"/>
  <c r="M287" i="10"/>
  <c r="I287" i="10"/>
  <c r="G287" i="10"/>
  <c r="M286" i="10"/>
  <c r="I286" i="10"/>
  <c r="G286" i="10"/>
  <c r="M285" i="10"/>
  <c r="I285" i="10"/>
  <c r="G285" i="10"/>
  <c r="M284" i="10"/>
  <c r="I284" i="10"/>
  <c r="G284" i="10"/>
  <c r="M283" i="10"/>
  <c r="I283" i="10"/>
  <c r="G283" i="10"/>
  <c r="M282" i="10"/>
  <c r="I282" i="10"/>
  <c r="G282" i="10"/>
  <c r="Q282" i="10" s="1"/>
  <c r="M281" i="10"/>
  <c r="I281" i="10"/>
  <c r="G281" i="10"/>
  <c r="M280" i="10"/>
  <c r="I280" i="10"/>
  <c r="G280" i="10"/>
  <c r="M279" i="10"/>
  <c r="I279" i="10"/>
  <c r="G279" i="10"/>
  <c r="Q279" i="10" s="1"/>
  <c r="R279" i="10" s="1"/>
  <c r="M278" i="10"/>
  <c r="I278" i="10"/>
  <c r="G278" i="10"/>
  <c r="M277" i="10"/>
  <c r="I277" i="10"/>
  <c r="G277" i="10"/>
  <c r="Q277" i="10" s="1"/>
  <c r="M276" i="10"/>
  <c r="I276" i="10"/>
  <c r="G276" i="10"/>
  <c r="Q276" i="10" s="1"/>
  <c r="R276" i="10" s="1"/>
  <c r="M275" i="10"/>
  <c r="I275" i="10"/>
  <c r="G275" i="10"/>
  <c r="Q274" i="10"/>
  <c r="M274" i="10"/>
  <c r="I274" i="10"/>
  <c r="G274" i="10"/>
  <c r="M273" i="10"/>
  <c r="I273" i="10"/>
  <c r="G273" i="10"/>
  <c r="Q273" i="10" s="1"/>
  <c r="M272" i="10"/>
  <c r="I272" i="10"/>
  <c r="G272" i="10"/>
  <c r="Q271" i="10"/>
  <c r="M271" i="10"/>
  <c r="I271" i="10"/>
  <c r="G271" i="10"/>
  <c r="M270" i="10"/>
  <c r="I270" i="10"/>
  <c r="G270" i="10"/>
  <c r="Q270" i="10" s="1"/>
  <c r="R270" i="10" s="1"/>
  <c r="M269" i="10"/>
  <c r="I269" i="10"/>
  <c r="G269" i="10"/>
  <c r="M268" i="10"/>
  <c r="I268" i="10"/>
  <c r="G268" i="10"/>
  <c r="I267" i="10"/>
  <c r="G267" i="10"/>
  <c r="E267" i="10"/>
  <c r="M267" i="10" s="1"/>
  <c r="M263" i="10"/>
  <c r="I263" i="10"/>
  <c r="G263" i="10"/>
  <c r="M262" i="10"/>
  <c r="I262" i="10"/>
  <c r="G262" i="10"/>
  <c r="Q262" i="10" s="1"/>
  <c r="M261" i="10"/>
  <c r="I261" i="10"/>
  <c r="G261" i="10"/>
  <c r="Q261" i="10" s="1"/>
  <c r="R261" i="10" s="1"/>
  <c r="M260" i="10"/>
  <c r="I260" i="10"/>
  <c r="G260" i="10"/>
  <c r="M259" i="10"/>
  <c r="I259" i="10"/>
  <c r="G259" i="10"/>
  <c r="Q259" i="10" s="1"/>
  <c r="R259" i="10" s="1"/>
  <c r="M258" i="10"/>
  <c r="I258" i="10"/>
  <c r="G258" i="10"/>
  <c r="M257" i="10"/>
  <c r="I257" i="10"/>
  <c r="G257" i="10"/>
  <c r="M256" i="10"/>
  <c r="I256" i="10"/>
  <c r="G256" i="10"/>
  <c r="M255" i="10"/>
  <c r="I255" i="10"/>
  <c r="G255" i="10"/>
  <c r="Q255" i="10" s="1"/>
  <c r="R255" i="10" s="1"/>
  <c r="M254" i="10"/>
  <c r="I254" i="10"/>
  <c r="G254" i="10"/>
  <c r="M253" i="10"/>
  <c r="I253" i="10"/>
  <c r="G253" i="10"/>
  <c r="M252" i="10"/>
  <c r="I252" i="10"/>
  <c r="G252" i="10"/>
  <c r="Q252" i="10" s="1"/>
  <c r="I251" i="10"/>
  <c r="G251" i="10"/>
  <c r="E251" i="10"/>
  <c r="M251" i="10" s="1"/>
  <c r="I250" i="10"/>
  <c r="G250" i="10"/>
  <c r="Q250" i="10" s="1"/>
  <c r="E250" i="10"/>
  <c r="M250" i="10" s="1"/>
  <c r="M249" i="10"/>
  <c r="I249" i="10"/>
  <c r="G249" i="10"/>
  <c r="M248" i="10"/>
  <c r="I248" i="10"/>
  <c r="G248" i="10"/>
  <c r="M247" i="10"/>
  <c r="I247" i="10"/>
  <c r="G247" i="10"/>
  <c r="M246" i="10"/>
  <c r="I246" i="10"/>
  <c r="G246" i="10"/>
  <c r="Q246" i="10" s="1"/>
  <c r="M245" i="10"/>
  <c r="I245" i="10"/>
  <c r="G245" i="10"/>
  <c r="E245" i="10"/>
  <c r="I244" i="10"/>
  <c r="G244" i="10"/>
  <c r="Q244" i="10" s="1"/>
  <c r="E244" i="10"/>
  <c r="M244" i="10" s="1"/>
  <c r="M243" i="10"/>
  <c r="I243" i="10"/>
  <c r="G243" i="10"/>
  <c r="M242" i="10"/>
  <c r="I242" i="10"/>
  <c r="G242" i="10"/>
  <c r="M241" i="10"/>
  <c r="I241" i="10"/>
  <c r="G241" i="10"/>
  <c r="M240" i="10"/>
  <c r="I240" i="10"/>
  <c r="G240" i="10"/>
  <c r="M239" i="10"/>
  <c r="I239" i="10"/>
  <c r="G239" i="10"/>
  <c r="M238" i="10"/>
  <c r="I238" i="10"/>
  <c r="G238" i="10"/>
  <c r="M237" i="10"/>
  <c r="I237" i="10"/>
  <c r="G237" i="10"/>
  <c r="M236" i="10"/>
  <c r="I236" i="10"/>
  <c r="G236" i="10"/>
  <c r="M235" i="10"/>
  <c r="I235" i="10"/>
  <c r="G235" i="10"/>
  <c r="M234" i="10"/>
  <c r="I234" i="10"/>
  <c r="G234" i="10"/>
  <c r="M233" i="10"/>
  <c r="I233" i="10"/>
  <c r="G233" i="10"/>
  <c r="M232" i="10"/>
  <c r="I232" i="10"/>
  <c r="G232" i="10"/>
  <c r="Q232" i="10" s="1"/>
  <c r="R232" i="10" s="1"/>
  <c r="M231" i="10"/>
  <c r="I231" i="10"/>
  <c r="G231" i="10"/>
  <c r="M230" i="10"/>
  <c r="I230" i="10"/>
  <c r="G230" i="10"/>
  <c r="M229" i="10"/>
  <c r="I229" i="10"/>
  <c r="G229" i="10"/>
  <c r="Q229" i="10" s="1"/>
  <c r="M228" i="10"/>
  <c r="I228" i="10"/>
  <c r="G228" i="10"/>
  <c r="M227" i="10"/>
  <c r="I227" i="10"/>
  <c r="G227" i="10"/>
  <c r="M226" i="10"/>
  <c r="I226" i="10"/>
  <c r="G226" i="10"/>
  <c r="Q226" i="10" s="1"/>
  <c r="R226" i="10" s="1"/>
  <c r="M225" i="10"/>
  <c r="I225" i="10"/>
  <c r="G225" i="10"/>
  <c r="M224" i="10"/>
  <c r="I224" i="10"/>
  <c r="G224" i="10"/>
  <c r="M223" i="10"/>
  <c r="I223" i="10"/>
  <c r="G223" i="10"/>
  <c r="Q223" i="10" s="1"/>
  <c r="R223" i="10" s="1"/>
  <c r="M222" i="10"/>
  <c r="I222" i="10"/>
  <c r="G222" i="10"/>
  <c r="M221" i="10"/>
  <c r="I221" i="10"/>
  <c r="G221" i="10"/>
  <c r="Q220" i="10"/>
  <c r="M220" i="10"/>
  <c r="I220" i="10"/>
  <c r="G220" i="10"/>
  <c r="M219" i="10"/>
  <c r="I219" i="10"/>
  <c r="G219" i="10"/>
  <c r="M218" i="10"/>
  <c r="I218" i="10"/>
  <c r="G218" i="10"/>
  <c r="M217" i="10"/>
  <c r="I217" i="10"/>
  <c r="G217" i="10"/>
  <c r="M216" i="10"/>
  <c r="I216" i="10"/>
  <c r="G216" i="10"/>
  <c r="M215" i="10"/>
  <c r="I215" i="10"/>
  <c r="G215" i="10"/>
  <c r="M214" i="10"/>
  <c r="I214" i="10"/>
  <c r="G214" i="10"/>
  <c r="M213" i="10"/>
  <c r="I213" i="10"/>
  <c r="G213" i="10"/>
  <c r="M212" i="10"/>
  <c r="I212" i="10"/>
  <c r="G212" i="10"/>
  <c r="M211" i="10"/>
  <c r="I211" i="10"/>
  <c r="G211" i="10"/>
  <c r="Q211" i="10" s="1"/>
  <c r="R211" i="10" s="1"/>
  <c r="M210" i="10"/>
  <c r="I210" i="10"/>
  <c r="G210" i="10"/>
  <c r="M209" i="10"/>
  <c r="I209" i="10"/>
  <c r="G209" i="10"/>
  <c r="M208" i="10"/>
  <c r="I208" i="10"/>
  <c r="G208" i="10"/>
  <c r="Q208" i="10" s="1"/>
  <c r="M207" i="10"/>
  <c r="I207" i="10"/>
  <c r="G207" i="10"/>
  <c r="M206" i="10"/>
  <c r="I206" i="10"/>
  <c r="G206" i="10"/>
  <c r="M205" i="10"/>
  <c r="I205" i="10"/>
  <c r="G205" i="10"/>
  <c r="Q205" i="10" s="1"/>
  <c r="M204" i="10"/>
  <c r="I204" i="10"/>
  <c r="G204" i="10"/>
  <c r="M203" i="10"/>
  <c r="I203" i="10"/>
  <c r="G203" i="10"/>
  <c r="M202" i="10"/>
  <c r="I202" i="10"/>
  <c r="G202" i="10"/>
  <c r="Q202" i="10" s="1"/>
  <c r="M201" i="10"/>
  <c r="I201" i="10"/>
  <c r="G201" i="10"/>
  <c r="M200" i="10"/>
  <c r="I200" i="10"/>
  <c r="G200" i="10"/>
  <c r="M199" i="10"/>
  <c r="I199" i="10"/>
  <c r="G199" i="10"/>
  <c r="Q199" i="10" s="1"/>
  <c r="R199" i="10" s="1"/>
  <c r="Q198" i="10"/>
  <c r="M198" i="10"/>
  <c r="I198" i="10"/>
  <c r="G198" i="10"/>
  <c r="M197" i="10"/>
  <c r="I197" i="10"/>
  <c r="G197" i="10"/>
  <c r="M196" i="10"/>
  <c r="I196" i="10"/>
  <c r="G196" i="10"/>
  <c r="T190" i="10"/>
  <c r="I190" i="10"/>
  <c r="G190" i="10"/>
  <c r="T189" i="10"/>
  <c r="I189" i="10"/>
  <c r="G189" i="10"/>
  <c r="T188" i="10"/>
  <c r="I188" i="10"/>
  <c r="G188" i="10"/>
  <c r="T187" i="10"/>
  <c r="I187" i="10"/>
  <c r="G187" i="10"/>
  <c r="T186" i="10"/>
  <c r="I186" i="10"/>
  <c r="G186" i="10"/>
  <c r="T185" i="10"/>
  <c r="I185" i="10"/>
  <c r="G185" i="10"/>
  <c r="T171" i="10"/>
  <c r="I171" i="10"/>
  <c r="G171" i="10"/>
  <c r="T170" i="10"/>
  <c r="I170" i="10"/>
  <c r="G170" i="10"/>
  <c r="T169" i="10"/>
  <c r="I169" i="10"/>
  <c r="G169" i="10"/>
  <c r="T168" i="10"/>
  <c r="I168" i="10"/>
  <c r="G168" i="10"/>
  <c r="T167" i="10"/>
  <c r="I167" i="10"/>
  <c r="G167" i="10"/>
  <c r="T166" i="10"/>
  <c r="I166" i="10"/>
  <c r="G166" i="10"/>
  <c r="T165" i="10"/>
  <c r="I165" i="10"/>
  <c r="G165" i="10"/>
  <c r="T164" i="10"/>
  <c r="I164" i="10"/>
  <c r="G164" i="10"/>
  <c r="T163" i="10"/>
  <c r="I163" i="10"/>
  <c r="G163" i="10"/>
  <c r="T162" i="10"/>
  <c r="I162" i="10"/>
  <c r="G162" i="10"/>
  <c r="Q162" i="10" s="1"/>
  <c r="S162" i="10" s="1"/>
  <c r="T161" i="10"/>
  <c r="Q161" i="10"/>
  <c r="I161" i="10"/>
  <c r="G161" i="10"/>
  <c r="T160" i="10"/>
  <c r="I160" i="10"/>
  <c r="G160" i="10"/>
  <c r="T159" i="10"/>
  <c r="I159" i="10"/>
  <c r="G159" i="10"/>
  <c r="T158" i="10"/>
  <c r="I158" i="10"/>
  <c r="G158" i="10"/>
  <c r="T157" i="10"/>
  <c r="I157" i="10"/>
  <c r="G157" i="10"/>
  <c r="T156" i="10"/>
  <c r="L156" i="10"/>
  <c r="I156" i="10"/>
  <c r="G156" i="10"/>
  <c r="T155" i="10"/>
  <c r="L155" i="10"/>
  <c r="I155" i="10"/>
  <c r="G155" i="10"/>
  <c r="T154" i="10"/>
  <c r="L154" i="10"/>
  <c r="I154" i="10"/>
  <c r="G154" i="10"/>
  <c r="T153" i="10"/>
  <c r="L153" i="10"/>
  <c r="I153" i="10"/>
  <c r="G153" i="10"/>
  <c r="T152" i="10"/>
  <c r="T174" i="10" s="1"/>
  <c r="M174" i="10" s="1"/>
  <c r="L152" i="10"/>
  <c r="I152" i="10"/>
  <c r="G152" i="10"/>
  <c r="Q152" i="10" s="1"/>
  <c r="T151" i="10"/>
  <c r="I151" i="10"/>
  <c r="G151" i="10"/>
  <c r="O145" i="10"/>
  <c r="I145" i="10"/>
  <c r="G145" i="10"/>
  <c r="O144" i="10"/>
  <c r="I144" i="10"/>
  <c r="G144" i="10"/>
  <c r="Q144" i="10" s="1"/>
  <c r="O143" i="10"/>
  <c r="I143" i="10"/>
  <c r="G143" i="10"/>
  <c r="Q142" i="10"/>
  <c r="R142" i="10" s="1"/>
  <c r="O142" i="10"/>
  <c r="I142" i="10"/>
  <c r="G142" i="10"/>
  <c r="O141" i="10"/>
  <c r="I141" i="10"/>
  <c r="G141" i="10"/>
  <c r="Q141" i="10" s="1"/>
  <c r="R141" i="10" s="1"/>
  <c r="O140" i="10"/>
  <c r="I140" i="10"/>
  <c r="G140" i="10"/>
  <c r="O139" i="10"/>
  <c r="I139" i="10"/>
  <c r="G139" i="10"/>
  <c r="O138" i="10"/>
  <c r="I138" i="10"/>
  <c r="G138" i="10"/>
  <c r="Q138" i="10" s="1"/>
  <c r="R138" i="10" s="1"/>
  <c r="O137" i="10"/>
  <c r="I137" i="10"/>
  <c r="G137" i="10"/>
  <c r="O136" i="10"/>
  <c r="I136" i="10"/>
  <c r="G136" i="10"/>
  <c r="O135" i="10"/>
  <c r="I135" i="10"/>
  <c r="G135" i="10"/>
  <c r="Q135" i="10" s="1"/>
  <c r="R135" i="10" s="1"/>
  <c r="O134" i="10"/>
  <c r="I134" i="10"/>
  <c r="G134" i="10"/>
  <c r="O133" i="10"/>
  <c r="I133" i="10"/>
  <c r="G133" i="10"/>
  <c r="M129" i="10"/>
  <c r="I129" i="10"/>
  <c r="G129" i="10"/>
  <c r="M128" i="10"/>
  <c r="I128" i="10"/>
  <c r="G128" i="10"/>
  <c r="M127" i="10"/>
  <c r="I127" i="10"/>
  <c r="G127" i="10"/>
  <c r="M126" i="10"/>
  <c r="I126" i="10"/>
  <c r="G126" i="10"/>
  <c r="M125" i="10"/>
  <c r="I125" i="10"/>
  <c r="G125" i="10"/>
  <c r="Q125" i="10" s="1"/>
  <c r="M121" i="10"/>
  <c r="J121" i="10"/>
  <c r="I121" i="10"/>
  <c r="G121" i="10"/>
  <c r="M120" i="10"/>
  <c r="I120" i="10"/>
  <c r="G120" i="10"/>
  <c r="Q120" i="10" s="1"/>
  <c r="M119" i="10"/>
  <c r="I119" i="10"/>
  <c r="G119" i="10"/>
  <c r="M118" i="10"/>
  <c r="I118" i="10"/>
  <c r="G118" i="10"/>
  <c r="M117" i="10"/>
  <c r="I117" i="10"/>
  <c r="G117" i="10"/>
  <c r="Q117" i="10" s="1"/>
  <c r="R117" i="10" s="1"/>
  <c r="M113" i="10"/>
  <c r="I113" i="10"/>
  <c r="G113" i="10"/>
  <c r="U112" i="10"/>
  <c r="M112" i="10"/>
  <c r="I112" i="10"/>
  <c r="G112" i="10"/>
  <c r="U111" i="10"/>
  <c r="M111" i="10"/>
  <c r="I111" i="10"/>
  <c r="G111" i="10"/>
  <c r="Q111" i="10" s="1"/>
  <c r="R111" i="10" s="1"/>
  <c r="U110" i="10"/>
  <c r="M110" i="10"/>
  <c r="I110" i="10"/>
  <c r="G110" i="10"/>
  <c r="U109" i="10"/>
  <c r="M109" i="10"/>
  <c r="I109" i="10"/>
  <c r="G109" i="10"/>
  <c r="M108" i="10"/>
  <c r="I108" i="10"/>
  <c r="G108" i="10"/>
  <c r="Q108" i="10" s="1"/>
  <c r="M107" i="10"/>
  <c r="I107" i="10"/>
  <c r="G107" i="10"/>
  <c r="M106" i="10"/>
  <c r="I106" i="10"/>
  <c r="G106" i="10"/>
  <c r="M105" i="10"/>
  <c r="I105" i="10"/>
  <c r="G105" i="10"/>
  <c r="M104" i="10"/>
  <c r="I104" i="10"/>
  <c r="G104" i="10"/>
  <c r="M103" i="10"/>
  <c r="I103" i="10"/>
  <c r="G103" i="10"/>
  <c r="Q102" i="10"/>
  <c r="M102" i="10"/>
  <c r="I102" i="10"/>
  <c r="G102" i="10"/>
  <c r="M98" i="10"/>
  <c r="I98" i="10"/>
  <c r="G98" i="10"/>
  <c r="M97" i="10"/>
  <c r="I97" i="10"/>
  <c r="G97" i="10"/>
  <c r="M96" i="10"/>
  <c r="I96" i="10"/>
  <c r="G96" i="10"/>
  <c r="Q96" i="10" s="1"/>
  <c r="R96" i="10" s="1"/>
  <c r="M95" i="10"/>
  <c r="I95" i="10"/>
  <c r="G95" i="10"/>
  <c r="M94" i="10"/>
  <c r="I94" i="10"/>
  <c r="G94" i="10"/>
  <c r="M93" i="10"/>
  <c r="I93" i="10"/>
  <c r="G93" i="10"/>
  <c r="Q93" i="10" s="1"/>
  <c r="R93" i="10" s="1"/>
  <c r="M89" i="10"/>
  <c r="I89" i="10"/>
  <c r="G89" i="10"/>
  <c r="M88" i="10"/>
  <c r="I88" i="10"/>
  <c r="G88" i="10"/>
  <c r="M87" i="10"/>
  <c r="I87" i="10"/>
  <c r="G87" i="10"/>
  <c r="Q87" i="10" s="1"/>
  <c r="M86" i="10"/>
  <c r="I86" i="10"/>
  <c r="G86" i="10"/>
  <c r="M85" i="10"/>
  <c r="I85" i="10"/>
  <c r="G85" i="10"/>
  <c r="M84" i="10"/>
  <c r="I84" i="10"/>
  <c r="G84" i="10"/>
  <c r="M83" i="10"/>
  <c r="I83" i="10"/>
  <c r="G83" i="10"/>
  <c r="M82" i="10"/>
  <c r="I82" i="10"/>
  <c r="G82" i="10"/>
  <c r="M81" i="10"/>
  <c r="I81" i="10"/>
  <c r="G81" i="10"/>
  <c r="M80" i="10"/>
  <c r="I80" i="10"/>
  <c r="G80" i="10"/>
  <c r="Q80" i="10" s="1"/>
  <c r="R80" i="10" s="1"/>
  <c r="I79" i="10"/>
  <c r="G79" i="10"/>
  <c r="E79" i="10"/>
  <c r="M79" i="10" s="1"/>
  <c r="M78" i="10"/>
  <c r="I78" i="10"/>
  <c r="G78" i="10"/>
  <c r="Q77" i="10"/>
  <c r="M77" i="10"/>
  <c r="I77" i="10"/>
  <c r="G77" i="10"/>
  <c r="M76" i="10"/>
  <c r="I76" i="10"/>
  <c r="G76" i="10"/>
  <c r="Q76" i="10" s="1"/>
  <c r="R76" i="10" s="1"/>
  <c r="M75" i="10"/>
  <c r="I75" i="10"/>
  <c r="G75" i="10"/>
  <c r="M74" i="10"/>
  <c r="I74" i="10"/>
  <c r="G74" i="10"/>
  <c r="Q73" i="10"/>
  <c r="M73" i="10"/>
  <c r="I73" i="10"/>
  <c r="G73" i="10"/>
  <c r="E73" i="10"/>
  <c r="M72" i="10"/>
  <c r="I72" i="10"/>
  <c r="G72" i="10"/>
  <c r="M71" i="10"/>
  <c r="I71" i="10"/>
  <c r="G71" i="10"/>
  <c r="Q71" i="10" s="1"/>
  <c r="M70" i="10"/>
  <c r="I70" i="10"/>
  <c r="G70" i="10"/>
  <c r="M69" i="10"/>
  <c r="I69" i="10"/>
  <c r="G69" i="10"/>
  <c r="M68" i="10"/>
  <c r="I68" i="10"/>
  <c r="G68" i="10"/>
  <c r="Q68" i="10" s="1"/>
  <c r="M67" i="10"/>
  <c r="I67" i="10"/>
  <c r="G67" i="10"/>
  <c r="Q67" i="10" s="1"/>
  <c r="R67" i="10" s="1"/>
  <c r="M66" i="10"/>
  <c r="I66" i="10"/>
  <c r="G66" i="10"/>
  <c r="M65" i="10"/>
  <c r="I65" i="10"/>
  <c r="G65" i="10"/>
  <c r="Q181" i="10" s="1"/>
  <c r="S181" i="10" s="1"/>
  <c r="M64" i="10"/>
  <c r="I64" i="10"/>
  <c r="G64" i="10"/>
  <c r="Q64" i="10" s="1"/>
  <c r="M63" i="10"/>
  <c r="I63" i="10"/>
  <c r="G63" i="10"/>
  <c r="I59" i="10"/>
  <c r="E59" i="10"/>
  <c r="M59" i="10" s="1"/>
  <c r="B59" i="10"/>
  <c r="G59" i="10" s="1"/>
  <c r="I58" i="10"/>
  <c r="E58" i="10"/>
  <c r="M58" i="10" s="1"/>
  <c r="B58" i="10"/>
  <c r="G58" i="10" s="1"/>
  <c r="M57" i="10"/>
  <c r="I57" i="10"/>
  <c r="G57" i="10"/>
  <c r="M56" i="10"/>
  <c r="I56" i="10"/>
  <c r="G56" i="10"/>
  <c r="M55" i="10"/>
  <c r="I55" i="10"/>
  <c r="G55" i="10"/>
  <c r="M51" i="10"/>
  <c r="I51" i="10"/>
  <c r="G51" i="10"/>
  <c r="M50" i="10"/>
  <c r="I50" i="10"/>
  <c r="G50" i="10"/>
  <c r="Q50" i="10" s="1"/>
  <c r="M49" i="10"/>
  <c r="I49" i="10"/>
  <c r="G49" i="10"/>
  <c r="Q49" i="10" s="1"/>
  <c r="R49" i="10" s="1"/>
  <c r="M48" i="10"/>
  <c r="I48" i="10"/>
  <c r="G48" i="10"/>
  <c r="M47" i="10"/>
  <c r="I47" i="10"/>
  <c r="G47" i="10"/>
  <c r="Q47" i="10" s="1"/>
  <c r="M46" i="10"/>
  <c r="I46" i="10"/>
  <c r="G46" i="10"/>
  <c r="I45" i="10"/>
  <c r="E45" i="10"/>
  <c r="M45" i="10" s="1"/>
  <c r="B45" i="10"/>
  <c r="G209" i="9" s="1"/>
  <c r="I44" i="10"/>
  <c r="B44" i="10"/>
  <c r="G44" i="10" s="1"/>
  <c r="Q44" i="10" s="1"/>
  <c r="M43" i="10"/>
  <c r="I43" i="10"/>
  <c r="G43" i="10"/>
  <c r="I42" i="10"/>
  <c r="E42" i="10"/>
  <c r="M42" i="10" s="1"/>
  <c r="B42" i="10"/>
  <c r="G122" i="7" s="1"/>
  <c r="I41" i="10"/>
  <c r="E41" i="10"/>
  <c r="M41" i="10" s="1"/>
  <c r="B41" i="10"/>
  <c r="I40" i="10"/>
  <c r="E40" i="10"/>
  <c r="M40" i="10" s="1"/>
  <c r="B40" i="10"/>
  <c r="I39" i="10"/>
  <c r="E39" i="10"/>
  <c r="M39" i="10" s="1"/>
  <c r="B39" i="10"/>
  <c r="G39" i="10" s="1"/>
  <c r="I38" i="10"/>
  <c r="G38" i="10"/>
  <c r="E38" i="10"/>
  <c r="M38" i="10" s="1"/>
  <c r="I37" i="10"/>
  <c r="G37" i="10"/>
  <c r="Q180" i="10" s="1"/>
  <c r="S180" i="10" s="1"/>
  <c r="E37" i="10"/>
  <c r="M37" i="10" s="1"/>
  <c r="B37" i="10"/>
  <c r="I36" i="10"/>
  <c r="E36" i="10"/>
  <c r="M36" i="10" s="1"/>
  <c r="B36" i="10"/>
  <c r="G36" i="10" s="1"/>
  <c r="I35" i="10"/>
  <c r="E35" i="10"/>
  <c r="M35" i="10" s="1"/>
  <c r="B35" i="10"/>
  <c r="L34" i="9" s="1"/>
  <c r="H18" i="10"/>
  <c r="D18" i="10"/>
  <c r="E44" i="10" s="1"/>
  <c r="M44" i="10" s="1"/>
  <c r="I20" i="1" l="1"/>
  <c r="J20" i="1" s="1"/>
  <c r="M146" i="9"/>
  <c r="Q146" i="9" s="1"/>
  <c r="Q135" i="9" s="1"/>
  <c r="P135" i="9"/>
  <c r="O102" i="9"/>
  <c r="G97" i="9"/>
  <c r="O97" i="9" s="1"/>
  <c r="M114" i="9"/>
  <c r="P114" i="9" s="1"/>
  <c r="G115" i="9"/>
  <c r="O115" i="9" s="1"/>
  <c r="M116" i="9"/>
  <c r="Q116" i="9" s="1"/>
  <c r="Q113" i="9" s="1"/>
  <c r="G90" i="9"/>
  <c r="O90" i="9" s="1"/>
  <c r="G91" i="9"/>
  <c r="O91" i="9" s="1"/>
  <c r="G100" i="9"/>
  <c r="O100" i="9" s="1"/>
  <c r="M101" i="9"/>
  <c r="Q101" i="9" s="1"/>
  <c r="Q96" i="9" s="1"/>
  <c r="M99" i="9"/>
  <c r="P99" i="9" s="1"/>
  <c r="M102" i="9"/>
  <c r="Q102" i="9" s="1"/>
  <c r="M98" i="9"/>
  <c r="P98" i="9" s="1"/>
  <c r="G93" i="9"/>
  <c r="O93" i="9" s="1"/>
  <c r="G105" i="9"/>
  <c r="O105" i="9" s="1"/>
  <c r="M79" i="9"/>
  <c r="P79" i="9" s="1"/>
  <c r="P78" i="9" s="1"/>
  <c r="O101" i="9"/>
  <c r="O94" i="9"/>
  <c r="M80" i="9"/>
  <c r="Q80" i="9" s="1"/>
  <c r="Q78" i="9" s="1"/>
  <c r="Q461" i="10"/>
  <c r="R461" i="10" s="1"/>
  <c r="O79" i="9"/>
  <c r="ADB34" i="2"/>
  <c r="ADC34" i="2" s="1"/>
  <c r="OG52" i="2"/>
  <c r="ACA7" i="2"/>
  <c r="JQ55" i="2"/>
  <c r="ACA4" i="2"/>
  <c r="AFT35" i="2"/>
  <c r="VQ6" i="2"/>
  <c r="VM2" i="2" s="1"/>
  <c r="MS14" i="2"/>
  <c r="BE5" i="2"/>
  <c r="KK6" i="2"/>
  <c r="KI2" i="2" s="1"/>
  <c r="AFU17" i="2"/>
  <c r="TS18" i="2"/>
  <c r="AAW18" i="2"/>
  <c r="OG8" i="2"/>
  <c r="VQ8" i="2"/>
  <c r="VK2" i="2" s="1"/>
  <c r="QE57" i="2"/>
  <c r="LO2" i="2"/>
  <c r="IW38" i="2"/>
  <c r="KU87" i="2"/>
  <c r="KU81" i="2"/>
  <c r="G149" i="6"/>
  <c r="G150" i="6" s="1"/>
  <c r="ACA2" i="2"/>
  <c r="G126" i="9" s="1"/>
  <c r="O126" i="9" s="1"/>
  <c r="Q525" i="10" s="1"/>
  <c r="R525" i="10" s="1"/>
  <c r="VQ4" i="2"/>
  <c r="VO2" i="2" s="1"/>
  <c r="QE52" i="2"/>
  <c r="OG6" i="2"/>
  <c r="OE2" i="2" s="1"/>
  <c r="G52" i="9"/>
  <c r="G51" i="9" s="1"/>
  <c r="O51" i="9" s="1"/>
  <c r="G48" i="9"/>
  <c r="G49" i="9" s="1"/>
  <c r="O49" i="9" s="1"/>
  <c r="UW4" i="2"/>
  <c r="UU2" i="2" s="1"/>
  <c r="VQ10" i="2"/>
  <c r="VQ2" i="2" s="1"/>
  <c r="PK68" i="2"/>
  <c r="KU78" i="2"/>
  <c r="OG4" i="2"/>
  <c r="OG2" i="2" s="1"/>
  <c r="UW10" i="2"/>
  <c r="UW2" i="2" s="1"/>
  <c r="AFS21" i="2"/>
  <c r="ABQ7" i="2"/>
  <c r="M71" i="9"/>
  <c r="P71" i="9" s="1"/>
  <c r="OG12" i="2"/>
  <c r="KA65" i="2"/>
  <c r="KU66" i="2"/>
  <c r="JG6" i="2"/>
  <c r="ABQ4" i="2"/>
  <c r="MI39" i="2"/>
  <c r="NM68" i="2"/>
  <c r="NI2" i="2" s="1"/>
  <c r="KK4" i="2"/>
  <c r="KK2" i="2" s="1"/>
  <c r="OQ72" i="2"/>
  <c r="YY4" i="2"/>
  <c r="YY2" i="2" s="1"/>
  <c r="IW6" i="2"/>
  <c r="JG5" i="2"/>
  <c r="O53" i="9"/>
  <c r="G50" i="9"/>
  <c r="O50" i="9" s="1"/>
  <c r="M53" i="9"/>
  <c r="Q53" i="9" s="1"/>
  <c r="D65" i="1"/>
  <c r="G65" i="1" s="1"/>
  <c r="L403" i="6"/>
  <c r="Q196" i="10"/>
  <c r="R196" i="10" s="1"/>
  <c r="Q247" i="10"/>
  <c r="R247" i="10" s="1"/>
  <c r="Q351" i="10"/>
  <c r="R351" i="10" s="1"/>
  <c r="D67" i="1"/>
  <c r="I67" i="1" s="1"/>
  <c r="D75" i="1"/>
  <c r="I75" i="1" s="1"/>
  <c r="D82" i="1"/>
  <c r="G82" i="1" s="1"/>
  <c r="J373" i="6"/>
  <c r="G52" i="1" s="1"/>
  <c r="L396" i="6"/>
  <c r="L456" i="6"/>
  <c r="D59" i="1"/>
  <c r="G292" i="6"/>
  <c r="G286" i="6" s="1"/>
  <c r="O286" i="6" s="1"/>
  <c r="Q285" i="10"/>
  <c r="R285" i="10" s="1"/>
  <c r="H385" i="6"/>
  <c r="Q153" i="10"/>
  <c r="U153" i="10" s="1"/>
  <c r="Q217" i="10"/>
  <c r="R217" i="10" s="1"/>
  <c r="Q267" i="10"/>
  <c r="R267" i="10" s="1"/>
  <c r="D69" i="1"/>
  <c r="I69" i="1" s="1"/>
  <c r="L404" i="6"/>
  <c r="J389" i="6"/>
  <c r="J396" i="6"/>
  <c r="J456" i="6"/>
  <c r="Q312" i="10"/>
  <c r="R312" i="10" s="1"/>
  <c r="Q287" i="10"/>
  <c r="R287" i="10" s="1"/>
  <c r="D164" i="1"/>
  <c r="G164" i="1" s="1"/>
  <c r="J385" i="6"/>
  <c r="J388" i="6"/>
  <c r="L407" i="6"/>
  <c r="Q256" i="10"/>
  <c r="R256" i="10" s="1"/>
  <c r="Q145" i="10"/>
  <c r="R145" i="10" s="1"/>
  <c r="Q253" i="10"/>
  <c r="R253" i="10" s="1"/>
  <c r="J433" i="6"/>
  <c r="G141" i="1" s="1"/>
  <c r="Q139" i="10"/>
  <c r="R139" i="10" s="1"/>
  <c r="D68" i="1"/>
  <c r="I68" i="1" s="1"/>
  <c r="Q268" i="10"/>
  <c r="R268" i="10" s="1"/>
  <c r="D64" i="1"/>
  <c r="I64" i="1" s="1"/>
  <c r="D148" i="1"/>
  <c r="G148" i="1" s="1"/>
  <c r="D160" i="1"/>
  <c r="F160" i="1" s="1"/>
  <c r="G283" i="6"/>
  <c r="O283" i="6" s="1"/>
  <c r="L388" i="6"/>
  <c r="L49" i="7"/>
  <c r="L55" i="7"/>
  <c r="L111" i="9"/>
  <c r="L11" i="9"/>
  <c r="L23" i="9"/>
  <c r="R483" i="10"/>
  <c r="H56" i="7"/>
  <c r="H112" i="9"/>
  <c r="H24" i="9"/>
  <c r="G206" i="9"/>
  <c r="M206" i="9" s="1"/>
  <c r="H51" i="7"/>
  <c r="H57" i="7"/>
  <c r="H66" i="7"/>
  <c r="H13" i="9"/>
  <c r="R250" i="10"/>
  <c r="T402" i="10"/>
  <c r="Q175" i="10"/>
  <c r="S175" i="10" s="1"/>
  <c r="L51" i="7"/>
  <c r="L57" i="7"/>
  <c r="L66" i="7"/>
  <c r="L13" i="9"/>
  <c r="L31" i="9"/>
  <c r="R68" i="10"/>
  <c r="R108" i="10"/>
  <c r="T175" i="10"/>
  <c r="M175" i="10" s="1"/>
  <c r="R208" i="10"/>
  <c r="R262" i="10"/>
  <c r="U406" i="10"/>
  <c r="R526" i="10"/>
  <c r="H19" i="6"/>
  <c r="H52" i="7"/>
  <c r="H58" i="7"/>
  <c r="H67" i="7"/>
  <c r="H14" i="9"/>
  <c r="H32" i="9"/>
  <c r="G97" i="7"/>
  <c r="M97" i="7" s="1"/>
  <c r="H132" i="9"/>
  <c r="H198" i="9" s="1"/>
  <c r="F132" i="1" s="1"/>
  <c r="R273" i="10"/>
  <c r="R318" i="10"/>
  <c r="R322" i="10"/>
  <c r="R430" i="10"/>
  <c r="U590" i="10"/>
  <c r="U606" i="10"/>
  <c r="Q238" i="10"/>
  <c r="R238" i="10" s="1"/>
  <c r="L52" i="7"/>
  <c r="L58" i="7"/>
  <c r="L67" i="7"/>
  <c r="L14" i="9"/>
  <c r="L32" i="9"/>
  <c r="H50" i="7"/>
  <c r="H12" i="9"/>
  <c r="U175" i="10"/>
  <c r="H90" i="9"/>
  <c r="H54" i="7"/>
  <c r="H110" i="9"/>
  <c r="H69" i="7"/>
  <c r="H22" i="9"/>
  <c r="H34" i="9"/>
  <c r="R77" i="10"/>
  <c r="L56" i="7"/>
  <c r="L112" i="9"/>
  <c r="L12" i="9"/>
  <c r="H59" i="7"/>
  <c r="H68" i="7"/>
  <c r="H21" i="9"/>
  <c r="H33" i="9"/>
  <c r="L53" i="7"/>
  <c r="L59" i="7"/>
  <c r="L68" i="7"/>
  <c r="L21" i="9"/>
  <c r="L33" i="9"/>
  <c r="R202" i="10"/>
  <c r="R229" i="10"/>
  <c r="R252" i="10"/>
  <c r="U398" i="10"/>
  <c r="L90" i="9"/>
  <c r="M90" i="9" s="1"/>
  <c r="P90" i="9" s="1"/>
  <c r="Q479" i="10"/>
  <c r="R479" i="10" s="1"/>
  <c r="L54" i="7"/>
  <c r="L110" i="9"/>
  <c r="L69" i="7"/>
  <c r="L22" i="9"/>
  <c r="L50" i="7"/>
  <c r="L24" i="9"/>
  <c r="Q402" i="10"/>
  <c r="S402" i="10" s="1"/>
  <c r="T176" i="10"/>
  <c r="M176" i="10" s="1"/>
  <c r="H53" i="7"/>
  <c r="L130" i="9"/>
  <c r="M130" i="9" s="1"/>
  <c r="P130" i="9" s="1"/>
  <c r="R144" i="10"/>
  <c r="R282" i="10"/>
  <c r="R339" i="10"/>
  <c r="R490" i="10"/>
  <c r="R517" i="10"/>
  <c r="Q214" i="10"/>
  <c r="R214" i="10" s="1"/>
  <c r="Q319" i="10"/>
  <c r="R319" i="10" s="1"/>
  <c r="Q475" i="10"/>
  <c r="R475" i="10" s="1"/>
  <c r="H49" i="7"/>
  <c r="H55" i="7"/>
  <c r="H111" i="9"/>
  <c r="H11" i="9"/>
  <c r="H23" i="9"/>
  <c r="WA2" i="2"/>
  <c r="VY2" i="2"/>
  <c r="GY4" i="2"/>
  <c r="GU2" i="2" s="1"/>
  <c r="LO5" i="2"/>
  <c r="LM2" i="2" s="1"/>
  <c r="NM52" i="2"/>
  <c r="LY6" i="2"/>
  <c r="SE7" i="2"/>
  <c r="NC10" i="2"/>
  <c r="NC2" i="2" s="1"/>
  <c r="AAW11" i="2"/>
  <c r="AG4" i="2"/>
  <c r="VG5" i="2"/>
  <c r="VC2" i="2" s="1"/>
  <c r="YN2" i="2"/>
  <c r="G66" i="9" s="1"/>
  <c r="O66" i="9" s="1"/>
  <c r="G186" i="9" s="1"/>
  <c r="AG10" i="2"/>
  <c r="PU15" i="2"/>
  <c r="TS20" i="2"/>
  <c r="AAW20" i="2"/>
  <c r="NM72" i="2"/>
  <c r="OG80" i="2"/>
  <c r="HI4" i="2"/>
  <c r="HE2" i="2" s="1"/>
  <c r="UM7" i="2"/>
  <c r="AFT45" i="2"/>
  <c r="AS19" i="2"/>
  <c r="JQ61" i="2"/>
  <c r="TI4" i="2"/>
  <c r="TG2" i="2" s="1"/>
  <c r="JQ51" i="2"/>
  <c r="O76" i="9"/>
  <c r="G188" i="9" s="1"/>
  <c r="OG10" i="2"/>
  <c r="AFS11" i="2"/>
  <c r="GF12" i="2"/>
  <c r="GG2" i="2" s="1"/>
  <c r="NW14" i="2"/>
  <c r="RU16" i="2"/>
  <c r="AS20" i="2"/>
  <c r="NC52" i="2"/>
  <c r="MS10" i="2"/>
  <c r="AAC4" i="2"/>
  <c r="AAC2" i="2" s="1"/>
  <c r="AAC7" i="2"/>
  <c r="AFU29" i="2"/>
  <c r="RU6" i="2"/>
  <c r="AFS13" i="2"/>
  <c r="AFS15" i="2"/>
  <c r="LY16" i="2"/>
  <c r="AG16" i="2"/>
  <c r="NC80" i="2"/>
  <c r="IW4" i="2"/>
  <c r="IW2" i="2" s="1"/>
  <c r="ZS4" i="2"/>
  <c r="RA34" i="2"/>
  <c r="G69" i="7" s="1"/>
  <c r="G66" i="7" s="1"/>
  <c r="O66" i="7" s="1"/>
  <c r="GF2" i="2"/>
  <c r="AFS19" i="2"/>
  <c r="NM4" i="2"/>
  <c r="NM2" i="2" s="1"/>
  <c r="DT2" i="2"/>
  <c r="G332" i="6" s="1"/>
  <c r="G333" i="6" s="1"/>
  <c r="O333" i="6" s="1"/>
  <c r="NM6" i="2"/>
  <c r="NK2" i="2" s="1"/>
  <c r="LY14" i="2"/>
  <c r="OG14" i="2"/>
  <c r="HS16" i="2"/>
  <c r="AFS23" i="2"/>
  <c r="XC2" i="2"/>
  <c r="ZI4" i="2"/>
  <c r="YI19" i="2"/>
  <c r="NW80" i="2"/>
  <c r="IM4" i="2"/>
  <c r="II2" i="2" s="1"/>
  <c r="G334" i="6" s="1"/>
  <c r="G331" i="6" s="1"/>
  <c r="O331" i="6" s="1"/>
  <c r="XY4" i="2"/>
  <c r="XY2" i="2" s="1"/>
  <c r="AS2" i="2"/>
  <c r="HI10" i="2"/>
  <c r="BE21" i="2"/>
  <c r="PK64" i="2"/>
  <c r="NW60" i="2"/>
  <c r="EA2" i="2"/>
  <c r="G104" i="9" s="1"/>
  <c r="O104" i="9" s="1"/>
  <c r="Q72" i="10" s="1"/>
  <c r="R72" i="10" s="1"/>
  <c r="AAC10" i="2"/>
  <c r="BE2" i="2"/>
  <c r="GN4" i="2"/>
  <c r="GO2" i="2" s="1"/>
  <c r="QO5" i="2"/>
  <c r="AFS7" i="2"/>
  <c r="BE16" i="2"/>
  <c r="NM60" i="2"/>
  <c r="PK60" i="2"/>
  <c r="NC60" i="2"/>
  <c r="OQ80" i="2"/>
  <c r="QE38" i="2"/>
  <c r="U2" i="2"/>
  <c r="FP2" i="2"/>
  <c r="F73" i="6" s="1"/>
  <c r="G71" i="6" s="1"/>
  <c r="O71" i="6" s="1"/>
  <c r="NW9" i="2"/>
  <c r="NU2" i="2" s="1"/>
  <c r="HS12" i="2"/>
  <c r="OQ16" i="2"/>
  <c r="AG18" i="2"/>
  <c r="NW17" i="2"/>
  <c r="IW30" i="2"/>
  <c r="IW32" i="2"/>
  <c r="IW36" i="2"/>
  <c r="SY36" i="2"/>
  <c r="QE47" i="2"/>
  <c r="KA69" i="2"/>
  <c r="IC4" i="2"/>
  <c r="HY2" i="2" s="1"/>
  <c r="G339" i="6" s="1"/>
  <c r="O339" i="6" s="1"/>
  <c r="Q601" i="10" s="1"/>
  <c r="U601" i="10" s="1"/>
  <c r="RK4" i="2"/>
  <c r="RK2" i="2" s="1"/>
  <c r="CX2" i="2"/>
  <c r="CY2" i="2" s="1"/>
  <c r="G169" i="6" s="1"/>
  <c r="O169" i="6" s="1"/>
  <c r="AAM4" i="2"/>
  <c r="AAM2" i="2" s="1"/>
  <c r="AG2" i="2"/>
  <c r="FX2" i="2"/>
  <c r="F45" i="6" s="1"/>
  <c r="G43" i="6" s="1"/>
  <c r="O43" i="6" s="1"/>
  <c r="IW8" i="2"/>
  <c r="LY10" i="2"/>
  <c r="LE12" i="2"/>
  <c r="LC2" i="2" s="1"/>
  <c r="BE17" i="2"/>
  <c r="BE20" i="2"/>
  <c r="LE20" i="2"/>
  <c r="ZS19" i="2"/>
  <c r="NW23" i="2"/>
  <c r="QE32" i="2"/>
  <c r="JG7" i="2"/>
  <c r="NC72" i="2"/>
  <c r="KU72" i="2"/>
  <c r="NC76" i="2"/>
  <c r="SO12" i="2"/>
  <c r="NW68" i="2"/>
  <c r="AAW4" i="2"/>
  <c r="AAW2" i="2" s="1"/>
  <c r="BR2" i="2"/>
  <c r="BS2" i="2" s="1"/>
  <c r="IW26" i="2"/>
  <c r="IW29" i="2"/>
  <c r="AFT43" i="2"/>
  <c r="G160" i="6"/>
  <c r="G161" i="6" s="1"/>
  <c r="QE44" i="2"/>
  <c r="MI47" i="2"/>
  <c r="ADG65" i="2"/>
  <c r="SY39" i="2"/>
  <c r="AFU2" i="2"/>
  <c r="U4" i="2"/>
  <c r="OG68" i="2"/>
  <c r="NW4" i="2"/>
  <c r="NW2" i="2" s="1"/>
  <c r="IW16" i="2"/>
  <c r="NW20" i="2"/>
  <c r="SY20" i="2"/>
  <c r="G136" i="6"/>
  <c r="O136" i="6" s="1"/>
  <c r="RK8" i="2"/>
  <c r="IW33" i="2"/>
  <c r="ADP33" i="2"/>
  <c r="AFO76" i="2"/>
  <c r="FY2" i="2"/>
  <c r="LY4" i="2"/>
  <c r="LY2" i="2" s="1"/>
  <c r="WK4" i="2"/>
  <c r="WK2" i="2" s="1"/>
  <c r="AFS5" i="2"/>
  <c r="PU13" i="2"/>
  <c r="IW37" i="2"/>
  <c r="QE60" i="2"/>
  <c r="OQ60" i="2"/>
  <c r="OQ76" i="2"/>
  <c r="G68" i="7"/>
  <c r="O68" i="7" s="1"/>
  <c r="YI9" i="2"/>
  <c r="YI2" i="2" s="1"/>
  <c r="IW5" i="2"/>
  <c r="AG7" i="2"/>
  <c r="KK8" i="2"/>
  <c r="WK8" i="2"/>
  <c r="WE2" i="2" s="1"/>
  <c r="ZI8" i="2"/>
  <c r="IW17" i="2"/>
  <c r="LE16" i="2"/>
  <c r="CP2" i="2"/>
  <c r="CQ2" i="2" s="1"/>
  <c r="G164" i="6" s="1"/>
  <c r="G165" i="6" s="1"/>
  <c r="KA59" i="2"/>
  <c r="NW72" i="2"/>
  <c r="OG76" i="2"/>
  <c r="XM2" i="2"/>
  <c r="XO2" i="2"/>
  <c r="G24" i="9"/>
  <c r="G21" i="9" s="1"/>
  <c r="G22" i="9" s="1"/>
  <c r="O22" i="9" s="1"/>
  <c r="IW19" i="2"/>
  <c r="IW21" i="2"/>
  <c r="IW35" i="2"/>
  <c r="AFT41" i="2"/>
  <c r="NM76" i="2"/>
  <c r="VE2" i="2"/>
  <c r="UC4" i="2"/>
  <c r="UA2" i="2" s="1"/>
  <c r="FF2" i="2"/>
  <c r="G131" i="6" s="1"/>
  <c r="O131" i="6" s="1"/>
  <c r="H2" i="2"/>
  <c r="IW10" i="2"/>
  <c r="IW12" i="2"/>
  <c r="AG19" i="2"/>
  <c r="G105" i="6"/>
  <c r="G99" i="6" s="1"/>
  <c r="O99" i="6" s="1"/>
  <c r="IW27" i="2"/>
  <c r="IW28" i="2"/>
  <c r="OQ52" i="2"/>
  <c r="OG72" i="2"/>
  <c r="KU84" i="2"/>
  <c r="IW25" i="2"/>
  <c r="IW31" i="2"/>
  <c r="BJ2" i="2"/>
  <c r="BK2" i="2" s="1"/>
  <c r="E2" i="2"/>
  <c r="G79" i="6" s="1"/>
  <c r="O79" i="6" s="1"/>
  <c r="AFZ2" i="2"/>
  <c r="KA73" i="2"/>
  <c r="SE4" i="2"/>
  <c r="SE2" i="2" s="1"/>
  <c r="SO4" i="2"/>
  <c r="SO2" i="2" s="1"/>
  <c r="G38" i="9" s="1"/>
  <c r="G36" i="9" s="1"/>
  <c r="G37" i="9" s="1"/>
  <c r="O37" i="9" s="1"/>
  <c r="AFS9" i="2"/>
  <c r="YI14" i="2"/>
  <c r="HI22" i="2"/>
  <c r="KU42" i="2"/>
  <c r="PK42" i="2"/>
  <c r="JQ47" i="2"/>
  <c r="PK50" i="2"/>
  <c r="KA54" i="2"/>
  <c r="OG60" i="2"/>
  <c r="NW76" i="2"/>
  <c r="DM2" i="2"/>
  <c r="G327" i="6" s="1"/>
  <c r="G328" i="6" s="1"/>
  <c r="O328" i="6" s="1"/>
  <c r="IW18" i="2"/>
  <c r="HS8" i="2"/>
  <c r="AS17" i="2"/>
  <c r="AS16" i="2"/>
  <c r="AS18" i="2"/>
  <c r="IW20" i="2"/>
  <c r="JQ38" i="2"/>
  <c r="G125" i="6"/>
  <c r="EP2" i="2"/>
  <c r="UW8" i="2"/>
  <c r="US2" i="2" s="1"/>
  <c r="HS4" i="2"/>
  <c r="HO2" i="2" s="1"/>
  <c r="IW9" i="2"/>
  <c r="TS11" i="2"/>
  <c r="IW34" i="2"/>
  <c r="AFT37" i="2"/>
  <c r="NW52" i="2"/>
  <c r="OQ68" i="2"/>
  <c r="OQ4" i="2"/>
  <c r="OQ2" i="2" s="1"/>
  <c r="UW6" i="2"/>
  <c r="IW7" i="2"/>
  <c r="LY12" i="2"/>
  <c r="IW14" i="2"/>
  <c r="MI25" i="2"/>
  <c r="KA38" i="2"/>
  <c r="KA46" i="2"/>
  <c r="JY2" i="2" s="1"/>
  <c r="NC4" i="2"/>
  <c r="NA2" i="2" s="1"/>
  <c r="RA4" i="2"/>
  <c r="RA2" i="2" s="1"/>
  <c r="G64" i="7" s="1"/>
  <c r="SY4" i="2"/>
  <c r="DF2" i="2"/>
  <c r="G341" i="6" s="1"/>
  <c r="O341" i="6" s="1"/>
  <c r="G87" i="9"/>
  <c r="O87" i="9" s="1"/>
  <c r="G227" i="9" s="1"/>
  <c r="ADG2" i="2"/>
  <c r="G82" i="9" s="1"/>
  <c r="G84" i="9" s="1"/>
  <c r="O84" i="9" s="1"/>
  <c r="IW15" i="2"/>
  <c r="IW22" i="2"/>
  <c r="IW23" i="2"/>
  <c r="AFS27" i="2"/>
  <c r="MI35" i="2"/>
  <c r="AFT39" i="2"/>
  <c r="G114" i="6"/>
  <c r="G116" i="6" s="1"/>
  <c r="NC68" i="2"/>
  <c r="KA77" i="2"/>
  <c r="NM80" i="2"/>
  <c r="NC16" i="2"/>
  <c r="BZ2" i="2"/>
  <c r="CA2" i="2" s="1"/>
  <c r="G63" i="7"/>
  <c r="YI4" i="2"/>
  <c r="YG2" i="2" s="1"/>
  <c r="AFF2" i="2"/>
  <c r="G247" i="6" s="1"/>
  <c r="O247" i="6" s="1"/>
  <c r="Q386" i="10" s="1"/>
  <c r="S386" i="10" s="1"/>
  <c r="OQ10" i="2"/>
  <c r="OO2" i="2" s="1"/>
  <c r="IW11" i="2"/>
  <c r="HI16" i="2"/>
  <c r="AG17" i="2"/>
  <c r="IW24" i="2"/>
  <c r="AGB2" i="2"/>
  <c r="ADG40" i="2"/>
  <c r="G83" i="9" s="1"/>
  <c r="O83" i="9" s="1"/>
  <c r="AFT33" i="2"/>
  <c r="AFS25" i="2"/>
  <c r="CH2" i="2"/>
  <c r="CI2" i="2" s="1"/>
  <c r="JG4" i="2"/>
  <c r="JG2" i="2" s="1"/>
  <c r="TI2" i="2"/>
  <c r="ABG4" i="2"/>
  <c r="ABG2" i="2" s="1"/>
  <c r="LE8" i="2"/>
  <c r="XY8" i="2"/>
  <c r="BE18" i="2"/>
  <c r="BE19" i="2"/>
  <c r="AG20" i="2"/>
  <c r="KU58" i="2"/>
  <c r="PK58" i="2"/>
  <c r="ZH12" i="2"/>
  <c r="ZG12" i="2" s="1"/>
  <c r="ZI12" i="2" s="1"/>
  <c r="TS4" i="2"/>
  <c r="FP5" i="2"/>
  <c r="FQ2" i="2" s="1"/>
  <c r="UM10" i="2"/>
  <c r="UI2" i="2" s="1"/>
  <c r="MI11" i="2"/>
  <c r="MG2" i="2" s="1"/>
  <c r="MS12" i="2"/>
  <c r="RU4" i="2"/>
  <c r="WK10" i="2"/>
  <c r="UM4" i="2"/>
  <c r="UM2" i="2" s="1"/>
  <c r="IW13" i="2"/>
  <c r="JQ30" i="2"/>
  <c r="AFS31" i="2"/>
  <c r="MS80" i="2"/>
  <c r="WK6" i="2"/>
  <c r="UM13" i="2"/>
  <c r="GY18" i="2"/>
  <c r="KU50" i="2"/>
  <c r="MS76" i="2"/>
  <c r="WO2" i="2"/>
  <c r="WU2" i="2"/>
  <c r="WS2" i="2"/>
  <c r="M209" i="9"/>
  <c r="G194" i="9"/>
  <c r="D177" i="1"/>
  <c r="G177" i="1" s="1"/>
  <c r="G34" i="7"/>
  <c r="D115" i="1"/>
  <c r="G115" i="1" s="1"/>
  <c r="D128" i="1"/>
  <c r="D121" i="1"/>
  <c r="G121" i="1" s="1"/>
  <c r="J198" i="9"/>
  <c r="G132" i="1" s="1"/>
  <c r="J191" i="9"/>
  <c r="G125" i="1" s="1"/>
  <c r="G199" i="9"/>
  <c r="J192" i="9"/>
  <c r="G126" i="1" s="1"/>
  <c r="D133" i="1"/>
  <c r="D173" i="1"/>
  <c r="G173" i="1" s="1"/>
  <c r="G200" i="9"/>
  <c r="E134" i="1" s="1"/>
  <c r="Q105" i="10"/>
  <c r="R105" i="10" s="1"/>
  <c r="G213" i="9"/>
  <c r="M213" i="9" s="1"/>
  <c r="J199" i="9"/>
  <c r="H213" i="9"/>
  <c r="G230" i="9"/>
  <c r="E178" i="1" s="1"/>
  <c r="H212" i="9"/>
  <c r="L237" i="9"/>
  <c r="Q136" i="10"/>
  <c r="R136" i="10" s="1"/>
  <c r="J230" i="9"/>
  <c r="G178" i="1" s="1"/>
  <c r="J212" i="9"/>
  <c r="G235" i="9"/>
  <c r="M235" i="9" s="1"/>
  <c r="M239" i="9" s="1"/>
  <c r="Q530" i="10"/>
  <c r="R530" i="10" s="1"/>
  <c r="J193" i="9"/>
  <c r="G127" i="1" s="1"/>
  <c r="L220" i="9"/>
  <c r="H235" i="9"/>
  <c r="R325" i="10"/>
  <c r="R417" i="10"/>
  <c r="H7" i="6"/>
  <c r="H434" i="6" s="1"/>
  <c r="F142" i="1" s="1"/>
  <c r="L27" i="6"/>
  <c r="M27" i="6" s="1"/>
  <c r="Q27" i="6" s="1"/>
  <c r="L34" i="6"/>
  <c r="M34" i="6" s="1"/>
  <c r="P34" i="6" s="1"/>
  <c r="L45" i="6"/>
  <c r="L376" i="6" s="1"/>
  <c r="L82" i="6"/>
  <c r="H103" i="6"/>
  <c r="L170" i="6"/>
  <c r="H212" i="6"/>
  <c r="L250" i="6"/>
  <c r="M250" i="6" s="1"/>
  <c r="P250" i="6" s="1"/>
  <c r="L311" i="6"/>
  <c r="M311" i="6" s="1"/>
  <c r="P311" i="6" s="1"/>
  <c r="L320" i="6"/>
  <c r="L18" i="7"/>
  <c r="L101" i="7" s="1"/>
  <c r="L45" i="7"/>
  <c r="H9" i="9"/>
  <c r="H221" i="9" s="1"/>
  <c r="H138" i="6"/>
  <c r="G40" i="10"/>
  <c r="H171" i="6"/>
  <c r="R205" i="10"/>
  <c r="H228" i="6"/>
  <c r="L272" i="6"/>
  <c r="M272" i="6" s="1"/>
  <c r="P272" i="6" s="1"/>
  <c r="H302" i="6"/>
  <c r="L7" i="7"/>
  <c r="L68" i="9"/>
  <c r="R303" i="10"/>
  <c r="H9" i="6"/>
  <c r="L38" i="6"/>
  <c r="M38" i="6" s="1"/>
  <c r="Q38" i="6" s="1"/>
  <c r="L61" i="6"/>
  <c r="M61" i="6" s="1"/>
  <c r="P61" i="6" s="1"/>
  <c r="H91" i="6"/>
  <c r="H108" i="6"/>
  <c r="H377" i="6" s="1"/>
  <c r="F56" i="1" s="1"/>
  <c r="H133" i="6"/>
  <c r="L162" i="6"/>
  <c r="L199" i="6"/>
  <c r="M199" i="6" s="1"/>
  <c r="P199" i="6" s="1"/>
  <c r="L237" i="6"/>
  <c r="M237" i="6" s="1"/>
  <c r="P237" i="6" s="1"/>
  <c r="H261" i="6"/>
  <c r="L266" i="6"/>
  <c r="M266" i="6" s="1"/>
  <c r="P266" i="6" s="1"/>
  <c r="L285" i="6"/>
  <c r="H331" i="6"/>
  <c r="H414" i="6" s="1"/>
  <c r="L8" i="7"/>
  <c r="L31" i="7"/>
  <c r="M31" i="7" s="1"/>
  <c r="P31" i="7" s="1"/>
  <c r="H61" i="7"/>
  <c r="L42" i="9"/>
  <c r="H76" i="9"/>
  <c r="H188" i="9" s="1"/>
  <c r="L93" i="9"/>
  <c r="M93" i="9" s="1"/>
  <c r="P93" i="9" s="1"/>
  <c r="G205" i="9"/>
  <c r="M205" i="9" s="1"/>
  <c r="L91" i="6"/>
  <c r="L222" i="6"/>
  <c r="M222" i="6" s="1"/>
  <c r="P222" i="6" s="1"/>
  <c r="L10" i="7"/>
  <c r="R71" i="10"/>
  <c r="R485" i="10"/>
  <c r="L24" i="6"/>
  <c r="M24" i="6" s="1"/>
  <c r="P24" i="6" s="1"/>
  <c r="H32" i="6"/>
  <c r="H52" i="6"/>
  <c r="L73" i="6"/>
  <c r="H94" i="6"/>
  <c r="H126" i="6"/>
  <c r="L178" i="6"/>
  <c r="L216" i="6"/>
  <c r="M216" i="6" s="1"/>
  <c r="P216" i="6" s="1"/>
  <c r="Q240" i="10"/>
  <c r="R240" i="10" s="1"/>
  <c r="H262" i="6"/>
  <c r="H298" i="6"/>
  <c r="L334" i="6"/>
  <c r="L25" i="7"/>
  <c r="M25" i="7" s="1"/>
  <c r="P25" i="7" s="1"/>
  <c r="L85" i="9"/>
  <c r="T180" i="10"/>
  <c r="M180" i="10" s="1"/>
  <c r="T181" i="10"/>
  <c r="M181" i="10" s="1"/>
  <c r="H45" i="6"/>
  <c r="H376" i="6" s="1"/>
  <c r="L169" i="6"/>
  <c r="R220" i="10"/>
  <c r="L7" i="6"/>
  <c r="L434" i="6" s="1"/>
  <c r="L19" i="6"/>
  <c r="M19" i="6" s="1"/>
  <c r="P19" i="6" s="1"/>
  <c r="L36" i="6"/>
  <c r="H46" i="6"/>
  <c r="H57" i="6"/>
  <c r="H68" i="6"/>
  <c r="H83" i="6"/>
  <c r="L103" i="6"/>
  <c r="H118" i="6"/>
  <c r="H205" i="6"/>
  <c r="L212" i="6"/>
  <c r="M212" i="6" s="1"/>
  <c r="P212" i="6" s="1"/>
  <c r="H219" i="6"/>
  <c r="H272" i="6"/>
  <c r="L321" i="6"/>
  <c r="L6" i="7"/>
  <c r="H46" i="7"/>
  <c r="H68" i="9"/>
  <c r="H225" i="9" s="1"/>
  <c r="F175" i="1" s="1"/>
  <c r="H106" i="9"/>
  <c r="H126" i="9"/>
  <c r="H193" i="9" s="1"/>
  <c r="F127" i="1" s="1"/>
  <c r="L38" i="9"/>
  <c r="L139" i="6"/>
  <c r="H154" i="6"/>
  <c r="H129" i="9"/>
  <c r="H195" i="9" s="1"/>
  <c r="L125" i="9"/>
  <c r="H121" i="9"/>
  <c r="H104" i="9"/>
  <c r="H87" i="9"/>
  <c r="H227" i="9" s="1"/>
  <c r="H82" i="9"/>
  <c r="H189" i="9" s="1"/>
  <c r="L66" i="9"/>
  <c r="L186" i="9" s="1"/>
  <c r="L55" i="9"/>
  <c r="H42" i="9"/>
  <c r="H19" i="9"/>
  <c r="H222" i="9" s="1"/>
  <c r="H7" i="9"/>
  <c r="H177" i="9" s="1"/>
  <c r="F112" i="1" s="1"/>
  <c r="L62" i="7"/>
  <c r="L43" i="7"/>
  <c r="L37" i="7"/>
  <c r="L113" i="7" s="1"/>
  <c r="H31" i="7"/>
  <c r="H111" i="7" s="1"/>
  <c r="H27" i="7"/>
  <c r="H107" i="7" s="1"/>
  <c r="H23" i="7"/>
  <c r="H103" i="7" s="1"/>
  <c r="H17" i="7"/>
  <c r="H100" i="7" s="1"/>
  <c r="H10" i="7"/>
  <c r="H343" i="6"/>
  <c r="H337" i="6"/>
  <c r="L330" i="6"/>
  <c r="H324" i="6"/>
  <c r="H318" i="6"/>
  <c r="H313" i="6"/>
  <c r="L309" i="6"/>
  <c r="M309" i="6" s="1"/>
  <c r="P309" i="6" s="1"/>
  <c r="L300" i="6"/>
  <c r="M300" i="6" s="1"/>
  <c r="P300" i="6" s="1"/>
  <c r="H291" i="6"/>
  <c r="L287" i="6"/>
  <c r="L282" i="6"/>
  <c r="H277" i="6"/>
  <c r="L273" i="6"/>
  <c r="H265" i="6"/>
  <c r="L253" i="6"/>
  <c r="M253" i="6" s="1"/>
  <c r="P253" i="6" s="1"/>
  <c r="H250" i="6"/>
  <c r="H244" i="6"/>
  <c r="H237" i="6"/>
  <c r="L229" i="6"/>
  <c r="M229" i="6" s="1"/>
  <c r="P229" i="6" s="1"/>
  <c r="H222" i="6"/>
  <c r="H211" i="6"/>
  <c r="L204" i="6"/>
  <c r="M204" i="6" s="1"/>
  <c r="P204" i="6" s="1"/>
  <c r="H185" i="6"/>
  <c r="H180" i="6"/>
  <c r="H173" i="6"/>
  <c r="H449" i="6" s="1"/>
  <c r="F157" i="1" s="1"/>
  <c r="H167" i="6"/>
  <c r="L161" i="6"/>
  <c r="H142" i="6"/>
  <c r="H130" i="6"/>
  <c r="H112" i="6"/>
  <c r="H105" i="6"/>
  <c r="L99" i="6"/>
  <c r="L93" i="6"/>
  <c r="M93" i="6" s="1"/>
  <c r="P93" i="6" s="1"/>
  <c r="H87" i="6"/>
  <c r="H81" i="6"/>
  <c r="H75" i="6"/>
  <c r="L69" i="6"/>
  <c r="M69" i="6" s="1"/>
  <c r="Q69" i="6" s="1"/>
  <c r="L64" i="6"/>
  <c r="M64" i="6" s="1"/>
  <c r="P64" i="6" s="1"/>
  <c r="H55" i="6"/>
  <c r="H44" i="6"/>
  <c r="H34" i="6"/>
  <c r="H17" i="6"/>
  <c r="H6" i="6"/>
  <c r="H433" i="6" s="1"/>
  <c r="F141" i="1" s="1"/>
  <c r="H38" i="9"/>
  <c r="H139" i="6"/>
  <c r="L153" i="6"/>
  <c r="L128" i="9"/>
  <c r="L194" i="9" s="1"/>
  <c r="H125" i="9"/>
  <c r="H192" i="9" s="1"/>
  <c r="F126" i="1" s="1"/>
  <c r="L120" i="9"/>
  <c r="L107" i="9"/>
  <c r="M107" i="9" s="1"/>
  <c r="Q107" i="9" s="1"/>
  <c r="H66" i="9"/>
  <c r="H186" i="9" s="1"/>
  <c r="H55" i="9"/>
  <c r="L41" i="9"/>
  <c r="L18" i="9"/>
  <c r="L182" i="9" s="1"/>
  <c r="L6" i="9"/>
  <c r="H62" i="7"/>
  <c r="H43" i="7"/>
  <c r="H37" i="7"/>
  <c r="H113" i="7" s="1"/>
  <c r="L20" i="7"/>
  <c r="L129" i="7" s="1"/>
  <c r="I167" i="1" s="1"/>
  <c r="L9" i="7"/>
  <c r="L342" i="6"/>
  <c r="L336" i="6"/>
  <c r="L413" i="6" s="1"/>
  <c r="H330" i="6"/>
  <c r="L323" i="6"/>
  <c r="L315" i="6"/>
  <c r="M315" i="6" s="1"/>
  <c r="Q315" i="6" s="1"/>
  <c r="Q307" i="6" s="1"/>
  <c r="H309" i="6"/>
  <c r="L304" i="6"/>
  <c r="M304" i="6" s="1"/>
  <c r="P304" i="6" s="1"/>
  <c r="H300" i="6"/>
  <c r="H287" i="6"/>
  <c r="H282" i="6"/>
  <c r="H273" i="6"/>
  <c r="L268" i="6"/>
  <c r="M268" i="6" s="1"/>
  <c r="Q268" i="6" s="1"/>
  <c r="L260" i="6"/>
  <c r="M260" i="6" s="1"/>
  <c r="P260" i="6" s="1"/>
  <c r="L256" i="6"/>
  <c r="M256" i="6" s="1"/>
  <c r="P256" i="6" s="1"/>
  <c r="H253" i="6"/>
  <c r="L247" i="6"/>
  <c r="L243" i="6"/>
  <c r="L232" i="6"/>
  <c r="M232" i="6" s="1"/>
  <c r="Q232" i="6" s="1"/>
  <c r="H229" i="6"/>
  <c r="L225" i="6"/>
  <c r="M225" i="6" s="1"/>
  <c r="P225" i="6" s="1"/>
  <c r="L218" i="6"/>
  <c r="M218" i="6" s="1"/>
  <c r="P218" i="6" s="1"/>
  <c r="L207" i="6"/>
  <c r="M207" i="6" s="1"/>
  <c r="P207" i="6" s="1"/>
  <c r="H204" i="6"/>
  <c r="L200" i="6"/>
  <c r="M200" i="6" s="1"/>
  <c r="P200" i="6" s="1"/>
  <c r="L184" i="6"/>
  <c r="L179" i="6"/>
  <c r="H161" i="6"/>
  <c r="L147" i="6"/>
  <c r="L123" i="6"/>
  <c r="L117" i="6"/>
  <c r="L111" i="6"/>
  <c r="L379" i="6" s="1"/>
  <c r="I58" i="1" s="1"/>
  <c r="H99" i="6"/>
  <c r="H93" i="6"/>
  <c r="L86" i="6"/>
  <c r="L80" i="6"/>
  <c r="L74" i="6"/>
  <c r="H69" i="6"/>
  <c r="H64" i="6"/>
  <c r="L59" i="6"/>
  <c r="M59" i="6" s="1"/>
  <c r="Q59" i="6" s="1"/>
  <c r="L54" i="6"/>
  <c r="M54" i="6" s="1"/>
  <c r="P54" i="6" s="1"/>
  <c r="L49" i="6"/>
  <c r="M49" i="6" s="1"/>
  <c r="Q49" i="6" s="1"/>
  <c r="L26" i="6"/>
  <c r="M26" i="6" s="1"/>
  <c r="Q26" i="6" s="1"/>
  <c r="L16" i="6"/>
  <c r="M16" i="6" s="1"/>
  <c r="Q16" i="6" s="1"/>
  <c r="L138" i="6"/>
  <c r="H153" i="6"/>
  <c r="L149" i="9"/>
  <c r="M149" i="9" s="1"/>
  <c r="P149" i="9" s="1"/>
  <c r="P148" i="9" s="1"/>
  <c r="P147" i="9" s="1"/>
  <c r="L132" i="9"/>
  <c r="M132" i="9" s="1"/>
  <c r="P132" i="9" s="1"/>
  <c r="H128" i="9"/>
  <c r="H194" i="9" s="1"/>
  <c r="H120" i="9"/>
  <c r="H107" i="9"/>
  <c r="L92" i="9"/>
  <c r="M92" i="9" s="1"/>
  <c r="P92" i="9" s="1"/>
  <c r="L86" i="9"/>
  <c r="L77" i="9"/>
  <c r="L226" i="9" s="1"/>
  <c r="L46" i="9"/>
  <c r="H41" i="9"/>
  <c r="H18" i="9"/>
  <c r="H182" i="9" s="1"/>
  <c r="H6" i="9"/>
  <c r="H176" i="9" s="1"/>
  <c r="L61" i="7"/>
  <c r="L42" i="7"/>
  <c r="L34" i="7"/>
  <c r="L131" i="7" s="1"/>
  <c r="L30" i="7"/>
  <c r="M30" i="7" s="1"/>
  <c r="P30" i="7" s="1"/>
  <c r="L26" i="7"/>
  <c r="M26" i="7" s="1"/>
  <c r="P26" i="7" s="1"/>
  <c r="H20" i="7"/>
  <c r="H129" i="7" s="1"/>
  <c r="F167" i="1" s="1"/>
  <c r="L16" i="7"/>
  <c r="M16" i="7" s="1"/>
  <c r="P16" i="7" s="1"/>
  <c r="H9" i="7"/>
  <c r="H342" i="6"/>
  <c r="H336" i="6"/>
  <c r="H413" i="6" s="1"/>
  <c r="L329" i="6"/>
  <c r="H323" i="6"/>
  <c r="H315" i="6"/>
  <c r="L312" i="6"/>
  <c r="M312" i="6" s="1"/>
  <c r="P312" i="6" s="1"/>
  <c r="H304" i="6"/>
  <c r="L296" i="6"/>
  <c r="M296" i="6" s="1"/>
  <c r="P296" i="6" s="1"/>
  <c r="L286" i="6"/>
  <c r="M286" i="6" s="1"/>
  <c r="P286" i="6" s="1"/>
  <c r="L276" i="6"/>
  <c r="M276" i="6" s="1"/>
  <c r="P276" i="6" s="1"/>
  <c r="H268" i="6"/>
  <c r="H260" i="6"/>
  <c r="H256" i="6"/>
  <c r="H247" i="6"/>
  <c r="H243" i="6"/>
  <c r="L236" i="6"/>
  <c r="H232" i="6"/>
  <c r="H225" i="6"/>
  <c r="H218" i="6"/>
  <c r="L214" i="6"/>
  <c r="M214" i="6" s="1"/>
  <c r="P214" i="6" s="1"/>
  <c r="L210" i="6"/>
  <c r="M210" i="6" s="1"/>
  <c r="P210" i="6" s="1"/>
  <c r="H207" i="6"/>
  <c r="H200" i="6"/>
  <c r="H184" i="6"/>
  <c r="H179" i="6"/>
  <c r="L166" i="6"/>
  <c r="L160" i="6"/>
  <c r="H147" i="6"/>
  <c r="L134" i="6"/>
  <c r="H123" i="6"/>
  <c r="H117" i="6"/>
  <c r="H111" i="6"/>
  <c r="H379" i="6" s="1"/>
  <c r="F58" i="1" s="1"/>
  <c r="L104" i="6"/>
  <c r="L98" i="6"/>
  <c r="H86" i="6"/>
  <c r="H80" i="6"/>
  <c r="H74" i="6"/>
  <c r="L68" i="6"/>
  <c r="M68" i="6" s="1"/>
  <c r="Q68" i="6" s="1"/>
  <c r="H59" i="6"/>
  <c r="H54" i="6"/>
  <c r="H49" i="6"/>
  <c r="H448" i="6" s="1"/>
  <c r="F156" i="1" s="1"/>
  <c r="L43" i="6"/>
  <c r="L29" i="6"/>
  <c r="M29" i="6" s="1"/>
  <c r="Q29" i="6" s="1"/>
  <c r="H26" i="6"/>
  <c r="H441" i="6" s="1"/>
  <c r="L21" i="6"/>
  <c r="M21" i="6" s="1"/>
  <c r="P21" i="6" s="1"/>
  <c r="H16" i="6"/>
  <c r="L9" i="6"/>
  <c r="M9" i="6" s="1"/>
  <c r="Q9" i="6" s="1"/>
  <c r="L37" i="9"/>
  <c r="H151" i="6"/>
  <c r="L134" i="9"/>
  <c r="M134" i="9" s="1"/>
  <c r="Q134" i="9" s="1"/>
  <c r="Q123" i="9" s="1"/>
  <c r="H131" i="9"/>
  <c r="H197" i="9" s="1"/>
  <c r="H127" i="9"/>
  <c r="H124" i="9"/>
  <c r="H191" i="9" s="1"/>
  <c r="F125" i="1" s="1"/>
  <c r="H118" i="9"/>
  <c r="L94" i="9"/>
  <c r="M94" i="9" s="1"/>
  <c r="Q94" i="9" s="1"/>
  <c r="H91" i="9"/>
  <c r="H190" i="9" s="1"/>
  <c r="L84" i="9"/>
  <c r="H58" i="9"/>
  <c r="H45" i="9"/>
  <c r="H223" i="9" s="1"/>
  <c r="H28" i="9"/>
  <c r="H184" i="9" s="1"/>
  <c r="F119" i="1" s="1"/>
  <c r="H16" i="9"/>
  <c r="H180" i="9" s="1"/>
  <c r="L46" i="7"/>
  <c r="L40" i="7"/>
  <c r="H33" i="7"/>
  <c r="H130" i="7" s="1"/>
  <c r="H25" i="7"/>
  <c r="H105" i="7" s="1"/>
  <c r="H19" i="7"/>
  <c r="H102" i="7" s="1"/>
  <c r="F97" i="1" s="1"/>
  <c r="H7" i="7"/>
  <c r="L339" i="6"/>
  <c r="L458" i="6" s="1"/>
  <c r="H333" i="6"/>
  <c r="H415" i="6" s="1"/>
  <c r="F93" i="1" s="1"/>
  <c r="L327" i="6"/>
  <c r="H321" i="6"/>
  <c r="L314" i="6"/>
  <c r="M314" i="6" s="1"/>
  <c r="P314" i="6" s="1"/>
  <c r="H311" i="6"/>
  <c r="L306" i="6"/>
  <c r="M306" i="6" s="1"/>
  <c r="Q306" i="6" s="1"/>
  <c r="L302" i="6"/>
  <c r="M302" i="6" s="1"/>
  <c r="P302" i="6" s="1"/>
  <c r="L293" i="6"/>
  <c r="M293" i="6" s="1"/>
  <c r="Q293" i="6" s="1"/>
  <c r="L289" i="6"/>
  <c r="M289" i="6" s="1"/>
  <c r="Q289" i="6" s="1"/>
  <c r="H285" i="6"/>
  <c r="H279" i="6"/>
  <c r="H275" i="6"/>
  <c r="L255" i="6"/>
  <c r="M255" i="6" s="1"/>
  <c r="P255" i="6" s="1"/>
  <c r="L246" i="6"/>
  <c r="M246" i="6" s="1"/>
  <c r="P246" i="6" s="1"/>
  <c r="H240" i="6"/>
  <c r="L234" i="6"/>
  <c r="M234" i="6" s="1"/>
  <c r="Q234" i="6" s="1"/>
  <c r="L227" i="6"/>
  <c r="M227" i="6" s="1"/>
  <c r="P227" i="6" s="1"/>
  <c r="L220" i="6"/>
  <c r="M220" i="6" s="1"/>
  <c r="P220" i="6" s="1"/>
  <c r="H213" i="6"/>
  <c r="H206" i="6"/>
  <c r="H199" i="6"/>
  <c r="H183" i="6"/>
  <c r="L175" i="6"/>
  <c r="M175" i="6" s="1"/>
  <c r="Q175" i="6" s="1"/>
  <c r="H170" i="6"/>
  <c r="L164" i="6"/>
  <c r="L158" i="6"/>
  <c r="H145" i="6"/>
  <c r="H380" i="6" s="1"/>
  <c r="L132" i="6"/>
  <c r="H127" i="6"/>
  <c r="H121" i="6"/>
  <c r="H115" i="6"/>
  <c r="H109" i="6"/>
  <c r="L102" i="6"/>
  <c r="L96" i="6"/>
  <c r="H90" i="6"/>
  <c r="H84" i="6"/>
  <c r="H72" i="6"/>
  <c r="H67" i="6"/>
  <c r="L62" i="6"/>
  <c r="M62" i="6" s="1"/>
  <c r="P62" i="6" s="1"/>
  <c r="L57" i="6"/>
  <c r="L52" i="6"/>
  <c r="M52" i="6" s="1"/>
  <c r="P52" i="6" s="1"/>
  <c r="H47" i="6"/>
  <c r="H41" i="6"/>
  <c r="H37" i="6"/>
  <c r="H24" i="6"/>
  <c r="H375" i="6" s="1"/>
  <c r="F54" i="1" s="1"/>
  <c r="H20" i="6"/>
  <c r="H14" i="6"/>
  <c r="H436" i="6" s="1"/>
  <c r="F144" i="1" s="1"/>
  <c r="H8" i="6"/>
  <c r="H149" i="6"/>
  <c r="H134" i="9"/>
  <c r="H229" i="9" s="1"/>
  <c r="L83" i="9"/>
  <c r="L67" i="9"/>
  <c r="L187" i="9" s="1"/>
  <c r="L26" i="9"/>
  <c r="H45" i="7"/>
  <c r="L28" i="7"/>
  <c r="L108" i="7" s="1"/>
  <c r="L13" i="7"/>
  <c r="H6" i="7"/>
  <c r="H334" i="6"/>
  <c r="L325" i="6"/>
  <c r="L310" i="6"/>
  <c r="M310" i="6" s="1"/>
  <c r="P310" i="6" s="1"/>
  <c r="H305" i="6"/>
  <c r="L299" i="6"/>
  <c r="M299" i="6" s="1"/>
  <c r="P299" i="6" s="1"/>
  <c r="L288" i="6"/>
  <c r="M288" i="6" s="1"/>
  <c r="Q288" i="6" s="1"/>
  <c r="L280" i="6"/>
  <c r="M280" i="6" s="1"/>
  <c r="Q280" i="6" s="1"/>
  <c r="L265" i="6"/>
  <c r="M265" i="6" s="1"/>
  <c r="P265" i="6" s="1"/>
  <c r="L251" i="6"/>
  <c r="M251" i="6" s="1"/>
  <c r="P251" i="6" s="1"/>
  <c r="L244" i="6"/>
  <c r="L224" i="6"/>
  <c r="M224" i="6" s="1"/>
  <c r="P224" i="6" s="1"/>
  <c r="H220" i="6"/>
  <c r="L206" i="6"/>
  <c r="M206" i="6" s="1"/>
  <c r="P206" i="6" s="1"/>
  <c r="H144" i="6"/>
  <c r="L130" i="6"/>
  <c r="L122" i="6"/>
  <c r="L105" i="6"/>
  <c r="H97" i="6"/>
  <c r="L88" i="6"/>
  <c r="H79" i="6"/>
  <c r="H71" i="6"/>
  <c r="L56" i="6"/>
  <c r="L41" i="6"/>
  <c r="M41" i="6" s="1"/>
  <c r="Q41" i="6" s="1"/>
  <c r="H36" i="6"/>
  <c r="H27" i="6"/>
  <c r="H444" i="6" s="1"/>
  <c r="F152" i="1" s="1"/>
  <c r="H21" i="6"/>
  <c r="H372" i="6" s="1"/>
  <c r="F51" i="1" s="1"/>
  <c r="L13" i="6"/>
  <c r="M13" i="6" s="1"/>
  <c r="Q13" i="6" s="1"/>
  <c r="L136" i="6"/>
  <c r="L129" i="9"/>
  <c r="L124" i="9"/>
  <c r="M124" i="9" s="1"/>
  <c r="P124" i="9" s="1"/>
  <c r="L91" i="9"/>
  <c r="H83" i="9"/>
  <c r="H67" i="9"/>
  <c r="L45" i="9"/>
  <c r="L223" i="9" s="1"/>
  <c r="H26" i="9"/>
  <c r="L44" i="7"/>
  <c r="L33" i="7"/>
  <c r="M33" i="7" s="1"/>
  <c r="Q33" i="7" s="1"/>
  <c r="H28" i="7"/>
  <c r="H108" i="7" s="1"/>
  <c r="L23" i="7"/>
  <c r="M23" i="7" s="1"/>
  <c r="P23" i="7" s="1"/>
  <c r="H13" i="7"/>
  <c r="L333" i="6"/>
  <c r="L415" i="6" s="1"/>
  <c r="H325" i="6"/>
  <c r="H310" i="6"/>
  <c r="H299" i="6"/>
  <c r="H293" i="6"/>
  <c r="H288" i="6"/>
  <c r="H280" i="6"/>
  <c r="L269" i="6"/>
  <c r="M269" i="6" s="1"/>
  <c r="Q269" i="6" s="1"/>
  <c r="H251" i="6"/>
  <c r="L241" i="6"/>
  <c r="H234" i="6"/>
  <c r="H224" i="6"/>
  <c r="L215" i="6"/>
  <c r="M215" i="6" s="1"/>
  <c r="P215" i="6" s="1"/>
  <c r="H210" i="6"/>
  <c r="L201" i="6"/>
  <c r="M201" i="6" s="1"/>
  <c r="P201" i="6" s="1"/>
  <c r="L174" i="6"/>
  <c r="L167" i="6"/>
  <c r="M167" i="6" s="1"/>
  <c r="P167" i="6" s="1"/>
  <c r="L143" i="6"/>
  <c r="H122" i="6"/>
  <c r="L114" i="6"/>
  <c r="H96" i="6"/>
  <c r="H88" i="6"/>
  <c r="L63" i="6"/>
  <c r="H56" i="6"/>
  <c r="L48" i="6"/>
  <c r="L447" i="6" s="1"/>
  <c r="L40" i="6"/>
  <c r="M40" i="6" s="1"/>
  <c r="Q40" i="6" s="1"/>
  <c r="L35" i="6"/>
  <c r="L31" i="6"/>
  <c r="M31" i="6" s="1"/>
  <c r="P31" i="6" s="1"/>
  <c r="H13" i="6"/>
  <c r="L6" i="6"/>
  <c r="M6" i="6" s="1"/>
  <c r="Q6" i="6" s="1"/>
  <c r="G207" i="9"/>
  <c r="M207" i="9" s="1"/>
  <c r="L133" i="9"/>
  <c r="M133" i="9" s="1"/>
  <c r="P133" i="9" s="1"/>
  <c r="H95" i="9"/>
  <c r="H228" i="9" s="1"/>
  <c r="L65" i="9"/>
  <c r="L185" i="9" s="1"/>
  <c r="I120" i="1" s="1"/>
  <c r="L17" i="9"/>
  <c r="L181" i="9" s="1"/>
  <c r="H42" i="7"/>
  <c r="L322" i="6"/>
  <c r="H286" i="6"/>
  <c r="H259" i="6"/>
  <c r="L233" i="6"/>
  <c r="M233" i="6" s="1"/>
  <c r="Q233" i="6" s="1"/>
  <c r="L223" i="6"/>
  <c r="M223" i="6" s="1"/>
  <c r="P223" i="6" s="1"/>
  <c r="L205" i="6"/>
  <c r="M205" i="6" s="1"/>
  <c r="P205" i="6" s="1"/>
  <c r="L173" i="6"/>
  <c r="L449" i="6" s="1"/>
  <c r="I157" i="1" s="1"/>
  <c r="L157" i="6"/>
  <c r="H136" i="6"/>
  <c r="L122" i="9"/>
  <c r="L95" i="9"/>
  <c r="L228" i="9" s="1"/>
  <c r="L44" i="9"/>
  <c r="L19" i="9"/>
  <c r="L222" i="9" s="1"/>
  <c r="H44" i="7"/>
  <c r="L343" i="6"/>
  <c r="L332" i="6"/>
  <c r="L324" i="6"/>
  <c r="H314" i="6"/>
  <c r="L303" i="6"/>
  <c r="M303" i="6" s="1"/>
  <c r="P303" i="6" s="1"/>
  <c r="L292" i="6"/>
  <c r="M292" i="6" s="1"/>
  <c r="Q292" i="6" s="1"/>
  <c r="L279" i="6"/>
  <c r="M279" i="6" s="1"/>
  <c r="Q279" i="6" s="1"/>
  <c r="L274" i="6"/>
  <c r="M274" i="6" s="1"/>
  <c r="P274" i="6" s="1"/>
  <c r="H269" i="6"/>
  <c r="L259" i="6"/>
  <c r="M259" i="6" s="1"/>
  <c r="P259" i="6" s="1"/>
  <c r="H255" i="6"/>
  <c r="H241" i="6"/>
  <c r="H215" i="6"/>
  <c r="H201" i="6"/>
  <c r="L183" i="6"/>
  <c r="M183" i="6" s="1"/>
  <c r="Q183" i="6" s="1"/>
  <c r="H174" i="6"/>
  <c r="H158" i="6"/>
  <c r="H143" i="6"/>
  <c r="L121" i="6"/>
  <c r="H114" i="6"/>
  <c r="H104" i="6"/>
  <c r="L95" i="6"/>
  <c r="L87" i="6"/>
  <c r="L77" i="6"/>
  <c r="M77" i="6" s="1"/>
  <c r="Q77" i="6" s="1"/>
  <c r="H63" i="6"/>
  <c r="H48" i="6"/>
  <c r="H447" i="6" s="1"/>
  <c r="H40" i="6"/>
  <c r="H35" i="6"/>
  <c r="H31" i="6"/>
  <c r="L20" i="6"/>
  <c r="M20" i="6" s="1"/>
  <c r="P20" i="6" s="1"/>
  <c r="L12" i="6"/>
  <c r="L435" i="6" s="1"/>
  <c r="H122" i="9"/>
  <c r="L82" i="9"/>
  <c r="L189" i="9" s="1"/>
  <c r="H44" i="9"/>
  <c r="L64" i="7"/>
  <c r="L32" i="7"/>
  <c r="M32" i="7" s="1"/>
  <c r="P32" i="7" s="1"/>
  <c r="L12" i="7"/>
  <c r="L341" i="6"/>
  <c r="H332" i="6"/>
  <c r="H303" i="6"/>
  <c r="H292" i="6"/>
  <c r="H274" i="6"/>
  <c r="L240" i="6"/>
  <c r="M240" i="6" s="1"/>
  <c r="Q240" i="6" s="1"/>
  <c r="L228" i="6"/>
  <c r="M228" i="6" s="1"/>
  <c r="P228" i="6" s="1"/>
  <c r="L219" i="6"/>
  <c r="M219" i="6" s="1"/>
  <c r="P219" i="6" s="1"/>
  <c r="L182" i="6"/>
  <c r="H166" i="6"/>
  <c r="L142" i="6"/>
  <c r="H93" i="9"/>
  <c r="H85" i="9"/>
  <c r="H65" i="9"/>
  <c r="H185" i="9" s="1"/>
  <c r="F120" i="1" s="1"/>
  <c r="L29" i="9"/>
  <c r="L224" i="9" s="1"/>
  <c r="H41" i="7"/>
  <c r="H341" i="6"/>
  <c r="L328" i="6"/>
  <c r="L308" i="6"/>
  <c r="M308" i="6" s="1"/>
  <c r="P308" i="6" s="1"/>
  <c r="L301" i="6"/>
  <c r="M301" i="6" s="1"/>
  <c r="P301" i="6" s="1"/>
  <c r="L284" i="6"/>
  <c r="H276" i="6"/>
  <c r="H270" i="6"/>
  <c r="H216" i="6"/>
  <c r="H186" i="6"/>
  <c r="H175" i="6"/>
  <c r="H450" i="6" s="1"/>
  <c r="F158" i="1" s="1"/>
  <c r="L165" i="6"/>
  <c r="H156" i="6"/>
  <c r="H131" i="6"/>
  <c r="L112" i="6"/>
  <c r="L101" i="6"/>
  <c r="L90" i="6"/>
  <c r="H61" i="6"/>
  <c r="H43" i="6"/>
  <c r="L28" i="6"/>
  <c r="L445" i="6" s="1"/>
  <c r="I153" i="1" s="1"/>
  <c r="H23" i="6"/>
  <c r="H374" i="6" s="1"/>
  <c r="L36" i="9"/>
  <c r="L72" i="7"/>
  <c r="L140" i="6"/>
  <c r="M140" i="6" s="1"/>
  <c r="P140" i="6" s="1"/>
  <c r="L151" i="6"/>
  <c r="H133" i="9"/>
  <c r="H199" i="9" s="1"/>
  <c r="L118" i="9"/>
  <c r="H77" i="9"/>
  <c r="H226" i="9" s="1"/>
  <c r="H27" i="9"/>
  <c r="H183" i="9" s="1"/>
  <c r="L63" i="7"/>
  <c r="L38" i="7"/>
  <c r="L11" i="7"/>
  <c r="L338" i="6"/>
  <c r="H322" i="6"/>
  <c r="L290" i="6"/>
  <c r="M290" i="6" s="1"/>
  <c r="Q290" i="6" s="1"/>
  <c r="L257" i="6"/>
  <c r="M257" i="6" s="1"/>
  <c r="P257" i="6" s="1"/>
  <c r="H239" i="6"/>
  <c r="H226" i="6"/>
  <c r="L202" i="6"/>
  <c r="M202" i="6" s="1"/>
  <c r="P202" i="6" s="1"/>
  <c r="L145" i="6"/>
  <c r="L380" i="6" s="1"/>
  <c r="L118" i="6"/>
  <c r="M118" i="6" s="1"/>
  <c r="P118" i="6" s="1"/>
  <c r="H98" i="6"/>
  <c r="L75" i="6"/>
  <c r="H39" i="6"/>
  <c r="H36" i="9"/>
  <c r="H72" i="7"/>
  <c r="H140" i="6"/>
  <c r="L150" i="6"/>
  <c r="L126" i="9"/>
  <c r="L108" i="9"/>
  <c r="M108" i="9" s="1"/>
  <c r="Q108" i="9" s="1"/>
  <c r="L76" i="9"/>
  <c r="L188" i="9" s="1"/>
  <c r="L56" i="9"/>
  <c r="L154" i="6"/>
  <c r="L121" i="9"/>
  <c r="M121" i="9" s="1"/>
  <c r="Q121" i="9" s="1"/>
  <c r="H84" i="9"/>
  <c r="L58" i="9"/>
  <c r="H29" i="9"/>
  <c r="H224" i="9" s="1"/>
  <c r="H40" i="7"/>
  <c r="H30" i="7"/>
  <c r="H110" i="7" s="1"/>
  <c r="L24" i="7"/>
  <c r="M24" i="7" s="1"/>
  <c r="P24" i="7" s="1"/>
  <c r="H16" i="7"/>
  <c r="H99" i="7" s="1"/>
  <c r="H328" i="6"/>
  <c r="H308" i="6"/>
  <c r="H301" i="6"/>
  <c r="H284" i="6"/>
  <c r="L258" i="6"/>
  <c r="M258" i="6" s="1"/>
  <c r="P258" i="6" s="1"/>
  <c r="L245" i="6"/>
  <c r="H233" i="6"/>
  <c r="H227" i="6"/>
  <c r="L221" i="6"/>
  <c r="M221" i="6" s="1"/>
  <c r="P221" i="6" s="1"/>
  <c r="L209" i="6"/>
  <c r="M209" i="6" s="1"/>
  <c r="P209" i="6" s="1"/>
  <c r="L203" i="6"/>
  <c r="M203" i="6" s="1"/>
  <c r="P203" i="6" s="1"/>
  <c r="H165" i="6"/>
  <c r="L120" i="6"/>
  <c r="L110" i="6"/>
  <c r="L378" i="6" s="1"/>
  <c r="I57" i="1" s="1"/>
  <c r="H101" i="6"/>
  <c r="L89" i="6"/>
  <c r="H77" i="6"/>
  <c r="L67" i="6"/>
  <c r="H28" i="6"/>
  <c r="H445" i="6" s="1"/>
  <c r="F153" i="1" s="1"/>
  <c r="L22" i="6"/>
  <c r="M22" i="6" s="1"/>
  <c r="P22" i="6" s="1"/>
  <c r="L14" i="6"/>
  <c r="L436" i="6" s="1"/>
  <c r="I144" i="1" s="1"/>
  <c r="H37" i="9"/>
  <c r="L73" i="7"/>
  <c r="L152" i="6"/>
  <c r="L119" i="9"/>
  <c r="L105" i="9"/>
  <c r="L28" i="9"/>
  <c r="L184" i="9" s="1"/>
  <c r="I119" i="1" s="1"/>
  <c r="L39" i="7"/>
  <c r="L29" i="7"/>
  <c r="L109" i="7" s="1"/>
  <c r="H24" i="7"/>
  <c r="H104" i="7" s="1"/>
  <c r="F99" i="1" s="1"/>
  <c r="H339" i="6"/>
  <c r="H458" i="6" s="1"/>
  <c r="F166" i="1" s="1"/>
  <c r="H327" i="6"/>
  <c r="L291" i="6"/>
  <c r="M291" i="6" s="1"/>
  <c r="Q291" i="6" s="1"/>
  <c r="L283" i="6"/>
  <c r="M283" i="6" s="1"/>
  <c r="P283" i="6" s="1"/>
  <c r="L275" i="6"/>
  <c r="M275" i="6" s="1"/>
  <c r="P275" i="6" s="1"/>
  <c r="L263" i="6"/>
  <c r="M263" i="6" s="1"/>
  <c r="P263" i="6" s="1"/>
  <c r="H258" i="6"/>
  <c r="H245" i="6"/>
  <c r="H221" i="6"/>
  <c r="H209" i="6"/>
  <c r="H203" i="6"/>
  <c r="H164" i="6"/>
  <c r="L146" i="6"/>
  <c r="L381" i="6" s="1"/>
  <c r="H120" i="6"/>
  <c r="H110" i="6"/>
  <c r="H378" i="6" s="1"/>
  <c r="F57" i="1" s="1"/>
  <c r="L100" i="6"/>
  <c r="H89" i="6"/>
  <c r="L76" i="6"/>
  <c r="L66" i="6"/>
  <c r="L58" i="6"/>
  <c r="M58" i="6" s="1"/>
  <c r="Q58" i="6" s="1"/>
  <c r="L51" i="6"/>
  <c r="M51" i="6" s="1"/>
  <c r="P51" i="6" s="1"/>
  <c r="H22" i="6"/>
  <c r="H373" i="6" s="1"/>
  <c r="F52" i="1" s="1"/>
  <c r="L104" i="9"/>
  <c r="H73" i="7"/>
  <c r="H152" i="6"/>
  <c r="L127" i="9"/>
  <c r="M127" i="9" s="1"/>
  <c r="P127" i="9" s="1"/>
  <c r="H119" i="9"/>
  <c r="H105" i="9"/>
  <c r="H92" i="9"/>
  <c r="L57" i="9"/>
  <c r="L27" i="9"/>
  <c r="L183" i="9" s="1"/>
  <c r="H64" i="7"/>
  <c r="H39" i="7"/>
  <c r="H29" i="7"/>
  <c r="H109" i="7" s="1"/>
  <c r="F104" i="1" s="1"/>
  <c r="H12" i="7"/>
  <c r="H306" i="6"/>
  <c r="H283" i="6"/>
  <c r="H263" i="6"/>
  <c r="L252" i="6"/>
  <c r="M252" i="6" s="1"/>
  <c r="P252" i="6" s="1"/>
  <c r="L239" i="6"/>
  <c r="L226" i="6"/>
  <c r="M226" i="6" s="1"/>
  <c r="P226" i="6" s="1"/>
  <c r="H214" i="6"/>
  <c r="L185" i="6"/>
  <c r="M185" i="6" s="1"/>
  <c r="Q185" i="6" s="1"/>
  <c r="H146" i="6"/>
  <c r="H381" i="6" s="1"/>
  <c r="L109" i="6"/>
  <c r="H100" i="6"/>
  <c r="L85" i="6"/>
  <c r="H76" i="6"/>
  <c r="H66" i="6"/>
  <c r="H58" i="6"/>
  <c r="H51" i="6"/>
  <c r="L39" i="6"/>
  <c r="M39" i="6" s="1"/>
  <c r="Q39" i="6" s="1"/>
  <c r="L33" i="6"/>
  <c r="M33" i="6" s="1"/>
  <c r="P33" i="6" s="1"/>
  <c r="H12" i="6"/>
  <c r="H435" i="6" s="1"/>
  <c r="H57" i="9"/>
  <c r="L313" i="6"/>
  <c r="M313" i="6" s="1"/>
  <c r="P313" i="6" s="1"/>
  <c r="L267" i="6"/>
  <c r="M267" i="6" s="1"/>
  <c r="P267" i="6" s="1"/>
  <c r="H252" i="6"/>
  <c r="L231" i="6"/>
  <c r="M231" i="6" s="1"/>
  <c r="Q231" i="6" s="1"/>
  <c r="L208" i="6"/>
  <c r="M208" i="6" s="1"/>
  <c r="P208" i="6" s="1"/>
  <c r="L171" i="6"/>
  <c r="L128" i="6"/>
  <c r="M128" i="6" s="1"/>
  <c r="P128" i="6" s="1"/>
  <c r="H85" i="6"/>
  <c r="H33" i="6"/>
  <c r="R296" i="10"/>
  <c r="R536" i="10"/>
  <c r="R64" i="10"/>
  <c r="G42" i="10"/>
  <c r="R489" i="10"/>
  <c r="H25" i="6"/>
  <c r="H440" i="6" s="1"/>
  <c r="L32" i="6"/>
  <c r="M32" i="6" s="1"/>
  <c r="P32" i="6" s="1"/>
  <c r="H53" i="6"/>
  <c r="L94" i="6"/>
  <c r="L126" i="6"/>
  <c r="L144" i="6"/>
  <c r="L180" i="6"/>
  <c r="H223" i="6"/>
  <c r="H231" i="6"/>
  <c r="H246" i="6"/>
  <c r="L262" i="6"/>
  <c r="M262" i="6" s="1"/>
  <c r="P262" i="6" s="1"/>
  <c r="H289" i="6"/>
  <c r="L298" i="6"/>
  <c r="M298" i="6" s="1"/>
  <c r="P298" i="6" s="1"/>
  <c r="L318" i="6"/>
  <c r="L337" i="6"/>
  <c r="H46" i="9"/>
  <c r="H86" i="9"/>
  <c r="H150" i="9"/>
  <c r="H230" i="9" s="1"/>
  <c r="F178" i="1" s="1"/>
  <c r="G211" i="9"/>
  <c r="M211" i="9" s="1"/>
  <c r="L55" i="6"/>
  <c r="M55" i="6" s="1"/>
  <c r="P55" i="6" s="1"/>
  <c r="H82" i="6"/>
  <c r="H102" i="6"/>
  <c r="L116" i="6"/>
  <c r="H157" i="6"/>
  <c r="H182" i="6"/>
  <c r="Q243" i="10"/>
  <c r="R243" i="10" s="1"/>
  <c r="L278" i="6"/>
  <c r="M278" i="6" s="1"/>
  <c r="Q278" i="6" s="1"/>
  <c r="H18" i="7"/>
  <c r="H101" i="7" s="1"/>
  <c r="L41" i="7"/>
  <c r="L8" i="9"/>
  <c r="L178" i="9" s="1"/>
  <c r="L137" i="6"/>
  <c r="M137" i="6" s="1"/>
  <c r="P137" i="6" s="1"/>
  <c r="R359" i="10"/>
  <c r="L9" i="9"/>
  <c r="L221" i="9" s="1"/>
  <c r="U402" i="10"/>
  <c r="M402" i="10" s="1"/>
  <c r="L8" i="6"/>
  <c r="M8" i="6" s="1"/>
  <c r="Q8" i="6" s="1"/>
  <c r="L37" i="6"/>
  <c r="L46" i="6"/>
  <c r="L83" i="6"/>
  <c r="L131" i="6"/>
  <c r="H160" i="6"/>
  <c r="H236" i="6"/>
  <c r="H296" i="6"/>
  <c r="H312" i="6"/>
  <c r="L19" i="7"/>
  <c r="M19" i="7" s="1"/>
  <c r="P19" i="7" s="1"/>
  <c r="H47" i="7"/>
  <c r="H132" i="7" s="1"/>
  <c r="L16" i="9"/>
  <c r="L180" i="9" s="1"/>
  <c r="L106" i="9"/>
  <c r="R198" i="10"/>
  <c r="H38" i="6"/>
  <c r="L71" i="6"/>
  <c r="H162" i="6"/>
  <c r="H266" i="6"/>
  <c r="H8" i="7"/>
  <c r="L108" i="6"/>
  <c r="L377" i="6" s="1"/>
  <c r="I56" i="1" s="1"/>
  <c r="L133" i="6"/>
  <c r="H238" i="6"/>
  <c r="L261" i="6"/>
  <c r="M261" i="6" s="1"/>
  <c r="P261" i="6" s="1"/>
  <c r="L305" i="6"/>
  <c r="M305" i="6" s="1"/>
  <c r="Q305" i="6" s="1"/>
  <c r="L331" i="6"/>
  <c r="L414" i="6" s="1"/>
  <c r="H63" i="7"/>
  <c r="H43" i="9"/>
  <c r="H149" i="9"/>
  <c r="H200" i="9" s="1"/>
  <c r="F134" i="1" s="1"/>
  <c r="L149" i="6"/>
  <c r="L23" i="6"/>
  <c r="L374" i="6" s="1"/>
  <c r="H62" i="6"/>
  <c r="L125" i="6"/>
  <c r="H178" i="6"/>
  <c r="L230" i="6"/>
  <c r="M230" i="6" s="1"/>
  <c r="P230" i="6" s="1"/>
  <c r="H267" i="6"/>
  <c r="H11" i="7"/>
  <c r="H32" i="7"/>
  <c r="H112" i="7" s="1"/>
  <c r="H94" i="9"/>
  <c r="H108" i="9"/>
  <c r="H130" i="9"/>
  <c r="H196" i="9" s="1"/>
  <c r="H150" i="6"/>
  <c r="L25" i="6"/>
  <c r="L440" i="6" s="1"/>
  <c r="L53" i="6"/>
  <c r="M53" i="6" s="1"/>
  <c r="P53" i="6" s="1"/>
  <c r="H65" i="6"/>
  <c r="L79" i="6"/>
  <c r="H95" i="6"/>
  <c r="L115" i="6"/>
  <c r="M115" i="6" s="1"/>
  <c r="P115" i="6" s="1"/>
  <c r="L127" i="6"/>
  <c r="H181" i="6"/>
  <c r="H202" i="6"/>
  <c r="H217" i="6"/>
  <c r="L277" i="6"/>
  <c r="M277" i="6" s="1"/>
  <c r="Q277" i="6" s="1"/>
  <c r="H319" i="6"/>
  <c r="H338" i="6"/>
  <c r="L17" i="7"/>
  <c r="M17" i="7" s="1"/>
  <c r="P17" i="7" s="1"/>
  <c r="H26" i="7"/>
  <c r="H106" i="7" s="1"/>
  <c r="F101" i="1" s="1"/>
  <c r="H34" i="7"/>
  <c r="H131" i="7" s="1"/>
  <c r="L7" i="9"/>
  <c r="L177" i="9" s="1"/>
  <c r="I112" i="1" s="1"/>
  <c r="H56" i="9"/>
  <c r="L131" i="9"/>
  <c r="L197" i="9" s="1"/>
  <c r="L150" i="9"/>
  <c r="M150" i="9" s="1"/>
  <c r="Q150" i="9" s="1"/>
  <c r="Q148" i="9" s="1"/>
  <c r="Q147" i="9" s="1"/>
  <c r="H257" i="6"/>
  <c r="H320" i="6"/>
  <c r="L27" i="7"/>
  <c r="M27" i="7" s="1"/>
  <c r="P27" i="7" s="1"/>
  <c r="R246" i="10"/>
  <c r="U393" i="10"/>
  <c r="R125" i="10"/>
  <c r="R333" i="10"/>
  <c r="R44" i="10"/>
  <c r="R271" i="10"/>
  <c r="R102" i="10"/>
  <c r="R244" i="10"/>
  <c r="H29" i="6"/>
  <c r="H446" i="6" s="1"/>
  <c r="F154" i="1" s="1"/>
  <c r="L47" i="6"/>
  <c r="L84" i="6"/>
  <c r="H132" i="6"/>
  <c r="L186" i="6"/>
  <c r="L213" i="6"/>
  <c r="M213" i="6" s="1"/>
  <c r="P213" i="6" s="1"/>
  <c r="H329" i="6"/>
  <c r="L47" i="7"/>
  <c r="L132" i="7" s="1"/>
  <c r="H17" i="9"/>
  <c r="H181" i="9" s="1"/>
  <c r="G35" i="10"/>
  <c r="L72" i="6"/>
  <c r="H125" i="6"/>
  <c r="H230" i="6"/>
  <c r="H254" i="6"/>
  <c r="H297" i="6"/>
  <c r="G45" i="10"/>
  <c r="R492" i="10"/>
  <c r="H73" i="6"/>
  <c r="H134" i="6"/>
  <c r="H208" i="6"/>
  <c r="L238" i="6"/>
  <c r="L254" i="6"/>
  <c r="M254" i="6" s="1"/>
  <c r="P254" i="6" s="1"/>
  <c r="L297" i="6"/>
  <c r="M297" i="6" s="1"/>
  <c r="P297" i="6" s="1"/>
  <c r="L43" i="9"/>
  <c r="G208" i="9"/>
  <c r="M208" i="9" s="1"/>
  <c r="G96" i="7"/>
  <c r="M96" i="7" s="1"/>
  <c r="G210" i="9"/>
  <c r="M210" i="9" s="1"/>
  <c r="U161" i="10"/>
  <c r="R440" i="10"/>
  <c r="L17" i="6"/>
  <c r="L44" i="6"/>
  <c r="L65" i="6"/>
  <c r="M65" i="6" s="1"/>
  <c r="P65" i="6" s="1"/>
  <c r="L81" i="6"/>
  <c r="L97" i="6"/>
  <c r="H116" i="6"/>
  <c r="H128" i="6"/>
  <c r="L156" i="6"/>
  <c r="H169" i="6"/>
  <c r="L181" i="6"/>
  <c r="L211" i="6"/>
  <c r="M211" i="6" s="1"/>
  <c r="P211" i="6" s="1"/>
  <c r="L217" i="6"/>
  <c r="M217" i="6" s="1"/>
  <c r="P217" i="6" s="1"/>
  <c r="L270" i="6"/>
  <c r="M270" i="6" s="1"/>
  <c r="Q270" i="6" s="1"/>
  <c r="H278" i="6"/>
  <c r="H290" i="6"/>
  <c r="L319" i="6"/>
  <c r="Q235" i="10"/>
  <c r="R235" i="10" s="1"/>
  <c r="H38" i="7"/>
  <c r="H8" i="9"/>
  <c r="H178" i="9" s="1"/>
  <c r="L87" i="9"/>
  <c r="L227" i="9" s="1"/>
  <c r="H137" i="6"/>
  <c r="R140" i="10"/>
  <c r="R120" i="10"/>
  <c r="R342" i="10"/>
  <c r="R87" i="10"/>
  <c r="R73" i="10"/>
  <c r="R277" i="10"/>
  <c r="R352" i="10"/>
  <c r="G123" i="7"/>
  <c r="M123" i="7" s="1"/>
  <c r="G41" i="10"/>
  <c r="R50" i="10"/>
  <c r="R47" i="10"/>
  <c r="R274" i="10"/>
  <c r="Q620" i="10"/>
  <c r="U620" i="10" s="1"/>
  <c r="Q231" i="10"/>
  <c r="R231" i="10" s="1"/>
  <c r="Q371" i="10"/>
  <c r="U371" i="10" s="1"/>
  <c r="Q241" i="10"/>
  <c r="R241" i="10" s="1"/>
  <c r="Q204" i="10"/>
  <c r="R204" i="10" s="1"/>
  <c r="Q283" i="10"/>
  <c r="R283" i="10" s="1"/>
  <c r="Q197" i="10"/>
  <c r="R197" i="10" s="1"/>
  <c r="Q257" i="10"/>
  <c r="R257" i="10" s="1"/>
  <c r="Q275" i="10"/>
  <c r="R275" i="10" s="1"/>
  <c r="Q286" i="10"/>
  <c r="R286" i="10" s="1"/>
  <c r="Q383" i="10"/>
  <c r="U383" i="10" s="1"/>
  <c r="Q609" i="10"/>
  <c r="S609" i="10" s="1"/>
  <c r="Q258" i="10"/>
  <c r="R258" i="10" s="1"/>
  <c r="Q133" i="10"/>
  <c r="R133" i="10" s="1"/>
  <c r="Q218" i="10"/>
  <c r="R218" i="10" s="1"/>
  <c r="Q284" i="10"/>
  <c r="R284" i="10" s="1"/>
  <c r="G179" i="9"/>
  <c r="G214" i="9"/>
  <c r="M214" i="9" s="1"/>
  <c r="G236" i="9"/>
  <c r="M236" i="9" s="1"/>
  <c r="D116" i="1"/>
  <c r="D122" i="1"/>
  <c r="H179" i="9"/>
  <c r="J177" i="9"/>
  <c r="G112" i="1" s="1"/>
  <c r="G191" i="9"/>
  <c r="E125" i="1" s="1"/>
  <c r="D111" i="1"/>
  <c r="G111" i="1" s="1"/>
  <c r="D117" i="1"/>
  <c r="G117" i="1" s="1"/>
  <c r="D123" i="1"/>
  <c r="J179" i="9"/>
  <c r="J181" i="9"/>
  <c r="J183" i="9"/>
  <c r="J185" i="9"/>
  <c r="G120" i="1" s="1"/>
  <c r="J187" i="9"/>
  <c r="J189" i="9"/>
  <c r="G198" i="9"/>
  <c r="E132" i="1" s="1"/>
  <c r="L212" i="9"/>
  <c r="M212" i="9" s="1"/>
  <c r="J214" i="9"/>
  <c r="G229" i="9"/>
  <c r="J236" i="9"/>
  <c r="G196" i="9"/>
  <c r="H214" i="9"/>
  <c r="H236" i="9"/>
  <c r="D176" i="1"/>
  <c r="D129" i="1"/>
  <c r="G129" i="1" s="1"/>
  <c r="J196" i="9"/>
  <c r="J221" i="9"/>
  <c r="J223" i="9"/>
  <c r="J225" i="9"/>
  <c r="G175" i="1" s="1"/>
  <c r="J227" i="9"/>
  <c r="D118" i="1"/>
  <c r="D124" i="1"/>
  <c r="L179" i="9"/>
  <c r="D130" i="1"/>
  <c r="G195" i="9"/>
  <c r="G190" i="9"/>
  <c r="G220" i="9"/>
  <c r="G237" i="9"/>
  <c r="D131" i="1"/>
  <c r="G131" i="1" s="1"/>
  <c r="D174" i="1"/>
  <c r="G174" i="1" s="1"/>
  <c r="J178" i="9"/>
  <c r="G197" i="9"/>
  <c r="J200" i="9"/>
  <c r="G134" i="1" s="1"/>
  <c r="J213" i="9"/>
  <c r="H220" i="9"/>
  <c r="J235" i="9"/>
  <c r="H237" i="9"/>
  <c r="J184" i="9"/>
  <c r="G119" i="1" s="1"/>
  <c r="G192" i="9"/>
  <c r="E126" i="1" s="1"/>
  <c r="M126" i="1" s="1"/>
  <c r="D113" i="1"/>
  <c r="QX2" i="2"/>
  <c r="QX1" i="2"/>
  <c r="QE21" i="2"/>
  <c r="QC2" i="2" s="1"/>
  <c r="QE10" i="2"/>
  <c r="QE4" i="2"/>
  <c r="QE2" i="2" s="1"/>
  <c r="PU7" i="2"/>
  <c r="PS2" i="2" s="1"/>
  <c r="PU5" i="2"/>
  <c r="PU4" i="2"/>
  <c r="PU2" i="2" s="1"/>
  <c r="PK12" i="2"/>
  <c r="PK27" i="2"/>
  <c r="PK4" i="2"/>
  <c r="PK2" i="2" s="1"/>
  <c r="MS52" i="2"/>
  <c r="MS8" i="2"/>
  <c r="MS6" i="2"/>
  <c r="MS60" i="2"/>
  <c r="MS68" i="2"/>
  <c r="MS72" i="2"/>
  <c r="MS4" i="2"/>
  <c r="MS2" i="2" s="1"/>
  <c r="MI4" i="2"/>
  <c r="MI2" i="2" s="1"/>
  <c r="LE4" i="2"/>
  <c r="LE2" i="2" s="1"/>
  <c r="KU34" i="2"/>
  <c r="KS2" i="2" s="1"/>
  <c r="KU19" i="2"/>
  <c r="KU4" i="2"/>
  <c r="KA30" i="2"/>
  <c r="KA22" i="2"/>
  <c r="KA13" i="2"/>
  <c r="KA4" i="2"/>
  <c r="KA2" i="2" s="1"/>
  <c r="JQ22" i="2"/>
  <c r="JQ13" i="2"/>
  <c r="JQ4" i="2"/>
  <c r="O49" i="6"/>
  <c r="Q155" i="10" s="1"/>
  <c r="U155" i="10" s="1"/>
  <c r="D108" i="1"/>
  <c r="I108" i="1" s="1"/>
  <c r="D109" i="1"/>
  <c r="I109" i="1" s="1"/>
  <c r="L115" i="7"/>
  <c r="J115" i="7"/>
  <c r="D168" i="1"/>
  <c r="G168" i="1" s="1"/>
  <c r="G110" i="7"/>
  <c r="G106" i="7"/>
  <c r="E101" i="1" s="1"/>
  <c r="M101" i="1" s="1"/>
  <c r="F76" i="1"/>
  <c r="G76" i="1"/>
  <c r="D98" i="1"/>
  <c r="D107" i="1"/>
  <c r="G107" i="1" s="1"/>
  <c r="G109" i="7"/>
  <c r="E104" i="1" s="1"/>
  <c r="M104" i="1" s="1"/>
  <c r="D96" i="1"/>
  <c r="D103" i="1"/>
  <c r="H114" i="7"/>
  <c r="L134" i="7"/>
  <c r="G103" i="7"/>
  <c r="G100" i="7"/>
  <c r="H133" i="7"/>
  <c r="G134" i="7"/>
  <c r="J101" i="7"/>
  <c r="J113" i="7"/>
  <c r="H134" i="7"/>
  <c r="G105" i="7"/>
  <c r="J132" i="7"/>
  <c r="D170" i="1"/>
  <c r="G101" i="7"/>
  <c r="J106" i="7"/>
  <c r="G101" i="1" s="1"/>
  <c r="G115" i="7"/>
  <c r="L139" i="7"/>
  <c r="M139" i="7" s="1"/>
  <c r="M141" i="7" s="1"/>
  <c r="G104" i="7"/>
  <c r="E99" i="1" s="1"/>
  <c r="D172" i="1"/>
  <c r="G172" i="1" s="1"/>
  <c r="D102" i="1"/>
  <c r="L116" i="7"/>
  <c r="M116" i="7" s="1"/>
  <c r="D171" i="1"/>
  <c r="G171" i="1" s="1"/>
  <c r="M122" i="7"/>
  <c r="F45" i="1"/>
  <c r="G117" i="7"/>
  <c r="M117" i="7" s="1"/>
  <c r="G129" i="7"/>
  <c r="E167" i="1" s="1"/>
  <c r="J110" i="7"/>
  <c r="D94" i="1"/>
  <c r="G94" i="1" s="1"/>
  <c r="Q169" i="10"/>
  <c r="U169" i="10" s="1"/>
  <c r="G102" i="7"/>
  <c r="E97" i="1" s="1"/>
  <c r="G107" i="7"/>
  <c r="G114" i="7"/>
  <c r="M114" i="7" s="1"/>
  <c r="J117" i="7"/>
  <c r="J129" i="7"/>
  <c r="G167" i="1" s="1"/>
  <c r="G133" i="7"/>
  <c r="M133" i="7" s="1"/>
  <c r="G112" i="7"/>
  <c r="D100" i="1"/>
  <c r="D169" i="1"/>
  <c r="D95" i="1"/>
  <c r="D105" i="1"/>
  <c r="G99" i="7"/>
  <c r="J102" i="7"/>
  <c r="G97" i="1" s="1"/>
  <c r="J107" i="7"/>
  <c r="G111" i="7"/>
  <c r="J114" i="7"/>
  <c r="H116" i="7"/>
  <c r="J133" i="7"/>
  <c r="H139" i="7"/>
  <c r="J100" i="7"/>
  <c r="J105" i="7"/>
  <c r="D110" i="1"/>
  <c r="G110" i="1" s="1"/>
  <c r="J109" i="7"/>
  <c r="G104" i="1" s="1"/>
  <c r="G130" i="7"/>
  <c r="H117" i="7"/>
  <c r="F79" i="1"/>
  <c r="D106" i="1"/>
  <c r="G106" i="1" s="1"/>
  <c r="I45" i="1"/>
  <c r="J104" i="7"/>
  <c r="G99" i="1" s="1"/>
  <c r="J116" i="7"/>
  <c r="J139" i="7"/>
  <c r="EH2" i="2"/>
  <c r="EI2" i="2" s="1"/>
  <c r="I87" i="1"/>
  <c r="G87" i="1"/>
  <c r="F87" i="1"/>
  <c r="O137" i="6"/>
  <c r="F71" i="1"/>
  <c r="O7" i="6"/>
  <c r="Q188" i="10" s="1"/>
  <c r="U188" i="10" s="1"/>
  <c r="O31" i="6"/>
  <c r="L401" i="6"/>
  <c r="J401" i="6"/>
  <c r="D80" i="1"/>
  <c r="I80" i="1" s="1"/>
  <c r="D143" i="1"/>
  <c r="J435" i="6"/>
  <c r="I47" i="1"/>
  <c r="G47" i="1"/>
  <c r="F47" i="1"/>
  <c r="I151" i="1"/>
  <c r="G151" i="1"/>
  <c r="F151" i="1"/>
  <c r="I43" i="1"/>
  <c r="G43" i="1"/>
  <c r="F43" i="1"/>
  <c r="I146" i="1"/>
  <c r="G146" i="1"/>
  <c r="F162" i="1"/>
  <c r="I162" i="1"/>
  <c r="G162" i="1"/>
  <c r="H438" i="6"/>
  <c r="L438" i="6"/>
  <c r="J438" i="6"/>
  <c r="Q316" i="10"/>
  <c r="R316" i="10" s="1"/>
  <c r="Q336" i="10"/>
  <c r="R336" i="10" s="1"/>
  <c r="Q360" i="10"/>
  <c r="R360" i="10" s="1"/>
  <c r="Q396" i="10"/>
  <c r="U396" i="10" s="1"/>
  <c r="Q428" i="10"/>
  <c r="R428" i="10" s="1"/>
  <c r="Q431" i="10"/>
  <c r="R431" i="10" s="1"/>
  <c r="Q434" i="10"/>
  <c r="R434" i="10" s="1"/>
  <c r="Q437" i="10"/>
  <c r="R437" i="10" s="1"/>
  <c r="Q469" i="10"/>
  <c r="R469" i="10" s="1"/>
  <c r="Q493" i="10"/>
  <c r="R493" i="10" s="1"/>
  <c r="Q537" i="10"/>
  <c r="R537" i="10" s="1"/>
  <c r="Q593" i="10"/>
  <c r="U593" i="10" s="1"/>
  <c r="I44" i="1"/>
  <c r="D62" i="1"/>
  <c r="G62" i="1" s="1"/>
  <c r="G83" i="1"/>
  <c r="I83" i="1"/>
  <c r="L405" i="6"/>
  <c r="D84" i="1"/>
  <c r="J405" i="6"/>
  <c r="H405" i="6"/>
  <c r="J443" i="6"/>
  <c r="H443" i="6"/>
  <c r="Q343" i="10"/>
  <c r="R343" i="10" s="1"/>
  <c r="Q384" i="10"/>
  <c r="U384" i="10" s="1"/>
  <c r="Q466" i="10"/>
  <c r="R466" i="10" s="1"/>
  <c r="Q587" i="10"/>
  <c r="S587" i="10" s="1"/>
  <c r="H393" i="6"/>
  <c r="G393" i="6"/>
  <c r="D72" i="1"/>
  <c r="G72" i="1" s="1"/>
  <c r="L409" i="6"/>
  <c r="J409" i="6"/>
  <c r="L443" i="6"/>
  <c r="Q40" i="10"/>
  <c r="R40" i="10" s="1"/>
  <c r="Q75" i="10"/>
  <c r="R75" i="10" s="1"/>
  <c r="Q118" i="10"/>
  <c r="R118" i="10" s="1"/>
  <c r="Q160" i="10"/>
  <c r="U160" i="10" s="1"/>
  <c r="Q200" i="10"/>
  <c r="R200" i="10" s="1"/>
  <c r="Q307" i="10"/>
  <c r="R307" i="10" s="1"/>
  <c r="Q447" i="10"/>
  <c r="R447" i="10" s="1"/>
  <c r="Q511" i="10"/>
  <c r="R511" i="10" s="1"/>
  <c r="Q531" i="10"/>
  <c r="R531" i="10" s="1"/>
  <c r="Q568" i="10"/>
  <c r="U568" i="10" s="1"/>
  <c r="Q612" i="10"/>
  <c r="U612" i="10" s="1"/>
  <c r="I49" i="1"/>
  <c r="G17" i="6"/>
  <c r="O17" i="6" s="1"/>
  <c r="O16" i="6"/>
  <c r="O297" i="6"/>
  <c r="Q304" i="10" s="1"/>
  <c r="R304" i="10" s="1"/>
  <c r="J384" i="6"/>
  <c r="H409" i="6"/>
  <c r="H454" i="6"/>
  <c r="L454" i="6"/>
  <c r="J376" i="6"/>
  <c r="D55" i="1"/>
  <c r="J395" i="6"/>
  <c r="L395" i="6"/>
  <c r="G63" i="1"/>
  <c r="F63" i="1"/>
  <c r="Q156" i="10"/>
  <c r="S156" i="10" s="1"/>
  <c r="Q186" i="10"/>
  <c r="U186" i="10" s="1"/>
  <c r="Q203" i="10"/>
  <c r="R203" i="10" s="1"/>
  <c r="Q209" i="10"/>
  <c r="R209" i="10" s="1"/>
  <c r="Q215" i="10"/>
  <c r="R215" i="10" s="1"/>
  <c r="Q221" i="10"/>
  <c r="R221" i="10" s="1"/>
  <c r="Q227" i="10"/>
  <c r="R227" i="10" s="1"/>
  <c r="Q236" i="10"/>
  <c r="R236" i="10" s="1"/>
  <c r="Q242" i="10"/>
  <c r="R242" i="10" s="1"/>
  <c r="Q330" i="10"/>
  <c r="R330" i="10" s="1"/>
  <c r="Q375" i="10"/>
  <c r="U375" i="10" s="1"/>
  <c r="Q548" i="10"/>
  <c r="R548" i="10" s="1"/>
  <c r="I63" i="1"/>
  <c r="D74" i="1"/>
  <c r="F74" i="1" s="1"/>
  <c r="Q302" i="10"/>
  <c r="R302" i="10" s="1"/>
  <c r="Q112" i="10"/>
  <c r="R112" i="10" s="1"/>
  <c r="Q151" i="10"/>
  <c r="U151" i="10" s="1"/>
  <c r="Q297" i="10"/>
  <c r="R297" i="10" s="1"/>
  <c r="Q38" i="10"/>
  <c r="R38" i="10" s="1"/>
  <c r="Q51" i="10"/>
  <c r="R51" i="10" s="1"/>
  <c r="Q137" i="10"/>
  <c r="R137" i="10" s="1"/>
  <c r="Q143" i="10"/>
  <c r="R143" i="10" s="1"/>
  <c r="Q251" i="10"/>
  <c r="R251" i="10" s="1"/>
  <c r="Q254" i="10"/>
  <c r="R254" i="10" s="1"/>
  <c r="Q260" i="10"/>
  <c r="R260" i="10" s="1"/>
  <c r="Q263" i="10"/>
  <c r="R263" i="10" s="1"/>
  <c r="Q281" i="10"/>
  <c r="R281" i="10" s="1"/>
  <c r="Q294" i="10"/>
  <c r="R294" i="10" s="1"/>
  <c r="Q327" i="10"/>
  <c r="R327" i="10" s="1"/>
  <c r="Q337" i="10"/>
  <c r="R337" i="10" s="1"/>
  <c r="Q397" i="10"/>
  <c r="S397" i="10" s="1"/>
  <c r="Q429" i="10"/>
  <c r="R429" i="10" s="1"/>
  <c r="Q432" i="10"/>
  <c r="R432" i="10" s="1"/>
  <c r="Q435" i="10"/>
  <c r="R435" i="10" s="1"/>
  <c r="Q451" i="10"/>
  <c r="R451" i="10" s="1"/>
  <c r="Q463" i="10"/>
  <c r="R463" i="10" s="1"/>
  <c r="Q528" i="10"/>
  <c r="R528" i="10" s="1"/>
  <c r="Q545" i="10"/>
  <c r="R545" i="10" s="1"/>
  <c r="Q578" i="10"/>
  <c r="S578" i="10" s="1"/>
  <c r="D91" i="1"/>
  <c r="G91" i="1" s="1"/>
  <c r="J393" i="6"/>
  <c r="G406" i="6"/>
  <c r="J437" i="6"/>
  <c r="D145" i="1"/>
  <c r="F145" i="1" s="1"/>
  <c r="H437" i="6"/>
  <c r="H412" i="6"/>
  <c r="J412" i="6"/>
  <c r="Q59" i="10"/>
  <c r="R59" i="10" s="1"/>
  <c r="Q88" i="10"/>
  <c r="R88" i="10" s="1"/>
  <c r="Q103" i="10"/>
  <c r="R103" i="10" s="1"/>
  <c r="Q224" i="10"/>
  <c r="R224" i="10" s="1"/>
  <c r="Q230" i="10"/>
  <c r="R230" i="10" s="1"/>
  <c r="Q233" i="10"/>
  <c r="R233" i="10" s="1"/>
  <c r="Q239" i="10"/>
  <c r="R239" i="10" s="1"/>
  <c r="Q310" i="10"/>
  <c r="R310" i="10" s="1"/>
  <c r="Q372" i="10"/>
  <c r="U372" i="10" s="1"/>
  <c r="Q419" i="10"/>
  <c r="R419" i="10" s="1"/>
  <c r="Q121" i="10"/>
  <c r="R121" i="10" s="1"/>
  <c r="Q163" i="10"/>
  <c r="S163" i="10" s="1"/>
  <c r="Q340" i="10"/>
  <c r="R340" i="10" s="1"/>
  <c r="Q48" i="10"/>
  <c r="R48" i="10" s="1"/>
  <c r="Q134" i="10"/>
  <c r="R134" i="10" s="1"/>
  <c r="Q107" i="10"/>
  <c r="R107" i="10" s="1"/>
  <c r="Q110" i="10"/>
  <c r="R110" i="10" s="1"/>
  <c r="Q269" i="10"/>
  <c r="R269" i="10" s="1"/>
  <c r="Q272" i="10"/>
  <c r="R272" i="10" s="1"/>
  <c r="Q278" i="10"/>
  <c r="R278" i="10" s="1"/>
  <c r="Q291" i="10"/>
  <c r="R291" i="10" s="1"/>
  <c r="Q324" i="10"/>
  <c r="R324" i="10" s="1"/>
  <c r="Q334" i="10"/>
  <c r="R334" i="10" s="1"/>
  <c r="Q408" i="10"/>
  <c r="S408" i="10" s="1"/>
  <c r="Q562" i="10"/>
  <c r="U562" i="10" s="1"/>
  <c r="D149" i="1"/>
  <c r="J454" i="6"/>
  <c r="H395" i="6"/>
  <c r="J427" i="6"/>
  <c r="L427" i="6"/>
  <c r="Q569" i="10"/>
  <c r="U569" i="10" s="1"/>
  <c r="Q560" i="10"/>
  <c r="U560" i="10" s="1"/>
  <c r="Q532" i="10"/>
  <c r="R532" i="10" s="1"/>
  <c r="Q500" i="10"/>
  <c r="R500" i="10" s="1"/>
  <c r="Q491" i="10"/>
  <c r="R491" i="10" s="1"/>
  <c r="Q488" i="10"/>
  <c r="R488" i="10" s="1"/>
  <c r="Q407" i="10"/>
  <c r="S407" i="10" s="1"/>
  <c r="Q394" i="10"/>
  <c r="S394" i="10" s="1"/>
  <c r="Q326" i="10"/>
  <c r="R326" i="10" s="1"/>
  <c r="Q323" i="10"/>
  <c r="R323" i="10" s="1"/>
  <c r="Q320" i="10"/>
  <c r="R320" i="10" s="1"/>
  <c r="Q317" i="10"/>
  <c r="R317" i="10" s="1"/>
  <c r="Q314" i="10"/>
  <c r="R314" i="10" s="1"/>
  <c r="Q248" i="10"/>
  <c r="R248" i="10" s="1"/>
  <c r="Q245" i="10"/>
  <c r="R245" i="10" s="1"/>
  <c r="Q128" i="10"/>
  <c r="R128" i="10" s="1"/>
  <c r="Q119" i="10"/>
  <c r="R119" i="10" s="1"/>
  <c r="Q39" i="10"/>
  <c r="R39" i="10" s="1"/>
  <c r="Q280" i="10"/>
  <c r="R280" i="10" s="1"/>
  <c r="Q602" i="10"/>
  <c r="U602" i="10" s="1"/>
  <c r="Q572" i="10"/>
  <c r="S572" i="10" s="1"/>
  <c r="Q541" i="10"/>
  <c r="R541" i="10" s="1"/>
  <c r="Q535" i="10"/>
  <c r="R535" i="10" s="1"/>
  <c r="Q361" i="10"/>
  <c r="R361" i="10" s="1"/>
  <c r="Q358" i="10"/>
  <c r="R358" i="10" s="1"/>
  <c r="Q344" i="10"/>
  <c r="R344" i="10" s="1"/>
  <c r="Q341" i="10"/>
  <c r="R341" i="10" s="1"/>
  <c r="Q338" i="10"/>
  <c r="R338" i="10" s="1"/>
  <c r="Q335" i="10"/>
  <c r="R335" i="10" s="1"/>
  <c r="Q332" i="10"/>
  <c r="R332" i="10" s="1"/>
  <c r="Q329" i="10"/>
  <c r="R329" i="10" s="1"/>
  <c r="Q298" i="10"/>
  <c r="R298" i="10" s="1"/>
  <c r="Q295" i="10"/>
  <c r="R295" i="10" s="1"/>
  <c r="Q292" i="10"/>
  <c r="R292" i="10" s="1"/>
  <c r="Q289" i="10"/>
  <c r="R289" i="10" s="1"/>
  <c r="Q611" i="10"/>
  <c r="S611" i="10" s="1"/>
  <c r="Q608" i="10"/>
  <c r="U608" i="10" s="1"/>
  <c r="Q605" i="10"/>
  <c r="S605" i="10" s="1"/>
  <c r="Q595" i="10"/>
  <c r="U595" i="10" s="1"/>
  <c r="Q577" i="10"/>
  <c r="U577" i="10" s="1"/>
  <c r="Q547" i="10"/>
  <c r="R547" i="10" s="1"/>
  <c r="Q544" i="10"/>
  <c r="R544" i="10" s="1"/>
  <c r="Q516" i="10"/>
  <c r="R516" i="10" s="1"/>
  <c r="Q513" i="10"/>
  <c r="R513" i="10" s="1"/>
  <c r="Q510" i="10"/>
  <c r="R510" i="10" s="1"/>
  <c r="Q474" i="10"/>
  <c r="R474" i="10" s="1"/>
  <c r="Q468" i="10"/>
  <c r="R468" i="10" s="1"/>
  <c r="Q465" i="10"/>
  <c r="R465" i="10" s="1"/>
  <c r="Q462" i="10"/>
  <c r="R462" i="10" s="1"/>
  <c r="Q458" i="10"/>
  <c r="R458" i="10" s="1"/>
  <c r="Q610" i="10"/>
  <c r="U610" i="10" s="1"/>
  <c r="Q607" i="10"/>
  <c r="S607" i="10" s="1"/>
  <c r="Q594" i="10"/>
  <c r="U594" i="10" s="1"/>
  <c r="Q549" i="10"/>
  <c r="R549" i="10" s="1"/>
  <c r="Q546" i="10"/>
  <c r="R546" i="10" s="1"/>
  <c r="Q543" i="10"/>
  <c r="R543" i="10" s="1"/>
  <c r="Q515" i="10"/>
  <c r="R515" i="10" s="1"/>
  <c r="Q512" i="10"/>
  <c r="R512" i="10" s="1"/>
  <c r="Q476" i="10"/>
  <c r="R476" i="10" s="1"/>
  <c r="Q467" i="10"/>
  <c r="R467" i="10" s="1"/>
  <c r="Q464" i="10"/>
  <c r="R464" i="10" s="1"/>
  <c r="Q460" i="10"/>
  <c r="R460" i="10" s="1"/>
  <c r="Q457" i="10"/>
  <c r="R457" i="10" s="1"/>
  <c r="Q450" i="10"/>
  <c r="R450" i="10" s="1"/>
  <c r="Q444" i="10"/>
  <c r="R444" i="10" s="1"/>
  <c r="Q438" i="10"/>
  <c r="R438" i="10" s="1"/>
  <c r="Q616" i="10"/>
  <c r="S616" i="10" s="1"/>
  <c r="Q527" i="10"/>
  <c r="R527" i="10" s="1"/>
  <c r="Q524" i="10"/>
  <c r="R524" i="10" s="1"/>
  <c r="Q395" i="10"/>
  <c r="S395" i="10" s="1"/>
  <c r="Q309" i="10"/>
  <c r="R309" i="10" s="1"/>
  <c r="Q306" i="10"/>
  <c r="R306" i="10" s="1"/>
  <c r="Q165" i="10"/>
  <c r="U165" i="10" s="1"/>
  <c r="Q109" i="10"/>
  <c r="R109" i="10" s="1"/>
  <c r="Q567" i="10"/>
  <c r="U567" i="10" s="1"/>
  <c r="G436" i="6"/>
  <c r="E144" i="1" s="1"/>
  <c r="J447" i="6"/>
  <c r="D155" i="1"/>
  <c r="J450" i="6"/>
  <c r="G158" i="1" s="1"/>
  <c r="Q97" i="10"/>
  <c r="R97" i="10" s="1"/>
  <c r="Q127" i="10"/>
  <c r="R127" i="10" s="1"/>
  <c r="Q189" i="10"/>
  <c r="U189" i="10" s="1"/>
  <c r="Q206" i="10"/>
  <c r="R206" i="10" s="1"/>
  <c r="Q212" i="10"/>
  <c r="R212" i="10" s="1"/>
  <c r="Q36" i="10"/>
  <c r="R36" i="10" s="1"/>
  <c r="Q70" i="10"/>
  <c r="R70" i="10" s="1"/>
  <c r="Q86" i="10"/>
  <c r="R86" i="10" s="1"/>
  <c r="Q89" i="10"/>
  <c r="R89" i="10" s="1"/>
  <c r="Q95" i="10"/>
  <c r="R95" i="10" s="1"/>
  <c r="Q98" i="10"/>
  <c r="R98" i="10" s="1"/>
  <c r="Q104" i="10"/>
  <c r="R104" i="10" s="1"/>
  <c r="Q171" i="10"/>
  <c r="S171" i="10" s="1"/>
  <c r="Q187" i="10"/>
  <c r="S187" i="10" s="1"/>
  <c r="Q190" i="10"/>
  <c r="U190" i="10" s="1"/>
  <c r="Q207" i="10"/>
  <c r="R207" i="10" s="1"/>
  <c r="Q210" i="10"/>
  <c r="R210" i="10" s="1"/>
  <c r="Q213" i="10"/>
  <c r="R213" i="10" s="1"/>
  <c r="Q216" i="10"/>
  <c r="R216" i="10" s="1"/>
  <c r="Q219" i="10"/>
  <c r="R219" i="10" s="1"/>
  <c r="Q222" i="10"/>
  <c r="R222" i="10" s="1"/>
  <c r="Q225" i="10"/>
  <c r="R225" i="10" s="1"/>
  <c r="Q228" i="10"/>
  <c r="R228" i="10" s="1"/>
  <c r="Q234" i="10"/>
  <c r="R234" i="10" s="1"/>
  <c r="Q237" i="10"/>
  <c r="R237" i="10" s="1"/>
  <c r="Q249" i="10"/>
  <c r="R249" i="10" s="1"/>
  <c r="Q288" i="10"/>
  <c r="R288" i="10" s="1"/>
  <c r="Q321" i="10"/>
  <c r="R321" i="10" s="1"/>
  <c r="Q331" i="10"/>
  <c r="R331" i="10" s="1"/>
  <c r="Q373" i="10"/>
  <c r="U373" i="10" s="1"/>
  <c r="Q376" i="10"/>
  <c r="S376" i="10" s="1"/>
  <c r="Q385" i="10"/>
  <c r="S385" i="10" s="1"/>
  <c r="Q392" i="10"/>
  <c r="S392" i="10" s="1"/>
  <c r="Q420" i="10"/>
  <c r="R420" i="10" s="1"/>
  <c r="Q445" i="10"/>
  <c r="R445" i="10" s="1"/>
  <c r="Q459" i="10"/>
  <c r="R459" i="10" s="1"/>
  <c r="Q501" i="10"/>
  <c r="R501" i="10" s="1"/>
  <c r="Q522" i="10"/>
  <c r="R522" i="10" s="1"/>
  <c r="Q185" i="10"/>
  <c r="U185" i="10" s="1"/>
  <c r="J382" i="6"/>
  <c r="H382" i="6"/>
  <c r="D61" i="1"/>
  <c r="I61" i="1" s="1"/>
  <c r="L393" i="6"/>
  <c r="G403" i="6"/>
  <c r="H411" i="6"/>
  <c r="D90" i="1"/>
  <c r="I90" i="1" s="1"/>
  <c r="H389" i="6"/>
  <c r="H397" i="6"/>
  <c r="H403" i="6"/>
  <c r="J446" i="6"/>
  <c r="G154" i="1" s="1"/>
  <c r="H452" i="6"/>
  <c r="I46" i="1"/>
  <c r="G450" i="6"/>
  <c r="E158" i="1" s="1"/>
  <c r="Q201" i="10"/>
  <c r="R201" i="10" s="1"/>
  <c r="G154" i="6"/>
  <c r="F46" i="1"/>
  <c r="G456" i="6"/>
  <c r="G46" i="1"/>
  <c r="EX2" i="2"/>
  <c r="EY2" i="2" s="1"/>
  <c r="U174" i="10"/>
  <c r="S590" i="10"/>
  <c r="S606" i="10"/>
  <c r="R154" i="10"/>
  <c r="U152" i="10"/>
  <c r="U176" i="10"/>
  <c r="G165" i="1"/>
  <c r="I50" i="1"/>
  <c r="Q174" i="10"/>
  <c r="S174" i="10" s="1"/>
  <c r="F81" i="1"/>
  <c r="G50" i="1"/>
  <c r="G37" i="6"/>
  <c r="O37" i="6" s="1"/>
  <c r="G35" i="6"/>
  <c r="O34" i="6"/>
  <c r="G57" i="6"/>
  <c r="O57" i="6" s="1"/>
  <c r="J374" i="6"/>
  <c r="D53" i="1"/>
  <c r="I163" i="1"/>
  <c r="G163" i="1"/>
  <c r="F163" i="1"/>
  <c r="O20" i="6"/>
  <c r="U621" i="10"/>
  <c r="S621" i="10"/>
  <c r="I48" i="1"/>
  <c r="F48" i="1"/>
  <c r="G88" i="1"/>
  <c r="I88" i="1"/>
  <c r="G66" i="6"/>
  <c r="O66" i="6" s="1"/>
  <c r="O65" i="6"/>
  <c r="I73" i="1"/>
  <c r="F73" i="1"/>
  <c r="F85" i="1"/>
  <c r="F88" i="1"/>
  <c r="G67" i="6"/>
  <c r="O64" i="6"/>
  <c r="F86" i="1"/>
  <c r="I86" i="1"/>
  <c r="G86" i="1"/>
  <c r="O52" i="6"/>
  <c r="O59" i="6"/>
  <c r="Q154" i="10" s="1"/>
  <c r="G112" i="6"/>
  <c r="O53" i="6"/>
  <c r="O54" i="6"/>
  <c r="I81" i="1"/>
  <c r="U374" i="10"/>
  <c r="M374" i="10" s="1"/>
  <c r="S406" i="10"/>
  <c r="I78" i="1"/>
  <c r="G114" i="1"/>
  <c r="G48" i="1"/>
  <c r="G85" i="1"/>
  <c r="O32" i="6"/>
  <c r="J426" i="6"/>
  <c r="H426" i="6"/>
  <c r="L426" i="6"/>
  <c r="G426" i="6"/>
  <c r="F77" i="1"/>
  <c r="I77" i="1"/>
  <c r="F165" i="1"/>
  <c r="J387" i="6"/>
  <c r="L387" i="6"/>
  <c r="G387" i="6"/>
  <c r="H387" i="6"/>
  <c r="D66" i="1"/>
  <c r="G25" i="6"/>
  <c r="O25" i="6" s="1"/>
  <c r="G23" i="6"/>
  <c r="O23" i="6" s="1"/>
  <c r="O22" i="6"/>
  <c r="O51" i="6"/>
  <c r="G56" i="6"/>
  <c r="O56" i="6" s="1"/>
  <c r="O55" i="6"/>
  <c r="J398" i="6"/>
  <c r="H398" i="6"/>
  <c r="G398" i="6"/>
  <c r="L398" i="6"/>
  <c r="F78" i="1"/>
  <c r="F114" i="1"/>
  <c r="J399" i="6"/>
  <c r="H399" i="6"/>
  <c r="G399" i="6"/>
  <c r="L399" i="6"/>
  <c r="G59" i="1"/>
  <c r="G161" i="1"/>
  <c r="F161" i="1"/>
  <c r="G63" i="6"/>
  <c r="O62" i="6"/>
  <c r="G423" i="6"/>
  <c r="M423" i="6" s="1"/>
  <c r="G463" i="6"/>
  <c r="M463" i="6" s="1"/>
  <c r="M465" i="6" s="1"/>
  <c r="G454" i="6"/>
  <c r="G438" i="6"/>
  <c r="G433" i="6"/>
  <c r="E141" i="1" s="1"/>
  <c r="J413" i="6"/>
  <c r="G422" i="6"/>
  <c r="G421" i="6"/>
  <c r="M421" i="6" s="1"/>
  <c r="G409" i="6"/>
  <c r="G424" i="6"/>
  <c r="M424" i="6" s="1"/>
  <c r="G386" i="6"/>
  <c r="M386" i="6" s="1"/>
  <c r="G384" i="6"/>
  <c r="G382" i="6"/>
  <c r="M382" i="6" s="1"/>
  <c r="G447" i="6"/>
  <c r="G443" i="6"/>
  <c r="H264" i="6"/>
  <c r="Q597" i="10"/>
  <c r="U597" i="10" s="1"/>
  <c r="Q592" i="10"/>
  <c r="G397" i="6"/>
  <c r="G452" i="6"/>
  <c r="G389" i="6"/>
  <c r="M389" i="6" s="1"/>
  <c r="H371" i="6"/>
  <c r="F50" i="1" s="1"/>
  <c r="G401" i="6"/>
  <c r="G385" i="6"/>
  <c r="M385" i="6" s="1"/>
  <c r="Q599" i="10"/>
  <c r="Q571" i="10"/>
  <c r="Q529" i="10"/>
  <c r="R529" i="10" s="1"/>
  <c r="G420" i="6"/>
  <c r="M420" i="6" s="1"/>
  <c r="Q604" i="10"/>
  <c r="S604" i="10" s="1"/>
  <c r="Q573" i="10"/>
  <c r="Q542" i="10"/>
  <c r="R542" i="10" s="1"/>
  <c r="Q534" i="10"/>
  <c r="R534" i="10" s="1"/>
  <c r="Q518" i="10"/>
  <c r="R518" i="10" s="1"/>
  <c r="Q484" i="10"/>
  <c r="R484" i="10" s="1"/>
  <c r="G448" i="6"/>
  <c r="E156" i="1" s="1"/>
  <c r="G440" i="6"/>
  <c r="G405" i="6"/>
  <c r="G373" i="6"/>
  <c r="E52" i="1" s="1"/>
  <c r="G371" i="6"/>
  <c r="M371" i="6" s="1"/>
  <c r="G410" i="6"/>
  <c r="J444" i="6"/>
  <c r="G152" i="1" s="1"/>
  <c r="O302" i="6"/>
  <c r="Q311" i="10" s="1"/>
  <c r="R311" i="10" s="1"/>
  <c r="J391" i="6"/>
  <c r="H391" i="6"/>
  <c r="G391" i="6"/>
  <c r="D70" i="1"/>
  <c r="L391" i="6"/>
  <c r="O34" i="7"/>
  <c r="G131" i="7" s="1"/>
  <c r="L264" i="6"/>
  <c r="M264" i="6" s="1"/>
  <c r="P264" i="6" s="1"/>
  <c r="O292" i="6"/>
  <c r="G285" i="6"/>
  <c r="O285" i="6" s="1"/>
  <c r="G287" i="6"/>
  <c r="O287" i="6" s="1"/>
  <c r="G284" i="6"/>
  <c r="O284" i="6" s="1"/>
  <c r="J381" i="6"/>
  <c r="D60" i="1"/>
  <c r="J436" i="6"/>
  <c r="G144" i="1" s="1"/>
  <c r="U162" i="10"/>
  <c r="M162" i="10" s="1"/>
  <c r="I89" i="1"/>
  <c r="G89" i="1"/>
  <c r="G147" i="1"/>
  <c r="I147" i="1"/>
  <c r="F147" i="1"/>
  <c r="G54" i="1"/>
  <c r="J458" i="6"/>
  <c r="G166" i="1" s="1"/>
  <c r="G458" i="6"/>
  <c r="E166" i="1" s="1"/>
  <c r="F49" i="1"/>
  <c r="G71" i="1"/>
  <c r="G79" i="1"/>
  <c r="F89" i="1"/>
  <c r="I159" i="1"/>
  <c r="F159" i="1"/>
  <c r="G36" i="6"/>
  <c r="O36" i="6" s="1"/>
  <c r="G57" i="1"/>
  <c r="L442" i="6"/>
  <c r="H442" i="6"/>
  <c r="J442" i="6"/>
  <c r="G442" i="6"/>
  <c r="D150" i="1"/>
  <c r="G44" i="1"/>
  <c r="J414" i="6"/>
  <c r="D92" i="1"/>
  <c r="G425" i="6"/>
  <c r="M425" i="6" s="1"/>
  <c r="O115" i="6"/>
  <c r="L400" i="6"/>
  <c r="H400" i="6"/>
  <c r="J400" i="6"/>
  <c r="G400" i="6"/>
  <c r="J434" i="6"/>
  <c r="G142" i="1" s="1"/>
  <c r="G434" i="6"/>
  <c r="E142" i="1" s="1"/>
  <c r="J453" i="6"/>
  <c r="H453" i="6"/>
  <c r="G453" i="6"/>
  <c r="J410" i="6"/>
  <c r="H410" i="6"/>
  <c r="L410" i="6"/>
  <c r="G451" i="6"/>
  <c r="M451" i="6" s="1"/>
  <c r="O58" i="6"/>
  <c r="L408" i="6"/>
  <c r="H408" i="6"/>
  <c r="J408" i="6"/>
  <c r="L453" i="6"/>
  <c r="O118" i="6"/>
  <c r="G408" i="6"/>
  <c r="G156" i="1"/>
  <c r="G376" i="6"/>
  <c r="M273" i="6"/>
  <c r="P273" i="6" s="1"/>
  <c r="L406" i="6"/>
  <c r="J406" i="6"/>
  <c r="H406" i="6"/>
  <c r="G241" i="6"/>
  <c r="O240" i="6"/>
  <c r="Q158" i="10" s="1"/>
  <c r="O315" i="6"/>
  <c r="J383" i="6"/>
  <c r="H383" i="6"/>
  <c r="G383" i="6"/>
  <c r="J402" i="6"/>
  <c r="H402" i="6"/>
  <c r="L402" i="6"/>
  <c r="G402" i="6"/>
  <c r="J407" i="6"/>
  <c r="H407" i="6"/>
  <c r="G407" i="6"/>
  <c r="O28" i="7"/>
  <c r="G395" i="6"/>
  <c r="G282" i="6"/>
  <c r="O282" i="6" s="1"/>
  <c r="Q449" i="10" s="1"/>
  <c r="R449" i="10" s="1"/>
  <c r="J372" i="6"/>
  <c r="G51" i="1" s="1"/>
  <c r="J379" i="6"/>
  <c r="G58" i="1" s="1"/>
  <c r="L392" i="6"/>
  <c r="H392" i="6"/>
  <c r="J394" i="6"/>
  <c r="H394" i="6"/>
  <c r="G153" i="1"/>
  <c r="J457" i="6"/>
  <c r="H457" i="6"/>
  <c r="L384" i="6"/>
  <c r="H384" i="6"/>
  <c r="J386" i="6"/>
  <c r="H386" i="6"/>
  <c r="G390" i="6"/>
  <c r="M390" i="6" s="1"/>
  <c r="G392" i="6"/>
  <c r="G394" i="6"/>
  <c r="G427" i="6"/>
  <c r="G445" i="6"/>
  <c r="E153" i="1" s="1"/>
  <c r="J449" i="6"/>
  <c r="G157" i="1" s="1"/>
  <c r="G449" i="6"/>
  <c r="E157" i="1" s="1"/>
  <c r="L455" i="6"/>
  <c r="J455" i="6"/>
  <c r="G455" i="6"/>
  <c r="G457" i="6"/>
  <c r="H390" i="6"/>
  <c r="H427" i="6"/>
  <c r="J441" i="6"/>
  <c r="G441" i="6"/>
  <c r="J377" i="6"/>
  <c r="G56" i="1" s="1"/>
  <c r="J415" i="6"/>
  <c r="G93" i="1" s="1"/>
  <c r="L439" i="6"/>
  <c r="J439" i="6"/>
  <c r="G439" i="6"/>
  <c r="L394" i="6"/>
  <c r="G411" i="6"/>
  <c r="M411" i="6" s="1"/>
  <c r="G437" i="6"/>
  <c r="H439" i="6"/>
  <c r="L457" i="6"/>
  <c r="G388" i="6"/>
  <c r="G396" i="6"/>
  <c r="G404" i="6"/>
  <c r="G412" i="6"/>
  <c r="M412" i="6" s="1"/>
  <c r="G446" i="6"/>
  <c r="E154" i="1" s="1"/>
  <c r="G236" i="6"/>
  <c r="G238" i="6"/>
  <c r="S161" i="10"/>
  <c r="U603" i="10"/>
  <c r="S603" i="10"/>
  <c r="S393" i="10"/>
  <c r="S561" i="10"/>
  <c r="M561" i="10" s="1"/>
  <c r="S398" i="10"/>
  <c r="R135" i="9" l="1"/>
  <c r="S135" i="9" s="1"/>
  <c r="M115" i="9"/>
  <c r="P115" i="9" s="1"/>
  <c r="P113" i="9" s="1"/>
  <c r="R113" i="9" s="1"/>
  <c r="S113" i="9" s="1"/>
  <c r="M105" i="9"/>
  <c r="P105" i="9" s="1"/>
  <c r="M97" i="9"/>
  <c r="P97" i="9" s="1"/>
  <c r="L196" i="9"/>
  <c r="I130" i="1" s="1"/>
  <c r="M100" i="9"/>
  <c r="P100" i="9" s="1"/>
  <c r="G106" i="9"/>
  <c r="O106" i="9" s="1"/>
  <c r="F82" i="1"/>
  <c r="P96" i="9"/>
  <c r="R96" i="9" s="1"/>
  <c r="S96" i="9" s="1"/>
  <c r="R78" i="9"/>
  <c r="S78" i="9" s="1"/>
  <c r="G68" i="1"/>
  <c r="NS2" i="2"/>
  <c r="G122" i="9"/>
  <c r="G119" i="9" s="1"/>
  <c r="G120" i="9" s="1"/>
  <c r="O120" i="9" s="1"/>
  <c r="G152" i="6"/>
  <c r="O152" i="6" s="1"/>
  <c r="O149" i="6"/>
  <c r="OC2" i="2"/>
  <c r="M49" i="9"/>
  <c r="P49" i="9" s="1"/>
  <c r="O52" i="9"/>
  <c r="ABQ2" i="2"/>
  <c r="M328" i="6"/>
  <c r="P328" i="6" s="1"/>
  <c r="G63" i="9"/>
  <c r="G62" i="9" s="1"/>
  <c r="G193" i="9"/>
  <c r="E127" i="1" s="1"/>
  <c r="M127" i="1" s="1"/>
  <c r="G325" i="6"/>
  <c r="G174" i="6" s="1"/>
  <c r="M126" i="9"/>
  <c r="P126" i="9" s="1"/>
  <c r="G142" i="6"/>
  <c r="G145" i="6" s="1"/>
  <c r="G97" i="6"/>
  <c r="O97" i="6" s="1"/>
  <c r="G329" i="6"/>
  <c r="O329" i="6" s="1"/>
  <c r="MO2" i="2"/>
  <c r="M149" i="6"/>
  <c r="P149" i="6" s="1"/>
  <c r="M68" i="7"/>
  <c r="P68" i="7" s="1"/>
  <c r="M403" i="6"/>
  <c r="ZS2" i="2"/>
  <c r="G68" i="9"/>
  <c r="M68" i="9" s="1"/>
  <c r="Q68" i="9" s="1"/>
  <c r="Q64" i="9" s="1"/>
  <c r="M36" i="9"/>
  <c r="P36" i="9" s="1"/>
  <c r="AAU2" i="2"/>
  <c r="O48" i="9"/>
  <c r="G156" i="6"/>
  <c r="O156" i="6" s="1"/>
  <c r="M48" i="9"/>
  <c r="P48" i="9" s="1"/>
  <c r="RI2" i="2"/>
  <c r="M164" i="6"/>
  <c r="P164" i="6" s="1"/>
  <c r="UK2" i="2"/>
  <c r="G34" i="9"/>
  <c r="G32" i="9" s="1"/>
  <c r="O32" i="9" s="1"/>
  <c r="G13" i="9"/>
  <c r="O13" i="9" s="1"/>
  <c r="G73" i="7"/>
  <c r="O73" i="7" s="1"/>
  <c r="M50" i="9"/>
  <c r="P50" i="9" s="1"/>
  <c r="ZI2" i="2"/>
  <c r="G73" i="9"/>
  <c r="G46" i="9"/>
  <c r="G41" i="9" s="1"/>
  <c r="O41" i="9" s="1"/>
  <c r="O164" i="6"/>
  <c r="LW2" i="2"/>
  <c r="O334" i="6"/>
  <c r="Q600" i="10" s="1"/>
  <c r="U600" i="10" s="1"/>
  <c r="OM2" i="2"/>
  <c r="M52" i="9"/>
  <c r="Q52" i="9" s="1"/>
  <c r="Q47" i="9" s="1"/>
  <c r="TS2" i="2"/>
  <c r="G13" i="7"/>
  <c r="G196" i="6"/>
  <c r="G77" i="9"/>
  <c r="O77" i="9" s="1"/>
  <c r="G226" i="9" s="1"/>
  <c r="M226" i="9" s="1"/>
  <c r="WI2" i="2"/>
  <c r="G58" i="9"/>
  <c r="G186" i="6"/>
  <c r="G180" i="6" s="1"/>
  <c r="G181" i="6" s="1"/>
  <c r="M51" i="9"/>
  <c r="P51" i="9" s="1"/>
  <c r="F68" i="1"/>
  <c r="Q421" i="10"/>
  <c r="R421" i="10" s="1"/>
  <c r="O36" i="9"/>
  <c r="Q478" i="10" s="1"/>
  <c r="R478" i="10" s="1"/>
  <c r="I82" i="1"/>
  <c r="G75" i="1"/>
  <c r="F177" i="1"/>
  <c r="G69" i="1"/>
  <c r="M606" i="10"/>
  <c r="F75" i="1"/>
  <c r="G67" i="1"/>
  <c r="G64" i="1"/>
  <c r="I65" i="1"/>
  <c r="I164" i="1"/>
  <c r="F65" i="1"/>
  <c r="F67" i="1"/>
  <c r="F69" i="1"/>
  <c r="M407" i="6"/>
  <c r="M404" i="6"/>
  <c r="M388" i="6"/>
  <c r="M396" i="6"/>
  <c r="M456" i="6"/>
  <c r="M406" i="10"/>
  <c r="F164" i="1"/>
  <c r="G330" i="6"/>
  <c r="O330" i="6" s="1"/>
  <c r="Q473" i="10" s="1"/>
  <c r="R473" i="10" s="1"/>
  <c r="I148" i="1"/>
  <c r="F64" i="1"/>
  <c r="M332" i="6"/>
  <c r="P332" i="6" s="1"/>
  <c r="I160" i="1"/>
  <c r="G143" i="1"/>
  <c r="F59" i="1"/>
  <c r="E148" i="1"/>
  <c r="O332" i="6"/>
  <c r="Q74" i="10" s="1"/>
  <c r="R74" i="10" s="1"/>
  <c r="F148" i="1"/>
  <c r="M37" i="6"/>
  <c r="Q37" i="6" s="1"/>
  <c r="Q30" i="6" s="1"/>
  <c r="I59" i="1"/>
  <c r="G160" i="1"/>
  <c r="M282" i="6"/>
  <c r="M334" i="6"/>
  <c r="Q334" i="6" s="1"/>
  <c r="Q326" i="6" s="1"/>
  <c r="M66" i="6"/>
  <c r="P66" i="6" s="1"/>
  <c r="M398" i="10"/>
  <c r="L104" i="7"/>
  <c r="I99" i="1" s="1"/>
  <c r="J99" i="1" s="1"/>
  <c r="Q249" i="6"/>
  <c r="M590" i="10"/>
  <c r="M18" i="7"/>
  <c r="P18" i="7" s="1"/>
  <c r="P15" i="7" s="1"/>
  <c r="P14" i="7" s="1"/>
  <c r="G138" i="6"/>
  <c r="M138" i="6" s="1"/>
  <c r="M169" i="6"/>
  <c r="P169" i="6" s="1"/>
  <c r="M38" i="9"/>
  <c r="Q38" i="9" s="1"/>
  <c r="Q35" i="9" s="1"/>
  <c r="G56" i="7"/>
  <c r="G55" i="7" s="1"/>
  <c r="O55" i="7" s="1"/>
  <c r="M136" i="6"/>
  <c r="P136" i="6" s="1"/>
  <c r="MQ2" i="2"/>
  <c r="G58" i="7"/>
  <c r="O58" i="7" s="1"/>
  <c r="G120" i="6"/>
  <c r="O120" i="6" s="1"/>
  <c r="O69" i="7"/>
  <c r="O160" i="6"/>
  <c r="M69" i="7"/>
  <c r="Q69" i="7" s="1"/>
  <c r="Q65" i="7" s="1"/>
  <c r="RU2" i="2"/>
  <c r="G170" i="6"/>
  <c r="M170" i="6" s="1"/>
  <c r="P170" i="6" s="1"/>
  <c r="M160" i="6"/>
  <c r="P160" i="6" s="1"/>
  <c r="G67" i="7"/>
  <c r="O67" i="7" s="1"/>
  <c r="G8" i="9"/>
  <c r="O8" i="9" s="1"/>
  <c r="G178" i="9" s="1"/>
  <c r="M66" i="7"/>
  <c r="P66" i="7" s="1"/>
  <c r="G57" i="7"/>
  <c r="M57" i="7" s="1"/>
  <c r="Q57" i="7" s="1"/>
  <c r="G62" i="7"/>
  <c r="O62" i="7" s="1"/>
  <c r="O64" i="7"/>
  <c r="G61" i="7"/>
  <c r="O61" i="7" s="1"/>
  <c r="Q46" i="10" s="1"/>
  <c r="R46" i="10" s="1"/>
  <c r="G19" i="9"/>
  <c r="M19" i="9" s="1"/>
  <c r="Q19" i="9" s="1"/>
  <c r="Q15" i="9" s="1"/>
  <c r="TQ2" i="2"/>
  <c r="M104" i="9"/>
  <c r="P104" i="9" s="1"/>
  <c r="M339" i="6"/>
  <c r="Q339" i="6" s="1"/>
  <c r="Q335" i="6" s="1"/>
  <c r="G343" i="6"/>
  <c r="O343" i="6" s="1"/>
  <c r="Q574" i="10" s="1"/>
  <c r="U574" i="10" s="1"/>
  <c r="R49" i="1"/>
  <c r="R56" i="1" s="1"/>
  <c r="M21" i="9"/>
  <c r="P21" i="9" s="1"/>
  <c r="G46" i="7"/>
  <c r="O46" i="7" s="1"/>
  <c r="G29" i="9"/>
  <c r="O29" i="9" s="1"/>
  <c r="O24" i="9"/>
  <c r="G336" i="6"/>
  <c r="G338" i="6" s="1"/>
  <c r="O338" i="6" s="1"/>
  <c r="G23" i="9"/>
  <c r="O23" i="9" s="1"/>
  <c r="G85" i="9"/>
  <c r="M85" i="9" s="1"/>
  <c r="P85" i="9" s="1"/>
  <c r="G76" i="6"/>
  <c r="M76" i="6" s="1"/>
  <c r="Q76" i="6" s="1"/>
  <c r="Q615" i="10"/>
  <c r="U615" i="10" s="1"/>
  <c r="G108" i="6"/>
  <c r="M108" i="6" s="1"/>
  <c r="P108" i="6" s="1"/>
  <c r="O63" i="7"/>
  <c r="M114" i="6"/>
  <c r="P114" i="6" s="1"/>
  <c r="M99" i="6"/>
  <c r="P99" i="6" s="1"/>
  <c r="U386" i="10"/>
  <c r="M386" i="10" s="1"/>
  <c r="M131" i="6"/>
  <c r="P131" i="6" s="1"/>
  <c r="M83" i="9"/>
  <c r="P83" i="9" s="1"/>
  <c r="M247" i="6"/>
  <c r="Q247" i="6" s="1"/>
  <c r="Q242" i="6" s="1"/>
  <c r="G95" i="6"/>
  <c r="G96" i="6" s="1"/>
  <c r="G91" i="6"/>
  <c r="G81" i="6" s="1"/>
  <c r="O125" i="6"/>
  <c r="Q426" i="10"/>
  <c r="R426" i="10" s="1"/>
  <c r="M327" i="6"/>
  <c r="P327" i="6" s="1"/>
  <c r="M105" i="6"/>
  <c r="Q105" i="6" s="1"/>
  <c r="O82" i="9"/>
  <c r="G189" i="9" s="1"/>
  <c r="M189" i="9" s="1"/>
  <c r="M84" i="9"/>
  <c r="P84" i="9" s="1"/>
  <c r="O105" i="6"/>
  <c r="G104" i="6"/>
  <c r="G94" i="6" s="1"/>
  <c r="G86" i="9"/>
  <c r="O86" i="9" s="1"/>
  <c r="G98" i="6"/>
  <c r="M98" i="6" s="1"/>
  <c r="P98" i="6" s="1"/>
  <c r="G342" i="6"/>
  <c r="O342" i="6" s="1"/>
  <c r="S49" i="1"/>
  <c r="S56" i="1" s="1"/>
  <c r="M24" i="9"/>
  <c r="Q24" i="9" s="1"/>
  <c r="Q20" i="9" s="1"/>
  <c r="O327" i="6"/>
  <c r="G103" i="6"/>
  <c r="M103" i="6" s="1"/>
  <c r="Q103" i="6" s="1"/>
  <c r="Q614" i="10"/>
  <c r="U614" i="10" s="1"/>
  <c r="G243" i="6"/>
  <c r="G244" i="6" s="1"/>
  <c r="O244" i="6" s="1"/>
  <c r="Q349" i="10" s="1"/>
  <c r="R349" i="10" s="1"/>
  <c r="G126" i="6"/>
  <c r="O126" i="6" s="1"/>
  <c r="G12" i="6"/>
  <c r="G14" i="6" s="1"/>
  <c r="M125" i="6"/>
  <c r="P125" i="6" s="1"/>
  <c r="G45" i="7"/>
  <c r="G40" i="7" s="1"/>
  <c r="O40" i="7" s="1"/>
  <c r="M341" i="6"/>
  <c r="P341" i="6" s="1"/>
  <c r="O38" i="9"/>
  <c r="Q598" i="10" s="1"/>
  <c r="U598" i="10" s="1"/>
  <c r="F74" i="6"/>
  <c r="G73" i="6" s="1"/>
  <c r="M71" i="6"/>
  <c r="P71" i="6" s="1"/>
  <c r="M64" i="7"/>
  <c r="Q64" i="7" s="1"/>
  <c r="Q60" i="7" s="1"/>
  <c r="SW2" i="2"/>
  <c r="AFS2" i="2"/>
  <c r="G44" i="7"/>
  <c r="G9" i="9" s="1"/>
  <c r="O9" i="9" s="1"/>
  <c r="G221" i="9" s="1"/>
  <c r="M221" i="9" s="1"/>
  <c r="KU2" i="2"/>
  <c r="F76" i="6"/>
  <c r="G72" i="6" s="1"/>
  <c r="M72" i="6" s="1"/>
  <c r="P72" i="6" s="1"/>
  <c r="O21" i="9"/>
  <c r="SY2" i="2"/>
  <c r="G130" i="6"/>
  <c r="O130" i="6" s="1"/>
  <c r="G6" i="9"/>
  <c r="O6" i="9" s="1"/>
  <c r="O114" i="6"/>
  <c r="JQ2" i="2"/>
  <c r="G47" i="7"/>
  <c r="G109" i="6"/>
  <c r="O109" i="6" s="1"/>
  <c r="Q427" i="10" s="1"/>
  <c r="R427" i="10" s="1"/>
  <c r="EQ2" i="2"/>
  <c r="G11" i="9"/>
  <c r="M79" i="6"/>
  <c r="P79" i="6" s="1"/>
  <c r="G59" i="7"/>
  <c r="M22" i="9"/>
  <c r="P22" i="9" s="1"/>
  <c r="MY2" i="2"/>
  <c r="E177" i="1"/>
  <c r="I173" i="1"/>
  <c r="G116" i="1"/>
  <c r="I170" i="1"/>
  <c r="M194" i="9"/>
  <c r="M227" i="9"/>
  <c r="E128" i="1"/>
  <c r="M128" i="1" s="1"/>
  <c r="F128" i="1"/>
  <c r="I115" i="1"/>
  <c r="F115" i="1"/>
  <c r="G128" i="1"/>
  <c r="F121" i="1"/>
  <c r="F111" i="1"/>
  <c r="E133" i="1"/>
  <c r="M133" i="1" s="1"/>
  <c r="G80" i="1"/>
  <c r="I121" i="1"/>
  <c r="F173" i="1"/>
  <c r="F170" i="1"/>
  <c r="F133" i="1"/>
  <c r="F176" i="1"/>
  <c r="E176" i="1"/>
  <c r="G133" i="1"/>
  <c r="M37" i="9"/>
  <c r="P37" i="9" s="1"/>
  <c r="M63" i="7"/>
  <c r="P63" i="7" s="1"/>
  <c r="M161" i="10"/>
  <c r="M220" i="9"/>
  <c r="M232" i="9" s="1"/>
  <c r="L168" i="9" s="1"/>
  <c r="U609" i="10"/>
  <c r="M609" i="10" s="1"/>
  <c r="H187" i="9"/>
  <c r="F122" i="1" s="1"/>
  <c r="E130" i="1"/>
  <c r="M130" i="1" s="1"/>
  <c r="S620" i="10"/>
  <c r="M620" i="10" s="1"/>
  <c r="M179" i="9"/>
  <c r="M237" i="9"/>
  <c r="E131" i="1"/>
  <c r="M131" i="1" s="1"/>
  <c r="L225" i="9"/>
  <c r="I175" i="1" s="1"/>
  <c r="F131" i="1"/>
  <c r="G176" i="1"/>
  <c r="F109" i="1"/>
  <c r="F174" i="1"/>
  <c r="I122" i="1"/>
  <c r="I171" i="1"/>
  <c r="S383" i="10"/>
  <c r="M383" i="10" s="1"/>
  <c r="G109" i="1"/>
  <c r="F130" i="1"/>
  <c r="L199" i="9"/>
  <c r="M199" i="9" s="1"/>
  <c r="S371" i="10"/>
  <c r="M371" i="10" s="1"/>
  <c r="G130" i="1"/>
  <c r="M197" i="9"/>
  <c r="I116" i="1"/>
  <c r="F107" i="1"/>
  <c r="I111" i="1"/>
  <c r="L229" i="9"/>
  <c r="M229" i="9" s="1"/>
  <c r="L110" i="7"/>
  <c r="I105" i="1" s="1"/>
  <c r="M76" i="9"/>
  <c r="P76" i="9" s="1"/>
  <c r="P75" i="9" s="1"/>
  <c r="M188" i="9"/>
  <c r="L375" i="6"/>
  <c r="I54" i="1" s="1"/>
  <c r="L444" i="6"/>
  <c r="I152" i="1" s="1"/>
  <c r="L198" i="9"/>
  <c r="M198" i="9" s="1"/>
  <c r="M34" i="7"/>
  <c r="Q34" i="7" s="1"/>
  <c r="Q22" i="7" s="1"/>
  <c r="Q21" i="7" s="1"/>
  <c r="M128" i="9"/>
  <c r="P128" i="9" s="1"/>
  <c r="P307" i="6"/>
  <c r="R307" i="6" s="1"/>
  <c r="L433" i="6"/>
  <c r="I141" i="1" s="1"/>
  <c r="J141" i="1" s="1"/>
  <c r="L373" i="6"/>
  <c r="I52" i="1" s="1"/>
  <c r="J52" i="1" s="1"/>
  <c r="N52" i="1" s="1"/>
  <c r="M7" i="6"/>
  <c r="Q7" i="6" s="1"/>
  <c r="Q5" i="6" s="1"/>
  <c r="Q4" i="6" s="1"/>
  <c r="R4" i="6" s="1"/>
  <c r="S4" i="6" s="1"/>
  <c r="L107" i="7"/>
  <c r="M107" i="7" s="1"/>
  <c r="Q295" i="6"/>
  <c r="Q294" i="6" s="1"/>
  <c r="M28" i="7"/>
  <c r="P28" i="7" s="1"/>
  <c r="R148" i="9"/>
  <c r="S148" i="9" s="1"/>
  <c r="L230" i="9"/>
  <c r="M230" i="9" s="1"/>
  <c r="L441" i="6"/>
  <c r="I149" i="1" s="1"/>
  <c r="I123" i="1"/>
  <c r="R147" i="9"/>
  <c r="P198" i="6"/>
  <c r="L112" i="7"/>
  <c r="I107" i="1" s="1"/>
  <c r="L200" i="9"/>
  <c r="L100" i="7"/>
  <c r="I95" i="1" s="1"/>
  <c r="Q198" i="6"/>
  <c r="M87" i="9"/>
  <c r="Q87" i="9" s="1"/>
  <c r="Q81" i="9" s="1"/>
  <c r="M28" i="6"/>
  <c r="Q28" i="6" s="1"/>
  <c r="M29" i="7"/>
  <c r="P29" i="7" s="1"/>
  <c r="M129" i="9"/>
  <c r="P129" i="9" s="1"/>
  <c r="L195" i="9"/>
  <c r="M195" i="9" s="1"/>
  <c r="L450" i="6"/>
  <c r="M450" i="6" s="1"/>
  <c r="M82" i="9"/>
  <c r="P82" i="9" s="1"/>
  <c r="Q103" i="9"/>
  <c r="Q271" i="6"/>
  <c r="L372" i="6"/>
  <c r="I51" i="1" s="1"/>
  <c r="M150" i="6"/>
  <c r="P150" i="6" s="1"/>
  <c r="L191" i="9"/>
  <c r="M216" i="9"/>
  <c r="L99" i="7"/>
  <c r="I94" i="1" s="1"/>
  <c r="P271" i="6"/>
  <c r="I131" i="1"/>
  <c r="L448" i="6"/>
  <c r="I156" i="1" s="1"/>
  <c r="J156" i="1" s="1"/>
  <c r="M393" i="10"/>
  <c r="M20" i="7"/>
  <c r="Q20" i="7" s="1"/>
  <c r="Q15" i="7" s="1"/>
  <c r="Q14" i="7" s="1"/>
  <c r="M66" i="9"/>
  <c r="P66" i="9" s="1"/>
  <c r="P249" i="6"/>
  <c r="L446" i="6"/>
  <c r="M446" i="6" s="1"/>
  <c r="L102" i="7"/>
  <c r="I97" i="1" s="1"/>
  <c r="J97" i="1" s="1"/>
  <c r="N97" i="1" s="1"/>
  <c r="L105" i="7"/>
  <c r="M105" i="7" s="1"/>
  <c r="L103" i="7"/>
  <c r="I98" i="1" s="1"/>
  <c r="L111" i="7"/>
  <c r="I106" i="1" s="1"/>
  <c r="M131" i="9"/>
  <c r="P131" i="9" s="1"/>
  <c r="L193" i="9"/>
  <c r="L192" i="9"/>
  <c r="I126" i="1" s="1"/>
  <c r="J126" i="1" s="1"/>
  <c r="N126" i="1" s="1"/>
  <c r="M125" i="9"/>
  <c r="P125" i="9" s="1"/>
  <c r="P295" i="6"/>
  <c r="I128" i="1"/>
  <c r="L130" i="7"/>
  <c r="I168" i="1" s="1"/>
  <c r="L106" i="7"/>
  <c r="I101" i="1" s="1"/>
  <c r="J101" i="1" s="1"/>
  <c r="N101" i="1" s="1"/>
  <c r="I174" i="1"/>
  <c r="M95" i="9"/>
  <c r="Q95" i="9" s="1"/>
  <c r="Q89" i="9" s="1"/>
  <c r="M91" i="9"/>
  <c r="P91" i="9" s="1"/>
  <c r="P89" i="9" s="1"/>
  <c r="L190" i="9"/>
  <c r="M190" i="9" s="1"/>
  <c r="F113" i="1"/>
  <c r="G124" i="1"/>
  <c r="F117" i="1"/>
  <c r="F116" i="1"/>
  <c r="G118" i="1"/>
  <c r="G122" i="1"/>
  <c r="I113" i="1"/>
  <c r="F108" i="1"/>
  <c r="I176" i="1"/>
  <c r="E129" i="1"/>
  <c r="M129" i="1" s="1"/>
  <c r="I117" i="1"/>
  <c r="G108" i="1"/>
  <c r="G113" i="1"/>
  <c r="E105" i="1"/>
  <c r="M105" i="1" s="1"/>
  <c r="F118" i="1"/>
  <c r="I124" i="1"/>
  <c r="E107" i="1"/>
  <c r="E123" i="1"/>
  <c r="F123" i="1"/>
  <c r="G123" i="1"/>
  <c r="G145" i="1"/>
  <c r="F129" i="1"/>
  <c r="I118" i="1"/>
  <c r="F124" i="1"/>
  <c r="I155" i="1"/>
  <c r="G176" i="9"/>
  <c r="M176" i="9" s="1"/>
  <c r="F46" i="6"/>
  <c r="G45" i="6" s="1"/>
  <c r="F48" i="6"/>
  <c r="G44" i="6" s="1"/>
  <c r="M152" i="6"/>
  <c r="P152" i="6" s="1"/>
  <c r="G48" i="6"/>
  <c r="M48" i="6" s="1"/>
  <c r="Q48" i="6" s="1"/>
  <c r="M186" i="9"/>
  <c r="E121" i="1"/>
  <c r="Q425" i="10"/>
  <c r="R425" i="10" s="1"/>
  <c r="M333" i="6"/>
  <c r="P333" i="6" s="1"/>
  <c r="G153" i="6"/>
  <c r="O153" i="6" s="1"/>
  <c r="S169" i="10"/>
  <c r="M169" i="10" s="1"/>
  <c r="M109" i="7"/>
  <c r="I103" i="1"/>
  <c r="F103" i="1"/>
  <c r="M131" i="7"/>
  <c r="E100" i="1"/>
  <c r="M100" i="1" s="1"/>
  <c r="F110" i="1"/>
  <c r="G105" i="1"/>
  <c r="M125" i="7"/>
  <c r="M101" i="7"/>
  <c r="I143" i="1"/>
  <c r="F143" i="1"/>
  <c r="M115" i="7"/>
  <c r="E96" i="1"/>
  <c r="F98" i="1"/>
  <c r="G103" i="1"/>
  <c r="G98" i="1"/>
  <c r="F168" i="1"/>
  <c r="G170" i="1"/>
  <c r="F102" i="1"/>
  <c r="F149" i="1"/>
  <c r="F80" i="1"/>
  <c r="F172" i="1"/>
  <c r="M134" i="7"/>
  <c r="E106" i="1"/>
  <c r="M106" i="1" s="1"/>
  <c r="M129" i="7"/>
  <c r="G96" i="1"/>
  <c r="I104" i="1"/>
  <c r="J104" i="1" s="1"/>
  <c r="N104" i="1" s="1"/>
  <c r="F155" i="1"/>
  <c r="I96" i="1"/>
  <c r="F96" i="1"/>
  <c r="E155" i="1"/>
  <c r="E102" i="1"/>
  <c r="G155" i="1"/>
  <c r="F171" i="1"/>
  <c r="I72" i="1"/>
  <c r="G95" i="1"/>
  <c r="E95" i="1"/>
  <c r="M95" i="1" s="1"/>
  <c r="J167" i="1"/>
  <c r="F94" i="1"/>
  <c r="E94" i="1"/>
  <c r="E98" i="1"/>
  <c r="G61" i="1"/>
  <c r="F72" i="1"/>
  <c r="I55" i="1"/>
  <c r="I172" i="1"/>
  <c r="F169" i="1"/>
  <c r="F106" i="1"/>
  <c r="G102" i="1"/>
  <c r="F95" i="1"/>
  <c r="I145" i="1"/>
  <c r="E168" i="1"/>
  <c r="G100" i="1"/>
  <c r="F100" i="1"/>
  <c r="F105" i="1"/>
  <c r="G169" i="1"/>
  <c r="G95" i="7"/>
  <c r="M95" i="7" s="1"/>
  <c r="I110" i="1"/>
  <c r="F55" i="1"/>
  <c r="I169" i="1"/>
  <c r="F62" i="1"/>
  <c r="G55" i="1"/>
  <c r="S375" i="10"/>
  <c r="M375" i="10" s="1"/>
  <c r="M443" i="6"/>
  <c r="U578" i="10"/>
  <c r="U575" i="10" s="1"/>
  <c r="S593" i="10"/>
  <c r="M593" i="10" s="1"/>
  <c r="S160" i="10"/>
  <c r="M160" i="10" s="1"/>
  <c r="U587" i="10"/>
  <c r="M587" i="10" s="1"/>
  <c r="U397" i="10"/>
  <c r="M397" i="10" s="1"/>
  <c r="S595" i="10"/>
  <c r="M595" i="10" s="1"/>
  <c r="M393" i="6"/>
  <c r="M438" i="6"/>
  <c r="M376" i="6"/>
  <c r="U171" i="10"/>
  <c r="M171" i="10" s="1"/>
  <c r="S602" i="10"/>
  <c r="M602" i="10" s="1"/>
  <c r="S188" i="10"/>
  <c r="M188" i="10" s="1"/>
  <c r="S132" i="10"/>
  <c r="S357" i="10"/>
  <c r="U392" i="10"/>
  <c r="M392" i="10" s="1"/>
  <c r="U407" i="10"/>
  <c r="M407" i="10" s="1"/>
  <c r="S456" i="10"/>
  <c r="S568" i="10"/>
  <c r="M568" i="10" s="1"/>
  <c r="S612" i="10"/>
  <c r="M612" i="10" s="1"/>
  <c r="S577" i="10"/>
  <c r="S575" i="10" s="1"/>
  <c r="M405" i="6"/>
  <c r="M395" i="6"/>
  <c r="S569" i="10"/>
  <c r="M569" i="10" s="1"/>
  <c r="S610" i="10"/>
  <c r="M610" i="10" s="1"/>
  <c r="S608" i="10"/>
  <c r="M608" i="10" s="1"/>
  <c r="M409" i="6"/>
  <c r="U395" i="10"/>
  <c r="M395" i="10" s="1"/>
  <c r="S396" i="10"/>
  <c r="M396" i="10" s="1"/>
  <c r="S195" i="10"/>
  <c r="S567" i="10"/>
  <c r="M567" i="10" s="1"/>
  <c r="S562" i="10"/>
  <c r="M562" i="10" s="1"/>
  <c r="U163" i="10"/>
  <c r="M163" i="10" s="1"/>
  <c r="U408" i="10"/>
  <c r="M408" i="10" s="1"/>
  <c r="U572" i="10"/>
  <c r="M572" i="10" s="1"/>
  <c r="S116" i="10"/>
  <c r="S560" i="10"/>
  <c r="M560" i="10" s="1"/>
  <c r="U394" i="10"/>
  <c r="M394" i="10" s="1"/>
  <c r="S266" i="10"/>
  <c r="U605" i="10"/>
  <c r="M605" i="10" s="1"/>
  <c r="I84" i="1"/>
  <c r="G84" i="1"/>
  <c r="F84" i="1"/>
  <c r="I62" i="1"/>
  <c r="S186" i="10"/>
  <c r="M186" i="10" s="1"/>
  <c r="U187" i="10"/>
  <c r="M187" i="10" s="1"/>
  <c r="U616" i="10"/>
  <c r="M616" i="10" s="1"/>
  <c r="M454" i="6"/>
  <c r="F90" i="1"/>
  <c r="U376" i="10"/>
  <c r="M376" i="10" s="1"/>
  <c r="G149" i="1"/>
  <c r="M427" i="6"/>
  <c r="S540" i="10"/>
  <c r="S190" i="10"/>
  <c r="M190" i="10" s="1"/>
  <c r="M331" i="6"/>
  <c r="P331" i="6" s="1"/>
  <c r="M17" i="6"/>
  <c r="Q17" i="6" s="1"/>
  <c r="Q15" i="6" s="1"/>
  <c r="R15" i="6" s="1"/>
  <c r="S15" i="6" s="1"/>
  <c r="S189" i="10"/>
  <c r="M189" i="10" s="1"/>
  <c r="M406" i="6"/>
  <c r="S594" i="10"/>
  <c r="M594" i="10" s="1"/>
  <c r="I91" i="1"/>
  <c r="F91" i="1"/>
  <c r="U385" i="10"/>
  <c r="M385" i="10" s="1"/>
  <c r="F61" i="1"/>
  <c r="U156" i="10"/>
  <c r="M156" i="10" s="1"/>
  <c r="U611" i="10"/>
  <c r="M611" i="10" s="1"/>
  <c r="M284" i="6"/>
  <c r="P284" i="6" s="1"/>
  <c r="U607" i="10"/>
  <c r="M607" i="10" s="1"/>
  <c r="R151" i="10"/>
  <c r="S151" i="10" s="1"/>
  <c r="S149" i="10" s="1"/>
  <c r="M401" i="6"/>
  <c r="S372" i="10"/>
  <c r="M372" i="10" s="1"/>
  <c r="S384" i="10"/>
  <c r="M384" i="10" s="1"/>
  <c r="Q281" i="6"/>
  <c r="S185" i="10"/>
  <c r="M185" i="10" s="1"/>
  <c r="S373" i="10"/>
  <c r="M373" i="10" s="1"/>
  <c r="S165" i="10"/>
  <c r="M165" i="10" s="1"/>
  <c r="G90" i="1"/>
  <c r="G74" i="1"/>
  <c r="I74" i="1"/>
  <c r="J144" i="1"/>
  <c r="S154" i="10"/>
  <c r="M408" i="6"/>
  <c r="M436" i="6"/>
  <c r="S521" i="10"/>
  <c r="S404" i="10"/>
  <c r="M391" i="6"/>
  <c r="S155" i="10"/>
  <c r="M155" i="10" s="1"/>
  <c r="M398" i="6"/>
  <c r="M621" i="10"/>
  <c r="M426" i="6"/>
  <c r="I53" i="1"/>
  <c r="E84" i="1"/>
  <c r="M84" i="1" s="1"/>
  <c r="M440" i="6"/>
  <c r="M447" i="6"/>
  <c r="E163" i="1"/>
  <c r="J163" i="1" s="1"/>
  <c r="M399" i="6"/>
  <c r="M387" i="6"/>
  <c r="E145" i="1"/>
  <c r="M437" i="6"/>
  <c r="E147" i="1"/>
  <c r="J147" i="1" s="1"/>
  <c r="E173" i="1"/>
  <c r="M400" i="6"/>
  <c r="E162" i="1"/>
  <c r="J162" i="1" s="1"/>
  <c r="M384" i="6"/>
  <c r="E55" i="1"/>
  <c r="E73" i="1"/>
  <c r="M73" i="1" s="1"/>
  <c r="E80" i="1"/>
  <c r="M80" i="1" s="1"/>
  <c r="M402" i="6"/>
  <c r="M410" i="6"/>
  <c r="E78" i="1"/>
  <c r="M78" i="1" s="1"/>
  <c r="M392" i="6"/>
  <c r="M383" i="6"/>
  <c r="E85" i="1"/>
  <c r="M85" i="1" s="1"/>
  <c r="E151" i="1"/>
  <c r="J151" i="1" s="1"/>
  <c r="M457" i="6"/>
  <c r="M57" i="6"/>
  <c r="Q57" i="6" s="1"/>
  <c r="Q50" i="6" s="1"/>
  <c r="M132" i="1"/>
  <c r="M25" i="6"/>
  <c r="Q25" i="6" s="1"/>
  <c r="M35" i="6"/>
  <c r="O35" i="6"/>
  <c r="E108" i="1"/>
  <c r="J108" i="1" s="1"/>
  <c r="N108" i="1" s="1"/>
  <c r="E67" i="1"/>
  <c r="J67" i="1" s="1"/>
  <c r="N67" i="1" s="1"/>
  <c r="M439" i="6"/>
  <c r="G108" i="7"/>
  <c r="Q328" i="10"/>
  <c r="R328" i="10" s="1"/>
  <c r="S301" i="10" s="1"/>
  <c r="Q391" i="10"/>
  <c r="E160" i="1"/>
  <c r="S599" i="10"/>
  <c r="U599" i="10"/>
  <c r="I93" i="1"/>
  <c r="O112" i="6"/>
  <c r="G123" i="6"/>
  <c r="M112" i="6"/>
  <c r="P112" i="6" s="1"/>
  <c r="I150" i="1"/>
  <c r="F150" i="1"/>
  <c r="G150" i="1"/>
  <c r="S573" i="10"/>
  <c r="U573" i="10"/>
  <c r="O63" i="6"/>
  <c r="M63" i="6"/>
  <c r="E91" i="1"/>
  <c r="M91" i="1" s="1"/>
  <c r="E87" i="1"/>
  <c r="J87" i="1" s="1"/>
  <c r="N87" i="1" s="1"/>
  <c r="E90" i="1"/>
  <c r="J90" i="1" s="1"/>
  <c r="N90" i="1" s="1"/>
  <c r="E70" i="1"/>
  <c r="O238" i="6"/>
  <c r="M238" i="6"/>
  <c r="P238" i="6" s="1"/>
  <c r="G166" i="6"/>
  <c r="M165" i="6"/>
  <c r="P165" i="6" s="1"/>
  <c r="O165" i="6"/>
  <c r="E68" i="1"/>
  <c r="J68" i="1" s="1"/>
  <c r="N68" i="1" s="1"/>
  <c r="E161" i="1"/>
  <c r="J161" i="1" s="1"/>
  <c r="M236" i="6"/>
  <c r="P236" i="6" s="1"/>
  <c r="O236" i="6"/>
  <c r="M455" i="6"/>
  <c r="E171" i="1"/>
  <c r="E79" i="1"/>
  <c r="J79" i="1" s="1"/>
  <c r="E114" i="1"/>
  <c r="J114" i="1" s="1"/>
  <c r="N114" i="1" s="1"/>
  <c r="E165" i="1"/>
  <c r="J165" i="1" s="1"/>
  <c r="E77" i="1"/>
  <c r="J77" i="1" s="1"/>
  <c r="E149" i="1"/>
  <c r="O150" i="6"/>
  <c r="G151" i="6"/>
  <c r="U571" i="10"/>
  <c r="S571" i="10"/>
  <c r="E75" i="1"/>
  <c r="M453" i="6"/>
  <c r="E109" i="1"/>
  <c r="J109" i="1" s="1"/>
  <c r="N109" i="1" s="1"/>
  <c r="E83" i="1"/>
  <c r="J83" i="1" s="1"/>
  <c r="N83" i="1" s="1"/>
  <c r="G66" i="1"/>
  <c r="I66" i="1"/>
  <c r="F66" i="1"/>
  <c r="E66" i="1"/>
  <c r="O161" i="6"/>
  <c r="G162" i="6"/>
  <c r="M161" i="6"/>
  <c r="P161" i="6" s="1"/>
  <c r="M36" i="6"/>
  <c r="P36" i="6" s="1"/>
  <c r="E81" i="1"/>
  <c r="J81" i="1" s="1"/>
  <c r="N81" i="1" s="1"/>
  <c r="E164" i="1"/>
  <c r="S601" i="10"/>
  <c r="M601" i="10" s="1"/>
  <c r="M285" i="6"/>
  <c r="P285" i="6" s="1"/>
  <c r="M397" i="6"/>
  <c r="G239" i="6"/>
  <c r="M241" i="6"/>
  <c r="Q241" i="6" s="1"/>
  <c r="Q235" i="6" s="1"/>
  <c r="O241" i="6"/>
  <c r="G435" i="6" s="1"/>
  <c r="M434" i="6"/>
  <c r="I142" i="1"/>
  <c r="J142" i="1" s="1"/>
  <c r="F92" i="1"/>
  <c r="I92" i="1"/>
  <c r="G92" i="1"/>
  <c r="E159" i="1"/>
  <c r="J159" i="1" s="1"/>
  <c r="M458" i="6"/>
  <c r="I60" i="1"/>
  <c r="G60" i="1"/>
  <c r="F60" i="1"/>
  <c r="M43" i="6"/>
  <c r="M445" i="6"/>
  <c r="E88" i="1"/>
  <c r="J88" i="1" s="1"/>
  <c r="N88" i="1" s="1"/>
  <c r="E82" i="1"/>
  <c r="E110" i="1"/>
  <c r="E72" i="1"/>
  <c r="M72" i="1" s="1"/>
  <c r="M603" i="10"/>
  <c r="S592" i="10"/>
  <c r="U592" i="10"/>
  <c r="E169" i="1"/>
  <c r="F70" i="1"/>
  <c r="G70" i="1"/>
  <c r="I70" i="1"/>
  <c r="M452" i="6"/>
  <c r="M442" i="6"/>
  <c r="E71" i="1"/>
  <c r="M71" i="1" s="1"/>
  <c r="M287" i="6"/>
  <c r="P287" i="6" s="1"/>
  <c r="E76" i="1"/>
  <c r="J76" i="1" s="1"/>
  <c r="E150" i="1"/>
  <c r="E61" i="1"/>
  <c r="J61" i="1" s="1"/>
  <c r="N61" i="1" s="1"/>
  <c r="U181" i="10"/>
  <c r="U180" i="10"/>
  <c r="U154" i="10"/>
  <c r="J153" i="1"/>
  <c r="E64" i="1"/>
  <c r="J64" i="1" s="1"/>
  <c r="N64" i="1" s="1"/>
  <c r="E62" i="1"/>
  <c r="E63" i="1"/>
  <c r="J63" i="1" s="1"/>
  <c r="N63" i="1" s="1"/>
  <c r="U604" i="10"/>
  <c r="M604" i="10" s="1"/>
  <c r="E146" i="1"/>
  <c r="J146" i="1" s="1"/>
  <c r="S597" i="10"/>
  <c r="M597" i="10" s="1"/>
  <c r="M394" i="6"/>
  <c r="P282" i="6"/>
  <c r="M23" i="6"/>
  <c r="P23" i="6" s="1"/>
  <c r="P18" i="6" s="1"/>
  <c r="I166" i="1"/>
  <c r="J166" i="1" s="1"/>
  <c r="Q176" i="10"/>
  <c r="S176" i="10" s="1"/>
  <c r="R153" i="10" s="1"/>
  <c r="S153" i="10" s="1"/>
  <c r="M153" i="10" s="1"/>
  <c r="G53" i="1"/>
  <c r="F53" i="1"/>
  <c r="M271" i="6"/>
  <c r="E74" i="1"/>
  <c r="O67" i="6"/>
  <c r="M67" i="6"/>
  <c r="Q67" i="6" s="1"/>
  <c r="Q60" i="6" s="1"/>
  <c r="M116" i="6"/>
  <c r="P116" i="6" s="1"/>
  <c r="G117" i="6"/>
  <c r="O116" i="6"/>
  <c r="E86" i="1"/>
  <c r="J157" i="1"/>
  <c r="M449" i="6"/>
  <c r="E69" i="1"/>
  <c r="M69" i="1" s="1"/>
  <c r="E89" i="1"/>
  <c r="J89" i="1" s="1"/>
  <c r="U158" i="10"/>
  <c r="S158" i="10"/>
  <c r="E172" i="1"/>
  <c r="E65" i="1"/>
  <c r="M422" i="6"/>
  <c r="M56" i="6"/>
  <c r="M99" i="1"/>
  <c r="U618" i="10"/>
  <c r="M196" i="9" l="1"/>
  <c r="G118" i="9"/>
  <c r="O118" i="9" s="1"/>
  <c r="G173" i="9" s="1"/>
  <c r="M173" i="9" s="1"/>
  <c r="O119" i="9"/>
  <c r="M106" i="9"/>
  <c r="P106" i="9" s="1"/>
  <c r="M120" i="9"/>
  <c r="P120" i="9" s="1"/>
  <c r="O122" i="9"/>
  <c r="G228" i="9" s="1"/>
  <c r="M228" i="9" s="1"/>
  <c r="M122" i="9"/>
  <c r="Q122" i="9" s="1"/>
  <c r="Q117" i="9" s="1"/>
  <c r="M119" i="9"/>
  <c r="P119" i="9" s="1"/>
  <c r="G324" i="6"/>
  <c r="G323" i="6" s="1"/>
  <c r="M330" i="6"/>
  <c r="P330" i="6" s="1"/>
  <c r="P326" i="6" s="1"/>
  <c r="R326" i="6" s="1"/>
  <c r="S326" i="6" s="1"/>
  <c r="G72" i="7"/>
  <c r="M325" i="6"/>
  <c r="Q325" i="6" s="1"/>
  <c r="P35" i="9"/>
  <c r="R35" i="9" s="1"/>
  <c r="S35" i="9" s="1"/>
  <c r="G54" i="7"/>
  <c r="O54" i="7" s="1"/>
  <c r="G61" i="9"/>
  <c r="O61" i="9" s="1"/>
  <c r="O56" i="7"/>
  <c r="M63" i="9"/>
  <c r="Q63" i="9" s="1"/>
  <c r="Q59" i="9" s="1"/>
  <c r="M126" i="6"/>
  <c r="P126" i="6" s="1"/>
  <c r="J164" i="1"/>
  <c r="G60" i="9"/>
  <c r="M60" i="9" s="1"/>
  <c r="P60" i="9" s="1"/>
  <c r="O63" i="9"/>
  <c r="M142" i="6"/>
  <c r="P142" i="6" s="1"/>
  <c r="O142" i="6"/>
  <c r="M97" i="6"/>
  <c r="P97" i="6" s="1"/>
  <c r="M62" i="7"/>
  <c r="P62" i="7" s="1"/>
  <c r="S600" i="10"/>
  <c r="M600" i="10" s="1"/>
  <c r="M73" i="7"/>
  <c r="Q73" i="7" s="1"/>
  <c r="Q71" i="7" s="1"/>
  <c r="Q70" i="7" s="1"/>
  <c r="O325" i="6"/>
  <c r="Q613" i="10" s="1"/>
  <c r="S613" i="10" s="1"/>
  <c r="G53" i="7"/>
  <c r="O53" i="7" s="1"/>
  <c r="Q170" i="10"/>
  <c r="S170" i="10" s="1"/>
  <c r="G173" i="6"/>
  <c r="O173" i="6" s="1"/>
  <c r="Q556" i="10" s="1"/>
  <c r="G321" i="6"/>
  <c r="O321" i="6" s="1"/>
  <c r="Q486" i="10" s="1"/>
  <c r="R486" i="10" s="1"/>
  <c r="M118" i="9"/>
  <c r="P118" i="9" s="1"/>
  <c r="G65" i="9"/>
  <c r="M65" i="9" s="1"/>
  <c r="P65" i="9" s="1"/>
  <c r="G67" i="9"/>
  <c r="O67" i="9" s="1"/>
  <c r="O76" i="6"/>
  <c r="O68" i="9"/>
  <c r="G225" i="9" s="1"/>
  <c r="E175" i="1" s="1"/>
  <c r="J175" i="1" s="1"/>
  <c r="G143" i="6"/>
  <c r="O143" i="6" s="1"/>
  <c r="G171" i="6"/>
  <c r="O171" i="6" s="1"/>
  <c r="O138" i="6"/>
  <c r="M329" i="6"/>
  <c r="P329" i="6" s="1"/>
  <c r="M77" i="9"/>
  <c r="Q77" i="9" s="1"/>
  <c r="Q75" i="9" s="1"/>
  <c r="Q74" i="9" s="1"/>
  <c r="M343" i="6"/>
  <c r="Q343" i="6" s="1"/>
  <c r="Q340" i="6" s="1"/>
  <c r="O170" i="6"/>
  <c r="G139" i="6"/>
  <c r="O139" i="6" s="1"/>
  <c r="G31" i="9"/>
  <c r="O31" i="9" s="1"/>
  <c r="G178" i="6"/>
  <c r="O178" i="6" s="1"/>
  <c r="M338" i="6"/>
  <c r="P338" i="6" s="1"/>
  <c r="G57" i="9"/>
  <c r="O57" i="9" s="1"/>
  <c r="O34" i="9"/>
  <c r="G14" i="9"/>
  <c r="G12" i="9" s="1"/>
  <c r="O12" i="9" s="1"/>
  <c r="M13" i="9"/>
  <c r="P13" i="9" s="1"/>
  <c r="G70" i="9"/>
  <c r="O73" i="9"/>
  <c r="G72" i="9"/>
  <c r="M73" i="9"/>
  <c r="Q73" i="9" s="1"/>
  <c r="Q69" i="9" s="1"/>
  <c r="M46" i="9"/>
  <c r="Q46" i="9" s="1"/>
  <c r="G52" i="7"/>
  <c r="M52" i="7" s="1"/>
  <c r="Q52" i="7" s="1"/>
  <c r="O46" i="9"/>
  <c r="O57" i="7"/>
  <c r="G84" i="6"/>
  <c r="M84" i="6" s="1"/>
  <c r="P84" i="6" s="1"/>
  <c r="J82" i="1"/>
  <c r="N82" i="1" s="1"/>
  <c r="M34" i="9"/>
  <c r="Q34" i="9" s="1"/>
  <c r="Q30" i="9" s="1"/>
  <c r="M58" i="7"/>
  <c r="Q58" i="7" s="1"/>
  <c r="G194" i="6"/>
  <c r="G189" i="6"/>
  <c r="O196" i="6"/>
  <c r="G188" i="6"/>
  <c r="G190" i="6"/>
  <c r="M196" i="6"/>
  <c r="Q196" i="6" s="1"/>
  <c r="M156" i="6"/>
  <c r="P156" i="6" s="1"/>
  <c r="M32" i="9"/>
  <c r="P32" i="9" s="1"/>
  <c r="G112" i="9"/>
  <c r="G110" i="9" s="1"/>
  <c r="G157" i="6"/>
  <c r="G158" i="6" s="1"/>
  <c r="G33" i="9"/>
  <c r="O33" i="9" s="1"/>
  <c r="M67" i="7"/>
  <c r="P67" i="7" s="1"/>
  <c r="P65" i="7" s="1"/>
  <c r="R65" i="7" s="1"/>
  <c r="S65" i="7" s="1"/>
  <c r="P47" i="9"/>
  <c r="R47" i="9" s="1"/>
  <c r="S47" i="9" s="1"/>
  <c r="O62" i="9"/>
  <c r="M62" i="9"/>
  <c r="P62" i="9" s="1"/>
  <c r="P103" i="9"/>
  <c r="R103" i="9" s="1"/>
  <c r="S103" i="9" s="1"/>
  <c r="J65" i="1"/>
  <c r="N65" i="1" s="1"/>
  <c r="O19" i="9"/>
  <c r="M8" i="9"/>
  <c r="P8" i="9" s="1"/>
  <c r="O85" i="9"/>
  <c r="J148" i="1"/>
  <c r="J160" i="1"/>
  <c r="G121" i="6"/>
  <c r="O121" i="6" s="1"/>
  <c r="G337" i="6"/>
  <c r="O337" i="6" s="1"/>
  <c r="Q106" i="10" s="1"/>
  <c r="R106" i="10" s="1"/>
  <c r="M104" i="7"/>
  <c r="M12" i="6"/>
  <c r="Q12" i="6" s="1"/>
  <c r="O336" i="6"/>
  <c r="G413" i="6" s="1"/>
  <c r="M413" i="6" s="1"/>
  <c r="M120" i="6"/>
  <c r="P120" i="6" s="1"/>
  <c r="R249" i="6"/>
  <c r="Q248" i="6"/>
  <c r="S574" i="10"/>
  <c r="M574" i="10" s="1"/>
  <c r="O108" i="6"/>
  <c r="M130" i="6"/>
  <c r="P130" i="6" s="1"/>
  <c r="M180" i="6"/>
  <c r="P180" i="6" s="1"/>
  <c r="M55" i="7"/>
  <c r="Q55" i="7" s="1"/>
  <c r="M336" i="6"/>
  <c r="P336" i="6" s="1"/>
  <c r="Q448" i="10"/>
  <c r="R448" i="10" s="1"/>
  <c r="S443" i="10" s="1"/>
  <c r="G18" i="9"/>
  <c r="O18" i="9" s="1"/>
  <c r="G179" i="6"/>
  <c r="O179" i="6" s="1"/>
  <c r="G372" i="6" s="1"/>
  <c r="E51" i="1" s="1"/>
  <c r="J51" i="1" s="1"/>
  <c r="N51" i="1" s="1"/>
  <c r="M61" i="7"/>
  <c r="P61" i="7" s="1"/>
  <c r="O180" i="6"/>
  <c r="M104" i="6"/>
  <c r="Q104" i="6" s="1"/>
  <c r="G16" i="9"/>
  <c r="M16" i="9" s="1"/>
  <c r="P16" i="9" s="1"/>
  <c r="O186" i="6"/>
  <c r="M56" i="7"/>
  <c r="Q56" i="7" s="1"/>
  <c r="G43" i="9"/>
  <c r="O43" i="9" s="1"/>
  <c r="G182" i="9" s="1"/>
  <c r="G45" i="9"/>
  <c r="M45" i="9" s="1"/>
  <c r="Q45" i="9" s="1"/>
  <c r="G89" i="6"/>
  <c r="G87" i="6" s="1"/>
  <c r="M186" i="6"/>
  <c r="Q186" i="6" s="1"/>
  <c r="G42" i="9"/>
  <c r="M42" i="9" s="1"/>
  <c r="P42" i="9" s="1"/>
  <c r="M86" i="9"/>
  <c r="P86" i="9" s="1"/>
  <c r="P81" i="9" s="1"/>
  <c r="P74" i="9" s="1"/>
  <c r="M23" i="9"/>
  <c r="P23" i="9" s="1"/>
  <c r="P20" i="9" s="1"/>
  <c r="R20" i="9" s="1"/>
  <c r="S20" i="9" s="1"/>
  <c r="G83" i="6"/>
  <c r="M83" i="6" s="1"/>
  <c r="P83" i="6" s="1"/>
  <c r="O91" i="6"/>
  <c r="Q159" i="10" s="1"/>
  <c r="U159" i="10" s="1"/>
  <c r="O104" i="6"/>
  <c r="M95" i="6"/>
  <c r="P95" i="6" s="1"/>
  <c r="G85" i="6"/>
  <c r="O95" i="6"/>
  <c r="G90" i="6"/>
  <c r="M90" i="6" s="1"/>
  <c r="Q90" i="6" s="1"/>
  <c r="G100" i="6"/>
  <c r="M100" i="6" s="1"/>
  <c r="P100" i="6" s="1"/>
  <c r="S615" i="10"/>
  <c r="M615" i="10" s="1"/>
  <c r="M41" i="9"/>
  <c r="P41" i="9" s="1"/>
  <c r="M91" i="6"/>
  <c r="Q91" i="6" s="1"/>
  <c r="G74" i="6"/>
  <c r="M74" i="6" s="1"/>
  <c r="P74" i="6" s="1"/>
  <c r="Q415" i="10"/>
  <c r="R415" i="10" s="1"/>
  <c r="G101" i="6"/>
  <c r="O101" i="6" s="1"/>
  <c r="O103" i="6"/>
  <c r="E124" i="1"/>
  <c r="J124" i="1" s="1"/>
  <c r="N124" i="1" s="1"/>
  <c r="G7" i="9"/>
  <c r="O7" i="9" s="1"/>
  <c r="G41" i="7"/>
  <c r="M41" i="7" s="1"/>
  <c r="Q41" i="7" s="1"/>
  <c r="G369" i="6"/>
  <c r="M369" i="6" s="1"/>
  <c r="M9" i="9"/>
  <c r="Q9" i="9" s="1"/>
  <c r="Q5" i="9" s="1"/>
  <c r="M44" i="7"/>
  <c r="Q44" i="7" s="1"/>
  <c r="G43" i="7"/>
  <c r="O43" i="7" s="1"/>
  <c r="Q58" i="10" s="1"/>
  <c r="R58" i="10" s="1"/>
  <c r="M243" i="6"/>
  <c r="P243" i="6" s="1"/>
  <c r="M109" i="6"/>
  <c r="P109" i="6" s="1"/>
  <c r="M244" i="6"/>
  <c r="P244" i="6" s="1"/>
  <c r="G42" i="7"/>
  <c r="M42" i="7" s="1"/>
  <c r="Q42" i="7" s="1"/>
  <c r="O243" i="6"/>
  <c r="Q348" i="10" s="1"/>
  <c r="R348" i="10" s="1"/>
  <c r="G110" i="6"/>
  <c r="G111" i="6" s="1"/>
  <c r="O111" i="6" s="1"/>
  <c r="M6" i="9"/>
  <c r="P6" i="9" s="1"/>
  <c r="S614" i="10"/>
  <c r="M614" i="10" s="1"/>
  <c r="O98" i="6"/>
  <c r="G102" i="6"/>
  <c r="O102" i="6" s="1"/>
  <c r="O72" i="6"/>
  <c r="G245" i="6"/>
  <c r="O245" i="6" s="1"/>
  <c r="Q350" i="10" s="1"/>
  <c r="R350" i="10" s="1"/>
  <c r="O73" i="6"/>
  <c r="M342" i="6"/>
  <c r="P342" i="6" s="1"/>
  <c r="P340" i="6" s="1"/>
  <c r="M73" i="6"/>
  <c r="P73" i="6" s="1"/>
  <c r="S598" i="10"/>
  <c r="M598" i="10" s="1"/>
  <c r="O44" i="7"/>
  <c r="Q583" i="10" s="1"/>
  <c r="U583" i="10" s="1"/>
  <c r="Q558" i="10"/>
  <c r="S558" i="10" s="1"/>
  <c r="G127" i="6"/>
  <c r="M127" i="6" s="1"/>
  <c r="P127" i="6" s="1"/>
  <c r="G75" i="6"/>
  <c r="M75" i="6" s="1"/>
  <c r="O12" i="6"/>
  <c r="Q157" i="10" s="1"/>
  <c r="U157" i="10" s="1"/>
  <c r="G49" i="7"/>
  <c r="O59" i="7"/>
  <c r="M59" i="7"/>
  <c r="Q59" i="7" s="1"/>
  <c r="O11" i="9"/>
  <c r="Q499" i="10" s="1"/>
  <c r="R499" i="10" s="1"/>
  <c r="M11" i="9"/>
  <c r="P11" i="9" s="1"/>
  <c r="G132" i="6"/>
  <c r="M132" i="6" s="1"/>
  <c r="P132" i="6" s="1"/>
  <c r="M58" i="9"/>
  <c r="Q58" i="9" s="1"/>
  <c r="Q54" i="9" s="1"/>
  <c r="G56" i="9"/>
  <c r="O56" i="9" s="1"/>
  <c r="G55" i="9"/>
  <c r="O58" i="9"/>
  <c r="O13" i="7"/>
  <c r="G9" i="7"/>
  <c r="G6" i="7"/>
  <c r="G12" i="7"/>
  <c r="G10" i="7"/>
  <c r="M13" i="7"/>
  <c r="Q13" i="7" s="1"/>
  <c r="G367" i="6"/>
  <c r="M367" i="6" s="1"/>
  <c r="G366" i="6"/>
  <c r="M366" i="6" s="1"/>
  <c r="J173" i="1"/>
  <c r="J128" i="1"/>
  <c r="N128" i="1" s="1"/>
  <c r="J121" i="1"/>
  <c r="N121" i="1" s="1"/>
  <c r="J176" i="1"/>
  <c r="R89" i="9"/>
  <c r="S89" i="9" s="1"/>
  <c r="J171" i="1"/>
  <c r="M110" i="7"/>
  <c r="M100" i="7"/>
  <c r="S618" i="10"/>
  <c r="J130" i="1"/>
  <c r="N130" i="1" s="1"/>
  <c r="J131" i="1"/>
  <c r="N131" i="1" s="1"/>
  <c r="J123" i="1"/>
  <c r="N123" i="1" s="1"/>
  <c r="I177" i="1"/>
  <c r="J177" i="1" s="1"/>
  <c r="I133" i="1"/>
  <c r="J133" i="1" s="1"/>
  <c r="N133" i="1" s="1"/>
  <c r="R14" i="7"/>
  <c r="I132" i="1"/>
  <c r="J132" i="1" s="1"/>
  <c r="R295" i="6"/>
  <c r="T295" i="6" s="1" a="1"/>
  <c r="T295" i="6" s="1"/>
  <c r="R198" i="6"/>
  <c r="S198" i="6" s="1"/>
  <c r="R15" i="7"/>
  <c r="S15" i="7" s="1"/>
  <c r="R271" i="6"/>
  <c r="S271" i="6" s="1"/>
  <c r="M441" i="6"/>
  <c r="P22" i="7"/>
  <c r="P21" i="7" s="1"/>
  <c r="R21" i="7" s="1"/>
  <c r="I102" i="1"/>
  <c r="J102" i="1" s="1"/>
  <c r="N102" i="1" s="1"/>
  <c r="P294" i="6"/>
  <c r="R294" i="6" s="1"/>
  <c r="Q197" i="6"/>
  <c r="M433" i="6"/>
  <c r="M106" i="7"/>
  <c r="M373" i="6"/>
  <c r="M103" i="7"/>
  <c r="M112" i="7"/>
  <c r="I100" i="1"/>
  <c r="J100" i="1" s="1"/>
  <c r="N100" i="1" s="1"/>
  <c r="I178" i="1"/>
  <c r="J178" i="1" s="1"/>
  <c r="M18" i="6"/>
  <c r="I129" i="1"/>
  <c r="J129" i="1" s="1"/>
  <c r="N129" i="1" s="1"/>
  <c r="Q18" i="6"/>
  <c r="R18" i="6" s="1"/>
  <c r="S18" i="6" s="1"/>
  <c r="P123" i="9"/>
  <c r="R123" i="9" s="1"/>
  <c r="S123" i="9" s="1"/>
  <c r="R5" i="6"/>
  <c r="D4" i="11"/>
  <c r="M130" i="7"/>
  <c r="J107" i="1"/>
  <c r="I134" i="1"/>
  <c r="J134" i="1" s="1"/>
  <c r="N134" i="1" s="1"/>
  <c r="M200" i="9"/>
  <c r="I154" i="1"/>
  <c r="J154" i="1" s="1"/>
  <c r="I158" i="1"/>
  <c r="J158" i="1" s="1"/>
  <c r="M102" i="7"/>
  <c r="M111" i="7"/>
  <c r="M191" i="9"/>
  <c r="I125" i="1"/>
  <c r="J125" i="1" s="1"/>
  <c r="N125" i="1" s="1"/>
  <c r="M99" i="7"/>
  <c r="M192" i="9"/>
  <c r="M448" i="6"/>
  <c r="I127" i="1"/>
  <c r="J127" i="1" s="1"/>
  <c r="N127" i="1" s="1"/>
  <c r="M193" i="9"/>
  <c r="J105" i="1"/>
  <c r="N105" i="1" s="1"/>
  <c r="M107" i="1"/>
  <c r="J155" i="1"/>
  <c r="G26" i="9"/>
  <c r="M26" i="9" s="1"/>
  <c r="P26" i="9" s="1"/>
  <c r="G27" i="9"/>
  <c r="O27" i="9" s="1"/>
  <c r="G28" i="9"/>
  <c r="O28" i="9" s="1"/>
  <c r="M29" i="9"/>
  <c r="Q29" i="9" s="1"/>
  <c r="Q25" i="9" s="1"/>
  <c r="G222" i="9"/>
  <c r="M222" i="9" s="1"/>
  <c r="O45" i="7"/>
  <c r="M45" i="7"/>
  <c r="Q45" i="7" s="1"/>
  <c r="M40" i="7"/>
  <c r="Q40" i="7" s="1"/>
  <c r="E111" i="1"/>
  <c r="J111" i="1" s="1"/>
  <c r="N111" i="1" s="1"/>
  <c r="M46" i="7"/>
  <c r="Q46" i="7" s="1"/>
  <c r="O47" i="7"/>
  <c r="G132" i="7" s="1"/>
  <c r="E170" i="1" s="1"/>
  <c r="J170" i="1" s="1"/>
  <c r="M47" i="7"/>
  <c r="Q47" i="7" s="1"/>
  <c r="G37" i="7"/>
  <c r="M324" i="6"/>
  <c r="Q324" i="6" s="1"/>
  <c r="Q498" i="10"/>
  <c r="R498" i="10" s="1"/>
  <c r="G46" i="6"/>
  <c r="M46" i="6" s="1"/>
  <c r="P46" i="6" s="1"/>
  <c r="O324" i="6"/>
  <c r="Q596" i="10" s="1"/>
  <c r="S596" i="10" s="1"/>
  <c r="M45" i="6"/>
  <c r="P45" i="6" s="1"/>
  <c r="O45" i="6"/>
  <c r="M44" i="6"/>
  <c r="P44" i="6" s="1"/>
  <c r="O44" i="6"/>
  <c r="G47" i="6"/>
  <c r="O47" i="6" s="1"/>
  <c r="J55" i="1"/>
  <c r="N55" i="1" s="1"/>
  <c r="G318" i="6"/>
  <c r="M318" i="6" s="1"/>
  <c r="P318" i="6" s="1"/>
  <c r="O48" i="6"/>
  <c r="M153" i="6"/>
  <c r="P153" i="6" s="1"/>
  <c r="G177" i="9"/>
  <c r="M178" i="9"/>
  <c r="E113" i="1"/>
  <c r="J113" i="1" s="1"/>
  <c r="N113" i="1" s="1"/>
  <c r="O72" i="7"/>
  <c r="M72" i="7"/>
  <c r="P72" i="7" s="1"/>
  <c r="P71" i="7" s="1"/>
  <c r="O174" i="6"/>
  <c r="Q557" i="10" s="1"/>
  <c r="M174" i="6"/>
  <c r="Q174" i="6" s="1"/>
  <c r="J145" i="1"/>
  <c r="J96" i="1"/>
  <c r="N96" i="1" s="1"/>
  <c r="J94" i="1"/>
  <c r="J168" i="1"/>
  <c r="J98" i="1"/>
  <c r="J95" i="1"/>
  <c r="N95" i="1" s="1"/>
  <c r="J106" i="1"/>
  <c r="N106" i="1" s="1"/>
  <c r="M98" i="1"/>
  <c r="J172" i="1"/>
  <c r="J110" i="1"/>
  <c r="N110" i="1" s="1"/>
  <c r="M94" i="1"/>
  <c r="J169" i="1"/>
  <c r="M578" i="10"/>
  <c r="S183" i="10"/>
  <c r="S148" i="10" s="1"/>
  <c r="U369" i="10"/>
  <c r="M577" i="10"/>
  <c r="M154" i="10"/>
  <c r="U183" i="10"/>
  <c r="S369" i="10"/>
  <c r="S381" i="10"/>
  <c r="U404" i="10"/>
  <c r="J62" i="1"/>
  <c r="N62" i="1" s="1"/>
  <c r="U381" i="10"/>
  <c r="Q79" i="10"/>
  <c r="R79" i="10" s="1"/>
  <c r="G415" i="6"/>
  <c r="P138" i="6"/>
  <c r="M15" i="6"/>
  <c r="G414" i="6"/>
  <c r="O323" i="6"/>
  <c r="M323" i="6"/>
  <c r="Q323" i="6" s="1"/>
  <c r="M151" i="10"/>
  <c r="M171" i="6"/>
  <c r="J149" i="1"/>
  <c r="P281" i="6"/>
  <c r="P248" i="6" s="1"/>
  <c r="N99" i="1"/>
  <c r="J85" i="1"/>
  <c r="N85" i="1" s="1"/>
  <c r="M79" i="1"/>
  <c r="N79" i="1" s="1"/>
  <c r="M77" i="1"/>
  <c r="N77" i="1" s="1"/>
  <c r="M429" i="6"/>
  <c r="J84" i="1"/>
  <c r="N84" i="1" s="1"/>
  <c r="M76" i="1"/>
  <c r="N76" i="1" s="1"/>
  <c r="M592" i="10"/>
  <c r="M599" i="10"/>
  <c r="M573" i="10"/>
  <c r="J91" i="1"/>
  <c r="N91" i="1" s="1"/>
  <c r="J80" i="1"/>
  <c r="N80" i="1" s="1"/>
  <c r="J73" i="1"/>
  <c r="N73" i="1" s="1"/>
  <c r="J70" i="1"/>
  <c r="J78" i="1"/>
  <c r="N78" i="1" s="1"/>
  <c r="J71" i="1"/>
  <c r="N71" i="1" s="1"/>
  <c r="J86" i="1"/>
  <c r="M86" i="1"/>
  <c r="M75" i="1"/>
  <c r="J75" i="1"/>
  <c r="M89" i="1"/>
  <c r="N89" i="1" s="1"/>
  <c r="O117" i="6"/>
  <c r="M117" i="6"/>
  <c r="P117" i="6" s="1"/>
  <c r="P113" i="6" s="1"/>
  <c r="R113" i="6" s="1"/>
  <c r="O14" i="6"/>
  <c r="Q166" i="10" s="1"/>
  <c r="M14" i="6"/>
  <c r="Q14" i="6" s="1"/>
  <c r="M70" i="1"/>
  <c r="P56" i="6"/>
  <c r="P50" i="6" s="1"/>
  <c r="R50" i="6" s="1"/>
  <c r="S50" i="6" s="1"/>
  <c r="M50" i="6"/>
  <c r="O96" i="6"/>
  <c r="M96" i="6"/>
  <c r="P96" i="6" s="1"/>
  <c r="T307" i="6" a="1"/>
  <c r="T307" i="6" s="1"/>
  <c r="S307" i="6"/>
  <c r="J66" i="1"/>
  <c r="N66" i="1" s="1"/>
  <c r="M571" i="10"/>
  <c r="O94" i="6"/>
  <c r="M94" i="6"/>
  <c r="P94" i="6" s="1"/>
  <c r="P35" i="6"/>
  <c r="P30" i="6" s="1"/>
  <c r="R30" i="6" s="1"/>
  <c r="S30" i="6" s="1"/>
  <c r="M30" i="6"/>
  <c r="O181" i="6"/>
  <c r="M181" i="6"/>
  <c r="P181" i="6" s="1"/>
  <c r="J150" i="1"/>
  <c r="O166" i="6"/>
  <c r="M166" i="6"/>
  <c r="P166" i="6" s="1"/>
  <c r="P163" i="6" s="1"/>
  <c r="R163" i="6" s="1"/>
  <c r="P43" i="6"/>
  <c r="M435" i="6"/>
  <c r="E143" i="1"/>
  <c r="J143" i="1" s="1"/>
  <c r="O151" i="6"/>
  <c r="M151" i="6"/>
  <c r="P63" i="6"/>
  <c r="P60" i="6" s="1"/>
  <c r="R60" i="6" s="1"/>
  <c r="S60" i="6" s="1"/>
  <c r="M60" i="6"/>
  <c r="O239" i="6"/>
  <c r="M239" i="6"/>
  <c r="P239" i="6" s="1"/>
  <c r="P235" i="6" s="1"/>
  <c r="O162" i="6"/>
  <c r="M162" i="6"/>
  <c r="M123" i="6"/>
  <c r="O123" i="6"/>
  <c r="G134" i="6"/>
  <c r="J72" i="1"/>
  <c r="N72" i="1" s="1"/>
  <c r="O81" i="6"/>
  <c r="G82" i="6"/>
  <c r="M81" i="6"/>
  <c r="P81" i="6" s="1"/>
  <c r="T249" i="6" a="1"/>
  <c r="T249" i="6" s="1"/>
  <c r="S249" i="6"/>
  <c r="M158" i="10"/>
  <c r="M281" i="6"/>
  <c r="R152" i="10"/>
  <c r="S152" i="10" s="1"/>
  <c r="M152" i="10" s="1"/>
  <c r="M108" i="7"/>
  <c r="E103" i="1"/>
  <c r="U391" i="10"/>
  <c r="S391" i="10"/>
  <c r="S389" i="10" s="1"/>
  <c r="J74" i="1"/>
  <c r="M74" i="1"/>
  <c r="M157" i="6"/>
  <c r="P157" i="6" s="1"/>
  <c r="J69" i="1"/>
  <c r="N69" i="1" s="1"/>
  <c r="G364" i="6"/>
  <c r="G368" i="6"/>
  <c r="M145" i="6"/>
  <c r="P145" i="6" s="1"/>
  <c r="O145" i="6"/>
  <c r="G146" i="6"/>
  <c r="G377" i="6"/>
  <c r="R248" i="6" l="1"/>
  <c r="P117" i="9"/>
  <c r="R117" i="9" s="1"/>
  <c r="T117" i="9" s="1" a="1"/>
  <c r="T117" i="9" s="1"/>
  <c r="O14" i="9"/>
  <c r="Q582" i="10" s="1"/>
  <c r="U582" i="10" s="1"/>
  <c r="O157" i="6"/>
  <c r="G144" i="6"/>
  <c r="M143" i="6"/>
  <c r="P143" i="6" s="1"/>
  <c r="Q497" i="10"/>
  <c r="R497" i="10" s="1"/>
  <c r="S496" i="10" s="1"/>
  <c r="O60" i="9"/>
  <c r="M54" i="7"/>
  <c r="Q54" i="7" s="1"/>
  <c r="M321" i="6"/>
  <c r="P321" i="6" s="1"/>
  <c r="G322" i="6"/>
  <c r="M322" i="6" s="1"/>
  <c r="P322" i="6" s="1"/>
  <c r="M12" i="9"/>
  <c r="P12" i="9" s="1"/>
  <c r="P10" i="9" s="1"/>
  <c r="M61" i="9"/>
  <c r="P61" i="9" s="1"/>
  <c r="P59" i="9" s="1"/>
  <c r="R59" i="9" s="1"/>
  <c r="S59" i="9" s="1"/>
  <c r="U613" i="10"/>
  <c r="M613" i="10" s="1"/>
  <c r="M14" i="9"/>
  <c r="Q14" i="9" s="1"/>
  <c r="Q10" i="9" s="1"/>
  <c r="Q157" i="9" s="1"/>
  <c r="O65" i="9"/>
  <c r="G185" i="9" s="1"/>
  <c r="M185" i="9" s="1"/>
  <c r="Q586" i="10"/>
  <c r="U586" i="10" s="1"/>
  <c r="Q414" i="10"/>
  <c r="R414" i="10" s="1"/>
  <c r="M31" i="9"/>
  <c r="P31" i="9" s="1"/>
  <c r="M139" i="6"/>
  <c r="P139" i="6" s="1"/>
  <c r="P135" i="6" s="1"/>
  <c r="R135" i="6" s="1"/>
  <c r="O52" i="7"/>
  <c r="Q41" i="10" s="1"/>
  <c r="R41" i="10" s="1"/>
  <c r="Q589" i="10"/>
  <c r="U589" i="10" s="1"/>
  <c r="M173" i="6"/>
  <c r="Q173" i="6" s="1"/>
  <c r="Q172" i="6" s="1"/>
  <c r="Q106" i="6" s="1"/>
  <c r="P60" i="7"/>
  <c r="R60" i="7" s="1"/>
  <c r="S60" i="7" s="1"/>
  <c r="M53" i="7"/>
  <c r="Q53" i="7" s="1"/>
  <c r="U170" i="10"/>
  <c r="M170" i="10" s="1"/>
  <c r="Q570" i="10"/>
  <c r="U570" i="10" s="1"/>
  <c r="U565" i="10" s="1"/>
  <c r="Q94" i="10"/>
  <c r="R94" i="10" s="1"/>
  <c r="S92" i="10" s="1"/>
  <c r="O100" i="6"/>
  <c r="S113" i="6"/>
  <c r="M225" i="9"/>
  <c r="O83" i="6"/>
  <c r="Q126" i="10"/>
  <c r="R126" i="10" s="1"/>
  <c r="M89" i="6"/>
  <c r="Q89" i="6" s="1"/>
  <c r="S163" i="6"/>
  <c r="M67" i="9"/>
  <c r="P67" i="9" s="1"/>
  <c r="P64" i="9" s="1"/>
  <c r="R64" i="9" s="1"/>
  <c r="S64" i="9" s="1"/>
  <c r="R340" i="6"/>
  <c r="S340" i="6" s="1"/>
  <c r="M178" i="6"/>
  <c r="P178" i="6" s="1"/>
  <c r="M57" i="9"/>
  <c r="P57" i="9" s="1"/>
  <c r="M33" i="9"/>
  <c r="P33" i="9" s="1"/>
  <c r="R75" i="9"/>
  <c r="S75" i="9" s="1"/>
  <c r="O74" i="6"/>
  <c r="G17" i="9"/>
  <c r="M17" i="9" s="1"/>
  <c r="P17" i="9" s="1"/>
  <c r="G111" i="9"/>
  <c r="O110" i="9"/>
  <c r="Q418" i="10" s="1"/>
  <c r="R418" i="10" s="1"/>
  <c r="M110" i="9"/>
  <c r="P110" i="9" s="1"/>
  <c r="O112" i="9"/>
  <c r="Q563" i="10" s="1"/>
  <c r="U563" i="10" s="1"/>
  <c r="O110" i="6"/>
  <c r="M112" i="9"/>
  <c r="Q112" i="9" s="1"/>
  <c r="Q109" i="9" s="1"/>
  <c r="Q88" i="9" s="1"/>
  <c r="O189" i="6"/>
  <c r="M189" i="6"/>
  <c r="P189" i="6" s="1"/>
  <c r="O84" i="6"/>
  <c r="Q65" i="10" s="1"/>
  <c r="R65" i="10" s="1"/>
  <c r="O188" i="6"/>
  <c r="Q37" i="10" s="1"/>
  <c r="R37" i="10" s="1"/>
  <c r="M188" i="6"/>
  <c r="P188" i="6" s="1"/>
  <c r="Q585" i="10"/>
  <c r="S585" i="10" s="1"/>
  <c r="G122" i="6"/>
  <c r="O122" i="6" s="1"/>
  <c r="O70" i="9"/>
  <c r="M70" i="9"/>
  <c r="P70" i="9" s="1"/>
  <c r="Q40" i="9"/>
  <c r="Q39" i="9" s="1"/>
  <c r="Q584" i="10"/>
  <c r="U584" i="10" s="1"/>
  <c r="O72" i="9"/>
  <c r="M72" i="9"/>
  <c r="P72" i="9" s="1"/>
  <c r="M337" i="6"/>
  <c r="P337" i="6" s="1"/>
  <c r="P335" i="6" s="1"/>
  <c r="R335" i="6" s="1"/>
  <c r="S335" i="6" s="1"/>
  <c r="O90" i="6"/>
  <c r="Q168" i="10" s="1"/>
  <c r="S168" i="10" s="1"/>
  <c r="M121" i="6"/>
  <c r="P121" i="6" s="1"/>
  <c r="Q591" i="10"/>
  <c r="S591" i="10" s="1"/>
  <c r="G88" i="6"/>
  <c r="M88" i="6" s="1"/>
  <c r="Q88" i="6" s="1"/>
  <c r="O190" i="6"/>
  <c r="Q69" i="10" s="1"/>
  <c r="R69" i="10" s="1"/>
  <c r="G191" i="6"/>
  <c r="M190" i="6"/>
  <c r="P190" i="6" s="1"/>
  <c r="O42" i="9"/>
  <c r="O16" i="9"/>
  <c r="G180" i="9" s="1"/>
  <c r="M180" i="9" s="1"/>
  <c r="G44" i="9"/>
  <c r="O44" i="9" s="1"/>
  <c r="M43" i="9"/>
  <c r="P43" i="9" s="1"/>
  <c r="Q508" i="10"/>
  <c r="R508" i="10" s="1"/>
  <c r="O194" i="6"/>
  <c r="G192" i="6"/>
  <c r="M194" i="6"/>
  <c r="Q194" i="6" s="1"/>
  <c r="Q187" i="6" s="1"/>
  <c r="Q477" i="10"/>
  <c r="R477" i="10" s="1"/>
  <c r="S472" i="10" s="1"/>
  <c r="T271" i="6" a="1"/>
  <c r="T271" i="6" s="1"/>
  <c r="T248" i="6" s="1"/>
  <c r="T198" i="6" a="1"/>
  <c r="T198" i="6" s="1"/>
  <c r="S295" i="6"/>
  <c r="S117" i="9"/>
  <c r="M372" i="6"/>
  <c r="M179" i="6"/>
  <c r="P179" i="6" s="1"/>
  <c r="O45" i="9"/>
  <c r="O89" i="6"/>
  <c r="M18" i="9"/>
  <c r="P18" i="9" s="1"/>
  <c r="G80" i="6"/>
  <c r="O80" i="6" s="1"/>
  <c r="Q45" i="10" s="1"/>
  <c r="R45" i="10" s="1"/>
  <c r="O75" i="6"/>
  <c r="M85" i="6"/>
  <c r="P85" i="6" s="1"/>
  <c r="M101" i="6"/>
  <c r="P101" i="6" s="1"/>
  <c r="P92" i="6" s="1"/>
  <c r="G184" i="6"/>
  <c r="O184" i="6" s="1"/>
  <c r="G444" i="6" s="1"/>
  <c r="Q129" i="10"/>
  <c r="R129" i="10" s="1"/>
  <c r="G86" i="6"/>
  <c r="O86" i="6" s="1"/>
  <c r="O127" i="6"/>
  <c r="M7" i="9"/>
  <c r="P7" i="9" s="1"/>
  <c r="P5" i="9" s="1"/>
  <c r="R5" i="9" s="1"/>
  <c r="S5" i="9" s="1"/>
  <c r="O85" i="6"/>
  <c r="Q66" i="10" s="1"/>
  <c r="R66" i="10" s="1"/>
  <c r="M111" i="6"/>
  <c r="P111" i="6" s="1"/>
  <c r="S159" i="10"/>
  <c r="M159" i="10" s="1"/>
  <c r="S347" i="10"/>
  <c r="S193" i="10" s="1"/>
  <c r="O41" i="7"/>
  <c r="Q56" i="10" s="1"/>
  <c r="R56" i="10" s="1"/>
  <c r="M110" i="6"/>
  <c r="P110" i="6" s="1"/>
  <c r="M245" i="6"/>
  <c r="P245" i="6" s="1"/>
  <c r="P242" i="6" s="1"/>
  <c r="R242" i="6" s="1"/>
  <c r="T242" i="6" s="1" a="1"/>
  <c r="T242" i="6" s="1"/>
  <c r="O42" i="7"/>
  <c r="Q57" i="10" s="1"/>
  <c r="R57" i="10" s="1"/>
  <c r="O132" i="6"/>
  <c r="P70" i="6"/>
  <c r="M43" i="7"/>
  <c r="Q43" i="7" s="1"/>
  <c r="Q36" i="7" s="1"/>
  <c r="G133" i="6"/>
  <c r="M133" i="6" s="1"/>
  <c r="P133" i="6" s="1"/>
  <c r="M102" i="6"/>
  <c r="Q102" i="6" s="1"/>
  <c r="Q92" i="6" s="1"/>
  <c r="U558" i="10"/>
  <c r="M558" i="10" s="1"/>
  <c r="S583" i="10"/>
  <c r="M583" i="10" s="1"/>
  <c r="G183" i="9"/>
  <c r="E118" i="1" s="1"/>
  <c r="J118" i="1" s="1"/>
  <c r="N118" i="1" s="1"/>
  <c r="M56" i="9"/>
  <c r="P56" i="9" s="1"/>
  <c r="M49" i="7"/>
  <c r="P49" i="7" s="1"/>
  <c r="G51" i="7"/>
  <c r="G50" i="7"/>
  <c r="O49" i="7"/>
  <c r="O26" i="9"/>
  <c r="G224" i="9"/>
  <c r="M224" i="9" s="1"/>
  <c r="O55" i="9"/>
  <c r="G171" i="9" s="1"/>
  <c r="M171" i="9" s="1"/>
  <c r="M55" i="9"/>
  <c r="P55" i="9" s="1"/>
  <c r="O12" i="7"/>
  <c r="M12" i="7"/>
  <c r="Q12" i="7" s="1"/>
  <c r="Q5" i="7" s="1"/>
  <c r="Q4" i="7" s="1"/>
  <c r="G7" i="7"/>
  <c r="O6" i="7"/>
  <c r="M6" i="7"/>
  <c r="P6" i="7" s="1"/>
  <c r="G8" i="7"/>
  <c r="O9" i="7"/>
  <c r="M9" i="7"/>
  <c r="P9" i="7" s="1"/>
  <c r="E46" i="1"/>
  <c r="J46" i="1" s="1"/>
  <c r="N46" i="1" s="1"/>
  <c r="M10" i="7"/>
  <c r="P10" i="7" s="1"/>
  <c r="O10" i="7"/>
  <c r="G11" i="7"/>
  <c r="U556" i="10"/>
  <c r="S556" i="10"/>
  <c r="Q43" i="10"/>
  <c r="R43" i="10" s="1"/>
  <c r="N132" i="1"/>
  <c r="M28" i="9"/>
  <c r="P28" i="9" s="1"/>
  <c r="R22" i="7"/>
  <c r="S22" i="7" s="1"/>
  <c r="M460" i="6"/>
  <c r="L361" i="6" s="1"/>
  <c r="N107" i="1"/>
  <c r="R81" i="9"/>
  <c r="S81" i="9" s="1"/>
  <c r="G184" i="9"/>
  <c r="M184" i="9" s="1"/>
  <c r="M27" i="9"/>
  <c r="P27" i="9" s="1"/>
  <c r="Q559" i="10"/>
  <c r="U559" i="10" s="1"/>
  <c r="M132" i="7"/>
  <c r="M136" i="7" s="1"/>
  <c r="L91" i="7" s="1"/>
  <c r="Q317" i="6"/>
  <c r="Q316" i="6" s="1"/>
  <c r="G39" i="7"/>
  <c r="G38" i="7"/>
  <c r="O37" i="7"/>
  <c r="G113" i="7" s="1"/>
  <c r="M113" i="7" s="1"/>
  <c r="M37" i="7"/>
  <c r="P37" i="7" s="1"/>
  <c r="O46" i="6"/>
  <c r="M47" i="6"/>
  <c r="Q47" i="6" s="1"/>
  <c r="Q42" i="6" s="1"/>
  <c r="R74" i="9"/>
  <c r="U596" i="10"/>
  <c r="M596" i="10" s="1"/>
  <c r="O318" i="6"/>
  <c r="G320" i="6"/>
  <c r="O320" i="6" s="1"/>
  <c r="G319" i="6"/>
  <c r="M319" i="6" s="1"/>
  <c r="P319" i="6" s="1"/>
  <c r="M163" i="6"/>
  <c r="P70" i="7"/>
  <c r="R70" i="7" s="1"/>
  <c r="N94" i="1"/>
  <c r="M177" i="9"/>
  <c r="E112" i="1"/>
  <c r="J112" i="1" s="1"/>
  <c r="N112" i="1" s="1"/>
  <c r="U557" i="10"/>
  <c r="S557" i="10"/>
  <c r="G98" i="7"/>
  <c r="G94" i="7"/>
  <c r="M94" i="7" s="1"/>
  <c r="J180" i="1"/>
  <c r="Q43" i="1" s="1"/>
  <c r="M182" i="9"/>
  <c r="E117" i="1"/>
  <c r="J117" i="1" s="1"/>
  <c r="N117" i="1" s="1"/>
  <c r="M124" i="6"/>
  <c r="G172" i="9"/>
  <c r="G174" i="9"/>
  <c r="P124" i="6"/>
  <c r="R124" i="6" s="1"/>
  <c r="S124" i="6" s="1"/>
  <c r="R71" i="7"/>
  <c r="S71" i="7" s="1"/>
  <c r="G181" i="9"/>
  <c r="N98" i="1"/>
  <c r="S368" i="10"/>
  <c r="S157" i="10"/>
  <c r="M157" i="10" s="1"/>
  <c r="E93" i="1"/>
  <c r="J93" i="1" s="1"/>
  <c r="N93" i="1" s="1"/>
  <c r="M415" i="6"/>
  <c r="P171" i="6"/>
  <c r="P168" i="6" s="1"/>
  <c r="R168" i="6" s="1"/>
  <c r="S168" i="6" s="1"/>
  <c r="M168" i="6"/>
  <c r="E92" i="1"/>
  <c r="J92" i="1" s="1"/>
  <c r="N92" i="1" s="1"/>
  <c r="M414" i="6"/>
  <c r="R281" i="6"/>
  <c r="N70" i="1"/>
  <c r="N75" i="1"/>
  <c r="N86" i="1"/>
  <c r="M364" i="6"/>
  <c r="E43" i="1"/>
  <c r="J43" i="1" s="1"/>
  <c r="N43" i="1" s="1"/>
  <c r="O158" i="6"/>
  <c r="M158" i="6"/>
  <c r="P158" i="6" s="1"/>
  <c r="P155" i="6" s="1"/>
  <c r="R155" i="6" s="1"/>
  <c r="S155" i="6" s="1"/>
  <c r="N74" i="1"/>
  <c r="M391" i="10"/>
  <c r="U389" i="10"/>
  <c r="U368" i="10" s="1"/>
  <c r="P123" i="6"/>
  <c r="M368" i="6"/>
  <c r="E47" i="1"/>
  <c r="J47" i="1" s="1"/>
  <c r="N47" i="1" s="1"/>
  <c r="O87" i="6"/>
  <c r="M87" i="6"/>
  <c r="P87" i="6" s="1"/>
  <c r="G147" i="6"/>
  <c r="O134" i="6"/>
  <c r="M134" i="6"/>
  <c r="P151" i="6"/>
  <c r="Q75" i="6"/>
  <c r="Q70" i="6" s="1"/>
  <c r="M70" i="6"/>
  <c r="M80" i="6"/>
  <c r="P80" i="6" s="1"/>
  <c r="U166" i="10"/>
  <c r="S166" i="10"/>
  <c r="O82" i="6"/>
  <c r="M82" i="6"/>
  <c r="P82" i="6" s="1"/>
  <c r="T294" i="6"/>
  <c r="R235" i="6"/>
  <c r="M113" i="6"/>
  <c r="J103" i="1"/>
  <c r="M103" i="1"/>
  <c r="P162" i="6"/>
  <c r="P159" i="6" s="1"/>
  <c r="R159" i="6" s="1"/>
  <c r="S159" i="6" s="1"/>
  <c r="M159" i="6"/>
  <c r="Q11" i="6"/>
  <c r="M11" i="6"/>
  <c r="P42" i="6"/>
  <c r="E56" i="1"/>
  <c r="J56" i="1" s="1"/>
  <c r="M377" i="6"/>
  <c r="O144" i="6"/>
  <c r="M144" i="6"/>
  <c r="G380" i="6"/>
  <c r="Q82" i="10"/>
  <c r="R82" i="10" s="1"/>
  <c r="G378" i="6"/>
  <c r="O146" i="6"/>
  <c r="M146" i="6"/>
  <c r="P146" i="6" s="1"/>
  <c r="Q4" i="9" l="1"/>
  <c r="S582" i="10"/>
  <c r="M582" i="10" s="1"/>
  <c r="Q48" i="7"/>
  <c r="Q80" i="7" s="1"/>
  <c r="M135" i="6"/>
  <c r="Q78" i="6"/>
  <c r="Q10" i="6" s="1"/>
  <c r="Q113" i="10"/>
  <c r="R113" i="10" s="1"/>
  <c r="S101" i="10" s="1"/>
  <c r="R10" i="9"/>
  <c r="S10" i="9" s="1"/>
  <c r="S586" i="10"/>
  <c r="M586" i="10" s="1"/>
  <c r="Q436" i="10"/>
  <c r="R436" i="10" s="1"/>
  <c r="O322" i="6"/>
  <c r="Q487" i="10" s="1"/>
  <c r="R487" i="10" s="1"/>
  <c r="S482" i="10" s="1"/>
  <c r="E120" i="1"/>
  <c r="J120" i="1" s="1"/>
  <c r="N120" i="1" s="1"/>
  <c r="P30" i="9"/>
  <c r="R30" i="9" s="1"/>
  <c r="S30" i="9" s="1"/>
  <c r="S589" i="10"/>
  <c r="S124" i="10"/>
  <c r="U585" i="10"/>
  <c r="M585" i="10" s="1"/>
  <c r="S570" i="10"/>
  <c r="M570" i="10" s="1"/>
  <c r="Q35" i="10"/>
  <c r="R35" i="10" s="1"/>
  <c r="P15" i="9"/>
  <c r="R15" i="9" s="1"/>
  <c r="S15" i="9" s="1"/>
  <c r="S584" i="10"/>
  <c r="M584" i="10" s="1"/>
  <c r="O17" i="9"/>
  <c r="Q507" i="10" s="1"/>
  <c r="R507" i="10" s="1"/>
  <c r="M122" i="6"/>
  <c r="P122" i="6" s="1"/>
  <c r="P119" i="6" s="1"/>
  <c r="R119" i="6" s="1"/>
  <c r="S119" i="6" s="1"/>
  <c r="O88" i="6"/>
  <c r="Q164" i="10" s="1"/>
  <c r="U164" i="10" s="1"/>
  <c r="P69" i="9"/>
  <c r="R69" i="9" s="1"/>
  <c r="S69" i="9" s="1"/>
  <c r="M184" i="6"/>
  <c r="Q184" i="6" s="1"/>
  <c r="Q177" i="6" s="1"/>
  <c r="Q176" i="6" s="1"/>
  <c r="G182" i="6"/>
  <c r="M182" i="6" s="1"/>
  <c r="P182" i="6" s="1"/>
  <c r="P177" i="6" s="1"/>
  <c r="Q350" i="6"/>
  <c r="U591" i="10"/>
  <c r="M591" i="10" s="1"/>
  <c r="S563" i="10"/>
  <c r="M563" i="10" s="1"/>
  <c r="M86" i="6"/>
  <c r="P86" i="6" s="1"/>
  <c r="P78" i="6" s="1"/>
  <c r="R78" i="6" s="1"/>
  <c r="U168" i="10"/>
  <c r="M168" i="10" s="1"/>
  <c r="M44" i="9"/>
  <c r="P44" i="9" s="1"/>
  <c r="P40" i="9" s="1"/>
  <c r="Q84" i="10"/>
  <c r="R84" i="10" s="1"/>
  <c r="M191" i="6"/>
  <c r="P191" i="6" s="1"/>
  <c r="O191" i="6"/>
  <c r="O111" i="9"/>
  <c r="M111" i="9"/>
  <c r="P111" i="9" s="1"/>
  <c r="P109" i="9" s="1"/>
  <c r="Q506" i="10"/>
  <c r="R506" i="10" s="1"/>
  <c r="E115" i="1"/>
  <c r="J115" i="1" s="1"/>
  <c r="N115" i="1" s="1"/>
  <c r="O192" i="6"/>
  <c r="M192" i="6"/>
  <c r="P192" i="6" s="1"/>
  <c r="R92" i="6"/>
  <c r="S92" i="6" s="1"/>
  <c r="S565" i="10"/>
  <c r="G223" i="9"/>
  <c r="M223" i="9" s="1"/>
  <c r="Q588" i="10"/>
  <c r="P107" i="6"/>
  <c r="R107" i="6" s="1"/>
  <c r="S107" i="6" s="1"/>
  <c r="S242" i="6"/>
  <c r="P197" i="6"/>
  <c r="R197" i="6" s="1"/>
  <c r="O133" i="6"/>
  <c r="Q85" i="10" s="1"/>
  <c r="R85" i="10" s="1"/>
  <c r="M107" i="6"/>
  <c r="R70" i="6"/>
  <c r="S70" i="6" s="1"/>
  <c r="M183" i="9"/>
  <c r="Q153" i="9"/>
  <c r="Q159" i="9" s="1"/>
  <c r="M168" i="9" s="1"/>
  <c r="N168" i="9" s="1"/>
  <c r="Q416" i="10"/>
  <c r="R416" i="10" s="1"/>
  <c r="S413" i="10" s="1"/>
  <c r="P54" i="9"/>
  <c r="R54" i="9" s="1"/>
  <c r="S54" i="9" s="1"/>
  <c r="O50" i="7"/>
  <c r="M50" i="7"/>
  <c r="P50" i="7" s="1"/>
  <c r="O51" i="7"/>
  <c r="M51" i="7"/>
  <c r="P51" i="7" s="1"/>
  <c r="Q35" i="7"/>
  <c r="Q76" i="7" s="1"/>
  <c r="Q82" i="7" s="1"/>
  <c r="R172" i="6"/>
  <c r="S172" i="6" s="1"/>
  <c r="G175" i="9"/>
  <c r="M175" i="9" s="1"/>
  <c r="E174" i="1"/>
  <c r="J174" i="1" s="1"/>
  <c r="M556" i="10"/>
  <c r="M11" i="7"/>
  <c r="P11" i="7" s="1"/>
  <c r="O11" i="7"/>
  <c r="O8" i="7"/>
  <c r="M8" i="7"/>
  <c r="P8" i="7" s="1"/>
  <c r="O7" i="7"/>
  <c r="M7" i="7"/>
  <c r="P7" i="7" s="1"/>
  <c r="P25" i="9"/>
  <c r="R25" i="9" s="1"/>
  <c r="S25" i="9" s="1"/>
  <c r="E119" i="1"/>
  <c r="J119" i="1" s="1"/>
  <c r="N119" i="1" s="1"/>
  <c r="S559" i="10"/>
  <c r="M589" i="10"/>
  <c r="M42" i="6"/>
  <c r="O38" i="7"/>
  <c r="M38" i="7"/>
  <c r="P38" i="7" s="1"/>
  <c r="O39" i="7"/>
  <c r="M39" i="7"/>
  <c r="P39" i="7" s="1"/>
  <c r="M320" i="6"/>
  <c r="P320" i="6" s="1"/>
  <c r="P317" i="6" s="1"/>
  <c r="P316" i="6" s="1"/>
  <c r="R316" i="6" s="1"/>
  <c r="D8" i="11" s="1"/>
  <c r="O319" i="6"/>
  <c r="G374" i="6" s="1"/>
  <c r="M374" i="6" s="1"/>
  <c r="M174" i="9"/>
  <c r="E48" i="1"/>
  <c r="J48" i="1" s="1"/>
  <c r="N48" i="1" s="1"/>
  <c r="M172" i="9"/>
  <c r="E45" i="1"/>
  <c r="J45" i="1" s="1"/>
  <c r="N45" i="1" s="1"/>
  <c r="M557" i="10"/>
  <c r="M181" i="9"/>
  <c r="E116" i="1"/>
  <c r="J116" i="1" s="1"/>
  <c r="N116" i="1" s="1"/>
  <c r="M98" i="7"/>
  <c r="M119" i="7" s="1"/>
  <c r="L90" i="7" s="1"/>
  <c r="E50" i="1"/>
  <c r="J50" i="1" s="1"/>
  <c r="N50" i="1" s="1"/>
  <c r="Q167" i="10"/>
  <c r="S167" i="10" s="1"/>
  <c r="S135" i="6"/>
  <c r="U554" i="10"/>
  <c r="M155" i="6"/>
  <c r="S281" i="6"/>
  <c r="T281" i="6" a="1"/>
  <c r="T281" i="6" s="1"/>
  <c r="N103" i="1"/>
  <c r="M166" i="10"/>
  <c r="R11" i="6"/>
  <c r="S11" i="6" s="1"/>
  <c r="O147" i="6"/>
  <c r="M147" i="6"/>
  <c r="P147" i="6" s="1"/>
  <c r="P134" i="6"/>
  <c r="P129" i="6" s="1"/>
  <c r="R129" i="6" s="1"/>
  <c r="S129" i="6" s="1"/>
  <c r="M129" i="6"/>
  <c r="R42" i="6"/>
  <c r="S42" i="6" s="1"/>
  <c r="S235" i="6"/>
  <c r="T235" i="6" a="1"/>
  <c r="T235" i="6" s="1"/>
  <c r="T197" i="6" s="1"/>
  <c r="E152" i="1"/>
  <c r="J152" i="1" s="1"/>
  <c r="M444" i="6"/>
  <c r="E57" i="1"/>
  <c r="J57" i="1" s="1"/>
  <c r="M378" i="6"/>
  <c r="M380" i="6"/>
  <c r="E59" i="1"/>
  <c r="J59" i="1" s="1"/>
  <c r="G379" i="6"/>
  <c r="P144" i="6"/>
  <c r="G381" i="6"/>
  <c r="Q83" i="10"/>
  <c r="R83" i="10" s="1"/>
  <c r="N56" i="1"/>
  <c r="R109" i="9" l="1"/>
  <c r="S109" i="9" s="1"/>
  <c r="P88" i="9"/>
  <c r="P157" i="9"/>
  <c r="O182" i="6"/>
  <c r="M119" i="6"/>
  <c r="R157" i="9"/>
  <c r="R158" i="9" s="1"/>
  <c r="S554" i="10"/>
  <c r="R88" i="9"/>
  <c r="D11" i="11" s="1"/>
  <c r="S164" i="10"/>
  <c r="M164" i="10" s="1"/>
  <c r="P187" i="6"/>
  <c r="R187" i="6" s="1"/>
  <c r="T187" i="6" s="1" a="1"/>
  <c r="T187" i="6" s="1"/>
  <c r="R40" i="9"/>
  <c r="S40" i="9" s="1"/>
  <c r="P39" i="9"/>
  <c r="R39" i="9" s="1"/>
  <c r="S505" i="10"/>
  <c r="T92" i="6" a="1"/>
  <c r="T92" i="6" s="1"/>
  <c r="Q439" i="10"/>
  <c r="R439" i="10" s="1"/>
  <c r="S424" i="10" s="1"/>
  <c r="G187" i="9"/>
  <c r="Q81" i="10"/>
  <c r="R81" i="10" s="1"/>
  <c r="U588" i="10"/>
  <c r="S588" i="10"/>
  <c r="S580" i="10" s="1"/>
  <c r="P48" i="7"/>
  <c r="R48" i="7" s="1"/>
  <c r="S48" i="7" s="1"/>
  <c r="Q78" i="10"/>
  <c r="R78" i="10" s="1"/>
  <c r="P5" i="7"/>
  <c r="P4" i="7" s="1"/>
  <c r="R4" i="7" s="1"/>
  <c r="M91" i="7"/>
  <c r="N91" i="7" s="1"/>
  <c r="P4" i="9"/>
  <c r="R4" i="9" s="1"/>
  <c r="M559" i="10"/>
  <c r="E53" i="1"/>
  <c r="J53" i="1" s="1"/>
  <c r="N53" i="1" s="1"/>
  <c r="P36" i="7"/>
  <c r="P10" i="6"/>
  <c r="R10" i="6" s="1"/>
  <c r="D5" i="11" s="1"/>
  <c r="C14" i="11" s="1"/>
  <c r="D14" i="11" s="1"/>
  <c r="S78" i="6"/>
  <c r="T78" i="6" a="1"/>
  <c r="T78" i="6" s="1"/>
  <c r="M202" i="9"/>
  <c r="L167" i="9" s="1"/>
  <c r="R317" i="6"/>
  <c r="S317" i="6" s="1"/>
  <c r="U167" i="10"/>
  <c r="U149" i="10" s="1"/>
  <c r="U148" i="10" s="1"/>
  <c r="T317" i="6" a="1"/>
  <c r="G375" i="6"/>
  <c r="Q63" i="10"/>
  <c r="R63" i="10" s="1"/>
  <c r="Q55" i="10"/>
  <c r="R55" i="10" s="1"/>
  <c r="S54" i="10" s="1"/>
  <c r="O154" i="6"/>
  <c r="M154" i="6"/>
  <c r="M141" i="6"/>
  <c r="Q346" i="6"/>
  <c r="Q352" i="6" s="1"/>
  <c r="P141" i="6"/>
  <c r="R177" i="6"/>
  <c r="E60" i="1"/>
  <c r="J60" i="1" s="1"/>
  <c r="M381" i="6"/>
  <c r="E58" i="1"/>
  <c r="J58" i="1" s="1"/>
  <c r="M379" i="6"/>
  <c r="N59" i="1"/>
  <c r="N57" i="1"/>
  <c r="P176" i="6" l="1"/>
  <c r="R176" i="6" s="1"/>
  <c r="I13" i="1"/>
  <c r="J13" i="1" s="1"/>
  <c r="S553" i="10"/>
  <c r="P80" i="7"/>
  <c r="R80" i="7" s="1"/>
  <c r="I12" i="1" s="1"/>
  <c r="J12" i="1" s="1"/>
  <c r="S411" i="10"/>
  <c r="S187" i="6"/>
  <c r="E122" i="1"/>
  <c r="J122" i="1" s="1"/>
  <c r="N122" i="1" s="1"/>
  <c r="M187" i="9"/>
  <c r="P35" i="7"/>
  <c r="S62" i="10"/>
  <c r="M588" i="10"/>
  <c r="U580" i="10"/>
  <c r="U553" i="10" s="1"/>
  <c r="R81" i="7"/>
  <c r="R5" i="7"/>
  <c r="T5" i="7" s="1" a="1"/>
  <c r="T5" i="7" s="1"/>
  <c r="T4" i="7" s="1"/>
  <c r="D10" i="11"/>
  <c r="C21" i="11" s="1"/>
  <c r="D21" i="11" s="1"/>
  <c r="P153" i="9"/>
  <c r="R153" i="9" s="1"/>
  <c r="R154" i="9" s="1"/>
  <c r="R36" i="7"/>
  <c r="S36" i="7" s="1"/>
  <c r="R141" i="6"/>
  <c r="S141" i="6" s="1"/>
  <c r="M167" i="10"/>
  <c r="T317" i="6"/>
  <c r="U317" i="6"/>
  <c r="P154" i="6"/>
  <c r="P148" i="6" s="1"/>
  <c r="M148" i="6"/>
  <c r="G370" i="6"/>
  <c r="Q42" i="10"/>
  <c r="R42" i="10" s="1"/>
  <c r="S34" i="10" s="1"/>
  <c r="S32" i="10" s="1"/>
  <c r="M361" i="6"/>
  <c r="N361" i="6" s="1"/>
  <c r="R43" i="1"/>
  <c r="E54" i="1"/>
  <c r="J54" i="1" s="1"/>
  <c r="N54" i="1" s="1"/>
  <c r="M375" i="6"/>
  <c r="S177" i="6"/>
  <c r="T177" i="6" a="1"/>
  <c r="T177" i="6" s="1"/>
  <c r="T176" i="6" s="1"/>
  <c r="G365" i="6"/>
  <c r="N58" i="1"/>
  <c r="N60" i="1"/>
  <c r="P106" i="6" l="1"/>
  <c r="R106" i="6" s="1"/>
  <c r="D7" i="11" s="1"/>
  <c r="C17" i="11" s="1"/>
  <c r="D17" i="11" s="1"/>
  <c r="P350" i="6"/>
  <c r="S5" i="7"/>
  <c r="C20" i="11"/>
  <c r="D20" i="11" s="1"/>
  <c r="R156" i="9"/>
  <c r="R155" i="9"/>
  <c r="P159" i="9"/>
  <c r="R160" i="9"/>
  <c r="E13" i="1"/>
  <c r="F13" i="1" s="1"/>
  <c r="R35" i="7"/>
  <c r="D9" i="11" s="1"/>
  <c r="P76" i="7"/>
  <c r="R148" i="6"/>
  <c r="S148" i="6" s="1"/>
  <c r="S43" i="1"/>
  <c r="T43" i="1"/>
  <c r="M370" i="6"/>
  <c r="E49" i="1"/>
  <c r="J49" i="1" s="1"/>
  <c r="N49" i="1" s="1"/>
  <c r="M365" i="6"/>
  <c r="E44" i="1"/>
  <c r="J44" i="1" s="1"/>
  <c r="R159" i="9" l="1"/>
  <c r="M167" i="9"/>
  <c r="N167" i="9" s="1"/>
  <c r="R76" i="7"/>
  <c r="P82" i="7"/>
  <c r="R82" i="7" s="1"/>
  <c r="M90" i="7"/>
  <c r="N90" i="7" s="1"/>
  <c r="C18" i="11"/>
  <c r="D18" i="11" s="1"/>
  <c r="C19" i="11"/>
  <c r="D19" i="11" s="1"/>
  <c r="R350" i="6"/>
  <c r="P346" i="6"/>
  <c r="M417" i="6"/>
  <c r="L360" i="6" s="1"/>
  <c r="C15" i="11"/>
  <c r="D15" i="11" s="1"/>
  <c r="C16" i="11"/>
  <c r="D16" i="11" s="1"/>
  <c r="N44" i="1"/>
  <c r="N136" i="1" s="1"/>
  <c r="J136" i="1"/>
  <c r="Q42" i="1" s="1"/>
  <c r="Q44" i="1" s="1"/>
  <c r="P167" i="9" l="1"/>
  <c r="R162" i="9"/>
  <c r="R161" i="9"/>
  <c r="P168" i="9"/>
  <c r="P91" i="7"/>
  <c r="P90" i="7"/>
  <c r="R84" i="7"/>
  <c r="R85" i="7"/>
  <c r="R83" i="7"/>
  <c r="R77" i="7"/>
  <c r="R78" i="7"/>
  <c r="R79" i="7"/>
  <c r="E12" i="1"/>
  <c r="F12" i="1" s="1"/>
  <c r="R346" i="6"/>
  <c r="P352" i="6"/>
  <c r="R351" i="6"/>
  <c r="I11" i="1"/>
  <c r="R164" i="9" l="1"/>
  <c r="N193" i="9" s="1"/>
  <c r="R87" i="7"/>
  <c r="I24" i="1"/>
  <c r="J24" i="1" s="1"/>
  <c r="I23" i="1"/>
  <c r="J23" i="1" s="1"/>
  <c r="I21" i="1"/>
  <c r="I22" i="1"/>
  <c r="J22" i="1" s="1"/>
  <c r="J11" i="1"/>
  <c r="I15" i="1"/>
  <c r="E11" i="1"/>
  <c r="R348" i="6"/>
  <c r="R349" i="6"/>
  <c r="R347" i="6"/>
  <c r="R353" i="6"/>
  <c r="R42" i="1"/>
  <c r="R352" i="6"/>
  <c r="M360" i="6"/>
  <c r="N360" i="6" s="1"/>
  <c r="J15" i="1" l="1"/>
  <c r="L17" i="8"/>
  <c r="N221" i="9"/>
  <c r="N211" i="9"/>
  <c r="N191" i="9"/>
  <c r="N174" i="9"/>
  <c r="N214" i="9"/>
  <c r="N200" i="9"/>
  <c r="N199" i="9"/>
  <c r="N237" i="9"/>
  <c r="N227" i="9"/>
  <c r="N186" i="9"/>
  <c r="N177" i="9"/>
  <c r="N225" i="9"/>
  <c r="N228" i="9"/>
  <c r="N175" i="9"/>
  <c r="N187" i="9"/>
  <c r="N190" i="9"/>
  <c r="N185" i="9"/>
  <c r="N206" i="9"/>
  <c r="N220" i="9"/>
  <c r="N232" i="9" s="1"/>
  <c r="N183" i="9"/>
  <c r="N197" i="9"/>
  <c r="N172" i="9"/>
  <c r="N178" i="9"/>
  <c r="N198" i="9"/>
  <c r="N195" i="9"/>
  <c r="N229" i="9"/>
  <c r="N192" i="9"/>
  <c r="N212" i="9"/>
  <c r="N184" i="9"/>
  <c r="N230" i="9"/>
  <c r="N194" i="9"/>
  <c r="N224" i="9"/>
  <c r="N236" i="9"/>
  <c r="N179" i="9"/>
  <c r="N180" i="9"/>
  <c r="N213" i="9"/>
  <c r="N207" i="9"/>
  <c r="N181" i="9"/>
  <c r="N196" i="9"/>
  <c r="N208" i="9"/>
  <c r="N173" i="9"/>
  <c r="N188" i="9"/>
  <c r="N205" i="9"/>
  <c r="N210" i="9"/>
  <c r="N176" i="9"/>
  <c r="N209" i="9"/>
  <c r="N222" i="9"/>
  <c r="N171" i="9"/>
  <c r="N182" i="9"/>
  <c r="N189" i="9"/>
  <c r="N226" i="9"/>
  <c r="N235" i="9"/>
  <c r="N239" i="9" s="1"/>
  <c r="N223" i="9"/>
  <c r="N95" i="7"/>
  <c r="N113" i="7"/>
  <c r="N104" i="7"/>
  <c r="N99" i="7"/>
  <c r="N133" i="7"/>
  <c r="N111" i="7"/>
  <c r="N102" i="7"/>
  <c r="N129" i="7"/>
  <c r="N134" i="7"/>
  <c r="N116" i="7"/>
  <c r="N108" i="7"/>
  <c r="N130" i="7"/>
  <c r="N94" i="7"/>
  <c r="N131" i="7"/>
  <c r="N109" i="7"/>
  <c r="N123" i="7"/>
  <c r="N97" i="7"/>
  <c r="N106" i="7"/>
  <c r="N114" i="7"/>
  <c r="N132" i="7"/>
  <c r="N101" i="7"/>
  <c r="N139" i="7"/>
  <c r="N141" i="7" s="1"/>
  <c r="N110" i="7"/>
  <c r="N96" i="7"/>
  <c r="N117" i="7"/>
  <c r="N98" i="7"/>
  <c r="N105" i="7"/>
  <c r="N122" i="7"/>
  <c r="N103" i="7"/>
  <c r="N100" i="7"/>
  <c r="N112" i="7"/>
  <c r="N107" i="7"/>
  <c r="N115" i="7"/>
  <c r="J21" i="1"/>
  <c r="I26" i="1"/>
  <c r="R44" i="1"/>
  <c r="S42" i="1"/>
  <c r="T42" i="1"/>
  <c r="E23" i="1"/>
  <c r="F23" i="1" s="1"/>
  <c r="E21" i="1"/>
  <c r="F21" i="1" s="1"/>
  <c r="F11" i="1"/>
  <c r="E15" i="1"/>
  <c r="E24" i="1"/>
  <c r="F24" i="1" s="1"/>
  <c r="E22" i="1"/>
  <c r="F22" i="1" s="1"/>
  <c r="R354" i="6"/>
  <c r="R355" i="6"/>
  <c r="P360" i="6"/>
  <c r="P361" i="6"/>
  <c r="N202" i="9" l="1"/>
  <c r="N216" i="9"/>
  <c r="N125" i="7"/>
  <c r="N136" i="7"/>
  <c r="N119" i="7"/>
  <c r="R357" i="6"/>
  <c r="N396" i="6" s="1"/>
  <c r="E17" i="1"/>
  <c r="F17" i="1" s="1"/>
  <c r="I16" i="1"/>
  <c r="J16" i="1" s="1"/>
  <c r="E18" i="1"/>
  <c r="F18" i="1" s="1"/>
  <c r="F15" i="1"/>
  <c r="I18" i="1"/>
  <c r="J18" i="1" s="1"/>
  <c r="L6" i="8"/>
  <c r="I17" i="1"/>
  <c r="J17" i="1" s="1"/>
  <c r="E16" i="1"/>
  <c r="F16" i="1" s="1"/>
  <c r="S44" i="1"/>
  <c r="T44" i="1"/>
  <c r="T45" i="1" s="1"/>
  <c r="J26" i="1"/>
  <c r="J31" i="1"/>
  <c r="N440" i="6" l="1"/>
  <c r="N387" i="6"/>
  <c r="N402" i="6"/>
  <c r="N389" i="6"/>
  <c r="N401" i="6"/>
  <c r="N422" i="6"/>
  <c r="N404" i="6"/>
  <c r="N423" i="6"/>
  <c r="N381" i="6"/>
  <c r="N443" i="6"/>
  <c r="N377" i="6"/>
  <c r="N408" i="6"/>
  <c r="N399" i="6"/>
  <c r="N383" i="6"/>
  <c r="N437" i="6"/>
  <c r="N463" i="6"/>
  <c r="N465" i="6" s="1"/>
  <c r="N448" i="6"/>
  <c r="N393" i="6"/>
  <c r="N370" i="6"/>
  <c r="N403" i="6"/>
  <c r="N420" i="6"/>
  <c r="N407" i="6"/>
  <c r="N379" i="6"/>
  <c r="N438" i="6"/>
  <c r="N392" i="6"/>
  <c r="N382" i="6"/>
  <c r="N397" i="6"/>
  <c r="N378" i="6"/>
  <c r="N447" i="6"/>
  <c r="N406" i="6"/>
  <c r="N458" i="6"/>
  <c r="N384" i="6"/>
  <c r="N425" i="6"/>
  <c r="N434" i="6"/>
  <c r="N394" i="6"/>
  <c r="N455" i="6"/>
  <c r="N450" i="6"/>
  <c r="N444" i="6"/>
  <c r="N451" i="6"/>
  <c r="N412" i="6"/>
  <c r="N414" i="6"/>
  <c r="N386" i="6"/>
  <c r="N374" i="6"/>
  <c r="N452" i="6"/>
  <c r="N366" i="6"/>
  <c r="N409" i="6"/>
  <c r="N373" i="6"/>
  <c r="N446" i="6"/>
  <c r="N421" i="6"/>
  <c r="N436" i="6"/>
  <c r="N426" i="6"/>
  <c r="N380" i="6"/>
  <c r="N368" i="6"/>
  <c r="N413" i="6"/>
  <c r="N364" i="6"/>
  <c r="N449" i="6"/>
  <c r="N400" i="6"/>
  <c r="N369" i="6"/>
  <c r="N441" i="6"/>
  <c r="N391" i="6"/>
  <c r="N457" i="6"/>
  <c r="N453" i="6"/>
  <c r="N415" i="6"/>
  <c r="N398" i="6"/>
  <c r="N411" i="6"/>
  <c r="N435" i="6"/>
  <c r="N385" i="6"/>
  <c r="N439" i="6"/>
  <c r="N367" i="6"/>
  <c r="N454" i="6"/>
  <c r="N445" i="6"/>
  <c r="N388" i="6"/>
  <c r="N433" i="6"/>
  <c r="N376" i="6"/>
  <c r="N405" i="6"/>
  <c r="N424" i="6"/>
  <c r="N395" i="6"/>
  <c r="N427" i="6"/>
  <c r="N442" i="6"/>
  <c r="N371" i="6"/>
  <c r="N375" i="6"/>
  <c r="N456" i="6"/>
  <c r="N365" i="6"/>
  <c r="N372" i="6"/>
  <c r="N390" i="6"/>
  <c r="N410" i="6"/>
  <c r="L12" i="8"/>
  <c r="M12" i="8" s="1"/>
  <c r="Q12" i="8" s="1"/>
  <c r="L7" i="8"/>
  <c r="M7" i="8" s="1"/>
  <c r="Q7" i="8" s="1"/>
  <c r="L8" i="8"/>
  <c r="M8" i="8" s="1"/>
  <c r="Q8" i="8" s="1"/>
  <c r="M6" i="8"/>
  <c r="Q6" i="8" s="1"/>
  <c r="L14" i="8"/>
  <c r="M14" i="8" s="1"/>
  <c r="Q14" i="8" s="1"/>
  <c r="L11" i="8"/>
  <c r="M11" i="8" s="1"/>
  <c r="Q11" i="8" s="1"/>
  <c r="L13" i="8"/>
  <c r="M13" i="8" s="1"/>
  <c r="Q13" i="8" s="1"/>
  <c r="I34" i="1"/>
  <c r="I33" i="1"/>
  <c r="I32" i="1"/>
  <c r="N460" i="6" l="1"/>
  <c r="N429" i="6"/>
  <c r="N417" i="6"/>
  <c r="Q5" i="8"/>
  <c r="Q32" i="8" l="1"/>
  <c r="Q4" i="8"/>
  <c r="R4" i="8" s="1"/>
  <c r="R5" i="8"/>
  <c r="S5" i="8" s="1"/>
  <c r="Q38" i="8" l="1"/>
  <c r="R38" i="8" s="1"/>
  <c r="R32" i="8"/>
  <c r="R35" i="8" l="1"/>
  <c r="R39" i="8"/>
  <c r="E20" i="1"/>
  <c r="R33" i="8"/>
  <c r="R34" i="8"/>
  <c r="R40" i="8"/>
  <c r="R41" i="8"/>
  <c r="E26" i="1" l="1"/>
  <c r="F20" i="1"/>
  <c r="R43" i="8"/>
  <c r="E29" i="1" l="1"/>
  <c r="F29" i="1" s="1"/>
  <c r="I27" i="1"/>
  <c r="J27" i="1" s="1"/>
  <c r="F26" i="1"/>
  <c r="E28" i="1"/>
  <c r="F28" i="1" s="1"/>
  <c r="E31" i="1"/>
  <c r="I29" i="1"/>
  <c r="J29" i="1" s="1"/>
  <c r="I28" i="1"/>
  <c r="J28" i="1" s="1"/>
  <c r="E27" i="1"/>
  <c r="F27" i="1" s="1"/>
  <c r="T113" i="9" l="1" a="1"/>
  <c r="T113" i="9" s="1"/>
  <c r="T135" i="9" a="1"/>
  <c r="T135" i="9" s="1"/>
  <c r="T78" i="9" a="1"/>
  <c r="T78" i="9" s="1"/>
  <c r="T96" i="9" a="1"/>
  <c r="T96" i="9" s="1"/>
  <c r="T59" i="9" a="1"/>
  <c r="T59" i="9" s="1"/>
  <c r="T69" i="9" a="1"/>
  <c r="T69" i="9" s="1"/>
  <c r="T30" i="9" a="1"/>
  <c r="T30" i="9" s="1"/>
  <c r="T47" i="9" a="1"/>
  <c r="T47" i="9" s="1"/>
  <c r="T10" i="9" a="1"/>
  <c r="T10" i="9" s="1"/>
  <c r="T20" i="9" a="1"/>
  <c r="T20" i="9" s="1"/>
  <c r="T109" i="9" a="1"/>
  <c r="T109" i="9" s="1"/>
  <c r="T65" i="7" a="1"/>
  <c r="T65" i="7" s="1"/>
  <c r="T35" i="9" a="1"/>
  <c r="T35" i="9" s="1"/>
  <c r="T48" i="7" a="1"/>
  <c r="T48" i="7" s="1"/>
  <c r="T71" i="7" a="1"/>
  <c r="T71" i="7" s="1"/>
  <c r="T70" i="7" s="1"/>
  <c r="T159" i="6" a="1"/>
  <c r="T159" i="6" s="1"/>
  <c r="E33" i="1"/>
  <c r="T124" i="6" a="1"/>
  <c r="T124" i="6" s="1"/>
  <c r="E32" i="1"/>
  <c r="T103" i="9" a="1"/>
  <c r="T103" i="9" s="1"/>
  <c r="T22" i="7" a="1"/>
  <c r="T22" i="7" s="1"/>
  <c r="T21" i="7" s="1"/>
  <c r="T11" i="6" a="1"/>
  <c r="T11" i="6" s="1"/>
  <c r="T25" i="9" a="1"/>
  <c r="T25" i="9" s="1"/>
  <c r="T60" i="7" a="1"/>
  <c r="T60" i="7" s="1"/>
  <c r="T15" i="7" a="1"/>
  <c r="T15" i="7" s="1"/>
  <c r="T14" i="7" s="1"/>
  <c r="T113" i="6" a="1"/>
  <c r="T113" i="6" s="1"/>
  <c r="T75" i="9" a="1"/>
  <c r="T75" i="9" s="1"/>
  <c r="T74" i="9" s="1"/>
  <c r="T18" i="6" a="1"/>
  <c r="T18" i="6" s="1"/>
  <c r="T89" i="9" a="1"/>
  <c r="T89" i="9" s="1"/>
  <c r="T168" i="6" a="1"/>
  <c r="T168" i="6" s="1"/>
  <c r="T340" i="6" a="1"/>
  <c r="T340" i="6" s="1"/>
  <c r="T155" i="6" a="1"/>
  <c r="T155" i="6" s="1"/>
  <c r="T81" i="9" a="1"/>
  <c r="T81" i="9" s="1"/>
  <c r="T5" i="6" a="1"/>
  <c r="T5" i="6" s="1"/>
  <c r="T4" i="6" s="1"/>
  <c r="T36" i="7" a="1"/>
  <c r="T36" i="7" s="1"/>
  <c r="T148" i="6" a="1"/>
  <c r="T148" i="6" s="1"/>
  <c r="T135" i="6" a="1"/>
  <c r="T135" i="6" s="1"/>
  <c r="T172" i="6" a="1"/>
  <c r="T172" i="6" s="1"/>
  <c r="T148" i="9" a="1"/>
  <c r="T148" i="9" s="1"/>
  <c r="T147" i="9" s="1"/>
  <c r="T326" i="6" a="1"/>
  <c r="T326" i="6" s="1"/>
  <c r="T15" i="9" a="1"/>
  <c r="T15" i="9" s="1"/>
  <c r="T5" i="9" a="1"/>
  <c r="T5" i="9" s="1"/>
  <c r="E35" i="1"/>
  <c r="T15" i="6" a="1"/>
  <c r="T15" i="6" s="1"/>
  <c r="T40" i="9" a="1"/>
  <c r="T40" i="9" s="1"/>
  <c r="T163" i="6" a="1"/>
  <c r="T163" i="6" s="1"/>
  <c r="T129" i="6" a="1"/>
  <c r="T129" i="6" s="1"/>
  <c r="T123" i="9" a="1"/>
  <c r="T123" i="9" s="1"/>
  <c r="T119" i="6" a="1"/>
  <c r="T119" i="6" s="1"/>
  <c r="T141" i="6" a="1"/>
  <c r="T141" i="6" s="1"/>
  <c r="T54" i="9" a="1"/>
  <c r="T54" i="9" s="1"/>
  <c r="T335" i="6" a="1"/>
  <c r="T335" i="6" s="1"/>
  <c r="T316" i="6" s="1"/>
  <c r="T30" i="6" a="1"/>
  <c r="T30" i="6" s="1"/>
  <c r="T64" i="9" a="1"/>
  <c r="T64" i="9" s="1"/>
  <c r="T107" i="6" a="1"/>
  <c r="T107" i="6" s="1"/>
  <c r="T5" i="8" a="1"/>
  <c r="T5" i="8" s="1"/>
  <c r="T4" i="8" s="1"/>
  <c r="E34" i="1"/>
  <c r="L19" i="8" l="1"/>
  <c r="M19" i="8" s="1"/>
  <c r="Q19" i="8" s="1"/>
  <c r="L25" i="8"/>
  <c r="M25" i="8" s="1"/>
  <c r="Q25" i="8" s="1"/>
  <c r="L24" i="8"/>
  <c r="M24" i="8" s="1"/>
  <c r="Q24" i="8" s="1"/>
  <c r="L22" i="8"/>
  <c r="M22" i="8" s="1"/>
  <c r="Q22" i="8" s="1"/>
  <c r="L18" i="8"/>
  <c r="M18" i="8" s="1"/>
  <c r="Q18" i="8" s="1"/>
  <c r="L23" i="8"/>
  <c r="M23" i="8" s="1"/>
  <c r="Q23" i="8" s="1"/>
  <c r="M17" i="8"/>
  <c r="Q17" i="8" s="1"/>
  <c r="E38" i="1"/>
  <c r="E37" i="1"/>
  <c r="E36" i="1"/>
  <c r="T35" i="7"/>
  <c r="T10" i="6"/>
  <c r="T39" i="9"/>
  <c r="T4" i="9"/>
  <c r="T88" i="9"/>
  <c r="T106" i="6"/>
  <c r="G31" i="1"/>
  <c r="K22" i="1"/>
  <c r="G12" i="1"/>
  <c r="K31" i="1"/>
  <c r="K126" i="1"/>
  <c r="K152" i="1"/>
  <c r="K176" i="1"/>
  <c r="K120" i="1"/>
  <c r="K54" i="1"/>
  <c r="K143" i="1"/>
  <c r="K45" i="1"/>
  <c r="K49" i="1"/>
  <c r="K85" i="1"/>
  <c r="K60" i="1"/>
  <c r="K151" i="1"/>
  <c r="K44" i="1"/>
  <c r="K88" i="1"/>
  <c r="K58" i="1"/>
  <c r="K89" i="1"/>
  <c r="G11" i="1"/>
  <c r="K109" i="1"/>
  <c r="K80" i="1"/>
  <c r="K105" i="1"/>
  <c r="K159" i="1"/>
  <c r="K146" i="1"/>
  <c r="K133" i="1"/>
  <c r="K112" i="1"/>
  <c r="K173" i="1"/>
  <c r="G23" i="1"/>
  <c r="K106" i="1"/>
  <c r="K98" i="1"/>
  <c r="K107" i="1"/>
  <c r="K90" i="1"/>
  <c r="K150" i="1"/>
  <c r="K79" i="1"/>
  <c r="K56" i="1"/>
  <c r="K131" i="1"/>
  <c r="K75" i="1"/>
  <c r="K64" i="1"/>
  <c r="K108" i="1"/>
  <c r="G13" i="1"/>
  <c r="K26" i="1"/>
  <c r="K21" i="1"/>
  <c r="K124" i="1"/>
  <c r="K111" i="1"/>
  <c r="K170" i="1"/>
  <c r="K134" i="1"/>
  <c r="K104" i="1"/>
  <c r="K84" i="1"/>
  <c r="K24" i="1"/>
  <c r="K113" i="1"/>
  <c r="K142" i="1"/>
  <c r="K148" i="1"/>
  <c r="K47" i="1"/>
  <c r="G21" i="1"/>
  <c r="K11" i="1"/>
  <c r="K158" i="1"/>
  <c r="K157" i="1"/>
  <c r="K55" i="1"/>
  <c r="G15" i="1"/>
  <c r="K116" i="1"/>
  <c r="K86" i="1"/>
  <c r="K50" i="1"/>
  <c r="K165" i="1"/>
  <c r="K73" i="1"/>
  <c r="K15" i="1"/>
  <c r="K153" i="1"/>
  <c r="K95" i="1"/>
  <c r="K100" i="1"/>
  <c r="K67" i="1"/>
  <c r="K76" i="1"/>
  <c r="K101" i="1"/>
  <c r="K94" i="1"/>
  <c r="K162" i="1"/>
  <c r="K57" i="1"/>
  <c r="K23" i="1"/>
  <c r="K156" i="1"/>
  <c r="K61" i="1"/>
  <c r="K71" i="1"/>
  <c r="K128" i="1"/>
  <c r="K127" i="1"/>
  <c r="K147" i="1"/>
  <c r="K149" i="1"/>
  <c r="K154" i="1"/>
  <c r="K99" i="1"/>
  <c r="K160" i="1"/>
  <c r="K172" i="1"/>
  <c r="K145" i="1"/>
  <c r="K164" i="1"/>
  <c r="K97" i="1"/>
  <c r="K174" i="1"/>
  <c r="K48" i="1"/>
  <c r="K72" i="1"/>
  <c r="K81" i="1"/>
  <c r="K178" i="1"/>
  <c r="K110" i="1"/>
  <c r="K77" i="1"/>
  <c r="K167" i="1"/>
  <c r="K93" i="1"/>
  <c r="K163" i="1"/>
  <c r="K63" i="1"/>
  <c r="K155" i="1"/>
  <c r="G24" i="1"/>
  <c r="K169" i="1"/>
  <c r="K78" i="1"/>
  <c r="K96" i="1"/>
  <c r="K175" i="1"/>
  <c r="K177" i="1"/>
  <c r="K68" i="1"/>
  <c r="K59" i="1"/>
  <c r="K12" i="1"/>
  <c r="K119" i="1"/>
  <c r="K92" i="1"/>
  <c r="K46" i="1"/>
  <c r="K123" i="1"/>
  <c r="K125" i="1"/>
  <c r="K129" i="1"/>
  <c r="K87" i="1"/>
  <c r="K65" i="1"/>
  <c r="K161" i="1"/>
  <c r="K70" i="1"/>
  <c r="K91" i="1"/>
  <c r="G22" i="1"/>
  <c r="K122" i="1"/>
  <c r="K20" i="1"/>
  <c r="K166" i="1"/>
  <c r="K132" i="1"/>
  <c r="K51" i="1"/>
  <c r="K103" i="1"/>
  <c r="K43" i="1"/>
  <c r="K144" i="1"/>
  <c r="K130" i="1"/>
  <c r="K66" i="1"/>
  <c r="K53" i="1"/>
  <c r="K69" i="1"/>
  <c r="G20" i="1"/>
  <c r="K115" i="1"/>
  <c r="K13" i="1"/>
  <c r="K121" i="1"/>
  <c r="K102" i="1"/>
  <c r="K118" i="1"/>
  <c r="K171" i="1"/>
  <c r="K114" i="1"/>
  <c r="K82" i="1"/>
  <c r="K62" i="1"/>
  <c r="K74" i="1"/>
  <c r="G26" i="1"/>
  <c r="K141" i="1"/>
  <c r="K168" i="1"/>
  <c r="K83" i="1"/>
  <c r="K117" i="1"/>
  <c r="K52" i="1"/>
  <c r="Q16" i="8" l="1"/>
  <c r="R16" i="8" s="1"/>
  <c r="K136" i="1"/>
  <c r="G35" i="1"/>
  <c r="K180" i="1"/>
  <c r="T16" i="8" l="1" a="1"/>
  <c r="T16" i="8" s="1"/>
  <c r="S16" i="8"/>
  <c r="AEC7" i="2"/>
  <c r="AER6" i="2"/>
  <c r="AER19" i="2"/>
  <c r="AFM25" i="2"/>
  <c r="ADN24" i="2"/>
  <c r="ADN30" i="2"/>
  <c r="AER30" i="2"/>
  <c r="AEC18" i="2"/>
  <c r="AER7" i="2"/>
  <c r="AFM8" i="2"/>
  <c r="AER26" i="2"/>
  <c r="AEC4" i="2"/>
  <c r="AED4" i="2"/>
  <c r="AER17" i="2"/>
  <c r="AEC16" i="2"/>
  <c r="AER9" i="2"/>
  <c r="AFM19" i="2"/>
  <c r="AFM22" i="2"/>
  <c r="AER24" i="2"/>
  <c r="ADN9" i="2"/>
  <c r="ADN10" i="2"/>
  <c r="AED10" i="2"/>
  <c r="AEC10" i="2"/>
  <c r="AFM20" i="2"/>
  <c r="AFM11" i="2"/>
  <c r="AFM9" i="2"/>
  <c r="AFM5" i="2"/>
  <c r="ADN28" i="2"/>
  <c r="ADN18" i="2"/>
  <c r="ADN22" i="2"/>
  <c r="ADN8" i="2"/>
  <c r="AFM10" i="2"/>
  <c r="AFM6" i="2"/>
  <c r="AFM7" i="2"/>
  <c r="ADN17" i="2"/>
  <c r="AER20" i="2"/>
  <c r="AEC20" i="2"/>
  <c r="AEC27" i="2"/>
  <c r="AEC9" i="2"/>
  <c r="AES31" i="2"/>
  <c r="AEC5" i="2"/>
  <c r="ADN21" i="2"/>
  <c r="ADN4" i="2"/>
  <c r="ADO4" i="2"/>
  <c r="ADN12" i="2"/>
  <c r="AEC30" i="2"/>
  <c r="AER27" i="2"/>
  <c r="AER14" i="2"/>
  <c r="AEC22" i="2"/>
  <c r="AER15" i="2"/>
  <c r="ADN29" i="2"/>
  <c r="ADN23" i="2"/>
  <c r="AEC19" i="2"/>
  <c r="AFM26" i="2"/>
  <c r="ADN27" i="2"/>
  <c r="AFM29" i="2"/>
  <c r="AER22" i="2"/>
  <c r="AEC26" i="2"/>
  <c r="ADN11" i="2"/>
  <c r="AEC24" i="2"/>
  <c r="AFM18" i="2"/>
  <c r="AFM12" i="2"/>
  <c r="AEC23" i="2"/>
  <c r="AFM27" i="2"/>
  <c r="AER25" i="2"/>
  <c r="ADN5" i="2"/>
  <c r="AES4" i="2"/>
  <c r="AER4" i="2"/>
  <c r="AEC12" i="2"/>
  <c r="AER28" i="2"/>
  <c r="AFM31" i="2"/>
  <c r="AER16" i="2"/>
  <c r="ADN13" i="2"/>
  <c r="ADN7" i="2"/>
  <c r="AER11" i="2"/>
  <c r="ADN20" i="2"/>
  <c r="AFN7" i="2"/>
  <c r="ADO8" i="2"/>
  <c r="AED17" i="2"/>
  <c r="AEC17" i="2"/>
  <c r="AFM15" i="2"/>
  <c r="AEC6" i="2"/>
  <c r="AER31" i="2"/>
  <c r="AFM30" i="2"/>
  <c r="ADN26" i="2"/>
  <c r="ADN15" i="2"/>
  <c r="AEC8" i="2"/>
  <c r="ADN6" i="2"/>
  <c r="AER12" i="2"/>
  <c r="AEC14" i="2"/>
  <c r="AFM14" i="2"/>
  <c r="AFM21" i="2"/>
  <c r="AEC11" i="2"/>
  <c r="AEC21" i="2"/>
  <c r="AFM24" i="2"/>
  <c r="AEC29" i="2"/>
  <c r="AFM23" i="2"/>
  <c r="AFM4" i="2"/>
  <c r="AFN4" i="2"/>
  <c r="AER21" i="2"/>
  <c r="AFM16" i="2"/>
  <c r="AEC13" i="2"/>
  <c r="AEC25" i="2"/>
  <c r="AFM13" i="2"/>
  <c r="AER5" i="2"/>
  <c r="AFM28" i="2"/>
  <c r="AER29" i="2"/>
  <c r="AER13" i="2"/>
  <c r="AES13" i="2"/>
  <c r="AEC31" i="2"/>
  <c r="AER10" i="2"/>
  <c r="ADN14" i="2"/>
  <c r="AFM17" i="2"/>
  <c r="ADN16" i="2"/>
  <c r="AER23" i="2"/>
  <c r="ADN25" i="2"/>
  <c r="ADN31" i="2"/>
  <c r="AEC15" i="2"/>
  <c r="AER8" i="2"/>
  <c r="AER18" i="2"/>
  <c r="AEC28" i="2"/>
  <c r="ADN1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Cobos</author>
  </authors>
  <commentList>
    <comment ref="F19" authorId="0" shapeId="0" xr:uid="{A361A796-28F1-47D1-848D-131E7AD5DC57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20" authorId="0" shapeId="0" xr:uid="{A26440DA-952E-4166-AB08-04E5F937680E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21" authorId="0" shapeId="0" xr:uid="{D0564F19-1EB1-4AC0-852C-3D8DDACEF540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22" authorId="0" shapeId="0" xr:uid="{2BD391F1-4CD5-4B3B-B722-61AED38C347B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31" authorId="0" shapeId="0" xr:uid="{6985298E-4445-4753-A139-B8FFFC140074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32" authorId="0" shapeId="0" xr:uid="{02F0A645-B2D5-4F55-8EFF-E05BBEEA94A1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33" authorId="0" shapeId="0" xr:uid="{3B0898D9-552F-411F-AD61-5A5C9F36E0A8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34" authorId="0" shapeId="0" xr:uid="{2880ABC7-86AA-4F94-8A2D-039D0DEFF7B4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43" authorId="0" shapeId="0" xr:uid="{DF2DA3B3-190C-4036-B0C1-727DBC1FBAAA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44" authorId="0" shapeId="0" xr:uid="{F1F9AB53-0D9E-418F-984F-598F8B33D556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45" authorId="0" shapeId="0" xr:uid="{EA5B1958-C277-452B-BC72-11B8C849474D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46" authorId="0" shapeId="0" xr:uid="{D061FDA3-CCD1-41DE-869D-9105751E7A7B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47" authorId="0" shapeId="0" xr:uid="{D7D1C9D4-9F5E-4C25-B494-DE1CF866128E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APOYOS GUADUA</t>
        </r>
      </text>
    </comment>
    <comment ref="F48" authorId="0" shapeId="0" xr:uid="{4456FDC6-A542-43B5-8952-E9CBCD9F1175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LONGITUD BASTÓN</t>
        </r>
      </text>
    </comment>
    <comment ref="F51" authorId="0" shapeId="0" xr:uid="{0FC8D552-0CA5-4566-AC34-FA1B6F024C40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52" authorId="0" shapeId="0" xr:uid="{1D619ABD-5FD2-457E-8F8C-3312E0E440CE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53" authorId="0" shapeId="0" xr:uid="{2654E9F6-1683-4627-9290-275A9206D121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54" authorId="0" shapeId="0" xr:uid="{563E70A1-7F17-45A9-8EB0-7F34078E8CE2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55" authorId="0" shapeId="0" xr:uid="{1F29B30C-C9C5-488C-9E8D-13A0504C56FD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APOYOS GUADUA</t>
        </r>
      </text>
    </comment>
    <comment ref="F56" authorId="0" shapeId="0" xr:uid="{E79C27ED-615D-4662-AFFC-9E6A6606A8C2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LONGITUD BASTÓN</t>
        </r>
      </text>
    </comment>
    <comment ref="F61" authorId="0" shapeId="0" xr:uid="{A71DB8F6-7078-437A-BDD3-4DC23A35A2C0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62" authorId="0" shapeId="0" xr:uid="{F40B7AC0-E206-4696-8BD0-B311A7C65508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63" authorId="0" shapeId="0" xr:uid="{3CBE2A2E-DCFE-410F-A76F-D0571F15262E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64" authorId="0" shapeId="0" xr:uid="{12D1E358-B44F-463F-88CC-F20DA94D3C9A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65" authorId="0" shapeId="0" xr:uid="{BB3C4BA6-36AA-48B4-9EA1-07D62750783E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APOYOS GUADUA</t>
        </r>
      </text>
    </comment>
    <comment ref="F66" authorId="0" shapeId="0" xr:uid="{02266D33-DBBE-4B5C-96BA-ABC35B2212C5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LONGITUD BASTÓN</t>
        </r>
      </text>
    </comment>
    <comment ref="F71" authorId="0" shapeId="0" xr:uid="{6810E5E9-D077-49B4-8F8B-62DF179ED5A0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72" authorId="0" shapeId="0" xr:uid="{6B9A8F4C-9729-49C3-A74D-28D9388AE931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73" authorId="0" shapeId="0" xr:uid="{65C4BC5A-C7EF-4A45-B50B-62D17BB1A243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ALTO</t>
        </r>
      </text>
    </comment>
    <comment ref="F74" authorId="0" shapeId="0" xr:uid="{356C994F-7179-4E10-91DD-FC0DCEE16FE6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FLEJES</t>
        </r>
      </text>
    </comment>
    <comment ref="F75" authorId="0" shapeId="0" xr:uid="{D27C6D5A-FEAD-44E7-B01B-AF70E71532B2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CANTIDAD APOYOS GUADUA</t>
        </r>
      </text>
    </comment>
    <comment ref="F76" authorId="0" shapeId="0" xr:uid="{BAEED682-1A9C-4228-B5C2-DC1DC819E668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LONGITUD BASTÓN</t>
        </r>
      </text>
    </comment>
    <comment ref="F236" authorId="0" shapeId="0" xr:uid="{571B43C6-A23F-476A-8A29-AA318059128C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Longitud</t>
        </r>
      </text>
    </comment>
    <comment ref="F272" authorId="0" shapeId="0" xr:uid="{3D82579F-82EE-4F9E-8232-A1D15E776D84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273" authorId="0" shapeId="0" xr:uid="{DBE97B71-C91D-472B-BB77-4C133253E412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  <comment ref="F282" authorId="0" shapeId="0" xr:uid="{AA71D529-E06D-4807-8702-128E0332AA0B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ANCHO</t>
        </r>
      </text>
    </comment>
    <comment ref="F283" authorId="0" shapeId="0" xr:uid="{FDDFEFDC-041D-4F86-B565-F630E47503FD}">
      <text>
        <r>
          <rPr>
            <b/>
            <sz val="9"/>
            <color indexed="81"/>
            <rFont val="Tahoma"/>
            <family val="2"/>
          </rPr>
          <t>Juan Cobos:</t>
        </r>
        <r>
          <rPr>
            <sz val="9"/>
            <color indexed="81"/>
            <rFont val="Tahoma"/>
            <family val="2"/>
          </rPr>
          <t xml:space="preserve">
LARGO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Cobos</author>
  </authors>
  <commentList>
    <comment ref="F9" authorId="0" shapeId="0" xr:uid="{731A8121-0066-4245-BBB3-C64595E89076}">
      <text>
        <r>
          <rPr>
            <b/>
            <sz val="9"/>
            <color indexed="81"/>
            <rFont val="Tahoma"/>
            <charset val="1"/>
          </rPr>
          <t>Juan Cobos:</t>
        </r>
        <r>
          <rPr>
            <sz val="9"/>
            <color indexed="81"/>
            <rFont val="Tahoma"/>
            <charset val="1"/>
          </rPr>
          <t xml:space="preserve">
MESES DE TRABAJO</t>
        </r>
      </text>
    </comment>
    <comment ref="G9" authorId="0" shapeId="0" xr:uid="{D0278E10-402E-47DB-890D-41E6A8C606DD}">
      <text>
        <r>
          <rPr>
            <b/>
            <sz val="9"/>
            <color indexed="81"/>
            <rFont val="Tahoma"/>
            <charset val="1"/>
          </rPr>
          <t>Juan Cobos:</t>
        </r>
        <r>
          <rPr>
            <sz val="9"/>
            <color indexed="81"/>
            <rFont val="Tahoma"/>
            <charset val="1"/>
          </rPr>
          <t xml:space="preserve">
DÍAS AL MES</t>
        </r>
      </text>
    </comment>
    <comment ref="F20" authorId="0" shapeId="0" xr:uid="{6C897BF9-81FD-4949-8274-4E1696D1EDE8}">
      <text>
        <r>
          <rPr>
            <b/>
            <sz val="9"/>
            <color indexed="81"/>
            <rFont val="Tahoma"/>
            <charset val="1"/>
          </rPr>
          <t>Juan Cobos:</t>
        </r>
        <r>
          <rPr>
            <sz val="9"/>
            <color indexed="81"/>
            <rFont val="Tahoma"/>
            <charset val="1"/>
          </rPr>
          <t xml:space="preserve">
MESES DE TRABAJO</t>
        </r>
      </text>
    </comment>
    <comment ref="G20" authorId="0" shapeId="0" xr:uid="{8AF1664B-62DC-416C-933C-E1AB1F58183B}">
      <text>
        <r>
          <rPr>
            <b/>
            <sz val="9"/>
            <color indexed="81"/>
            <rFont val="Tahoma"/>
            <charset val="1"/>
          </rPr>
          <t>Juan Cobos:</t>
        </r>
        <r>
          <rPr>
            <sz val="9"/>
            <color indexed="81"/>
            <rFont val="Tahoma"/>
            <charset val="1"/>
          </rPr>
          <t xml:space="preserve">
DÍAS AL MES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<sst xmlns="http://schemas.openxmlformats.org/spreadsheetml/2006/main" count="13036" uniqueCount="1957">
  <si>
    <t>NOMBRE DE PROYECTO</t>
  </si>
  <si>
    <t>UBICACIÓN</t>
  </si>
  <si>
    <t>ÁREA</t>
  </si>
  <si>
    <t>ÁREA ÚTIL</t>
  </si>
  <si>
    <t>ÁREA CONSTRUIDA</t>
  </si>
  <si>
    <t>ÁREA DE CUBIERTA</t>
  </si>
  <si>
    <t>* Se refiere al área contando muros</t>
  </si>
  <si>
    <t>* Se refiere al área de superficie de las cubiertas</t>
  </si>
  <si>
    <t>m2</t>
  </si>
  <si>
    <t>EDIFICIO</t>
  </si>
  <si>
    <t>CBT</t>
  </si>
  <si>
    <t>DESCRIPCIÓN</t>
  </si>
  <si>
    <t>VALOR COP</t>
  </si>
  <si>
    <t>VALOR USD</t>
  </si>
  <si>
    <t>ACABADOS</t>
  </si>
  <si>
    <t>Imprevistos</t>
  </si>
  <si>
    <t>Administrativos</t>
  </si>
  <si>
    <t>Generales</t>
  </si>
  <si>
    <t>Utilidad</t>
  </si>
  <si>
    <t>V. TOTAL COSTO DIRECTO</t>
  </si>
  <si>
    <t>HONORARIOS</t>
  </si>
  <si>
    <t>V. TOTAL COSTO INDIRECTO</t>
  </si>
  <si>
    <t>VALOR XM2 DE ÁREA ÚTIL</t>
  </si>
  <si>
    <t>VALOR XM2 DE ÁREA CONSTRUIDA</t>
  </si>
  <si>
    <t>VALOR XM2 DE ÁREA DE CUBIERTA</t>
  </si>
  <si>
    <t>GRAN TOTAL PROYECTO</t>
  </si>
  <si>
    <t>% DEL TOTAL</t>
  </si>
  <si>
    <t>COSTOS DIRECTOS</t>
  </si>
  <si>
    <t>COSTOS INDIRECTOS</t>
  </si>
  <si>
    <t>TOTALES</t>
  </si>
  <si>
    <t>* Se refiere a gastos por almacenista, inspector SISO, inspector estructural, mensajero de obra y viáticos (si aplican)</t>
  </si>
  <si>
    <t>* Se refiere a transporte fluvial y terrestre, servicios públicos, caja menor, alquiler de equipos menores, útiles y papelería, herramientas y elementos, materiales fungibles (luminarias, tomas, etc), dotación y seguridad industrial, pólizas y seguros, ensayos de laboratorio, reposición de equipos, mantenimiento de equipos, ayudantes eventuales (si aplican)</t>
  </si>
  <si>
    <t>* Se refiere a ganancia por trámite de servicio (si aplica)</t>
  </si>
  <si>
    <t>* Se refiere a inversiones no previstas en este presupuesto (debido a omisión, sobrecostos, cambios de tarifas, etc)</t>
  </si>
  <si>
    <t>VOL. TOTAL</t>
  </si>
  <si>
    <t>L. TOTAL</t>
  </si>
  <si>
    <t>M2.1 - Ladrillo estructural</t>
  </si>
  <si>
    <t>VOL. PAÑETE</t>
  </si>
  <si>
    <t>ÁREA TOTAL</t>
  </si>
  <si>
    <t>VOL. PEGA</t>
  </si>
  <si>
    <t>G, TOTAL</t>
  </si>
  <si>
    <t>ALTURA TOTAL</t>
  </si>
  <si>
    <t>ME - Flanche acero corten</t>
  </si>
  <si>
    <t>M1 - INTERIOR Guadua + esterilla con pañete y pintura AC</t>
  </si>
  <si>
    <t>M1.0 - EXTERIOR Guadua + esterilla con pañete y pintura AC</t>
  </si>
  <si>
    <t>M1.1 - INTERIOR Esterilla con pañete y pintura 1C</t>
  </si>
  <si>
    <t>ME - Soporte repisa concreto</t>
  </si>
  <si>
    <t>VOL. CONCRETO</t>
  </si>
  <si>
    <t>M3 - División baño</t>
  </si>
  <si>
    <t>P0 - Concreto esmaltado sobre recebo</t>
  </si>
  <si>
    <t>VOL. RECEBO</t>
  </si>
  <si>
    <t>P0.1 Concreto esmaltado sobre vigas</t>
  </si>
  <si>
    <t>P0.2 - Concreto esmaltado sobre guadua</t>
  </si>
  <si>
    <t>P1 - Enchape cocina sobre concreto y recebo</t>
  </si>
  <si>
    <t>P1.1 - Enchape mosaico sobre concreto y recebo</t>
  </si>
  <si>
    <t>P1.2 - Enchape zona de ropas sobre concreto y recebo</t>
  </si>
  <si>
    <t>P1.3 - Enchape baño sobre concreto y recebo</t>
  </si>
  <si>
    <t>ÁREA PEGA</t>
  </si>
  <si>
    <t>METROS LINEALES ALISTADO DE PISO</t>
  </si>
  <si>
    <t>P2 - Madera plástica deck sobre guadua</t>
  </si>
  <si>
    <t>P3 - Adoquin sobre recebo</t>
  </si>
  <si>
    <t>PE - Repisa concreto</t>
  </si>
  <si>
    <t>PE - Recebo</t>
  </si>
  <si>
    <t>VOL TOTAL</t>
  </si>
  <si>
    <t>ÁREA DE VENTANAS</t>
  </si>
  <si>
    <t>LONGITUD DE BARANDILLAS</t>
  </si>
  <si>
    <t>CONEXIONES ESTRUCTURALES</t>
  </si>
  <si>
    <t>CÁLCULO</t>
  </si>
  <si>
    <t>PAREJAS TUERCA/ARANDELA</t>
  </si>
  <si>
    <t>CONEXIONES ESTRUCTURALES PARQUEADERO</t>
  </si>
  <si>
    <t>Edificio</t>
  </si>
  <si>
    <t>Nivel</t>
  </si>
  <si>
    <t>Perfíl</t>
  </si>
  <si>
    <t>Volúmen neto</t>
  </si>
  <si>
    <t>Longitud de eje</t>
  </si>
  <si>
    <t>Número</t>
  </si>
  <si>
    <t>Material</t>
  </si>
  <si>
    <t>Volúmen bruto</t>
  </si>
  <si>
    <t>Área neta</t>
  </si>
  <si>
    <t>Recuento</t>
  </si>
  <si>
    <t>Volúmen total</t>
  </si>
  <si>
    <t>Área total</t>
  </si>
  <si>
    <t>Área total2</t>
  </si>
  <si>
    <t>Volúmen</t>
  </si>
  <si>
    <t>Longitud del eje</t>
  </si>
  <si>
    <t>TOTAL</t>
  </si>
  <si>
    <t>Familia y tipo</t>
  </si>
  <si>
    <t>Altura</t>
  </si>
  <si>
    <t>Longitud</t>
  </si>
  <si>
    <t>Cantidad</t>
  </si>
  <si>
    <t>Longitud unión</t>
  </si>
  <si>
    <t>Sumatoria</t>
  </si>
  <si>
    <t>00.1 Concreto reforzado crudo</t>
  </si>
  <si>
    <t>Vidrio templado</t>
  </si>
  <si>
    <t>00 Concreto esmaltado</t>
  </si>
  <si>
    <t>03.1 Pegante cerámico</t>
  </si>
  <si>
    <t>Conexión genérica: Conexión columna - cimientos</t>
  </si>
  <si>
    <t>03 Pañete 2cm</t>
  </si>
  <si>
    <t>04 Pintura blanca para interiores</t>
  </si>
  <si>
    <t>06.3 Enchape baños</t>
  </si>
  <si>
    <t>Conexión genérica: Conexión columna doble</t>
  </si>
  <si>
    <t>Conexión genérica: Conexión columna doble - viga doble</t>
  </si>
  <si>
    <t>Conexión genérica: Conexión columna doble - viga sencilla</t>
  </si>
  <si>
    <t>Conexión genérica: Conexión columna sencilla - viga doble</t>
  </si>
  <si>
    <t>Conexión genérica: Conexión columna sencilla - viga sencilla</t>
  </si>
  <si>
    <t>Conexión genérica: Conexión columna triple</t>
  </si>
  <si>
    <t>Conexión genérica: Conexión columna triple - viga doble</t>
  </si>
  <si>
    <t>Conexión genérica: Conexión columna triple - viga sencilla</t>
  </si>
  <si>
    <t>Conexión genérica: Conexión correa - viga doble</t>
  </si>
  <si>
    <t>Conexión genérica: Conexión correa - viga sencilla</t>
  </si>
  <si>
    <t>Conexión genérica: Conexión diagonal - cimientos</t>
  </si>
  <si>
    <t>Conexión genérica: Conexión diagonal - columna doble</t>
  </si>
  <si>
    <t>Conexión genérica: Conexión diagonal - columna sencilla</t>
  </si>
  <si>
    <t>Conexión genérica: Conexión diagonal - columna triple</t>
  </si>
  <si>
    <t>Conexión genérica: Conexión diagonal - viga doble</t>
  </si>
  <si>
    <t>Conexión genérica: Conexión diagonal - viga sencilla</t>
  </si>
  <si>
    <t>Conexión genérica: Conexión viga / cimiento</t>
  </si>
  <si>
    <t>Conexión genérica: Conexión viga compuesta</t>
  </si>
  <si>
    <t>Conexión genérica: Conexión viga doble / cimiento</t>
  </si>
  <si>
    <t>Conexión genérica: Conexión viga doble</t>
  </si>
  <si>
    <t>Conexión genérica: Conexión viga sencilla - viga sencilla</t>
  </si>
  <si>
    <t>SOLDADURAS</t>
  </si>
  <si>
    <t>Presión</t>
  </si>
  <si>
    <t>Sanitaria</t>
  </si>
  <si>
    <t>45B001</t>
  </si>
  <si>
    <t>Soldadura PVC 1/128gl</t>
  </si>
  <si>
    <t>UND</t>
  </si>
  <si>
    <t>R= 7 soldaduras</t>
  </si>
  <si>
    <t>R= 3 (2") 2(4")</t>
  </si>
  <si>
    <t>45B002</t>
  </si>
  <si>
    <t>Soldadura PVC 1/64gl</t>
  </si>
  <si>
    <t>R= 14 soldaduras</t>
  </si>
  <si>
    <t>R= 6(2") 4(4") 1(6")</t>
  </si>
  <si>
    <t>45B003</t>
  </si>
  <si>
    <t>Soldadura PVC 1/32gl</t>
  </si>
  <si>
    <t>R= 27 soldaduras</t>
  </si>
  <si>
    <t>R= 11 (2") 7(4") 2(6")</t>
  </si>
  <si>
    <t>45B004</t>
  </si>
  <si>
    <t>Soldadura PVC 1/16gl</t>
  </si>
  <si>
    <t>R= 54 soldaduras</t>
  </si>
  <si>
    <t>R= 22 (2") 15(4") 4(6")</t>
  </si>
  <si>
    <t>45B005</t>
  </si>
  <si>
    <t>Soldadura PVC 1/8gl</t>
  </si>
  <si>
    <t>R= 108 soldaduras</t>
  </si>
  <si>
    <t>R= 45(2") 25(4") 8(6")</t>
  </si>
  <si>
    <t>45B006</t>
  </si>
  <si>
    <t>Soldadura PVC 1/4gl</t>
  </si>
  <si>
    <t>R= 215 soldaduras</t>
  </si>
  <si>
    <t>R= 90(2") 30(4") 15(6")</t>
  </si>
  <si>
    <t>45B007</t>
  </si>
  <si>
    <t>Soldadura CPVC 1/128gl</t>
  </si>
  <si>
    <t>45B008</t>
  </si>
  <si>
    <t>Soldadura CPVC 1/64gl</t>
  </si>
  <si>
    <t>45B009</t>
  </si>
  <si>
    <t>Soldadura CPVC 1/32gl</t>
  </si>
  <si>
    <t>45B010</t>
  </si>
  <si>
    <t>Soldadura CPVC 1/16gl</t>
  </si>
  <si>
    <t>45B011</t>
  </si>
  <si>
    <t>Soldadura CPVC 1/8gl</t>
  </si>
  <si>
    <t>45B012</t>
  </si>
  <si>
    <t>Soldadura CPVC 1/4gl</t>
  </si>
  <si>
    <t>45B013</t>
  </si>
  <si>
    <t>Soldadura cobre en frio 36ml</t>
  </si>
  <si>
    <t>45B014</t>
  </si>
  <si>
    <t>Soldadura cobre en frio 10gr</t>
  </si>
  <si>
    <t>CANTIDAD UNIONES SAN 2"</t>
  </si>
  <si>
    <t>CANTIDAD UNIONES SAN 4"</t>
  </si>
  <si>
    <t>PESO ACERO</t>
  </si>
  <si>
    <t>CÁLCULO DE ZAPATAS TIPO 1</t>
  </si>
  <si>
    <t>CÁLCULO DE VIGAS</t>
  </si>
  <si>
    <t>NÚMERO</t>
  </si>
  <si>
    <t>DIÁMETRO</t>
  </si>
  <si>
    <t>PESO KGxM</t>
  </si>
  <si>
    <t>KG DE ACERO PARRILLA</t>
  </si>
  <si>
    <t>KG DE ACERO REFUERZOS</t>
  </si>
  <si>
    <t>ALAMBRE NEGRO</t>
  </si>
  <si>
    <t>1/4"</t>
  </si>
  <si>
    <t>CANTIDAD</t>
  </si>
  <si>
    <t>LONGITUD</t>
  </si>
  <si>
    <t>GANCHO</t>
  </si>
  <si>
    <t>5/16"</t>
  </si>
  <si>
    <t>LONGITUD TOTAL DE VARILLAS</t>
  </si>
  <si>
    <t>VARILLAS</t>
  </si>
  <si>
    <t>3/8"</t>
  </si>
  <si>
    <t>NÚMERO DE VARILLA</t>
  </si>
  <si>
    <t>1/2"</t>
  </si>
  <si>
    <t>PESO DE VARILLA</t>
  </si>
  <si>
    <t>5/8"</t>
  </si>
  <si>
    <t>PESO TOTAL VARILLAS</t>
  </si>
  <si>
    <t>3/4"</t>
  </si>
  <si>
    <t>CÁLCULO AMARRES</t>
  </si>
  <si>
    <t>KG DE ACERO FLEJES</t>
  </si>
  <si>
    <t>1"</t>
  </si>
  <si>
    <t>LARGO</t>
  </si>
  <si>
    <t>AMARRES</t>
  </si>
  <si>
    <t>ANCHO</t>
  </si>
  <si>
    <t>1 1/4"</t>
  </si>
  <si>
    <t>LARGO TOTAL</t>
  </si>
  <si>
    <t>LONGITUD FLEJE</t>
  </si>
  <si>
    <t># VARILLA</t>
  </si>
  <si>
    <t>PESO VARILLA</t>
  </si>
  <si>
    <t>1 1/2"</t>
  </si>
  <si>
    <t>KG POR AMARRE</t>
  </si>
  <si>
    <t>KG POR FLEJE</t>
  </si>
  <si>
    <t>CONCREMALLA</t>
  </si>
  <si>
    <t>15x15</t>
  </si>
  <si>
    <t>4mm</t>
  </si>
  <si>
    <t>KG TOTALES</t>
  </si>
  <si>
    <t>CANTIDAD FLEJES</t>
  </si>
  <si>
    <t>5mm</t>
  </si>
  <si>
    <t>LONGITUD TOTAL</t>
  </si>
  <si>
    <t>KG TOTAL</t>
  </si>
  <si>
    <t>6mm</t>
  </si>
  <si>
    <t>7mm</t>
  </si>
  <si>
    <t>8mm</t>
  </si>
  <si>
    <t>CÁLCULO DE COLUMNAS / PEDESTALES</t>
  </si>
  <si>
    <t>CÁLCULO DE CONCREMALLAS</t>
  </si>
  <si>
    <t>KG VARILLA 1/2"</t>
  </si>
  <si>
    <t>KG VARILLA 3/8"</t>
  </si>
  <si>
    <t>KG CONCREMALLA</t>
  </si>
  <si>
    <t>CANTIDAD DE  CONCREMALLAS</t>
  </si>
  <si>
    <t>KG ALAMBRE</t>
  </si>
  <si>
    <t>NÚMERO DE MALLA</t>
  </si>
  <si>
    <t>PESO DE MALLA</t>
  </si>
  <si>
    <t>TAMAÑOS PEDESTALES</t>
  </si>
  <si>
    <t>Refuerzos</t>
  </si>
  <si>
    <t>Flejes</t>
  </si>
  <si>
    <t>LONGITUD AMARRE</t>
  </si>
  <si>
    <t>FORMALETAS</t>
  </si>
  <si>
    <t>GUADUAS DE 10CM</t>
  </si>
  <si>
    <t>ÚTIL</t>
  </si>
  <si>
    <t>GUADUAS DE 12CM</t>
  </si>
  <si>
    <t>LATAS DE 3 M</t>
  </si>
  <si>
    <t>BAMBÚES DE 4M</t>
  </si>
  <si>
    <t>1 METRO</t>
  </si>
  <si>
    <t>2 METRO</t>
  </si>
  <si>
    <t>3 METRO</t>
  </si>
  <si>
    <t>4 METRO</t>
  </si>
  <si>
    <t>5 METRO</t>
  </si>
  <si>
    <t>6 METRO</t>
  </si>
  <si>
    <t>SOBRANTE</t>
  </si>
  <si>
    <t>PORCENTAJE</t>
  </si>
  <si>
    <t>PIEZAS INCLUIDAS EN CULMO</t>
  </si>
  <si>
    <t>PIEZAS INCLUIDAS EN LATA</t>
  </si>
  <si>
    <t>OBRA NEGRA</t>
  </si>
  <si>
    <t>*Las cantidades de materiales están calculadas con desperdicios de entre el 5 y 10%</t>
  </si>
  <si>
    <t>ITEM</t>
  </si>
  <si>
    <t>CÓDIGO</t>
  </si>
  <si>
    <t>UNIDAD</t>
  </si>
  <si>
    <t>V. UNITARIO</t>
  </si>
  <si>
    <t>V. TOTAL</t>
  </si>
  <si>
    <t>MATERIAL</t>
  </si>
  <si>
    <t>MANO DE OBRA</t>
  </si>
  <si>
    <t>RECUENTO</t>
  </si>
  <si>
    <t>G. TOTAL</t>
  </si>
  <si>
    <t>G. TOTAL MATERIAL</t>
  </si>
  <si>
    <t>G. TOTAL MANO DE OBRA</t>
  </si>
  <si>
    <t>PRELIMINARES</t>
  </si>
  <si>
    <t>1,1,1</t>
  </si>
  <si>
    <t>CIMIENTOS</t>
  </si>
  <si>
    <t>M2</t>
  </si>
  <si>
    <t>GRUPO</t>
  </si>
  <si>
    <t>2,1,1</t>
  </si>
  <si>
    <t>2,1,2</t>
  </si>
  <si>
    <t>Base B200</t>
  </si>
  <si>
    <t>Plástico calibre 6 polietileno</t>
  </si>
  <si>
    <t>Alambre negro No 18</t>
  </si>
  <si>
    <t>Excavación manual</t>
  </si>
  <si>
    <t>Alquiler trompo</t>
  </si>
  <si>
    <t>M3</t>
  </si>
  <si>
    <t>KG</t>
  </si>
  <si>
    <t>DÍA</t>
  </si>
  <si>
    <t>CONCRETO</t>
  </si>
  <si>
    <t>AISLANTE</t>
  </si>
  <si>
    <t>ACERO</t>
  </si>
  <si>
    <t>TRABAJO</t>
  </si>
  <si>
    <t>TIPO</t>
  </si>
  <si>
    <t>Formaleta primadera 1 uso 19mm</t>
  </si>
  <si>
    <t>Puntilla</t>
  </si>
  <si>
    <t>2,2,1</t>
  </si>
  <si>
    <t>2,2,2</t>
  </si>
  <si>
    <t>CANT. TOTAL</t>
  </si>
  <si>
    <t>2,3,1</t>
  </si>
  <si>
    <t>2,3,2</t>
  </si>
  <si>
    <t>2,3,3</t>
  </si>
  <si>
    <t>2,3,4</t>
  </si>
  <si>
    <t>2,3,5</t>
  </si>
  <si>
    <t>2,3,6</t>
  </si>
  <si>
    <t>2,3,7</t>
  </si>
  <si>
    <t>Tabla burra 3m - 2 usos</t>
  </si>
  <si>
    <t>Ciclópeo</t>
  </si>
  <si>
    <t>ANCLAJE</t>
  </si>
  <si>
    <t>FORMALETA</t>
  </si>
  <si>
    <t>INSTALACIONES HIDRÁULICAS</t>
  </si>
  <si>
    <t>TUBERÍA AGUA POTABLE</t>
  </si>
  <si>
    <t>Diámetro</t>
  </si>
  <si>
    <t>PVC Presión 1/2"</t>
  </si>
  <si>
    <t>PVC Presión 1"</t>
  </si>
  <si>
    <t>UNIONES AGUA POTABLE</t>
  </si>
  <si>
    <t>Edificio2</t>
  </si>
  <si>
    <t>Tubería CPVC 1/2"</t>
  </si>
  <si>
    <t>Tubería CPVC 1"</t>
  </si>
  <si>
    <t>Tubería PVCP 1/2"</t>
  </si>
  <si>
    <t>Tubería PVCP 1"</t>
  </si>
  <si>
    <t>Tubería PVCP 2"</t>
  </si>
  <si>
    <t>Manguera hidráulica 2"</t>
  </si>
  <si>
    <t>Codo CPVC 90 1/2"</t>
  </si>
  <si>
    <t>Codo CPVC 90 1"</t>
  </si>
  <si>
    <t>Codo PVCP 90 1/2"</t>
  </si>
  <si>
    <t>Codo PVCP 90 1"</t>
  </si>
  <si>
    <t>Codo PVCP 90 2"</t>
  </si>
  <si>
    <t>Tee CPVC 1"</t>
  </si>
  <si>
    <t>Tee CPVC 1/2"</t>
  </si>
  <si>
    <t>Tee PVCP 2"</t>
  </si>
  <si>
    <t>Tee PVCP 1"</t>
  </si>
  <si>
    <t>Tee PVCP 1/2"</t>
  </si>
  <si>
    <t>Unión PVCP 1/2"</t>
  </si>
  <si>
    <t>Unión PVCP 1"</t>
  </si>
  <si>
    <t>Unión CPVC 1/2"</t>
  </si>
  <si>
    <t>Unión CPVC 1"</t>
  </si>
  <si>
    <t>Acoflex + registro</t>
  </si>
  <si>
    <t>Válvula bola PVCP 40cm 1/2"</t>
  </si>
  <si>
    <t>Válvula bola PVCP 40cm 1"</t>
  </si>
  <si>
    <t>Válvula bola PVCP 40cm 2"</t>
  </si>
  <si>
    <t>Válvula bola CPVC 40cm 1/2"</t>
  </si>
  <si>
    <t>Válvula bola CPVC 40cm 1"</t>
  </si>
  <si>
    <t>Calentador solar 150 lts</t>
  </si>
  <si>
    <t>Excavación manual manguera</t>
  </si>
  <si>
    <t>Compactación recebo</t>
  </si>
  <si>
    <t>Punto hidráulico</t>
  </si>
  <si>
    <t>3,1,1</t>
  </si>
  <si>
    <t>3,1,2</t>
  </si>
  <si>
    <t>3,1,3</t>
  </si>
  <si>
    <t>3,1,4</t>
  </si>
  <si>
    <t>3,1,5</t>
  </si>
  <si>
    <t>ML</t>
  </si>
  <si>
    <t>PTO</t>
  </si>
  <si>
    <t>EQUIPO</t>
  </si>
  <si>
    <t>UNIONES AGUA CALIENTE</t>
  </si>
  <si>
    <t>TUBERÍA AGUA CALIENTE</t>
  </si>
  <si>
    <t>Tubería CPVC 3/4"</t>
  </si>
  <si>
    <t>Tubería PVCP 3/4"</t>
  </si>
  <si>
    <t>Codo CPVC 90 3/4"</t>
  </si>
  <si>
    <t>Codo PVCP 90 3/4"</t>
  </si>
  <si>
    <t>Buje CPVC 3/4 a 1/2"</t>
  </si>
  <si>
    <t>Buje PVCP 3/4 a 1/2"</t>
  </si>
  <si>
    <t>Tee CPVC 3/4"</t>
  </si>
  <si>
    <t>Tee PVCP 3/4"</t>
  </si>
  <si>
    <t>Tee CPVC 1/2 a 3/4"</t>
  </si>
  <si>
    <t>Tee PVCP 1/2 a 3/4"</t>
  </si>
  <si>
    <t>Unión PVCP 3/4"</t>
  </si>
  <si>
    <t>Unión CPVC 3/4"</t>
  </si>
  <si>
    <t>PLACA</t>
  </si>
  <si>
    <t>MUROS</t>
  </si>
  <si>
    <t>CUBIERTA</t>
  </si>
  <si>
    <t>CANTIDAD UNIONES CPVC 1/2"</t>
  </si>
  <si>
    <t>CANTIDAD UNIONES CPVC 3/4"</t>
  </si>
  <si>
    <t>CANTIDAD UNIONES CPVC 1"</t>
  </si>
  <si>
    <t>CANTIDAD UNIONES PVCP 1/2"</t>
  </si>
  <si>
    <t>CANTIDAD UNIONES PVCP 3/4"</t>
  </si>
  <si>
    <t>CANTIDAD UNIONES PVCP 1"</t>
  </si>
  <si>
    <t>Válvula cheque cobre + filtro 1"</t>
  </si>
  <si>
    <t>Tanque Eternit 5000 lts</t>
  </si>
  <si>
    <t>V. xUND/ xM2 / xM3 / Xml /xm2Construido</t>
  </si>
  <si>
    <t>3,2,1</t>
  </si>
  <si>
    <t>INSTALACIONES HIDRÁULICAS EN MUROS</t>
  </si>
  <si>
    <t>3,2,2</t>
  </si>
  <si>
    <t>3,2,3</t>
  </si>
  <si>
    <t>3,2,4</t>
  </si>
  <si>
    <t>3,2,5</t>
  </si>
  <si>
    <t>3,2,6</t>
  </si>
  <si>
    <t>3,3,1</t>
  </si>
  <si>
    <t>3,3,2</t>
  </si>
  <si>
    <t>3,3,3</t>
  </si>
  <si>
    <t>Ladrillo tolete</t>
  </si>
  <si>
    <t>Losa maciza</t>
  </si>
  <si>
    <t>LADRILLO</t>
  </si>
  <si>
    <t>INSTALACIONES SANITARIAS</t>
  </si>
  <si>
    <t>INSTALACIONES SANITARIAS EN PLACA</t>
  </si>
  <si>
    <t>TUBERÍA SANITARIA</t>
  </si>
  <si>
    <t>UNIONES SANITARIAS</t>
  </si>
  <si>
    <t>PVC SAN 2"</t>
  </si>
  <si>
    <t>PVC SAN 4"</t>
  </si>
  <si>
    <t>Tubería SAN 2"</t>
  </si>
  <si>
    <t>Tubería VEN 2"</t>
  </si>
  <si>
    <t>Tubería SAN 4"</t>
  </si>
  <si>
    <t>Tubería SAN 6"</t>
  </si>
  <si>
    <t>Tapón SAN 2"</t>
  </si>
  <si>
    <t>Yee SAN 2"</t>
  </si>
  <si>
    <t>Yee SAN 4"</t>
  </si>
  <si>
    <t>Yee SAN 4 a 2"</t>
  </si>
  <si>
    <t>Codo SAN 90 4"</t>
  </si>
  <si>
    <t>Codo SAN 45 4"</t>
  </si>
  <si>
    <t>Codo SAN 90 2"</t>
  </si>
  <si>
    <t>Codo SAN 45 2"</t>
  </si>
  <si>
    <t>Unión SAN 2"</t>
  </si>
  <si>
    <t>Unión SAN 4"</t>
  </si>
  <si>
    <t>Sifón SAN 180 2"</t>
  </si>
  <si>
    <t>Rejilla anticucaracha cuadrada 3x2"</t>
  </si>
  <si>
    <t>Trampa de grasas Colempaques 95 lts</t>
  </si>
  <si>
    <t>Acometida sanitaria</t>
  </si>
  <si>
    <t>Punto sanitario</t>
  </si>
  <si>
    <t>4,1,1</t>
  </si>
  <si>
    <t>4,1,2</t>
  </si>
  <si>
    <t>4,1,3</t>
  </si>
  <si>
    <t>4,1,4</t>
  </si>
  <si>
    <t>4,1,5</t>
  </si>
  <si>
    <t>4,1,6</t>
  </si>
  <si>
    <t>Buje SAN 4 a 2"</t>
  </si>
  <si>
    <t>4,2,2</t>
  </si>
  <si>
    <t>4,2,1</t>
  </si>
  <si>
    <t>4,2,3</t>
  </si>
  <si>
    <t>CAJA INSPECCIÓN</t>
  </si>
  <si>
    <t>METROS LINEALES VIGAS CANAL</t>
  </si>
  <si>
    <t>Viga canal amazonas</t>
  </si>
  <si>
    <t>Unión bajante amazonas</t>
  </si>
  <si>
    <t>Soporte canal amazonas</t>
  </si>
  <si>
    <t>Cadena plástica bajante</t>
  </si>
  <si>
    <t>TUBERÍA ELÉCTRICA</t>
  </si>
  <si>
    <t>CONDUIT 1/2"</t>
  </si>
  <si>
    <t>INSTALACIONES ELÉCTRICAS</t>
  </si>
  <si>
    <t>INSTALACIONES ELÉCTRICAS EN PLACA</t>
  </si>
  <si>
    <t>5,1,1</t>
  </si>
  <si>
    <t>5,1,2</t>
  </si>
  <si>
    <t>5,1,3</t>
  </si>
  <si>
    <t>Tubo conduit 1/2"</t>
  </si>
  <si>
    <t>Cable #12</t>
  </si>
  <si>
    <t>Tubo conduit 1"</t>
  </si>
  <si>
    <t>Cable #8</t>
  </si>
  <si>
    <t>Adaptador terminal 1"</t>
  </si>
  <si>
    <t>Adaptador terminal 1/2"</t>
  </si>
  <si>
    <t>Tablero trifásico 18 circuitos con puerta</t>
  </si>
  <si>
    <t>Tablero trifásico 4 circuitos con puerta</t>
  </si>
  <si>
    <t>Breaker 20A</t>
  </si>
  <si>
    <t>Bolardo</t>
  </si>
  <si>
    <t xml:space="preserve">Interruptor doble </t>
  </si>
  <si>
    <t>Interruptor doble conmutable</t>
  </si>
  <si>
    <t>Interruptor sencillo</t>
  </si>
  <si>
    <t>Interruptor sencillo conmutable</t>
  </si>
  <si>
    <t xml:space="preserve">Interruptor triple </t>
  </si>
  <si>
    <t>Interruptor triple conmutable</t>
  </si>
  <si>
    <t>Caja octagonal</t>
  </si>
  <si>
    <t>Caja 5800 PVC</t>
  </si>
  <si>
    <t>Toma doble</t>
  </si>
  <si>
    <t>Toma doble autoprotegida GFCI</t>
  </si>
  <si>
    <t>Acometida eléctrica</t>
  </si>
  <si>
    <t>Instalación tablero 18 circuitos</t>
  </si>
  <si>
    <t>Punto eléctrico</t>
  </si>
  <si>
    <t>Tubo conduit 3/4"</t>
  </si>
  <si>
    <t>Adaptador terminal 3/4"</t>
  </si>
  <si>
    <t>INSTALACIONES ELÉCTRICAS EN MURO</t>
  </si>
  <si>
    <t>Lámpara de muro</t>
  </si>
  <si>
    <t>Lámpara de techo</t>
  </si>
  <si>
    <t>PVC SAN 6"</t>
  </si>
  <si>
    <t>CANTIDAD UNIONES SAN 6"</t>
  </si>
  <si>
    <t>Imprevistos (5%)</t>
  </si>
  <si>
    <t>Administrativos (4%)</t>
  </si>
  <si>
    <t>Generales (6%)</t>
  </si>
  <si>
    <t>GRAN TOTAL</t>
  </si>
  <si>
    <t xml:space="preserve">GRAN TOTAL </t>
  </si>
  <si>
    <t>V. xm2 área útil</t>
  </si>
  <si>
    <t>V. xm2 área construida</t>
  </si>
  <si>
    <t>V. xm2 área de cubierta</t>
  </si>
  <si>
    <t>*Se refiere a cimentación e instalaciones de servicios</t>
  </si>
  <si>
    <t>*Se refiere a toda estructura diferente de la cimentación, y a las cubiertas y sus protecciones</t>
  </si>
  <si>
    <t>*Se refiere a todos los acabados del proyecto</t>
  </si>
  <si>
    <t>*Se refiere a servicios profesionales por estudios, trámites, licencias, permisos, etc</t>
  </si>
  <si>
    <t>CASA</t>
  </si>
  <si>
    <t>1,2,1</t>
  </si>
  <si>
    <t>EXTERIOR</t>
  </si>
  <si>
    <t>INSTALACIONES ELÉCTRICAS EN CUBIERTA</t>
  </si>
  <si>
    <t>CLIENTE</t>
  </si>
  <si>
    <t>* Se refiere al área cubierta sin contar área de muros</t>
  </si>
  <si>
    <t>Cilindro gas propano 20lb</t>
  </si>
  <si>
    <t>Calentador paso a gas 6lt</t>
  </si>
  <si>
    <t>Conector flexometálico para gas 1,5m</t>
  </si>
  <si>
    <t>Regulador gas válvula para manguera</t>
  </si>
  <si>
    <t>Punto gas</t>
  </si>
  <si>
    <t>TOTAL MATERIALES</t>
  </si>
  <si>
    <t>MATERIALES</t>
  </si>
  <si>
    <t>TOTAL MANO DE OBRA</t>
  </si>
  <si>
    <t>PROVEEDOR</t>
  </si>
  <si>
    <t>Cemento para ciclópeo</t>
  </si>
  <si>
    <t>Cemento para mortero</t>
  </si>
  <si>
    <t>Cemento para 3000PSI</t>
  </si>
  <si>
    <t>Piedra media zonga</t>
  </si>
  <si>
    <t>Mixto</t>
  </si>
  <si>
    <t>Arena de peña</t>
  </si>
  <si>
    <t>BTO</t>
  </si>
  <si>
    <t>PAÑETE</t>
  </si>
  <si>
    <t>Cinta teflón 1/2" x10m</t>
  </si>
  <si>
    <t>Cinta teflón 3/4" x10m</t>
  </si>
  <si>
    <t>Cinta teflón 1" x10m</t>
  </si>
  <si>
    <t>Sifón oculto</t>
  </si>
  <si>
    <t>Bombillo LED 20w luz cálida</t>
  </si>
  <si>
    <t>Tubo LED 16w</t>
  </si>
  <si>
    <t>Lámpara de pared ornamental</t>
  </si>
  <si>
    <t>Spot dirigible</t>
  </si>
  <si>
    <t>ABAJO</t>
  </si>
  <si>
    <t>ARRIBA</t>
  </si>
  <si>
    <t>DIFERENCIA</t>
  </si>
  <si>
    <t>VERIFICACIÓN</t>
  </si>
  <si>
    <t>Ferretería cercana</t>
  </si>
  <si>
    <t>Maestro local</t>
  </si>
  <si>
    <t>Plomero local</t>
  </si>
  <si>
    <t>Electricista local</t>
  </si>
  <si>
    <t>Guadua 12cm limpia e inmunizada</t>
  </si>
  <si>
    <t>1,1,2</t>
  </si>
  <si>
    <t>GUADUA</t>
  </si>
  <si>
    <t>2,4,1</t>
  </si>
  <si>
    <t>Tubo acero 50x25x0,8mm</t>
  </si>
  <si>
    <t>Alquiler de andamios + planchón</t>
  </si>
  <si>
    <t>CUBIERTAS</t>
  </si>
  <si>
    <t>Mortero cubierta</t>
  </si>
  <si>
    <t>Malla de vena</t>
  </si>
  <si>
    <t>Esterilla x4m limpia e inmunizada</t>
  </si>
  <si>
    <t>Clavo con cabeza</t>
  </si>
  <si>
    <t>Instalación manto asfáltico</t>
  </si>
  <si>
    <t>6,1,1</t>
  </si>
  <si>
    <t>6,1,2</t>
  </si>
  <si>
    <t>6,1,3</t>
  </si>
  <si>
    <t>6,1,4</t>
  </si>
  <si>
    <t>6,1,5</t>
  </si>
  <si>
    <t>6,1,6</t>
  </si>
  <si>
    <t>VOL. MORTERO</t>
  </si>
  <si>
    <t>Lámina de protección solar</t>
  </si>
  <si>
    <t>6,2,1</t>
  </si>
  <si>
    <t>6,2,2</t>
  </si>
  <si>
    <t>6,2,3</t>
  </si>
  <si>
    <t>VIDRIO</t>
  </si>
  <si>
    <t>Policarbonato Alveolar</t>
  </si>
  <si>
    <t>Instalación policarbonato</t>
  </si>
  <si>
    <t xml:space="preserve">Flanche acero corten </t>
  </si>
  <si>
    <t>Instalación flanche</t>
  </si>
  <si>
    <t>Varilla roscada zincada 3/8"</t>
  </si>
  <si>
    <t>Tuerca+arandela zincada 3/8"</t>
  </si>
  <si>
    <t>Diseño arquitectónico</t>
  </si>
  <si>
    <t>Presupuesto de obra</t>
  </si>
  <si>
    <t>Programación de obra</t>
  </si>
  <si>
    <t>Dirección de obra</t>
  </si>
  <si>
    <t>Estudio de suelos</t>
  </si>
  <si>
    <t>Estudio estructural</t>
  </si>
  <si>
    <t>Plataforma</t>
  </si>
  <si>
    <t>Ventas</t>
  </si>
  <si>
    <t>Estimado licencia</t>
  </si>
  <si>
    <t>Estimado servicios</t>
  </si>
  <si>
    <t>1,1,3</t>
  </si>
  <si>
    <t>1,1,4</t>
  </si>
  <si>
    <t>1,1,5</t>
  </si>
  <si>
    <t>1,1,6</t>
  </si>
  <si>
    <t>1,1,7</t>
  </si>
  <si>
    <t>1,1,8</t>
  </si>
  <si>
    <t>1,1,9</t>
  </si>
  <si>
    <t>1,1,10</t>
  </si>
  <si>
    <t>1,2,2</t>
  </si>
  <si>
    <t>1,2,3</t>
  </si>
  <si>
    <t>1,2,4</t>
  </si>
  <si>
    <t>CBTP</t>
  </si>
  <si>
    <t>APIQUE</t>
  </si>
  <si>
    <t>Arcilla</t>
  </si>
  <si>
    <t>Pintura interior Tipo 3 pintuco</t>
  </si>
  <si>
    <t>Pintura interior Tipo 2 pintuco</t>
  </si>
  <si>
    <t>Pintura 3 manos</t>
  </si>
  <si>
    <t>Esterillado</t>
  </si>
  <si>
    <t>GL</t>
  </si>
  <si>
    <t>PINTURA</t>
  </si>
  <si>
    <t xml:space="preserve">Pintura Koraza exterior blanco </t>
  </si>
  <si>
    <t>Sika 101 impermeable blanco 25kg</t>
  </si>
  <si>
    <t>Enchape cerámico antideslizante</t>
  </si>
  <si>
    <t>Boquilla concolor 2kg (rend 0,8m2)</t>
  </si>
  <si>
    <t>Pegante cerámico PEGACOR</t>
  </si>
  <si>
    <t>ENCHAPE</t>
  </si>
  <si>
    <t>BTC 4/4</t>
  </si>
  <si>
    <t>BTC Fachaleta</t>
  </si>
  <si>
    <t>Varilla 1/2"</t>
  </si>
  <si>
    <t>PISOS</t>
  </si>
  <si>
    <t>Piso mosaico</t>
  </si>
  <si>
    <t>Enchape barro cocido</t>
  </si>
  <si>
    <t>2,4,2</t>
  </si>
  <si>
    <t>2,4,3</t>
  </si>
  <si>
    <t>2,4,4</t>
  </si>
  <si>
    <t>2,4,5</t>
  </si>
  <si>
    <t>2,4,6</t>
  </si>
  <si>
    <t>2,4,7</t>
  </si>
  <si>
    <t>2,4,8</t>
  </si>
  <si>
    <t>Piso madera plástica</t>
  </si>
  <si>
    <t>MADERA</t>
  </si>
  <si>
    <t>Alistado de piso en amarillo</t>
  </si>
  <si>
    <t>Piso teca</t>
  </si>
  <si>
    <t>Adoquín</t>
  </si>
  <si>
    <t>Mampostería adoquín</t>
  </si>
  <si>
    <t>ADOQUÍN</t>
  </si>
  <si>
    <t>Aplicación recebo</t>
  </si>
  <si>
    <t>GRAVILLA</t>
  </si>
  <si>
    <t>Aplicación gravilla</t>
  </si>
  <si>
    <t>CARPINTERÍA</t>
  </si>
  <si>
    <t>VENTANAS</t>
  </si>
  <si>
    <t>Ventanería madera</t>
  </si>
  <si>
    <t>MOBILIARIO</t>
  </si>
  <si>
    <t>REPISAS CONCRETO</t>
  </si>
  <si>
    <t>MOBILIARIO A COMPRAR</t>
  </si>
  <si>
    <t>Puertas cocina</t>
  </si>
  <si>
    <t>Puertas armario</t>
  </si>
  <si>
    <t>Mesón cocina</t>
  </si>
  <si>
    <t xml:space="preserve">Sanitario ahorrador regular </t>
  </si>
  <si>
    <t>Teleducha bidet</t>
  </si>
  <si>
    <t>Grifo lavamanos sencillo</t>
  </si>
  <si>
    <t>Lavamanos</t>
  </si>
  <si>
    <t>Regadera Teleducha</t>
  </si>
  <si>
    <t>Pomo regular</t>
  </si>
  <si>
    <t>Tina</t>
  </si>
  <si>
    <t>Barra de seguridad ducha</t>
  </si>
  <si>
    <t>Jacuzzi</t>
  </si>
  <si>
    <t>REMATES</t>
  </si>
  <si>
    <t>IMPERMEABILIZACIÓN</t>
  </si>
  <si>
    <t>Profilán</t>
  </si>
  <si>
    <t>Jornal ayudante</t>
  </si>
  <si>
    <t>Maestros guadueros</t>
  </si>
  <si>
    <t>ESPACIO</t>
  </si>
  <si>
    <t>TABLAS MACROS</t>
  </si>
  <si>
    <t>PÉTREOS</t>
  </si>
  <si>
    <t>Tierra cemento</t>
  </si>
  <si>
    <t>Cemento</t>
  </si>
  <si>
    <t>Arena semilavada</t>
  </si>
  <si>
    <t>Mortero pañete</t>
  </si>
  <si>
    <t>Mortero pega</t>
  </si>
  <si>
    <t>MEZCLAS CONCRETO XM3</t>
  </si>
  <si>
    <t>Tierra</t>
  </si>
  <si>
    <t>Tierra insitu</t>
  </si>
  <si>
    <t>Gravilla de río</t>
  </si>
  <si>
    <t>Gravilla fina</t>
  </si>
  <si>
    <t>Gravilla mixta</t>
  </si>
  <si>
    <t>Gravilla 1/2"</t>
  </si>
  <si>
    <t>Gravilla 3/4"</t>
  </si>
  <si>
    <t>TERROSOS</t>
  </si>
  <si>
    <t>RELLENOS</t>
  </si>
  <si>
    <t>Varilla 3/8"</t>
  </si>
  <si>
    <t>Varilla 1"</t>
  </si>
  <si>
    <t>Malla gallinero 1-1/4"</t>
  </si>
  <si>
    <t>ADITIVOS</t>
  </si>
  <si>
    <t>Agua carrotanque</t>
  </si>
  <si>
    <t>LT</t>
  </si>
  <si>
    <t xml:space="preserve">Caja Mineral </t>
  </si>
  <si>
    <t>LB</t>
  </si>
  <si>
    <t>AISLANTES</t>
  </si>
  <si>
    <t>Frescasa + foil aluminio</t>
  </si>
  <si>
    <t>Yumbolón 10mm</t>
  </si>
  <si>
    <t>MEMBRANAS</t>
  </si>
  <si>
    <t>Polisombra</t>
  </si>
  <si>
    <t>Geomembrana estructural</t>
  </si>
  <si>
    <t>CERRAMIENTO</t>
  </si>
  <si>
    <t>EQUIPOS Y HERRAMIENTAS</t>
  </si>
  <si>
    <t>EQUIPOS</t>
  </si>
  <si>
    <t>Grúa hidráulica</t>
  </si>
  <si>
    <t>Motobomba 1HP</t>
  </si>
  <si>
    <t>Planta monofásica gasolina 1,8kv</t>
  </si>
  <si>
    <t>PAR</t>
  </si>
  <si>
    <t>Zuncho metálico 3/4"</t>
  </si>
  <si>
    <t>Hebilla zuncho metálico 3/4"</t>
  </si>
  <si>
    <t>Lata de guadua limpia e inmunizada</t>
  </si>
  <si>
    <t>Bambú sopleteado</t>
  </si>
  <si>
    <t>Piso achapo</t>
  </si>
  <si>
    <t>Piso granadillo</t>
  </si>
  <si>
    <t>Piso guaymaro</t>
  </si>
  <si>
    <t>Piso sapán</t>
  </si>
  <si>
    <t>Piso estiba reciclada</t>
  </si>
  <si>
    <t>Piso pino</t>
  </si>
  <si>
    <t>Panel pino 18mm</t>
  </si>
  <si>
    <t>INSTALACIONES</t>
  </si>
  <si>
    <t>SANITARIA</t>
  </si>
  <si>
    <t>POTABLE</t>
  </si>
  <si>
    <t>SOLDADURA</t>
  </si>
  <si>
    <t>ELÉCTRICA</t>
  </si>
  <si>
    <t>ELÉCTRICO</t>
  </si>
  <si>
    <t>LUMINARIA</t>
  </si>
  <si>
    <t>MAMPOSTERÍA</t>
  </si>
  <si>
    <t>Bloque #4</t>
  </si>
  <si>
    <t>Bloque #5</t>
  </si>
  <si>
    <t>Ladrillo estructural</t>
  </si>
  <si>
    <t>Ladrillo rejilla</t>
  </si>
  <si>
    <t>Ladrillo refractario</t>
  </si>
  <si>
    <t>Ventanería en aluminio</t>
  </si>
  <si>
    <t>Ventanería en aluminio VIS</t>
  </si>
  <si>
    <t>Ventanería en acero</t>
  </si>
  <si>
    <t>Ventanería en madera</t>
  </si>
  <si>
    <t>CARPINTERIA</t>
  </si>
  <si>
    <t>Puerta en madera</t>
  </si>
  <si>
    <t>Puerta en acero</t>
  </si>
  <si>
    <t>Puerta ventana en aluminio</t>
  </si>
  <si>
    <t>Puerta ventana en acero</t>
  </si>
  <si>
    <t>Puerta ventana en madera</t>
  </si>
  <si>
    <t>Baranda</t>
  </si>
  <si>
    <t>VIDRIOS</t>
  </si>
  <si>
    <t>Vidrio crudo 4mm</t>
  </si>
  <si>
    <t>Vidrio laminado 4+4</t>
  </si>
  <si>
    <t>División vidrio templado 5mm</t>
  </si>
  <si>
    <t>Espejo claro 4mm</t>
  </si>
  <si>
    <t>Lona caribe</t>
  </si>
  <si>
    <t>Manto asfáltico granulado</t>
  </si>
  <si>
    <t>ACCESORIOS</t>
  </si>
  <si>
    <t>Sista FT 101</t>
  </si>
  <si>
    <t>Corcho proyectado isolcork</t>
  </si>
  <si>
    <t>Tinte para caucho proyectado</t>
  </si>
  <si>
    <t>Alumanto asfáltico autoadhesivo 3mm</t>
  </si>
  <si>
    <t>Sellalón</t>
  </si>
  <si>
    <t>Broncoelástico</t>
  </si>
  <si>
    <t>Cielo raso drywall plano</t>
  </si>
  <si>
    <t>TECHOS</t>
  </si>
  <si>
    <t>PANELES</t>
  </si>
  <si>
    <t>Panel superboard 12mm</t>
  </si>
  <si>
    <t>PANEL</t>
  </si>
  <si>
    <t>Pánel OSB 122x244 11mm</t>
  </si>
  <si>
    <t>Pánel OSB 122x244 9,5mm</t>
  </si>
  <si>
    <t>Pánel OSB 122x244 15mm</t>
  </si>
  <si>
    <t>Superboard enchape 8mm</t>
  </si>
  <si>
    <t>Corona paraguas multipropósito 5gal</t>
  </si>
  <si>
    <t>ADITIVO</t>
  </si>
  <si>
    <t>PETREOS</t>
  </si>
  <si>
    <t>ELECTRICA</t>
  </si>
  <si>
    <t>MAMPOSTERIA</t>
  </si>
  <si>
    <t>Excavación zapata</t>
  </si>
  <si>
    <t>Fabricación pedestal</t>
  </si>
  <si>
    <t>LLUVIA</t>
  </si>
  <si>
    <t>PRELIMINAR</t>
  </si>
  <si>
    <t>Replanteo arquitectura</t>
  </si>
  <si>
    <t>Replanteo urbano</t>
  </si>
  <si>
    <t>Filtro perimetral</t>
  </si>
  <si>
    <t>Zócalo bloque</t>
  </si>
  <si>
    <t>Vigueta aérea</t>
  </si>
  <si>
    <t>Figuración hierro</t>
  </si>
  <si>
    <t>Exvacación caja</t>
  </si>
  <si>
    <t>Acometida potable</t>
  </si>
  <si>
    <t>Instalación aparato</t>
  </si>
  <si>
    <t>Instalación tablero 12 circuitos</t>
  </si>
  <si>
    <t>Instalación tablero 14 circuitos</t>
  </si>
  <si>
    <t>Instalación tablero 6 circuitos</t>
  </si>
  <si>
    <t>Conexión tanque</t>
  </si>
  <si>
    <t>Medidor agua</t>
  </si>
  <si>
    <t>Medidor eléctrico</t>
  </si>
  <si>
    <t>I.POTABLE</t>
  </si>
  <si>
    <t>I.SANITARIA</t>
  </si>
  <si>
    <t>I.ELÉCTRICA</t>
  </si>
  <si>
    <t>I.GAS</t>
  </si>
  <si>
    <t>Acometida gas</t>
  </si>
  <si>
    <t>GAS</t>
  </si>
  <si>
    <t>Medidor gas</t>
  </si>
  <si>
    <t>Estructura de cubierta en guadua</t>
  </si>
  <si>
    <t>Estructura muro en guadua</t>
  </si>
  <si>
    <t>Instalación bambúes muros</t>
  </si>
  <si>
    <t>Instalación bambúes cubierta</t>
  </si>
  <si>
    <t>Enlatado de guadua</t>
  </si>
  <si>
    <t>I.GUADUA</t>
  </si>
  <si>
    <t>I.MADERA</t>
  </si>
  <si>
    <t>Estructura de entrepiso en madera</t>
  </si>
  <si>
    <t>Estructura de cubierta en madera</t>
  </si>
  <si>
    <t>Estructura de entrepiso en guadua</t>
  </si>
  <si>
    <t>Estructura muro en madera</t>
  </si>
  <si>
    <t>Piso en madera</t>
  </si>
  <si>
    <t>Mobiliario en madera</t>
  </si>
  <si>
    <t>I.METAL</t>
  </si>
  <si>
    <t>METAL</t>
  </si>
  <si>
    <t>Estructura de entrepiso en acero</t>
  </si>
  <si>
    <t>Estructura de cubierta en acero</t>
  </si>
  <si>
    <t>Revoque ecológico</t>
  </si>
  <si>
    <t>Revoque tradicional</t>
  </si>
  <si>
    <t>Losa maciza esmaltada</t>
  </si>
  <si>
    <t>Enchape poyo</t>
  </si>
  <si>
    <t>Instalación puerta</t>
  </si>
  <si>
    <t>Cielo raso</t>
  </si>
  <si>
    <t>Instalación angeo</t>
  </si>
  <si>
    <t>Relleno tierra cemento</t>
  </si>
  <si>
    <t>Instalación claraboya</t>
  </si>
  <si>
    <t>Forja ornamental en acero</t>
  </si>
  <si>
    <t>Jornal aseo</t>
  </si>
  <si>
    <t>Concreto ciclopeo</t>
  </si>
  <si>
    <t>Fundición subterránea</t>
  </si>
  <si>
    <t>Encoroce guadua</t>
  </si>
  <si>
    <t>I.ELECTRICA</t>
  </si>
  <si>
    <t>MANO.DE.OBRA</t>
  </si>
  <si>
    <t>Excavación manual tubería</t>
  </si>
  <si>
    <t>Mamposteria</t>
  </si>
  <si>
    <t>Instalación viga canal</t>
  </si>
  <si>
    <t>Manguera gas</t>
  </si>
  <si>
    <t>Enchapes</t>
  </si>
  <si>
    <t>Instalación baranda</t>
  </si>
  <si>
    <t>Acronal</t>
  </si>
  <si>
    <t>Alquiler vibrador eléctrico</t>
  </si>
  <si>
    <t>Alquiler vibrador a gasolina</t>
  </si>
  <si>
    <t>Tornillo autoperforante capuchón 2"</t>
  </si>
  <si>
    <t>Geotextil tejido 1600</t>
  </si>
  <si>
    <t>Geotextil tejido 1800</t>
  </si>
  <si>
    <t>Ladrillo fachaleta</t>
  </si>
  <si>
    <t>Puerta de seguridad</t>
  </si>
  <si>
    <t>Tela poliester</t>
  </si>
  <si>
    <t>*Rend 4,5m2 x galón</t>
  </si>
  <si>
    <t>% SOBRE TOTAL</t>
  </si>
  <si>
    <t>PRESUPUESTO</t>
  </si>
  <si>
    <t>PROGRAMACIÓN</t>
  </si>
  <si>
    <t>Nombre del recurso</t>
  </si>
  <si>
    <t>Tipo</t>
  </si>
  <si>
    <t>Etiqueta de material</t>
  </si>
  <si>
    <t>C2000</t>
  </si>
  <si>
    <t>C2500</t>
  </si>
  <si>
    <t>C3000</t>
  </si>
  <si>
    <t>C3500</t>
  </si>
  <si>
    <t>C4000</t>
  </si>
  <si>
    <t>MP</t>
  </si>
  <si>
    <t>MPE</t>
  </si>
  <si>
    <t>TC</t>
  </si>
  <si>
    <t>CC</t>
  </si>
  <si>
    <t>GR</t>
  </si>
  <si>
    <t>GF</t>
  </si>
  <si>
    <t>GM</t>
  </si>
  <si>
    <t>G1/2</t>
  </si>
  <si>
    <t>G3/4</t>
  </si>
  <si>
    <t>Iniciales</t>
  </si>
  <si>
    <t>Grupo</t>
  </si>
  <si>
    <t>Tasa estándar</t>
  </si>
  <si>
    <t>Tasa horas extras</t>
  </si>
  <si>
    <t>Costo/uso</t>
  </si>
  <si>
    <t>Acumular</t>
  </si>
  <si>
    <t>Comienzo</t>
  </si>
  <si>
    <t>B200</t>
  </si>
  <si>
    <t>AR</t>
  </si>
  <si>
    <t>CAL</t>
  </si>
  <si>
    <t>ASM</t>
  </si>
  <si>
    <t>TIE</t>
  </si>
  <si>
    <t>AN</t>
  </si>
  <si>
    <t>V1/2</t>
  </si>
  <si>
    <t>V3/8</t>
  </si>
  <si>
    <t>V1</t>
  </si>
  <si>
    <t>CM4</t>
  </si>
  <si>
    <t>MG</t>
  </si>
  <si>
    <t>MV</t>
  </si>
  <si>
    <t>TA</t>
  </si>
  <si>
    <t>PT</t>
  </si>
  <si>
    <t>TD</t>
  </si>
  <si>
    <t>TAZ3/8</t>
  </si>
  <si>
    <t>VRZ3/8</t>
  </si>
  <si>
    <t>FC</t>
  </si>
  <si>
    <t>ZM3/4</t>
  </si>
  <si>
    <t>HZM3/4</t>
  </si>
  <si>
    <t>AC</t>
  </si>
  <si>
    <t>ACR</t>
  </si>
  <si>
    <t>S101</t>
  </si>
  <si>
    <t>S32</t>
  </si>
  <si>
    <t>CM</t>
  </si>
  <si>
    <t>En proyecto</t>
  </si>
  <si>
    <t>DURACIÓN</t>
  </si>
  <si>
    <t>FF</t>
  </si>
  <si>
    <t>YL</t>
  </si>
  <si>
    <t>LC</t>
  </si>
  <si>
    <t>PF</t>
  </si>
  <si>
    <t>CP</t>
  </si>
  <si>
    <t>P6</t>
  </si>
  <si>
    <t>G16</t>
  </si>
  <si>
    <t>G18</t>
  </si>
  <si>
    <t>PS</t>
  </si>
  <si>
    <t>GME</t>
  </si>
  <si>
    <t>FP</t>
  </si>
  <si>
    <t>TB</t>
  </si>
  <si>
    <t>AT</t>
  </si>
  <si>
    <t>AVE</t>
  </si>
  <si>
    <t>AVG</t>
  </si>
  <si>
    <t>GH</t>
  </si>
  <si>
    <t>PG</t>
  </si>
  <si>
    <t>AA</t>
  </si>
  <si>
    <t>EZ</t>
  </si>
  <si>
    <t>FZ</t>
  </si>
  <si>
    <t>EM</t>
  </si>
  <si>
    <t>FV</t>
  </si>
  <si>
    <t>FIP</t>
  </si>
  <si>
    <t>ZB</t>
  </si>
  <si>
    <t>VA</t>
  </si>
  <si>
    <t>FH</t>
  </si>
  <si>
    <t>EC</t>
  </si>
  <si>
    <t>CR</t>
  </si>
  <si>
    <t>FS</t>
  </si>
  <si>
    <t>RA</t>
  </si>
  <si>
    <t>RU</t>
  </si>
  <si>
    <t>MH2</t>
  </si>
  <si>
    <t>CC901/2</t>
  </si>
  <si>
    <t>CC903/4</t>
  </si>
  <si>
    <t>CC901</t>
  </si>
  <si>
    <t>CC1/2</t>
  </si>
  <si>
    <t>CC3/4</t>
  </si>
  <si>
    <t>CC1</t>
  </si>
  <si>
    <t>PP1/2</t>
  </si>
  <si>
    <t>PP3/4</t>
  </si>
  <si>
    <t>PP1</t>
  </si>
  <si>
    <t>PP2</t>
  </si>
  <si>
    <t>PP901/2</t>
  </si>
  <si>
    <t>PP903/4</t>
  </si>
  <si>
    <t>PP901</t>
  </si>
  <si>
    <t>PP902</t>
  </si>
  <si>
    <t>CCB3/41/2</t>
  </si>
  <si>
    <t>PPV3/41/2</t>
  </si>
  <si>
    <t>CCT1</t>
  </si>
  <si>
    <t>CCT1/2</t>
  </si>
  <si>
    <t>CCT3/4</t>
  </si>
  <si>
    <t>CCT1/23/4</t>
  </si>
  <si>
    <t>PPT2</t>
  </si>
  <si>
    <t>PPT1</t>
  </si>
  <si>
    <t>PPT1/2</t>
  </si>
  <si>
    <t>PPT3/4</t>
  </si>
  <si>
    <t>PPT1/23/4</t>
  </si>
  <si>
    <t>CCU1/2</t>
  </si>
  <si>
    <t>CCU3/4</t>
  </si>
  <si>
    <t>PPU1/2</t>
  </si>
  <si>
    <t>PPU3/4</t>
  </si>
  <si>
    <t>PPU1</t>
  </si>
  <si>
    <t>PPVB1/2</t>
  </si>
  <si>
    <t>PPVB1</t>
  </si>
  <si>
    <t>PPVB2</t>
  </si>
  <si>
    <t>CCVB1/2</t>
  </si>
  <si>
    <t>CCVB1</t>
  </si>
  <si>
    <t>VC</t>
  </si>
  <si>
    <t>CT1/2</t>
  </si>
  <si>
    <t>CT3/4</t>
  </si>
  <si>
    <t>CT1</t>
  </si>
  <si>
    <t>SP1/128</t>
  </si>
  <si>
    <t>SP1/64</t>
  </si>
  <si>
    <t>SP1/32</t>
  </si>
  <si>
    <t>SP1/16</t>
  </si>
  <si>
    <t>SP1/4</t>
  </si>
  <si>
    <t>SP1/8</t>
  </si>
  <si>
    <t>SPC1/128</t>
  </si>
  <si>
    <t>SC1/64</t>
  </si>
  <si>
    <t>SC1/32</t>
  </si>
  <si>
    <t>SC1/16</t>
  </si>
  <si>
    <t>SC1/8</t>
  </si>
  <si>
    <t>SC1/4</t>
  </si>
  <si>
    <t>CS150</t>
  </si>
  <si>
    <t>TE5000</t>
  </si>
  <si>
    <t>MB1</t>
  </si>
  <si>
    <t>TOTAL MATERIAL</t>
  </si>
  <si>
    <t>DUR. TOTAL</t>
  </si>
  <si>
    <t>Rend xDIA</t>
  </si>
  <si>
    <t>Trabajo</t>
  </si>
  <si>
    <t>S2</t>
  </si>
  <si>
    <t>V2</t>
  </si>
  <si>
    <t>S4</t>
  </si>
  <si>
    <t>S6</t>
  </si>
  <si>
    <t>ST2</t>
  </si>
  <si>
    <t>SY2</t>
  </si>
  <si>
    <t>SY4</t>
  </si>
  <si>
    <t>SY42</t>
  </si>
  <si>
    <t>SB42</t>
  </si>
  <si>
    <t>SC904</t>
  </si>
  <si>
    <t>SC454</t>
  </si>
  <si>
    <t>SC902</t>
  </si>
  <si>
    <t>SC452</t>
  </si>
  <si>
    <t>SU2</t>
  </si>
  <si>
    <t>SU4</t>
  </si>
  <si>
    <t>SS1802</t>
  </si>
  <si>
    <t>RC</t>
  </si>
  <si>
    <t>SO</t>
  </si>
  <si>
    <t>TG95</t>
  </si>
  <si>
    <t>V4</t>
  </si>
  <si>
    <t>C1/2</t>
  </si>
  <si>
    <t>CB12</t>
  </si>
  <si>
    <t>C3/4</t>
  </si>
  <si>
    <t>C1</t>
  </si>
  <si>
    <t>CB8</t>
  </si>
  <si>
    <t>CA1</t>
  </si>
  <si>
    <t>CA3/4</t>
  </si>
  <si>
    <t>CA1/2</t>
  </si>
  <si>
    <t>BL</t>
  </si>
  <si>
    <t>B20W</t>
  </si>
  <si>
    <t>LPO</t>
  </si>
  <si>
    <t>TL16</t>
  </si>
  <si>
    <t>SD</t>
  </si>
  <si>
    <t>LM</t>
  </si>
  <si>
    <t>ID</t>
  </si>
  <si>
    <t>IDC</t>
  </si>
  <si>
    <t>IS</t>
  </si>
  <si>
    <t>ISC</t>
  </si>
  <si>
    <t>IT</t>
  </si>
  <si>
    <t>ITC</t>
  </si>
  <si>
    <t>CO</t>
  </si>
  <si>
    <t>C5800</t>
  </si>
  <si>
    <t>GFCI</t>
  </si>
  <si>
    <t>T18</t>
  </si>
  <si>
    <t>T4</t>
  </si>
  <si>
    <t>B20A</t>
  </si>
  <si>
    <t>VCA</t>
  </si>
  <si>
    <t>UBA</t>
  </si>
  <si>
    <t>SCA</t>
  </si>
  <si>
    <t>CPB</t>
  </si>
  <si>
    <t>C20</t>
  </si>
  <si>
    <t>CG6</t>
  </si>
  <si>
    <t>CG</t>
  </si>
  <si>
    <t>RVG</t>
  </si>
  <si>
    <t>V.TOTAL</t>
  </si>
  <si>
    <t>V.UNITARIO</t>
  </si>
  <si>
    <t>PH</t>
  </si>
  <si>
    <t>AP</t>
  </si>
  <si>
    <t>IP</t>
  </si>
  <si>
    <t>MA</t>
  </si>
  <si>
    <t>EMM</t>
  </si>
  <si>
    <t>AS</t>
  </si>
  <si>
    <t>EMT</t>
  </si>
  <si>
    <t>IVC</t>
  </si>
  <si>
    <t>PE</t>
  </si>
  <si>
    <t>AE</t>
  </si>
  <si>
    <t>IT12</t>
  </si>
  <si>
    <t>IT14</t>
  </si>
  <si>
    <t>IT18</t>
  </si>
  <si>
    <t>IT16</t>
  </si>
  <si>
    <t>CT</t>
  </si>
  <si>
    <t>ME</t>
  </si>
  <si>
    <t>IG</t>
  </si>
  <si>
    <t>AG</t>
  </si>
  <si>
    <t>G12L</t>
  </si>
  <si>
    <t>E4L</t>
  </si>
  <si>
    <t>L3L</t>
  </si>
  <si>
    <t>BSL</t>
  </si>
  <si>
    <t>PMA</t>
  </si>
  <si>
    <t>PMG</t>
  </si>
  <si>
    <t>PMY</t>
  </si>
  <si>
    <t>PMT</t>
  </si>
  <si>
    <t>PMS</t>
  </si>
  <si>
    <t>PMP</t>
  </si>
  <si>
    <t>PMR</t>
  </si>
  <si>
    <t>PMN</t>
  </si>
  <si>
    <t>PP</t>
  </si>
  <si>
    <t>B4</t>
  </si>
  <si>
    <t>B5</t>
  </si>
  <si>
    <t>BTC4</t>
  </si>
  <si>
    <t>BTCF</t>
  </si>
  <si>
    <t>LE</t>
  </si>
  <si>
    <t>LR</t>
  </si>
  <si>
    <t>LRF</t>
  </si>
  <si>
    <t>LF</t>
  </si>
  <si>
    <t>VAVIS</t>
  </si>
  <si>
    <t>VAC</t>
  </si>
  <si>
    <t>VMA</t>
  </si>
  <si>
    <t>PM</t>
  </si>
  <si>
    <t>PA</t>
  </si>
  <si>
    <t>PVA</t>
  </si>
  <si>
    <t>PVAC</t>
  </si>
  <si>
    <t>PVM</t>
  </si>
  <si>
    <t>BR</t>
  </si>
  <si>
    <t>V44</t>
  </si>
  <si>
    <t>VT5</t>
  </si>
  <si>
    <t>LPS</t>
  </si>
  <si>
    <t>PCA</t>
  </si>
  <si>
    <t>E4</t>
  </si>
  <si>
    <t>MAG</t>
  </si>
  <si>
    <t>CPY</t>
  </si>
  <si>
    <t>TCP</t>
  </si>
  <si>
    <t>AAA</t>
  </si>
  <si>
    <t>SL</t>
  </si>
  <si>
    <t>TP</t>
  </si>
  <si>
    <t>BE</t>
  </si>
  <si>
    <t>PINTURAS</t>
  </si>
  <si>
    <t>PIT3</t>
  </si>
  <si>
    <t>PIT2</t>
  </si>
  <si>
    <t>PKE</t>
  </si>
  <si>
    <t>ECA</t>
  </si>
  <si>
    <t>BCC</t>
  </si>
  <si>
    <t>PCR</t>
  </si>
  <si>
    <t>PMOS</t>
  </si>
  <si>
    <t>EBC</t>
  </si>
  <si>
    <t>ADQ</t>
  </si>
  <si>
    <t>PC</t>
  </si>
  <si>
    <t>MCO</t>
  </si>
  <si>
    <t>PSG</t>
  </si>
  <si>
    <t>SAR</t>
  </si>
  <si>
    <t>TBD</t>
  </si>
  <si>
    <t>GLS</t>
  </si>
  <si>
    <t>LV</t>
  </si>
  <si>
    <t>RT</t>
  </si>
  <si>
    <t>PR</t>
  </si>
  <si>
    <t>TN</t>
  </si>
  <si>
    <t>BSD</t>
  </si>
  <si>
    <t>JZZ</t>
  </si>
  <si>
    <t>DRY</t>
  </si>
  <si>
    <t>SPB</t>
  </si>
  <si>
    <t>OSB11</t>
  </si>
  <si>
    <t>OSB95</t>
  </si>
  <si>
    <t>OSB15</t>
  </si>
  <si>
    <t>SBE</t>
  </si>
  <si>
    <t>EEG</t>
  </si>
  <si>
    <t>ECG</t>
  </si>
  <si>
    <t>EMG</t>
  </si>
  <si>
    <t>EST</t>
  </si>
  <si>
    <t>IBM</t>
  </si>
  <si>
    <t>IBC</t>
  </si>
  <si>
    <t>EG</t>
  </si>
  <si>
    <t>EEM</t>
  </si>
  <si>
    <t>ECM</t>
  </si>
  <si>
    <t>PIM</t>
  </si>
  <si>
    <t>MBM</t>
  </si>
  <si>
    <t>EEC</t>
  </si>
  <si>
    <t>ECC</t>
  </si>
  <si>
    <t>P3M</t>
  </si>
  <si>
    <t>RVE</t>
  </si>
  <si>
    <t>RVT</t>
  </si>
  <si>
    <t>ENC</t>
  </si>
  <si>
    <t>LME</t>
  </si>
  <si>
    <t>EPY</t>
  </si>
  <si>
    <t>MCB</t>
  </si>
  <si>
    <t>IMA</t>
  </si>
  <si>
    <t>IAG</t>
  </si>
  <si>
    <t>RTC</t>
  </si>
  <si>
    <t>ICY</t>
  </si>
  <si>
    <t>IPB</t>
  </si>
  <si>
    <t>IF</t>
  </si>
  <si>
    <t>FOA</t>
  </si>
  <si>
    <t>MPA</t>
  </si>
  <si>
    <t>VNM</t>
  </si>
  <si>
    <t>IBD</t>
  </si>
  <si>
    <t>Trasiego de material excavado</t>
  </si>
  <si>
    <t>Armado de parrilla zapata</t>
  </si>
  <si>
    <t>TME</t>
  </si>
  <si>
    <t>APZ</t>
  </si>
  <si>
    <t>Tasa hora</t>
  </si>
  <si>
    <t>Fundición zapata</t>
  </si>
  <si>
    <t>ZAPATA</t>
  </si>
  <si>
    <t>PEDESTAL</t>
  </si>
  <si>
    <t>Fundición pedestal</t>
  </si>
  <si>
    <t>Armado de parrilla pedestal</t>
  </si>
  <si>
    <t>FPP</t>
  </si>
  <si>
    <t>Cap. Max</t>
  </si>
  <si>
    <t>Cap. MAX</t>
  </si>
  <si>
    <t>PUNTO ELÉCTRICO</t>
  </si>
  <si>
    <t>Alambrado eléctrico</t>
  </si>
  <si>
    <t>Instalación tubería eléctrica</t>
  </si>
  <si>
    <t>ITE</t>
  </si>
  <si>
    <t>Cemento para 2000PSI</t>
  </si>
  <si>
    <t>TOTALES MANO DE OBRA</t>
  </si>
  <si>
    <t>TABLAS</t>
  </si>
  <si>
    <t>CANTIDAD X FORMATO</t>
  </si>
  <si>
    <t>%</t>
  </si>
  <si>
    <t>DIFERENCIA VALOR</t>
  </si>
  <si>
    <t>Instalación palmicha</t>
  </si>
  <si>
    <t>IPM</t>
  </si>
  <si>
    <t>Palmicha</t>
  </si>
  <si>
    <t>PMC</t>
  </si>
  <si>
    <t>Piedra coralina tratada para humedad</t>
  </si>
  <si>
    <t>Grava seleccionada para enchape</t>
  </si>
  <si>
    <t>Boquilla látex piedra</t>
  </si>
  <si>
    <t>Malla catamarán</t>
  </si>
  <si>
    <t>Anclaje malla catamarán</t>
  </si>
  <si>
    <t>MCT</t>
  </si>
  <si>
    <t>AMC</t>
  </si>
  <si>
    <t>PCT</t>
  </si>
  <si>
    <t>GSE</t>
  </si>
  <si>
    <t>Instalación malla catamarán</t>
  </si>
  <si>
    <t>Retroexcavadora</t>
  </si>
  <si>
    <t>Dimmer 400w</t>
  </si>
  <si>
    <t>Salida Rj45 Ethernet</t>
  </si>
  <si>
    <t>Caja 1 circuito</t>
  </si>
  <si>
    <t>S107</t>
  </si>
  <si>
    <t>RJ45</t>
  </si>
  <si>
    <t>DM40</t>
  </si>
  <si>
    <t>SikaTop 107 impermeabilizante 20kg</t>
  </si>
  <si>
    <t>Cemento blanco 40kg</t>
  </si>
  <si>
    <t>Microcemento fondo 15kg</t>
  </si>
  <si>
    <t>MCF</t>
  </si>
  <si>
    <t>Microcemento acabado 15kg</t>
  </si>
  <si>
    <t>MCA</t>
  </si>
  <si>
    <t>Resina microcemento 5kg</t>
  </si>
  <si>
    <t>RMC</t>
  </si>
  <si>
    <t>BMC</t>
  </si>
  <si>
    <t>*2 capas, 3kg/m2</t>
  </si>
  <si>
    <t>*3 capas 0,4m2/kg</t>
  </si>
  <si>
    <t>Barniz microcemento aqua 4L</t>
  </si>
  <si>
    <t>Aplicación microcemento</t>
  </si>
  <si>
    <t>*3 capas 10m2/kg</t>
  </si>
  <si>
    <t>*3 capas 8m2/lt</t>
  </si>
  <si>
    <t>*3 capas 2m2/kg</t>
  </si>
  <si>
    <t>A. MICROCE</t>
  </si>
  <si>
    <t>PIEZAS</t>
  </si>
  <si>
    <t>13,42 (pieza de 6m)</t>
  </si>
  <si>
    <t>13,42 (pieza de 4m)</t>
  </si>
  <si>
    <t>11,5 (pieza de 6m)</t>
  </si>
  <si>
    <t>11,5 (pieza de 5,5m)</t>
  </si>
  <si>
    <t>9,27 (pieza de 6m)</t>
  </si>
  <si>
    <t>9,27 (pieza de 3,27m)</t>
  </si>
  <si>
    <t>9,21 (pieza de 6m)</t>
  </si>
  <si>
    <t>9,21 (pieza de 3,21m)</t>
  </si>
  <si>
    <t>6,17 (pieza de 4m)</t>
  </si>
  <si>
    <t>6,17 (pieza de 2,17m)</t>
  </si>
  <si>
    <t>14,28 (pieza de 6m)</t>
  </si>
  <si>
    <t>12,6 (pieza de 6m)</t>
  </si>
  <si>
    <t>12,6 (pieza de 4m)</t>
  </si>
  <si>
    <t>12,6 (pieza de 2,6m)</t>
  </si>
  <si>
    <t>12,32 (pieza de 6m)</t>
  </si>
  <si>
    <t>12,32 (pieza de 4m)</t>
  </si>
  <si>
    <t>12,32 (pieza de 2,32m)</t>
  </si>
  <si>
    <t>12,31 (pieza de 6m)</t>
  </si>
  <si>
    <t>12,31 (pieza de 4m)</t>
  </si>
  <si>
    <t>12,25 (pieza de 6m)</t>
  </si>
  <si>
    <t>12,25 (pieza de 4m)</t>
  </si>
  <si>
    <t>12,25 (pieza de 2,25m)</t>
  </si>
  <si>
    <t>11,59 (pieza de 6m)</t>
  </si>
  <si>
    <t>11,59 (pieza de 5,59m)</t>
  </si>
  <si>
    <t>8,85 (pieza de 6m)</t>
  </si>
  <si>
    <t>8,85 (pieza de 2,85m)</t>
  </si>
  <si>
    <t>8,5 (pieza de 6m)</t>
  </si>
  <si>
    <t>8,5 (pieza de 2,5m)</t>
  </si>
  <si>
    <t>8,23 (pieza de 6m)</t>
  </si>
  <si>
    <t>8,23 (pieza de 2,23m)</t>
  </si>
  <si>
    <t>6,97 (pieza de 4m)</t>
  </si>
  <si>
    <t>6,97 (pieza de 2,97m)</t>
  </si>
  <si>
    <t>6,86 (pieza de 4m)</t>
  </si>
  <si>
    <t>6,86 (pieza de 2,86m)</t>
  </si>
  <si>
    <t>6,3 (pieza de 4m)</t>
  </si>
  <si>
    <t>6,3 (pieza de 2,3m)</t>
  </si>
  <si>
    <t>6,2 (pieza de 2,2m)</t>
  </si>
  <si>
    <t>6,2 (pieza de 4m)</t>
  </si>
  <si>
    <t>EXCAVACIÓN CIMIENTOS</t>
  </si>
  <si>
    <t>Trasiego material</t>
  </si>
  <si>
    <t>TM</t>
  </si>
  <si>
    <t>Longitud nominal</t>
  </si>
  <si>
    <t>LONG TOTAL</t>
  </si>
  <si>
    <t>TRANSPORTE</t>
  </si>
  <si>
    <t>TRANSPORTE GUADUA</t>
  </si>
  <si>
    <t>Transporte</t>
  </si>
  <si>
    <t>* Los precios aquí presentes son según algunos de los proveedores más costosos del mercado, es de esperar que se reduzcan una vez en obra</t>
  </si>
  <si>
    <t>13,42 (pieza de 2,42m)</t>
  </si>
  <si>
    <t>14,28 (pieza de 2,28m)</t>
  </si>
  <si>
    <t>12,31 (pieza de 2,32m)</t>
  </si>
  <si>
    <t>Cimientos</t>
  </si>
  <si>
    <t>Longitud total</t>
  </si>
  <si>
    <t>Longitud total2</t>
  </si>
  <si>
    <t>Ventana 1</t>
  </si>
  <si>
    <t>Ventana 2</t>
  </si>
  <si>
    <t>Ventana 3</t>
  </si>
  <si>
    <t>Ventana 4</t>
  </si>
  <si>
    <t>Ventana 5</t>
  </si>
  <si>
    <t>Ventana 6</t>
  </si>
  <si>
    <t>Ventana 7</t>
  </si>
  <si>
    <t>Ventana 8</t>
  </si>
  <si>
    <t>Ventana 9</t>
  </si>
  <si>
    <t>Ventana 10</t>
  </si>
  <si>
    <t>Ventana 11</t>
  </si>
  <si>
    <t>Ventana 12</t>
  </si>
  <si>
    <t>Ventana 13</t>
  </si>
  <si>
    <t>Ventana 14</t>
  </si>
  <si>
    <t>Ventana 15</t>
  </si>
  <si>
    <t>Ventana 16</t>
  </si>
  <si>
    <t>Ventana 17</t>
  </si>
  <si>
    <t>Ventana 18</t>
  </si>
  <si>
    <t>Ventana 19</t>
  </si>
  <si>
    <t>Ventana 20</t>
  </si>
  <si>
    <t>Ventana 21</t>
  </si>
  <si>
    <t>Ventana 22</t>
  </si>
  <si>
    <t>Ventana 23</t>
  </si>
  <si>
    <t>Ventana 24</t>
  </si>
  <si>
    <t>Ventana 25</t>
  </si>
  <si>
    <t>Ventana 26</t>
  </si>
  <si>
    <t>Ventana 27</t>
  </si>
  <si>
    <t>Ventana 28</t>
  </si>
  <si>
    <t>Concreto 3000PSI mixer</t>
  </si>
  <si>
    <t>Enchape piscina</t>
  </si>
  <si>
    <t>EPSC</t>
  </si>
  <si>
    <t>Fabricación viga aerea</t>
  </si>
  <si>
    <t>FVA</t>
  </si>
  <si>
    <t>Tubo acero 40x40x1,5</t>
  </si>
  <si>
    <t>OBRA GRIS</t>
  </si>
  <si>
    <t>OBRA BLANCA</t>
  </si>
  <si>
    <t>Paral telescópico</t>
  </si>
  <si>
    <t>PTS</t>
  </si>
  <si>
    <t xml:space="preserve">PINTURA MUROS </t>
  </si>
  <si>
    <t>ENCHAPE MUROS</t>
  </si>
  <si>
    <t>CONCRETO PULIDO</t>
  </si>
  <si>
    <t>Armario</t>
  </si>
  <si>
    <t>ARM</t>
  </si>
  <si>
    <t>Panel Eterboard 20mm</t>
  </si>
  <si>
    <t>ET20</t>
  </si>
  <si>
    <t>Viga granadillo a medida</t>
  </si>
  <si>
    <t>VGR</t>
  </si>
  <si>
    <t>MVI</t>
  </si>
  <si>
    <t>Motobomba piscina 3/4HP</t>
  </si>
  <si>
    <t>Filtro piscina 8m3/h</t>
  </si>
  <si>
    <t>Dosificador cloro</t>
  </si>
  <si>
    <t>Boquilla de impulso piscina</t>
  </si>
  <si>
    <t>Boquilla de succión piscina</t>
  </si>
  <si>
    <t>Skimmer piscina</t>
  </si>
  <si>
    <t>Tubo SGSDFGSDFG</t>
  </si>
  <si>
    <t>Cal hidratada</t>
  </si>
  <si>
    <t>Concremalla 5,5mm</t>
  </si>
  <si>
    <t>Tubo acero 100x100x1,5</t>
  </si>
  <si>
    <t>Tubo acero 100x250x5</t>
  </si>
  <si>
    <t>TC2</t>
  </si>
  <si>
    <t>TC1/2</t>
  </si>
  <si>
    <t>Tornillo autoperforante capuchón 1-1/2"</t>
  </si>
  <si>
    <t>Tornillo drywall #8 2"</t>
  </si>
  <si>
    <t>Alquiler canguro</t>
  </si>
  <si>
    <t>Alquiler rana</t>
  </si>
  <si>
    <t>ACG</t>
  </si>
  <si>
    <t>ARN</t>
  </si>
  <si>
    <t>Panel RH 15mm</t>
  </si>
  <si>
    <t>RH15</t>
  </si>
  <si>
    <t>Guardaescobas cerámico</t>
  </si>
  <si>
    <t>GEC</t>
  </si>
  <si>
    <t>Guardaescobas PVC</t>
  </si>
  <si>
    <t>GPVC</t>
  </si>
  <si>
    <t>Guardaescobas madera</t>
  </si>
  <si>
    <t>GEM</t>
  </si>
  <si>
    <t>Enchape guardaescobas</t>
  </si>
  <si>
    <t>ENGE</t>
  </si>
  <si>
    <t>Tee PVCP 3/4 a 1"</t>
  </si>
  <si>
    <t>PPT3/41</t>
  </si>
  <si>
    <t>Tee CPVC 3/4 a 1"</t>
  </si>
  <si>
    <t>Yee SAN 4 a 6"</t>
  </si>
  <si>
    <t>SY46</t>
  </si>
  <si>
    <t>Tablero trifásico 12 circuitos con puerta</t>
  </si>
  <si>
    <t>T12</t>
  </si>
  <si>
    <t>Luz de piso exterior</t>
  </si>
  <si>
    <t>LPE</t>
  </si>
  <si>
    <t>Sensor 6 metros</t>
  </si>
  <si>
    <t>SN6</t>
  </si>
  <si>
    <t>Luz de piscina</t>
  </si>
  <si>
    <t>LPC</t>
  </si>
  <si>
    <t>Lámina galvanizada cal. 18</t>
  </si>
  <si>
    <t>LG18</t>
  </si>
  <si>
    <t>Calentador eléctrico de paso</t>
  </si>
  <si>
    <t>CEP</t>
  </si>
  <si>
    <t>2,1,3</t>
  </si>
  <si>
    <t>2,1,4</t>
  </si>
  <si>
    <t>2,1,5</t>
  </si>
  <si>
    <t>2,1,6</t>
  </si>
  <si>
    <t>2,4,9</t>
  </si>
  <si>
    <t>Viga abarco a medida</t>
  </si>
  <si>
    <t>Montaje de vigas en platinas</t>
  </si>
  <si>
    <t>Alquiler formaleta columna</t>
  </si>
  <si>
    <t>ML/DÍA</t>
  </si>
  <si>
    <t>AFC</t>
  </si>
  <si>
    <t>Alquiler formaleta muro</t>
  </si>
  <si>
    <t>M2/DÍA</t>
  </si>
  <si>
    <t>Ventilador con luz</t>
  </si>
  <si>
    <t>VL</t>
  </si>
  <si>
    <t>Instalación Eterboard</t>
  </si>
  <si>
    <t>INEB</t>
  </si>
  <si>
    <t>Panel Eterboard 6mm</t>
  </si>
  <si>
    <t>ET6</t>
  </si>
  <si>
    <t>CSP</t>
  </si>
  <si>
    <t>Cinta sellapanel x180 metros</t>
  </si>
  <si>
    <t>5,1,4</t>
  </si>
  <si>
    <t>5,1,5</t>
  </si>
  <si>
    <t>5,1,6</t>
  </si>
  <si>
    <t>Fabricación zapata &gt;50x50</t>
  </si>
  <si>
    <t>Fabricación zapata &lt;50x50</t>
  </si>
  <si>
    <t>FZ&lt;5</t>
  </si>
  <si>
    <t>FZ&gt;5</t>
  </si>
  <si>
    <t>Varilla 5/8"</t>
  </si>
  <si>
    <t>V5/8</t>
  </si>
  <si>
    <t>Concreto 2000PSI ( H. en obra)</t>
  </si>
  <si>
    <t>Concreto 2500PSI ( H. en obra)</t>
  </si>
  <si>
    <t>Concreto 3000PSI ( H. en obra)</t>
  </si>
  <si>
    <t>Concreto 3500PSI ( H. en obra)</t>
  </si>
  <si>
    <t>Concreto 4000PSI ( H. en obra)</t>
  </si>
  <si>
    <t>curvas cortas pvc 1/2"</t>
  </si>
  <si>
    <t>Cocina integral X1,5m</t>
  </si>
  <si>
    <t>CI</t>
  </si>
  <si>
    <t>Baranda en vidrio y aluminio</t>
  </si>
  <si>
    <t>Afinado esmaltado losa</t>
  </si>
  <si>
    <t>AEL</t>
  </si>
  <si>
    <t>Descapote</t>
  </si>
  <si>
    <t>Cerramiento polipropileno global</t>
  </si>
  <si>
    <t>Campamento global</t>
  </si>
  <si>
    <t>Estucado</t>
  </si>
  <si>
    <t>DPT</t>
  </si>
  <si>
    <t>CMP</t>
  </si>
  <si>
    <t>CRM</t>
  </si>
  <si>
    <t>Estuco plástico</t>
  </si>
  <si>
    <t>Afinado losa</t>
  </si>
  <si>
    <t>AL</t>
  </si>
  <si>
    <t>5,1,7</t>
  </si>
  <si>
    <t>5,1,8</t>
  </si>
  <si>
    <t>5,1,9</t>
  </si>
  <si>
    <t>Conduflex 1/2"</t>
  </si>
  <si>
    <t>CF1/2</t>
  </si>
  <si>
    <t>Conduflex 3/4"</t>
  </si>
  <si>
    <t>CF3/4</t>
  </si>
  <si>
    <t>Conduflex 1"</t>
  </si>
  <si>
    <t>CF1</t>
  </si>
  <si>
    <t>5,1,10</t>
  </si>
  <si>
    <t>5,1,11</t>
  </si>
  <si>
    <t>Planta de cubiertas</t>
  </si>
  <si>
    <t>Varilla roscada zincada 1/2"</t>
  </si>
  <si>
    <t>Tuerca+arandela zincada 1/2"</t>
  </si>
  <si>
    <t>Sikadur 32 xkg</t>
  </si>
  <si>
    <t>SikaLatex xkg</t>
  </si>
  <si>
    <t>SLX</t>
  </si>
  <si>
    <t>3,4,1</t>
  </si>
  <si>
    <t>3,4,2</t>
  </si>
  <si>
    <t>Codo CPVC 45 1/2"</t>
  </si>
  <si>
    <t>PPT11/2</t>
  </si>
  <si>
    <t>4,2,4</t>
  </si>
  <si>
    <t>4,2,5</t>
  </si>
  <si>
    <t>Tablero monofásico 8 circuitos con puerta</t>
  </si>
  <si>
    <t>T8</t>
  </si>
  <si>
    <t>BARANDAS</t>
  </si>
  <si>
    <t>Guadua 8cm limpia e inmunizada</t>
  </si>
  <si>
    <t>G8L</t>
  </si>
  <si>
    <t>ETAPA 2</t>
  </si>
  <si>
    <t>Teja gres plana</t>
  </si>
  <si>
    <t>TGP</t>
  </si>
  <si>
    <t>Instalación teja</t>
  </si>
  <si>
    <t>Viga cimentación 20x30</t>
  </si>
  <si>
    <t>Guadua 10cm 1</t>
  </si>
  <si>
    <t>Guadua 12cm 1</t>
  </si>
  <si>
    <t>En culmo</t>
  </si>
  <si>
    <t>Zapata 80x80</t>
  </si>
  <si>
    <t>G. Total</t>
  </si>
  <si>
    <t>CONDUIT 1"</t>
  </si>
  <si>
    <t>Codo PVCP 45 1"</t>
  </si>
  <si>
    <t>Buje PVCP 3/4 a 1"</t>
  </si>
  <si>
    <t>Tee PVCP 1 a 1/2"</t>
  </si>
  <si>
    <t>Llave manguera 1/2"</t>
  </si>
  <si>
    <t>LM1/2</t>
  </si>
  <si>
    <t>BIP</t>
  </si>
  <si>
    <t>DCL</t>
  </si>
  <si>
    <t>FP8</t>
  </si>
  <si>
    <t>MP3/4</t>
  </si>
  <si>
    <t>ENCHAPE CERÁMICO PISOS</t>
  </si>
  <si>
    <t>Bolillo guadua</t>
  </si>
  <si>
    <t>BGU</t>
  </si>
  <si>
    <t>2,5,1</t>
  </si>
  <si>
    <t>2,5,2</t>
  </si>
  <si>
    <t>2,5,3</t>
  </si>
  <si>
    <t>2,5,4</t>
  </si>
  <si>
    <t>2,5,5</t>
  </si>
  <si>
    <t>2,5,6</t>
  </si>
  <si>
    <t>2,5,7</t>
  </si>
  <si>
    <t>Guaduas El Paisa</t>
  </si>
  <si>
    <t>Maestro guaduero</t>
  </si>
  <si>
    <t>Ferretería local</t>
  </si>
  <si>
    <t>Eléctrico local</t>
  </si>
  <si>
    <t>Mundial de tornillos</t>
  </si>
  <si>
    <t>proveedor especializado</t>
  </si>
  <si>
    <t>Proveedor especializado</t>
  </si>
  <si>
    <t>HORA</t>
  </si>
  <si>
    <t>ACTIVIDAD</t>
  </si>
  <si>
    <t>Estructura en guadua</t>
  </si>
  <si>
    <t>Instalaciones y placa</t>
  </si>
  <si>
    <t>Instalaciones y muros</t>
  </si>
  <si>
    <t>Instalaciones y cubierta</t>
  </si>
  <si>
    <t>Acabados</t>
  </si>
  <si>
    <t>VALOR ESTIMADO</t>
  </si>
  <si>
    <t>DURACIÓN ESTIMADA (SEMANAS)</t>
  </si>
  <si>
    <t>Mobiliario y aparatos</t>
  </si>
  <si>
    <t>Preliminares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</si>
  <si>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</si>
  <si>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</si>
  <si>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</si>
  <si>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</si>
  <si>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</si>
  <si>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</si>
  <si>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</si>
  <si>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</si>
  <si>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RESÚMEN ESTIMADO</t>
  </si>
  <si>
    <t>COP</t>
  </si>
  <si>
    <t>USD</t>
  </si>
  <si>
    <t>Guaduas 6 metros</t>
  </si>
  <si>
    <t>Guaduas 7 metros</t>
  </si>
  <si>
    <t>Total guaduas</t>
  </si>
  <si>
    <t>6m</t>
  </si>
  <si>
    <t>7m</t>
  </si>
  <si>
    <t>7,5m</t>
  </si>
  <si>
    <t>8m</t>
  </si>
  <si>
    <t>8,5m</t>
  </si>
  <si>
    <t>12cm</t>
  </si>
  <si>
    <t>8cm</t>
  </si>
  <si>
    <t>Curvas 6m</t>
  </si>
  <si>
    <t>M1.4.1 - EXTERIOR Guadua + esterilla con pañete y pintura 1C + enchape baños 1C</t>
  </si>
  <si>
    <t>07.3 Madera muebles</t>
  </si>
  <si>
    <t>06.5 Enchape juntas</t>
  </si>
  <si>
    <t>Total</t>
  </si>
  <si>
    <t>G. total</t>
  </si>
  <si>
    <t>Fabricación viga de cimentación &lt;20X20</t>
  </si>
  <si>
    <t>Fabricación viga de cimentación &gt;20X20</t>
  </si>
  <si>
    <t>Fabricación columna &lt;2M</t>
  </si>
  <si>
    <t>Fabricación columna &gt;2M</t>
  </si>
  <si>
    <t>HR</t>
  </si>
  <si>
    <t>Guaduas 6,5 metros</t>
  </si>
  <si>
    <t>M2.1.1 - Ladrillo estructural + pañete y pintura 1C</t>
  </si>
  <si>
    <t>M2.1.2 - Ladrillo estructural + pañete y pintura 2C</t>
  </si>
  <si>
    <t>M2.1.4 - Ladrillo estructural + pañete y pintura 1C y microcemento 1C</t>
  </si>
  <si>
    <t>P2.1 - Madera sobre concreto y recebo</t>
  </si>
  <si>
    <t>07.1 Madera piso</t>
  </si>
  <si>
    <t>P2.2 - Madera sobre guadua</t>
  </si>
  <si>
    <t>Soldadura estructural 1/8"</t>
  </si>
  <si>
    <t>SE1/8</t>
  </si>
  <si>
    <t>Pintura anticorrosiva + primer</t>
  </si>
  <si>
    <t>PAP</t>
  </si>
  <si>
    <t>*Rend 10m2/gl</t>
  </si>
  <si>
    <t>3,3,4</t>
  </si>
  <si>
    <t>Demolición</t>
  </si>
  <si>
    <t>DML</t>
  </si>
  <si>
    <t>Guaduas 8 metros</t>
  </si>
  <si>
    <t>Guaduas 8,5 metros</t>
  </si>
  <si>
    <t>C2 - Policarbonato alveolar crudo</t>
  </si>
  <si>
    <t>P1.3.1 - Enchape baño sobre guadua</t>
  </si>
  <si>
    <t>PE - Repisa madera</t>
  </si>
  <si>
    <t>PE - Gravilla sobre recebo</t>
  </si>
  <si>
    <t>5,1,12</t>
  </si>
  <si>
    <t>5,1,13</t>
  </si>
  <si>
    <t>5,1,14</t>
  </si>
  <si>
    <t>5,1,15</t>
  </si>
  <si>
    <t>5,1,16</t>
  </si>
  <si>
    <t>5,1,17</t>
  </si>
  <si>
    <t>5,1,18</t>
  </si>
  <si>
    <t>5,1,19</t>
  </si>
  <si>
    <t>5,1,20</t>
  </si>
  <si>
    <t>5,1,21</t>
  </si>
  <si>
    <t>5,2,1</t>
  </si>
  <si>
    <t>5,2,2</t>
  </si>
  <si>
    <t>5,2,3</t>
  </si>
  <si>
    <t>5,2,4</t>
  </si>
  <si>
    <t>5,2,5</t>
  </si>
  <si>
    <t>5,2,6</t>
  </si>
  <si>
    <t>curvas cortas pvc 3/4"</t>
  </si>
  <si>
    <t>MANEJO AGUAS LLUVIAS</t>
  </si>
  <si>
    <t>ZAPATA TIPO</t>
  </si>
  <si>
    <t>Alquiler gato</t>
  </si>
  <si>
    <t>Alquiler cerchas</t>
  </si>
  <si>
    <t>CA Modificaciones</t>
  </si>
  <si>
    <t>Planta baja</t>
  </si>
  <si>
    <t>Planta primer nivel</t>
  </si>
  <si>
    <t>Planta segundo nivel</t>
  </si>
  <si>
    <t>Guaduas 7  metros</t>
  </si>
  <si>
    <t>Jornal maestro</t>
  </si>
  <si>
    <t>MGU</t>
  </si>
  <si>
    <t>Buje SAN 4 a 6"</t>
  </si>
  <si>
    <t>Yee SAN 6"</t>
  </si>
  <si>
    <t>SY6</t>
  </si>
  <si>
    <t>SB64</t>
  </si>
  <si>
    <t>Codo SAN 90 6"</t>
  </si>
  <si>
    <t>Codo SAN 45 6"</t>
  </si>
  <si>
    <t>SC906</t>
  </si>
  <si>
    <t>SC456</t>
  </si>
  <si>
    <t>5,1,22</t>
  </si>
  <si>
    <t>5,1,23</t>
  </si>
  <si>
    <t>5,1,24</t>
  </si>
  <si>
    <t>5,1,25</t>
  </si>
  <si>
    <t>5,1,26</t>
  </si>
  <si>
    <t>7,1,1</t>
  </si>
  <si>
    <t>7,1,2</t>
  </si>
  <si>
    <t>7,1,3</t>
  </si>
  <si>
    <t>7,1,4</t>
  </si>
  <si>
    <t>Naturconexión SAS</t>
  </si>
  <si>
    <t>Casa Naturconexión</t>
  </si>
  <si>
    <t>Nilo - Cundinamarca, Colombia</t>
  </si>
  <si>
    <t>Casa Principal</t>
  </si>
  <si>
    <t>Viga concreto reforzado 20x30</t>
  </si>
  <si>
    <t>2,6,1</t>
  </si>
  <si>
    <t>2,6,2</t>
  </si>
  <si>
    <t>2,6,3</t>
  </si>
  <si>
    <t>2,6,4</t>
  </si>
  <si>
    <t>2,6,5</t>
  </si>
  <si>
    <t>2,6,6</t>
  </si>
  <si>
    <t>2,6,7</t>
  </si>
  <si>
    <t>2,6,8</t>
  </si>
  <si>
    <t>2,6,9</t>
  </si>
  <si>
    <t>VIGAS DE CIMENTACIÓN 20X30</t>
  </si>
  <si>
    <t>METROS LINEALES VIGAS PRIMER NIVEL</t>
  </si>
  <si>
    <t>METROS LINEALES VIGA EN GUADUA SEGUNDO NIVEL</t>
  </si>
  <si>
    <t>METROS LINEALES CORREAS PRIMER NIVEL</t>
  </si>
  <si>
    <t>METROS LINEALES CORREAS EN GUADUA SEGUNDO NIVEL</t>
  </si>
  <si>
    <t>VIGAS EN GUADUA SEGUNDO NIVEL</t>
  </si>
  <si>
    <t>CORREAS EN GUADUA SEGUNDO NIVEL</t>
  </si>
  <si>
    <t>COLUMNAS EN GUADUA PRIMER NIVEL</t>
  </si>
  <si>
    <t>VIGAS EN GUADUA PRIMER NIVEL</t>
  </si>
  <si>
    <t>COLUMNAS EN GUADUA SEGUNDO NIVEL</t>
  </si>
  <si>
    <t>3,4,3</t>
  </si>
  <si>
    <t>3,4,4</t>
  </si>
  <si>
    <t>3,5,1</t>
  </si>
  <si>
    <t>3,5,2</t>
  </si>
  <si>
    <t>3,5,3</t>
  </si>
  <si>
    <t>3,6,1</t>
  </si>
  <si>
    <t>3,6,2</t>
  </si>
  <si>
    <t>PEDESTAL 30X30</t>
  </si>
  <si>
    <t>PEDESTAL 40X40</t>
  </si>
  <si>
    <t>Pedestal 40x40</t>
  </si>
  <si>
    <t>Pedestal 30x30</t>
  </si>
  <si>
    <t>Pedestal 40x20</t>
  </si>
  <si>
    <t>Columna concreto reforzado 30x30</t>
  </si>
  <si>
    <t>Pedestal concreto reforzado 40x40</t>
  </si>
  <si>
    <t>Pedestal concreto reforzado 40x20</t>
  </si>
  <si>
    <t>Zapata 60x60</t>
  </si>
  <si>
    <t>PEDESTAL 40X20</t>
  </si>
  <si>
    <t>METROS LINEALES COLUMNAS EN GUADUA PRIMER NIVEL</t>
  </si>
  <si>
    <t>METROS LINEALES COLUMNAS EN GUADUA SEGUNDO NIVEL</t>
  </si>
  <si>
    <t>3,6,3</t>
  </si>
  <si>
    <t>CONTRAPISO</t>
  </si>
  <si>
    <t>PLACA DE CONTRAPISO</t>
  </si>
  <si>
    <t>INSTALACIONES HIDRÁULICAS EN PLACA</t>
  </si>
  <si>
    <t>6,1,7</t>
  </si>
  <si>
    <t>6,1,8</t>
  </si>
  <si>
    <t>6,1,9</t>
  </si>
  <si>
    <t>6,1,10</t>
  </si>
  <si>
    <t>6,1,11</t>
  </si>
  <si>
    <t>6,1,12</t>
  </si>
  <si>
    <t>6,1,13</t>
  </si>
  <si>
    <t>6,1,14</t>
  </si>
  <si>
    <t>6,1,15</t>
  </si>
  <si>
    <t>6,1,16</t>
  </si>
  <si>
    <t>6,1,17</t>
  </si>
  <si>
    <t>6,1,18</t>
  </si>
  <si>
    <t>6,1,19</t>
  </si>
  <si>
    <t>6,1,20</t>
  </si>
  <si>
    <t>6,1,21</t>
  </si>
  <si>
    <t>CÁRCAMO</t>
  </si>
  <si>
    <t>6,2,4</t>
  </si>
  <si>
    <t>6,2,5</t>
  </si>
  <si>
    <t>6,2,6</t>
  </si>
  <si>
    <t>7,1,5</t>
  </si>
  <si>
    <t>7,1,6</t>
  </si>
  <si>
    <t>7,1,7</t>
  </si>
  <si>
    <t>7,1,8</t>
  </si>
  <si>
    <t>7,1,9</t>
  </si>
  <si>
    <t>7,1,10</t>
  </si>
  <si>
    <t>7,1,11</t>
  </si>
  <si>
    <t>7,2,1</t>
  </si>
  <si>
    <t>7,2,2</t>
  </si>
  <si>
    <t>7,2,3</t>
  </si>
  <si>
    <t>7,2,4</t>
  </si>
  <si>
    <t>7,2,5</t>
  </si>
  <si>
    <t>7,2,6</t>
  </si>
  <si>
    <t>7,2,7</t>
  </si>
  <si>
    <t>7,2,8</t>
  </si>
  <si>
    <t>05 Recebo compactado</t>
  </si>
  <si>
    <t>01 Esterilla de guadua</t>
  </si>
  <si>
    <t>P0.5 - Concreto reforzado</t>
  </si>
  <si>
    <t>06 Enchape cocina</t>
  </si>
  <si>
    <t>06.2 Enchape zona de ropas</t>
  </si>
  <si>
    <t>P2.2.1 - Madera sobre concreto</t>
  </si>
  <si>
    <t>09.2 Yumbolón</t>
  </si>
  <si>
    <t>P1.5.2 - Enchape juntas sobre guadua</t>
  </si>
  <si>
    <t>4,1,7</t>
  </si>
  <si>
    <t>4,1,8</t>
  </si>
  <si>
    <t>4,1,9</t>
  </si>
  <si>
    <t>5,1,27</t>
  </si>
  <si>
    <t>5,1,28</t>
  </si>
  <si>
    <t>5,1,29</t>
  </si>
  <si>
    <t>5,1,30</t>
  </si>
  <si>
    <t>5,1,31</t>
  </si>
  <si>
    <t>5,1,32</t>
  </si>
  <si>
    <t>5,1,33</t>
  </si>
  <si>
    <t>5,1,34</t>
  </si>
  <si>
    <t>5,3,1</t>
  </si>
  <si>
    <t>5,3,2</t>
  </si>
  <si>
    <t>5,3,3</t>
  </si>
  <si>
    <t>5,3,4</t>
  </si>
  <si>
    <t>5,3,5</t>
  </si>
  <si>
    <t>6,2,7</t>
  </si>
  <si>
    <t>6,2,8</t>
  </si>
  <si>
    <t>6,2,9</t>
  </si>
  <si>
    <t>9,1,1</t>
  </si>
  <si>
    <t>9,1,2</t>
  </si>
  <si>
    <t>9,1,3</t>
  </si>
  <si>
    <t>9,1,4</t>
  </si>
  <si>
    <t>9,1,5</t>
  </si>
  <si>
    <t>9,1,6</t>
  </si>
  <si>
    <t>9,1,7</t>
  </si>
  <si>
    <t>9,1,8</t>
  </si>
  <si>
    <t>9,2,1</t>
  </si>
  <si>
    <t>9,2,2</t>
  </si>
  <si>
    <t>9,2,3</t>
  </si>
  <si>
    <t>9,2,4</t>
  </si>
  <si>
    <t>C5.1 - Cubierta en teja sobre esterilla</t>
  </si>
  <si>
    <t>08.3 teja</t>
  </si>
  <si>
    <t>Teja arquitectónica</t>
  </si>
  <si>
    <t>TAR</t>
  </si>
  <si>
    <t>Gancho teja 26cm</t>
  </si>
  <si>
    <t>GTA</t>
  </si>
  <si>
    <t>Instalación panel OSB</t>
  </si>
  <si>
    <t>OSB9</t>
  </si>
  <si>
    <t>Panel OSB 9,5mm</t>
  </si>
  <si>
    <t>IOSB</t>
  </si>
  <si>
    <t>Aire</t>
  </si>
  <si>
    <t>04.1 Pintura blanca para exteriores</t>
  </si>
  <si>
    <t>M1.0.1 - EXTERIOR Guadua + esterilla con pañete y pintura exterior 1C y húmeda 1C</t>
  </si>
  <si>
    <t>04.3 Pintura zonas húmedas</t>
  </si>
  <si>
    <t>04.4 Sellante zonas húmedas</t>
  </si>
  <si>
    <t>M1.1.1 - EXTERIOR Esterilla con pañete y pintura 1C</t>
  </si>
  <si>
    <t>M1.4 - INTERIOR Guadua + esterilla con pañete y pintura 1C + enchape baños 1C</t>
  </si>
  <si>
    <t>02.2 Ladrillo estructural</t>
  </si>
  <si>
    <t>PLACA DE ENTREPISO - CASA</t>
  </si>
  <si>
    <t>3,1,6</t>
  </si>
  <si>
    <t>3,1,7</t>
  </si>
  <si>
    <t>3,1,8</t>
  </si>
  <si>
    <t>3,1,9</t>
  </si>
  <si>
    <t>3,1,10</t>
  </si>
  <si>
    <t>3,1,11</t>
  </si>
  <si>
    <t>3,1,12</t>
  </si>
  <si>
    <t>TANQUE DE FITOREMEDIACIÓN</t>
  </si>
  <si>
    <t>6,3,1</t>
  </si>
  <si>
    <t>6,3,2</t>
  </si>
  <si>
    <t>6,3,3</t>
  </si>
  <si>
    <t>6,3,4</t>
  </si>
  <si>
    <t>6,3,5</t>
  </si>
  <si>
    <t>6,3,6</t>
  </si>
  <si>
    <t>6,3,7</t>
  </si>
  <si>
    <t>6,3,8</t>
  </si>
  <si>
    <t>6,3,9</t>
  </si>
  <si>
    <t>6,3,10</t>
  </si>
  <si>
    <t>6,3,11</t>
  </si>
  <si>
    <t>6,3,12</t>
  </si>
  <si>
    <t>Ancho</t>
  </si>
  <si>
    <t>POYO COCINA</t>
  </si>
  <si>
    <t>Columna1</t>
  </si>
  <si>
    <t>Guaduas 7,5 metros</t>
  </si>
  <si>
    <t>METROS LINEALES VIGA EN GUADUA CUBIERTAS</t>
  </si>
  <si>
    <t>METROS LINEALES CORREAS EN GUADUA CUBIERTAS</t>
  </si>
  <si>
    <t>3,7,1</t>
  </si>
  <si>
    <t>3,7,2</t>
  </si>
  <si>
    <t>3,7,3</t>
  </si>
  <si>
    <t>3,8,1</t>
  </si>
  <si>
    <t>3,8,2</t>
  </si>
  <si>
    <t>3,8,3</t>
  </si>
  <si>
    <t>VIGAS EN GUADUA CUBIERTAS</t>
  </si>
  <si>
    <t>CORREAS EN GUADUA CUBIERTAS</t>
  </si>
  <si>
    <t>Alistado de piso 4x4</t>
  </si>
  <si>
    <t>Guadua  8cm</t>
  </si>
  <si>
    <t>LONGITUD DE BALAUSTRES BARANDILLAS</t>
  </si>
  <si>
    <t>LONGITUD DE BOLILLOS  BARANDILLAS</t>
  </si>
  <si>
    <t>Bolillo lata de guadua 2cm</t>
  </si>
  <si>
    <t>M1.1 - INTERIOR Guadua + esterilla con pañete y pintura interior 1C y húmeda 1C</t>
  </si>
  <si>
    <t>M2.6 - Muro en piedra</t>
  </si>
  <si>
    <t>02.8 Piedra muro</t>
  </si>
  <si>
    <t>P1.1.2.1 - Enchape cocina sobre viga</t>
  </si>
  <si>
    <t>P1.2.1 - Enchape zona de ropas sobre vigas</t>
  </si>
  <si>
    <t>P1.5 - Enchape juntas sobre viga</t>
  </si>
  <si>
    <t>07.2 Madera juntas</t>
  </si>
  <si>
    <t>Ventanería guadua</t>
  </si>
  <si>
    <t>Ventanería en guadua</t>
  </si>
  <si>
    <t>VGA</t>
  </si>
  <si>
    <t>Puerta ventana en guadua</t>
  </si>
  <si>
    <t>Instalación malla vena / gallinero</t>
  </si>
  <si>
    <t>IVG</t>
  </si>
  <si>
    <t>VARAS DE MADERA</t>
  </si>
  <si>
    <t>GUADUA 8CM CLARABOYAS</t>
  </si>
  <si>
    <t>PERFÍL 2X2X1/8" CLARABOYAS</t>
  </si>
  <si>
    <t>Perfíl metálico 2x2x1/8"</t>
  </si>
  <si>
    <t>SAISC CFTH 125x75x25x3.5</t>
  </si>
  <si>
    <t>CLARABOYA VIDRIO</t>
  </si>
  <si>
    <t>9,2,5</t>
  </si>
  <si>
    <t>9,2,6</t>
  </si>
  <si>
    <t>9,2,7</t>
  </si>
  <si>
    <t>CLARABOYA POLICARBONATO</t>
  </si>
  <si>
    <t>9,3,1</t>
  </si>
  <si>
    <t>9,3,2</t>
  </si>
  <si>
    <t>9,3,3</t>
  </si>
  <si>
    <t>9,3,4</t>
  </si>
  <si>
    <t>9,4,1</t>
  </si>
  <si>
    <t>9,4,2</t>
  </si>
  <si>
    <t>9,4,3</t>
  </si>
  <si>
    <t>CELOSÍAS EN MADERA</t>
  </si>
  <si>
    <t>Vara de madera in situ</t>
  </si>
  <si>
    <t>VMIS</t>
  </si>
  <si>
    <t>Celosía en madera</t>
  </si>
  <si>
    <t>PERFÍL 4X2X1/8" DEPÓSITO</t>
  </si>
  <si>
    <t>Perfíl metálico 2x4x1/8"</t>
  </si>
  <si>
    <t>4,3,1</t>
  </si>
  <si>
    <t>4,3,2</t>
  </si>
  <si>
    <t>4,3,3</t>
  </si>
  <si>
    <t>4,3,4</t>
  </si>
  <si>
    <t>4,3,5</t>
  </si>
  <si>
    <t>4,4,1</t>
  </si>
  <si>
    <t>4,4,2</t>
  </si>
  <si>
    <t>4,4,3</t>
  </si>
  <si>
    <t>REPISAS MADERA</t>
  </si>
  <si>
    <t>METROS LINEALES COLUMNAS EN MADERA PRIMER NIVEL</t>
  </si>
  <si>
    <t>Madera rolliza 10cm</t>
  </si>
  <si>
    <t>Madera rolliza in situ</t>
  </si>
  <si>
    <t>MRIS</t>
  </si>
  <si>
    <t>09 Policarbonato alveolar</t>
  </si>
  <si>
    <t>C5.1.1 - Cubierta en teja sobre esterilla pañetada y pintada</t>
  </si>
  <si>
    <t>C5.1.2 - Cubierta en teja sobre esterilla pañetada y pintada Z Humedas</t>
  </si>
  <si>
    <t>MURO ESTERILLA DE GUADUA</t>
  </si>
  <si>
    <t>M1.1.1 - INTERIOR Esterilla con pañete y pintura 1C y húmedo 1C</t>
  </si>
  <si>
    <t>M1.1.1 - INTERIOR Esterilla con pañete y pintura AC</t>
  </si>
  <si>
    <t>M1.1.1.2 - INTERIOR Esterilla con pañete y pintura AC</t>
  </si>
  <si>
    <t>M1.4.0.1 - Enchape baños 1C</t>
  </si>
  <si>
    <t>06.3.1 Enchape baños 2</t>
  </si>
  <si>
    <t>M1.4.0.2 - INTERIOR Guadua + esterilla con pañete y pintura 1C + enchape baños 2 1C</t>
  </si>
  <si>
    <t>M1.4.0.3 - EXTERIOR Guadua + esterilla con pañete y pintura 1C + enchape baños 2 1C</t>
  </si>
  <si>
    <t>M1.4.0.4 - INTERIOR Guadua + esterilla con pañete y pintura 1C + enchape baños 3 1C</t>
  </si>
  <si>
    <t>06.3.2 Enchape baños 3</t>
  </si>
  <si>
    <t>M1.4.0.6 - Enchape baños 2 1C</t>
  </si>
  <si>
    <t>M1.4.1.2 - EXTERIOR Guadua + esterilla con pañete y pintura 1C + cemento pulido blanco</t>
  </si>
  <si>
    <t>00.2 Concreto esmaltado blanco</t>
  </si>
  <si>
    <t>M1.4.3.1 - INTERIOR Guadua + esterilla con pañete y pintura húmeda 1C + cemento pulido blanco</t>
  </si>
  <si>
    <t>M1.4.4 - INTERIOR Guadua + esterilla con pañete y pintura 1C + cemento pulido blanco</t>
  </si>
  <si>
    <t>M1.4.4.1 - INTERIOR Guadua + esterilla con pañete y enchape 1C + cemento pulido blanco</t>
  </si>
  <si>
    <t>ME - Soporte repisa en lata</t>
  </si>
  <si>
    <t>01.2 Lata de guadua</t>
  </si>
  <si>
    <t>M3.1 - Muro cortina</t>
  </si>
  <si>
    <t>09.1 Vidrio laminado 3+3</t>
  </si>
  <si>
    <t>LON TOTAL</t>
  </si>
  <si>
    <t>Piedra in situ</t>
  </si>
  <si>
    <t>PIEDRA</t>
  </si>
  <si>
    <t>PIS</t>
  </si>
  <si>
    <t>Fundición muro contención</t>
  </si>
  <si>
    <t>MURO CONTENCIÓN EN LADRILLO ESTRUCTURAL</t>
  </si>
  <si>
    <t>ESTRUCTURAL</t>
  </si>
  <si>
    <t>Mampostería estructural</t>
  </si>
  <si>
    <t>1,3,1</t>
  </si>
  <si>
    <t>1,3,2</t>
  </si>
  <si>
    <t>1,3,3</t>
  </si>
  <si>
    <t>1,3,4</t>
  </si>
  <si>
    <t>Compra trompo 1/2 bto</t>
  </si>
  <si>
    <t>Compra vibrador eléctrico 2HP</t>
  </si>
  <si>
    <t>CTP</t>
  </si>
  <si>
    <t>CVE</t>
  </si>
  <si>
    <t>ETAPA 1</t>
  </si>
  <si>
    <t>2,3,8</t>
  </si>
  <si>
    <t>2,3,9</t>
  </si>
  <si>
    <t>2,3,10</t>
  </si>
  <si>
    <t>2,3,11</t>
  </si>
  <si>
    <t>2,4,10</t>
  </si>
  <si>
    <t>2,4,11</t>
  </si>
  <si>
    <t>2,7,1</t>
  </si>
  <si>
    <t>2,7,2</t>
  </si>
  <si>
    <t>2,7,3</t>
  </si>
  <si>
    <t>2,7,4</t>
  </si>
  <si>
    <t>2,7,5</t>
  </si>
  <si>
    <t>2,7,6</t>
  </si>
  <si>
    <t>2,7,7</t>
  </si>
  <si>
    <t>2,7,8</t>
  </si>
  <si>
    <t>2,7,9</t>
  </si>
  <si>
    <t>2,8,1</t>
  </si>
  <si>
    <t>2,8,2</t>
  </si>
  <si>
    <t>2,8,3</t>
  </si>
  <si>
    <t>2,8,4</t>
  </si>
  <si>
    <t>2,8,5</t>
  </si>
  <si>
    <t>2,8,6</t>
  </si>
  <si>
    <t>2,8,7</t>
  </si>
  <si>
    <t>2,9,1</t>
  </si>
  <si>
    <t>2,9,2</t>
  </si>
  <si>
    <t>2,9,3</t>
  </si>
  <si>
    <t>2,9,4</t>
  </si>
  <si>
    <t>2,9,5</t>
  </si>
  <si>
    <t>2,9,6</t>
  </si>
  <si>
    <t>2,9,7</t>
  </si>
  <si>
    <t>2,9,8</t>
  </si>
  <si>
    <t>2,9,9</t>
  </si>
  <si>
    <t>2,9,10</t>
  </si>
  <si>
    <t>2,9,11</t>
  </si>
  <si>
    <t>2,9,12</t>
  </si>
  <si>
    <t>2,9,13</t>
  </si>
  <si>
    <t>2,10,1</t>
  </si>
  <si>
    <t>2,10,2</t>
  </si>
  <si>
    <t>2,10,3</t>
  </si>
  <si>
    <t>2,10,4</t>
  </si>
  <si>
    <t>2,10,5</t>
  </si>
  <si>
    <t>2,10,6</t>
  </si>
  <si>
    <t>2,10,7</t>
  </si>
  <si>
    <t>2,10,8</t>
  </si>
  <si>
    <t>2,10,9</t>
  </si>
  <si>
    <t>2,10,10</t>
  </si>
  <si>
    <t>2,10,11</t>
  </si>
  <si>
    <t>2,10,12</t>
  </si>
  <si>
    <t>2,10,13</t>
  </si>
  <si>
    <t>ESTRUCTURA EN GUADUA Y MADERA ROLLIZA</t>
  </si>
  <si>
    <t>Casa Principal - Etapa 1</t>
  </si>
  <si>
    <t>Casa Principal - Etapa 2</t>
  </si>
  <si>
    <t>TOTAL ETAPA 1</t>
  </si>
  <si>
    <t>TOTAL ETAPA 2</t>
  </si>
  <si>
    <t>3,5,4</t>
  </si>
  <si>
    <t>3,5,5</t>
  </si>
  <si>
    <t>3,6,4</t>
  </si>
  <si>
    <t>3,6,5</t>
  </si>
  <si>
    <t>3,7,4</t>
  </si>
  <si>
    <t>3,7,5</t>
  </si>
  <si>
    <t>3,7,6</t>
  </si>
  <si>
    <t>3,8,4</t>
  </si>
  <si>
    <t>3,8,5</t>
  </si>
  <si>
    <t>3,8,6</t>
  </si>
  <si>
    <t>3,9,1</t>
  </si>
  <si>
    <t>3,9,2</t>
  </si>
  <si>
    <t>3,9,3</t>
  </si>
  <si>
    <t>3,10,1</t>
  </si>
  <si>
    <t>3,10,2</t>
  </si>
  <si>
    <t>3,10,3</t>
  </si>
  <si>
    <t>3,11,1</t>
  </si>
  <si>
    <t>3,11,2</t>
  </si>
  <si>
    <t>3,11,3</t>
  </si>
  <si>
    <t>3,11,4</t>
  </si>
  <si>
    <t>3,12,1</t>
  </si>
  <si>
    <t>3,12,2</t>
  </si>
  <si>
    <t>3,12,3</t>
  </si>
  <si>
    <t>3,13,1</t>
  </si>
  <si>
    <t>3,13,2</t>
  </si>
  <si>
    <t>3,13,3</t>
  </si>
  <si>
    <t>CIELO RASO PAÑETADO</t>
  </si>
  <si>
    <t>C3 - Claraboya vidrio laminado</t>
  </si>
  <si>
    <t>TEJA ARQUITECTÓNICA</t>
  </si>
  <si>
    <t>ANGEO</t>
  </si>
  <si>
    <t>Angeo plástico</t>
  </si>
  <si>
    <t>4,2,6</t>
  </si>
  <si>
    <t>4,2,7</t>
  </si>
  <si>
    <t>4,2,8</t>
  </si>
  <si>
    <t>4,2,9</t>
  </si>
  <si>
    <t>4,2,10</t>
  </si>
  <si>
    <t>4,2,11</t>
  </si>
  <si>
    <t>REPISAS LATA</t>
  </si>
  <si>
    <t>1,4,1</t>
  </si>
  <si>
    <t>1,4,2</t>
  </si>
  <si>
    <t>1,4,3</t>
  </si>
  <si>
    <t>1,4,4</t>
  </si>
  <si>
    <t>1,5,1</t>
  </si>
  <si>
    <t>1,5,2</t>
  </si>
  <si>
    <t>1,5,3</t>
  </si>
  <si>
    <t>1,5,4</t>
  </si>
  <si>
    <t>1,6,1</t>
  </si>
  <si>
    <t>1,6,2</t>
  </si>
  <si>
    <t>1,6,3</t>
  </si>
  <si>
    <t>1,6,4</t>
  </si>
  <si>
    <t>1,7,1</t>
  </si>
  <si>
    <t>1,7,2</t>
  </si>
  <si>
    <t>1,7,3</t>
  </si>
  <si>
    <t>P1.3.1.2 - Enchape baño sobre guadua 2</t>
  </si>
  <si>
    <t>P1.3.1.3 - Enchape baño sobre guadua 3</t>
  </si>
  <si>
    <t>PE - Repisa en lata</t>
  </si>
  <si>
    <t>PE - Mesón cocina</t>
  </si>
  <si>
    <t>10 Mesón cocina</t>
  </si>
  <si>
    <t>Puerta reciclada en madera</t>
  </si>
  <si>
    <t>PRM</t>
  </si>
  <si>
    <t>2,2,3</t>
  </si>
  <si>
    <t>2,2,4</t>
  </si>
  <si>
    <t>2,2,5</t>
  </si>
  <si>
    <t>2,2,6</t>
  </si>
  <si>
    <t>ETAPA</t>
  </si>
  <si>
    <t>ÁREA DE PUERTAS VENTANAS</t>
  </si>
  <si>
    <t>4,5,1</t>
  </si>
  <si>
    <t>4,5,2</t>
  </si>
  <si>
    <t>4,5,3</t>
  </si>
  <si>
    <t>4,6,1</t>
  </si>
  <si>
    <t>4,6,2</t>
  </si>
  <si>
    <t>4,6,3</t>
  </si>
  <si>
    <t>4,6,4</t>
  </si>
  <si>
    <t>4,6,5</t>
  </si>
  <si>
    <t>4,7,1</t>
  </si>
  <si>
    <t>4,7,2</t>
  </si>
  <si>
    <t>4,7,3</t>
  </si>
  <si>
    <t>4,7,4</t>
  </si>
  <si>
    <t>4,7,5</t>
  </si>
  <si>
    <t>4,7,6</t>
  </si>
  <si>
    <t>4,7,7</t>
  </si>
  <si>
    <t>4,7,8</t>
  </si>
  <si>
    <t>4,7,9</t>
  </si>
  <si>
    <t>4,7,10</t>
  </si>
  <si>
    <t>4,7,11</t>
  </si>
  <si>
    <t>1,2,5</t>
  </si>
  <si>
    <t>1,2,6</t>
  </si>
  <si>
    <t>1,2,7</t>
  </si>
  <si>
    <t>1,2,8</t>
  </si>
  <si>
    <t>1,2,9</t>
  </si>
  <si>
    <t>1,2,10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</si>
</sst>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0"/>
    <numFmt numFmtId="165" formatCode="0.0%"/>
    <numFmt numFmtId="166" formatCode="_-[$$-240A]* #,##0.00_-;\-[$$-240A]* #,##0.00_-;_-[$$-240A]* &quot;-&quot;??_-;_-@_-"/>
    <numFmt numFmtId="167" formatCode="0.000"/>
    <numFmt numFmtId="168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/>
    <xf numFmtId="44" fontId="0" fillId="0" borderId="0" xfId="1" applyFont="1"/>
    <xf numFmtId="0" fontId="0" fillId="0" borderId="5" xfId="0" applyBorder="1"/>
    <xf numFmtId="0" fontId="0" fillId="0" borderId="6" xfId="0" applyBorder="1"/>
    <xf numFmtId="44" fontId="0" fillId="0" borderId="0" xfId="1" applyFont="1" applyBorder="1"/>
    <xf numFmtId="9" fontId="0" fillId="0" borderId="6" xfId="3" applyFont="1" applyBorder="1"/>
    <xf numFmtId="0" fontId="0" fillId="0" borderId="9" xfId="0" applyBorder="1"/>
    <xf numFmtId="44" fontId="0" fillId="0" borderId="5" xfId="1" applyFont="1" applyBorder="1"/>
    <xf numFmtId="0" fontId="0" fillId="0" borderId="8" xfId="0" applyBorder="1"/>
    <xf numFmtId="0" fontId="0" fillId="0" borderId="12" xfId="0" applyBorder="1"/>
    <xf numFmtId="44" fontId="0" fillId="4" borderId="0" xfId="1" applyFont="1" applyFill="1" applyBorder="1"/>
    <xf numFmtId="9" fontId="0" fillId="4" borderId="6" xfId="3" applyFont="1" applyFill="1" applyBorder="1"/>
    <xf numFmtId="44" fontId="0" fillId="4" borderId="5" xfId="1" applyFont="1" applyFill="1" applyBorder="1"/>
    <xf numFmtId="9" fontId="0" fillId="6" borderId="0" xfId="3" applyFont="1" applyFill="1" applyBorder="1"/>
    <xf numFmtId="44" fontId="0" fillId="6" borderId="0" xfId="1" applyFont="1" applyFill="1" applyBorder="1"/>
    <xf numFmtId="9" fontId="0" fillId="6" borderId="6" xfId="3" applyFont="1" applyFill="1" applyBorder="1"/>
    <xf numFmtId="44" fontId="0" fillId="6" borderId="5" xfId="1" applyFont="1" applyFill="1" applyBorder="1"/>
    <xf numFmtId="0" fontId="0" fillId="6" borderId="6" xfId="0" applyFill="1" applyBorder="1"/>
    <xf numFmtId="0" fontId="0" fillId="6" borderId="9" xfId="0" applyFill="1" applyBorder="1"/>
    <xf numFmtId="0" fontId="0" fillId="9" borderId="5" xfId="0" applyFill="1" applyBorder="1"/>
    <xf numFmtId="0" fontId="0" fillId="9" borderId="0" xfId="0" applyFill="1"/>
    <xf numFmtId="0" fontId="5" fillId="9" borderId="0" xfId="0" applyFont="1" applyFill="1"/>
    <xf numFmtId="0" fontId="0" fillId="9" borderId="6" xfId="0" applyFill="1" applyBorder="1"/>
    <xf numFmtId="0" fontId="0" fillId="0" borderId="0" xfId="0" applyAlignment="1">
      <alignment horizontal="left" vertical="center"/>
    </xf>
    <xf numFmtId="44" fontId="0" fillId="0" borderId="0" xfId="1" applyFont="1" applyAlignment="1">
      <alignment horizontal="left"/>
    </xf>
    <xf numFmtId="44" fontId="0" fillId="0" borderId="0" xfId="1" applyFont="1" applyFill="1" applyAlignment="1">
      <alignment horizontal="left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/>
    </xf>
    <xf numFmtId="164" fontId="0" fillId="0" borderId="0" xfId="0" applyNumberFormat="1"/>
    <xf numFmtId="3" fontId="0" fillId="0" borderId="0" xfId="0" applyNumberFormat="1"/>
    <xf numFmtId="4" fontId="0" fillId="0" borderId="0" xfId="0" applyNumberFormat="1"/>
    <xf numFmtId="164" fontId="0" fillId="0" borderId="0" xfId="0" applyNumberFormat="1" applyAlignment="1">
      <alignment horizontal="left" vertical="center"/>
    </xf>
    <xf numFmtId="3" fontId="0" fillId="0" borderId="0" xfId="0" applyNumberForma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3" fillId="0" borderId="0" xfId="0" applyFont="1"/>
    <xf numFmtId="44" fontId="0" fillId="0" borderId="0" xfId="1" applyFont="1" applyFill="1" applyAlignment="1">
      <alignment horizontal="center" vertical="center"/>
    </xf>
    <xf numFmtId="42" fontId="2" fillId="0" borderId="0" xfId="2" applyFont="1" applyFill="1" applyAlignment="1"/>
    <xf numFmtId="2" fontId="0" fillId="0" borderId="0" xfId="0" applyNumberFormat="1"/>
    <xf numFmtId="0" fontId="0" fillId="0" borderId="14" xfId="0" applyBorder="1"/>
    <xf numFmtId="0" fontId="0" fillId="0" borderId="18" xfId="0" applyBorder="1"/>
    <xf numFmtId="0" fontId="3" fillId="0" borderId="1" xfId="0" applyFont="1" applyBorder="1"/>
    <xf numFmtId="0" fontId="0" fillId="0" borderId="19" xfId="0" applyBorder="1"/>
    <xf numFmtId="16" fontId="0" fillId="0" borderId="19" xfId="0" applyNumberFormat="1" applyBorder="1"/>
    <xf numFmtId="0" fontId="0" fillId="12" borderId="10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13" borderId="5" xfId="0" applyFill="1" applyBorder="1"/>
    <xf numFmtId="0" fontId="0" fillId="13" borderId="0" xfId="0" applyFill="1"/>
    <xf numFmtId="0" fontId="0" fillId="0" borderId="23" xfId="0" applyBorder="1"/>
    <xf numFmtId="0" fontId="0" fillId="13" borderId="7" xfId="0" applyFill="1" applyBorder="1"/>
    <xf numFmtId="0" fontId="0" fillId="7" borderId="1" xfId="0" applyFill="1" applyBorder="1"/>
    <xf numFmtId="0" fontId="0" fillId="7" borderId="12" xfId="0" applyFill="1" applyBorder="1"/>
    <xf numFmtId="0" fontId="0" fillId="7" borderId="24" xfId="0" applyFill="1" applyBorder="1"/>
    <xf numFmtId="0" fontId="0" fillId="7" borderId="6" xfId="0" applyFill="1" applyBorder="1"/>
    <xf numFmtId="2" fontId="0" fillId="0" borderId="12" xfId="0" applyNumberFormat="1" applyBorder="1"/>
    <xf numFmtId="0" fontId="0" fillId="7" borderId="13" xfId="0" applyFill="1" applyBorder="1"/>
    <xf numFmtId="0" fontId="0" fillId="7" borderId="9" xfId="0" applyFill="1" applyBorder="1"/>
    <xf numFmtId="0" fontId="0" fillId="7" borderId="0" xfId="0" applyFill="1"/>
    <xf numFmtId="0" fontId="0" fillId="14" borderId="0" xfId="0" applyFill="1"/>
    <xf numFmtId="165" fontId="0" fillId="0" borderId="0" xfId="3" applyNumberFormat="1" applyFont="1"/>
    <xf numFmtId="0" fontId="0" fillId="13" borderId="10" xfId="0" applyFill="1" applyBorder="1"/>
    <xf numFmtId="0" fontId="0" fillId="13" borderId="11" xfId="0" applyFill="1" applyBorder="1"/>
    <xf numFmtId="0" fontId="0" fillId="13" borderId="12" xfId="0" applyFill="1" applyBorder="1"/>
    <xf numFmtId="0" fontId="0" fillId="13" borderId="3" xfId="0" applyFill="1" applyBorder="1"/>
    <xf numFmtId="0" fontId="0" fillId="13" borderId="4" xfId="0" applyFill="1" applyBorder="1"/>
    <xf numFmtId="0" fontId="0" fillId="13" borderId="2" xfId="0" applyFill="1" applyBorder="1"/>
    <xf numFmtId="0" fontId="0" fillId="13" borderId="9" xfId="0" applyFill="1" applyBorder="1"/>
    <xf numFmtId="0" fontId="0" fillId="13" borderId="8" xfId="0" applyFill="1" applyBorder="1"/>
    <xf numFmtId="0" fontId="0" fillId="13" borderId="1" xfId="0" applyFill="1" applyBorder="1"/>
    <xf numFmtId="0" fontId="6" fillId="0" borderId="0" xfId="0" applyFont="1"/>
    <xf numFmtId="44" fontId="0" fillId="0" borderId="0" xfId="1" applyFont="1" applyAlignment="1">
      <alignment horizontal="center" vertical="center"/>
    </xf>
    <xf numFmtId="0" fontId="0" fillId="0" borderId="0" xfId="0" applyAlignment="1">
      <alignment horizontal="center" wrapText="1"/>
    </xf>
    <xf numFmtId="166" fontId="0" fillId="0" borderId="0" xfId="0" applyNumberFormat="1" applyAlignment="1">
      <alignment wrapText="1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25" xfId="0" applyBorder="1"/>
    <xf numFmtId="0" fontId="0" fillId="0" borderId="24" xfId="0" applyBorder="1"/>
    <xf numFmtId="0" fontId="0" fillId="3" borderId="5" xfId="0" applyFill="1" applyBorder="1" applyAlignment="1">
      <alignment horizontal="left"/>
    </xf>
    <xf numFmtId="0" fontId="0" fillId="3" borderId="6" xfId="0" applyFill="1" applyBorder="1" applyAlignment="1">
      <alignment horizontal="left" vertical="center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42" fontId="0" fillId="0" borderId="0" xfId="2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wrapText="1"/>
    </xf>
    <xf numFmtId="44" fontId="0" fillId="6" borderId="0" xfId="1" applyFont="1" applyFill="1" applyAlignment="1">
      <alignment horizontal="center" vertical="center"/>
    </xf>
    <xf numFmtId="44" fontId="0" fillId="8" borderId="0" xfId="1" applyFont="1" applyFill="1" applyAlignment="1">
      <alignment horizontal="center" vertical="center"/>
    </xf>
    <xf numFmtId="44" fontId="0" fillId="8" borderId="24" xfId="0" applyNumberFormat="1" applyFill="1" applyBorder="1"/>
    <xf numFmtId="44" fontId="0" fillId="6" borderId="24" xfId="0" applyNumberFormat="1" applyFill="1" applyBorder="1"/>
    <xf numFmtId="44" fontId="0" fillId="4" borderId="0" xfId="1" applyFont="1" applyFill="1" applyBorder="1" applyAlignment="1"/>
    <xf numFmtId="44" fontId="0" fillId="6" borderId="0" xfId="1" applyFont="1" applyFill="1" applyBorder="1" applyAlignment="1"/>
    <xf numFmtId="44" fontId="0" fillId="6" borderId="8" xfId="1" applyFont="1" applyFill="1" applyBorder="1" applyAlignment="1"/>
    <xf numFmtId="44" fontId="0" fillId="4" borderId="5" xfId="1" applyFont="1" applyFill="1" applyBorder="1" applyAlignment="1"/>
    <xf numFmtId="44" fontId="0" fillId="6" borderId="5" xfId="1" applyFont="1" applyFill="1" applyBorder="1" applyAlignment="1"/>
    <xf numFmtId="44" fontId="0" fillId="6" borderId="7" xfId="1" applyFont="1" applyFill="1" applyBorder="1" applyAlignment="1"/>
    <xf numFmtId="0" fontId="3" fillId="0" borderId="10" xfId="0" applyFont="1" applyBorder="1" applyAlignment="1">
      <alignment horizontal="left"/>
    </xf>
    <xf numFmtId="0" fontId="3" fillId="2" borderId="1" xfId="0" applyFont="1" applyFill="1" applyBorder="1"/>
    <xf numFmtId="0" fontId="3" fillId="5" borderId="1" xfId="0" applyFont="1" applyFill="1" applyBorder="1"/>
    <xf numFmtId="0" fontId="3" fillId="5" borderId="13" xfId="0" applyFont="1" applyFill="1" applyBorder="1"/>
    <xf numFmtId="10" fontId="3" fillId="8" borderId="12" xfId="1" applyNumberFormat="1" applyFont="1" applyFill="1" applyBorder="1" applyAlignment="1"/>
    <xf numFmtId="44" fontId="3" fillId="8" borderId="11" xfId="1" applyFont="1" applyFill="1" applyBorder="1" applyAlignment="1">
      <alignment vertical="center"/>
    </xf>
    <xf numFmtId="10" fontId="3" fillId="8" borderId="12" xfId="3" applyNumberFormat="1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7" borderId="5" xfId="0" applyFont="1" applyFill="1" applyBorder="1" applyAlignment="1">
      <alignment horizontal="left"/>
    </xf>
    <xf numFmtId="0" fontId="3" fillId="10" borderId="5" xfId="0" applyFont="1" applyFill="1" applyBorder="1" applyAlignment="1">
      <alignment horizontal="left"/>
    </xf>
    <xf numFmtId="44" fontId="3" fillId="2" borderId="3" xfId="1" applyFont="1" applyFill="1" applyBorder="1" applyAlignment="1">
      <alignment horizontal="center" vertical="center"/>
    </xf>
    <xf numFmtId="44" fontId="3" fillId="2" borderId="25" xfId="0" applyNumberFormat="1" applyFont="1" applyFill="1" applyBorder="1"/>
    <xf numFmtId="44" fontId="3" fillId="15" borderId="0" xfId="1" applyFont="1" applyFill="1" applyBorder="1" applyAlignment="1">
      <alignment horizontal="center" vertical="center"/>
    </xf>
    <xf numFmtId="44" fontId="3" fillId="15" borderId="24" xfId="1" applyFont="1" applyFill="1" applyBorder="1"/>
    <xf numFmtId="44" fontId="3" fillId="15" borderId="8" xfId="1" applyFont="1" applyFill="1" applyBorder="1" applyAlignment="1">
      <alignment horizontal="center" vertical="center"/>
    </xf>
    <xf numFmtId="44" fontId="3" fillId="15" borderId="13" xfId="1" applyFont="1" applyFill="1" applyBorder="1"/>
    <xf numFmtId="44" fontId="3" fillId="0" borderId="0" xfId="1" applyFont="1" applyAlignment="1">
      <alignment horizontal="center" vertical="center"/>
    </xf>
    <xf numFmtId="0" fontId="3" fillId="0" borderId="24" xfId="0" applyFont="1" applyBorder="1"/>
    <xf numFmtId="44" fontId="3" fillId="2" borderId="10" xfId="1" applyFont="1" applyFill="1" applyBorder="1" applyAlignment="1">
      <alignment horizontal="center" vertical="center"/>
    </xf>
    <xf numFmtId="44" fontId="3" fillId="2" borderId="1" xfId="0" applyNumberFormat="1" applyFont="1" applyFill="1" applyBorder="1"/>
    <xf numFmtId="0" fontId="3" fillId="10" borderId="0" xfId="0" applyFont="1" applyFill="1" applyAlignment="1">
      <alignment horizontal="center" vertical="center"/>
    </xf>
    <xf numFmtId="44" fontId="3" fillId="10" borderId="0" xfId="1" applyFont="1" applyFill="1" applyAlignment="1">
      <alignment horizontal="center" vertical="center"/>
    </xf>
    <xf numFmtId="44" fontId="3" fillId="10" borderId="24" xfId="0" applyNumberFormat="1" applyFont="1" applyFill="1" applyBorder="1"/>
    <xf numFmtId="44" fontId="3" fillId="10" borderId="0" xfId="1" applyFont="1" applyFill="1"/>
    <xf numFmtId="0" fontId="3" fillId="7" borderId="0" xfId="0" applyFont="1" applyFill="1" applyAlignment="1">
      <alignment horizontal="center" vertical="center"/>
    </xf>
    <xf numFmtId="44" fontId="3" fillId="7" borderId="0" xfId="1" applyFont="1" applyFill="1" applyAlignment="1">
      <alignment horizontal="center" vertical="center"/>
    </xf>
    <xf numFmtId="44" fontId="3" fillId="7" borderId="24" xfId="1" applyFont="1" applyFill="1" applyBorder="1" applyAlignment="1">
      <alignment horizontal="center" vertical="center"/>
    </xf>
    <xf numFmtId="44" fontId="3" fillId="7" borderId="0" xfId="1" applyFont="1" applyFill="1"/>
    <xf numFmtId="44" fontId="3" fillId="10" borderId="24" xfId="1" applyFont="1" applyFill="1" applyBorder="1" applyAlignment="1">
      <alignment horizontal="center" vertical="center"/>
    </xf>
    <xf numFmtId="10" fontId="0" fillId="4" borderId="6" xfId="3" applyNumberFormat="1" applyFont="1" applyFill="1" applyBorder="1"/>
    <xf numFmtId="10" fontId="0" fillId="6" borderId="6" xfId="3" applyNumberFormat="1" applyFont="1" applyFill="1" applyBorder="1"/>
    <xf numFmtId="10" fontId="3" fillId="7" borderId="12" xfId="1" applyNumberFormat="1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4" fontId="3" fillId="14" borderId="11" xfId="1" applyFont="1" applyFill="1" applyBorder="1" applyAlignment="1">
      <alignment horizontal="center" vertical="center"/>
    </xf>
    <xf numFmtId="44" fontId="3" fillId="14" borderId="1" xfId="0" applyNumberFormat="1" applyFont="1" applyFill="1" applyBorder="1"/>
    <xf numFmtId="44" fontId="3" fillId="7" borderId="11" xfId="1" applyFont="1" applyFill="1" applyBorder="1" applyAlignment="1">
      <alignment horizontal="center" vertical="center"/>
    </xf>
    <xf numFmtId="44" fontId="3" fillId="7" borderId="1" xfId="0" applyNumberFormat="1" applyFont="1" applyFill="1" applyBorder="1"/>
    <xf numFmtId="0" fontId="0" fillId="0" borderId="6" xfId="0" applyBorder="1" applyAlignment="1">
      <alignment horizontal="center" vertical="center"/>
    </xf>
    <xf numFmtId="44" fontId="0" fillId="0" borderId="5" xfId="1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7" borderId="0" xfId="0" applyFont="1" applyFill="1" applyAlignment="1">
      <alignment horizontal="left"/>
    </xf>
    <xf numFmtId="0" fontId="3" fillId="10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Alignment="1">
      <alignment vertical="center"/>
    </xf>
    <xf numFmtId="9" fontId="0" fillId="0" borderId="0" xfId="3" applyFont="1" applyAlignment="1">
      <alignment horizontal="center" vertical="center"/>
    </xf>
    <xf numFmtId="165" fontId="0" fillId="0" borderId="0" xfId="3" applyNumberFormat="1" applyFont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2" fontId="0" fillId="0" borderId="0" xfId="1" applyNumberFormat="1" applyFont="1"/>
    <xf numFmtId="44" fontId="0" fillId="0" borderId="0" xfId="1" applyFont="1" applyBorder="1" applyAlignment="1">
      <alignment horizontal="center"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44" fontId="0" fillId="0" borderId="24" xfId="1" applyFont="1" applyBorder="1" applyAlignment="1">
      <alignment vertical="center"/>
    </xf>
    <xf numFmtId="44" fontId="0" fillId="0" borderId="13" xfId="1" applyFont="1" applyBorder="1" applyAlignment="1">
      <alignment vertical="center"/>
    </xf>
    <xf numFmtId="44" fontId="3" fillId="0" borderId="10" xfId="1" applyFont="1" applyBorder="1" applyAlignment="1">
      <alignment horizontal="center" vertical="center"/>
    </xf>
    <xf numFmtId="44" fontId="3" fillId="0" borderId="11" xfId="1" applyFont="1" applyBorder="1" applyAlignment="1">
      <alignment horizontal="center" vertical="center"/>
    </xf>
    <xf numFmtId="9" fontId="3" fillId="0" borderId="12" xfId="3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10" fontId="0" fillId="0" borderId="0" xfId="3" applyNumberFormat="1" applyFont="1" applyBorder="1" applyAlignment="1">
      <alignment horizontal="center" vertical="center"/>
    </xf>
    <xf numFmtId="10" fontId="11" fillId="0" borderId="6" xfId="3" applyNumberFormat="1" applyFont="1" applyBorder="1" applyAlignment="1">
      <alignment horizontal="center" vertical="center"/>
    </xf>
    <xf numFmtId="44" fontId="3" fillId="10" borderId="0" xfId="1" applyFont="1" applyFill="1" applyAlignment="1"/>
    <xf numFmtId="1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wrapText="1"/>
    </xf>
    <xf numFmtId="0" fontId="3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2" fontId="0" fillId="9" borderId="5" xfId="0" applyNumberFormat="1" applyFill="1" applyBorder="1"/>
    <xf numFmtId="44" fontId="3" fillId="7" borderId="24" xfId="0" applyNumberFormat="1" applyFont="1" applyFill="1" applyBorder="1"/>
    <xf numFmtId="44" fontId="12" fillId="0" borderId="10" xfId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44" fontId="11" fillId="0" borderId="5" xfId="1" applyFont="1" applyBorder="1" applyAlignment="1">
      <alignment horizontal="center" vertical="center"/>
    </xf>
    <xf numFmtId="10" fontId="0" fillId="0" borderId="6" xfId="3" applyNumberFormat="1" applyFont="1" applyBorder="1" applyAlignment="1">
      <alignment vertical="center"/>
    </xf>
    <xf numFmtId="10" fontId="0" fillId="0" borderId="9" xfId="3" applyNumberFormat="1" applyFont="1" applyBorder="1" applyAlignment="1">
      <alignment vertical="center"/>
    </xf>
    <xf numFmtId="0" fontId="0" fillId="0" borderId="0" xfId="0" applyAlignment="1">
      <alignment wrapText="1"/>
    </xf>
    <xf numFmtId="10" fontId="3" fillId="10" borderId="0" xfId="3" applyNumberFormat="1" applyFont="1" applyFill="1"/>
    <xf numFmtId="10" fontId="3" fillId="7" borderId="0" xfId="3" applyNumberFormat="1" applyFont="1" applyFill="1"/>
    <xf numFmtId="2" fontId="0" fillId="0" borderId="0" xfId="0" applyNumberFormat="1" applyAlignment="1">
      <alignment vertical="center"/>
    </xf>
    <xf numFmtId="44" fontId="0" fillId="0" borderId="6" xfId="0" applyNumberFormat="1" applyBorder="1" applyAlignment="1">
      <alignment horizontal="left" vertical="center"/>
    </xf>
    <xf numFmtId="44" fontId="0" fillId="0" borderId="25" xfId="0" applyNumberFormat="1" applyBorder="1"/>
    <xf numFmtId="0" fontId="13" fillId="10" borderId="0" xfId="0" applyFont="1" applyFill="1" applyAlignment="1">
      <alignment horizontal="center"/>
    </xf>
    <xf numFmtId="44" fontId="13" fillId="10" borderId="0" xfId="1" applyFont="1" applyFill="1" applyAlignment="1">
      <alignment horizontal="center"/>
    </xf>
    <xf numFmtId="0" fontId="0" fillId="0" borderId="26" xfId="0" applyBorder="1"/>
    <xf numFmtId="0" fontId="13" fillId="10" borderId="26" xfId="0" applyFont="1" applyFill="1" applyBorder="1" applyAlignment="1">
      <alignment horizontal="center"/>
    </xf>
    <xf numFmtId="2" fontId="0" fillId="0" borderId="26" xfId="0" applyNumberFormat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44" fontId="13" fillId="2" borderId="0" xfId="1" applyFont="1" applyFill="1" applyAlignment="1">
      <alignment horizontal="center"/>
    </xf>
    <xf numFmtId="0" fontId="13" fillId="2" borderId="26" xfId="0" applyFont="1" applyFill="1" applyBorder="1" applyAlignment="1">
      <alignment horizontal="center"/>
    </xf>
    <xf numFmtId="44" fontId="0" fillId="0" borderId="0" xfId="0" applyNumberFormat="1"/>
    <xf numFmtId="44" fontId="13" fillId="2" borderId="0" xfId="0" applyNumberFormat="1" applyFont="1" applyFill="1" applyAlignment="1">
      <alignment horizontal="center"/>
    </xf>
    <xf numFmtId="44" fontId="13" fillId="10" borderId="0" xfId="0" applyNumberFormat="1" applyFont="1" applyFill="1" applyAlignment="1">
      <alignment horizontal="center"/>
    </xf>
    <xf numFmtId="168" fontId="0" fillId="0" borderId="0" xfId="0" applyNumberFormat="1"/>
    <xf numFmtId="1" fontId="0" fillId="0" borderId="0" xfId="0" applyNumberFormat="1"/>
    <xf numFmtId="44" fontId="13" fillId="10" borderId="0" xfId="1" applyFont="1" applyFill="1" applyBorder="1" applyAlignment="1">
      <alignment horizontal="center"/>
    </xf>
    <xf numFmtId="44" fontId="13" fillId="2" borderId="0" xfId="1" applyFont="1" applyFill="1" applyBorder="1" applyAlignment="1">
      <alignment horizontal="center"/>
    </xf>
    <xf numFmtId="0" fontId="13" fillId="7" borderId="0" xfId="0" applyFont="1" applyFill="1" applyAlignment="1">
      <alignment horizontal="center"/>
    </xf>
    <xf numFmtId="44" fontId="13" fillId="7" borderId="0" xfId="1" applyFont="1" applyFill="1" applyAlignment="1">
      <alignment horizontal="center"/>
    </xf>
    <xf numFmtId="0" fontId="13" fillId="7" borderId="26" xfId="0" applyFont="1" applyFill="1" applyBorder="1" applyAlignment="1">
      <alignment horizontal="center"/>
    </xf>
    <xf numFmtId="44" fontId="13" fillId="7" borderId="0" xfId="0" applyNumberFormat="1" applyFont="1" applyFill="1" applyAlignment="1">
      <alignment horizontal="center"/>
    </xf>
    <xf numFmtId="44" fontId="13" fillId="7" borderId="0" xfId="1" applyFont="1" applyFill="1" applyBorder="1" applyAlignment="1">
      <alignment horizontal="center"/>
    </xf>
    <xf numFmtId="0" fontId="14" fillId="10" borderId="0" xfId="0" applyFont="1" applyFill="1"/>
    <xf numFmtId="9" fontId="0" fillId="0" borderId="0" xfId="3" applyFont="1"/>
    <xf numFmtId="0" fontId="0" fillId="2" borderId="0" xfId="0" applyFill="1"/>
    <xf numFmtId="2" fontId="0" fillId="0" borderId="0" xfId="0" applyNumberFormat="1" applyAlignment="1">
      <alignment horizontal="left"/>
    </xf>
    <xf numFmtId="10" fontId="0" fillId="0" borderId="0" xfId="3" applyNumberFormat="1" applyFont="1"/>
    <xf numFmtId="10" fontId="0" fillId="0" borderId="0" xfId="3" applyNumberFormat="1" applyFont="1" applyAlignment="1">
      <alignment horizontal="center"/>
    </xf>
    <xf numFmtId="10" fontId="10" fillId="2" borderId="1" xfId="3" applyNumberFormat="1" applyFont="1" applyFill="1" applyBorder="1" applyAlignment="1">
      <alignment horizontal="center" vertical="center"/>
    </xf>
    <xf numFmtId="10" fontId="0" fillId="0" borderId="6" xfId="3" applyNumberFormat="1" applyFont="1" applyBorder="1"/>
    <xf numFmtId="10" fontId="0" fillId="6" borderId="9" xfId="3" applyNumberFormat="1" applyFont="1" applyFill="1" applyBorder="1"/>
    <xf numFmtId="10" fontId="3" fillId="0" borderId="0" xfId="3" applyNumberFormat="1" applyFont="1"/>
    <xf numFmtId="44" fontId="3" fillId="0" borderId="1" xfId="1" applyFont="1" applyBorder="1"/>
    <xf numFmtId="44" fontId="0" fillId="9" borderId="3" xfId="1" applyFont="1" applyFill="1" applyBorder="1"/>
    <xf numFmtId="44" fontId="0" fillId="9" borderId="0" xfId="1" applyFont="1" applyFill="1"/>
    <xf numFmtId="44" fontId="3" fillId="2" borderId="1" xfId="1" applyFont="1" applyFill="1" applyBorder="1" applyAlignment="1">
      <alignment horizontal="center" vertical="center"/>
    </xf>
    <xf numFmtId="44" fontId="3" fillId="8" borderId="10" xfId="1" applyFont="1" applyFill="1" applyBorder="1" applyAlignment="1">
      <alignment wrapText="1"/>
    </xf>
    <xf numFmtId="44" fontId="3" fillId="0" borderId="0" xfId="1" applyFont="1"/>
    <xf numFmtId="43" fontId="0" fillId="9" borderId="2" xfId="4" applyFont="1" applyFill="1" applyBorder="1"/>
    <xf numFmtId="43" fontId="0" fillId="9" borderId="5" xfId="4" applyFont="1" applyFill="1" applyBorder="1"/>
    <xf numFmtId="44" fontId="0" fillId="0" borderId="0" xfId="1" applyFont="1" applyAlignment="1">
      <alignment wrapText="1"/>
    </xf>
    <xf numFmtId="10" fontId="0" fillId="0" borderId="0" xfId="3" applyNumberFormat="1" applyFont="1" applyAlignment="1">
      <alignment wrapText="1"/>
    </xf>
    <xf numFmtId="44" fontId="0" fillId="0" borderId="0" xfId="0" applyNumberFormat="1" applyAlignment="1">
      <alignment wrapText="1"/>
    </xf>
    <xf numFmtId="10" fontId="2" fillId="0" borderId="0" xfId="3" applyNumberFormat="1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0" fillId="0" borderId="2" xfId="0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wrapText="1"/>
    </xf>
    <xf numFmtId="10" fontId="0" fillId="0" borderId="6" xfId="3" applyNumberFormat="1" applyFont="1" applyBorder="1" applyAlignment="1">
      <alignment wrapText="1"/>
    </xf>
    <xf numFmtId="0" fontId="3" fillId="0" borderId="7" xfId="0" applyFont="1" applyBorder="1" applyAlignment="1">
      <alignment wrapText="1"/>
    </xf>
    <xf numFmtId="44" fontId="0" fillId="0" borderId="8" xfId="0" applyNumberFormat="1" applyBorder="1" applyAlignment="1">
      <alignment wrapText="1"/>
    </xf>
    <xf numFmtId="10" fontId="0" fillId="0" borderId="9" xfId="3" applyNumberFormat="1" applyFont="1" applyBorder="1" applyAlignment="1">
      <alignment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4" fontId="3" fillId="0" borderId="8" xfId="1" applyFont="1" applyBorder="1" applyAlignment="1">
      <alignment horizontal="center" vertical="center" wrapText="1"/>
    </xf>
    <xf numFmtId="10" fontId="3" fillId="0" borderId="8" xfId="3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4" fontId="3" fillId="0" borderId="10" xfId="1" applyFont="1" applyBorder="1" applyAlignment="1">
      <alignment wrapText="1"/>
    </xf>
    <xf numFmtId="10" fontId="3" fillId="0" borderId="11" xfId="3" applyNumberFormat="1" applyFont="1" applyBorder="1" applyAlignment="1">
      <alignment wrapText="1"/>
    </xf>
    <xf numFmtId="0" fontId="3" fillId="0" borderId="11" xfId="0" applyFont="1" applyBorder="1" applyAlignment="1">
      <alignment wrapText="1"/>
    </xf>
    <xf numFmtId="44" fontId="3" fillId="0" borderId="12" xfId="1" applyFont="1" applyBorder="1" applyAlignment="1">
      <alignment wrapText="1"/>
    </xf>
    <xf numFmtId="0" fontId="3" fillId="0" borderId="8" xfId="0" applyFont="1" applyBorder="1" applyAlignment="1">
      <alignment wrapText="1"/>
    </xf>
    <xf numFmtId="44" fontId="3" fillId="0" borderId="8" xfId="1" applyFont="1" applyBorder="1" applyAlignment="1">
      <alignment wrapText="1"/>
    </xf>
    <xf numFmtId="0" fontId="3" fillId="0" borderId="9" xfId="0" applyFont="1" applyBorder="1" applyAlignment="1">
      <alignment wrapText="1"/>
    </xf>
    <xf numFmtId="10" fontId="3" fillId="0" borderId="12" xfId="3" applyNumberFormat="1" applyFont="1" applyBorder="1" applyAlignment="1">
      <alignment wrapText="1"/>
    </xf>
    <xf numFmtId="44" fontId="0" fillId="0" borderId="0" xfId="1" applyFont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0" borderId="7" xfId="0" applyBorder="1"/>
    <xf numFmtId="43" fontId="0" fillId="0" borderId="0" xfId="4" applyFont="1"/>
    <xf numFmtId="2" fontId="0" fillId="0" borderId="6" xfId="0" applyNumberFormat="1" applyBorder="1" applyAlignment="1">
      <alignment horizontal="left" vertical="center"/>
    </xf>
    <xf numFmtId="0" fontId="3" fillId="0" borderId="10" xfId="0" applyFont="1" applyBorder="1" applyAlignment="1">
      <alignment wrapText="1"/>
    </xf>
    <xf numFmtId="44" fontId="3" fillId="0" borderId="11" xfId="0" applyNumberFormat="1" applyFont="1" applyBorder="1" applyAlignment="1">
      <alignment wrapText="1"/>
    </xf>
    <xf numFmtId="10" fontId="2" fillId="0" borderId="0" xfId="0" applyNumberFormat="1" applyFont="1" applyAlignment="1">
      <alignment wrapText="1"/>
    </xf>
    <xf numFmtId="0" fontId="0" fillId="9" borderId="10" xfId="0" applyFill="1" applyBorder="1"/>
    <xf numFmtId="0" fontId="0" fillId="9" borderId="11" xfId="0" applyFill="1" applyBorder="1"/>
    <xf numFmtId="0" fontId="0" fillId="9" borderId="12" xfId="0" applyFill="1" applyBorder="1"/>
    <xf numFmtId="0" fontId="0" fillId="9" borderId="2" xfId="0" applyFill="1" applyBorder="1"/>
    <xf numFmtId="0" fontId="0" fillId="9" borderId="3" xfId="0" applyFill="1" applyBorder="1"/>
    <xf numFmtId="0" fontId="0" fillId="9" borderId="4" xfId="0" applyFill="1" applyBorder="1"/>
    <xf numFmtId="0" fontId="0" fillId="9" borderId="8" xfId="0" applyFill="1" applyBorder="1"/>
    <xf numFmtId="0" fontId="0" fillId="9" borderId="9" xfId="0" applyFill="1" applyBorder="1"/>
    <xf numFmtId="0" fontId="0" fillId="9" borderId="7" xfId="0" applyFill="1" applyBorder="1"/>
    <xf numFmtId="10" fontId="3" fillId="0" borderId="12" xfId="3" applyNumberFormat="1" applyFont="1" applyBorder="1" applyAlignment="1">
      <alignment horizontal="center" vertical="center"/>
    </xf>
    <xf numFmtId="0" fontId="0" fillId="16" borderId="27" xfId="0" applyFill="1" applyBorder="1"/>
    <xf numFmtId="0" fontId="0" fillId="0" borderId="27" xfId="0" applyBorder="1"/>
    <xf numFmtId="0" fontId="0" fillId="17" borderId="28" xfId="0" applyFill="1" applyBorder="1"/>
    <xf numFmtId="0" fontId="0" fillId="16" borderId="28" xfId="0" applyFill="1" applyBorder="1"/>
    <xf numFmtId="0" fontId="0" fillId="0" borderId="28" xfId="0" applyBorder="1"/>
    <xf numFmtId="0" fontId="6" fillId="9" borderId="11" xfId="0" applyFont="1" applyFill="1" applyBorder="1"/>
    <xf numFmtId="44" fontId="3" fillId="18" borderId="0" xfId="1" applyFont="1" applyFill="1"/>
    <xf numFmtId="44" fontId="0" fillId="0" borderId="2" xfId="1" applyFont="1" applyBorder="1" applyAlignment="1">
      <alignment horizontal="center" vertical="center"/>
    </xf>
    <xf numFmtId="10" fontId="11" fillId="0" borderId="4" xfId="3" applyNumberFormat="1" applyFont="1" applyBorder="1" applyAlignment="1">
      <alignment horizontal="center" vertical="center"/>
    </xf>
    <xf numFmtId="167" fontId="0" fillId="0" borderId="6" xfId="0" applyNumberForma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1" fillId="0" borderId="0" xfId="1" applyFont="1" applyFill="1"/>
    <xf numFmtId="42" fontId="1" fillId="0" borderId="0" xfId="2" applyFont="1" applyFill="1" applyAlignment="1">
      <alignment horizontal="center" vertical="center" wrapText="1"/>
    </xf>
    <xf numFmtId="44" fontId="3" fillId="0" borderId="0" xfId="1" applyFont="1" applyFill="1"/>
    <xf numFmtId="44" fontId="3" fillId="0" borderId="0" xfId="1" applyFont="1" applyFill="1" applyAlignment="1">
      <alignment horizontal="center"/>
    </xf>
    <xf numFmtId="44" fontId="3" fillId="0" borderId="0" xfId="0" applyNumberFormat="1" applyFont="1"/>
    <xf numFmtId="44" fontId="1" fillId="0" borderId="0" xfId="1" applyFont="1" applyFill="1" applyAlignment="1">
      <alignment horizontal="center"/>
    </xf>
    <xf numFmtId="44" fontId="1" fillId="0" borderId="0" xfId="1" applyFont="1"/>
    <xf numFmtId="0" fontId="0" fillId="0" borderId="0" xfId="4" applyNumberFormat="1" applyFont="1" applyAlignment="1">
      <alignment horizontal="center" vertical="center" wrapText="1"/>
    </xf>
    <xf numFmtId="0" fontId="0" fillId="0" borderId="0" xfId="1" applyNumberFormat="1" applyFont="1" applyAlignment="1">
      <alignment horizontal="center"/>
    </xf>
    <xf numFmtId="0" fontId="3" fillId="14" borderId="5" xfId="0" applyFont="1" applyFill="1" applyBorder="1" applyAlignment="1">
      <alignment horizontal="left"/>
    </xf>
    <xf numFmtId="0" fontId="3" fillId="14" borderId="0" xfId="0" applyFont="1" applyFill="1" applyAlignment="1">
      <alignment horizontal="left"/>
    </xf>
    <xf numFmtId="0" fontId="3" fillId="14" borderId="0" xfId="0" applyFont="1" applyFill="1" applyAlignment="1">
      <alignment horizontal="center" vertical="center"/>
    </xf>
    <xf numFmtId="44" fontId="3" fillId="14" borderId="0" xfId="1" applyFont="1" applyFill="1" applyAlignment="1">
      <alignment horizontal="center" vertical="center"/>
    </xf>
    <xf numFmtId="44" fontId="3" fillId="14" borderId="24" xfId="1" applyFont="1" applyFill="1" applyBorder="1" applyAlignment="1">
      <alignment horizontal="center" vertical="center"/>
    </xf>
    <xf numFmtId="44" fontId="3" fillId="14" borderId="0" xfId="1" applyFont="1" applyFill="1"/>
    <xf numFmtId="10" fontId="3" fillId="14" borderId="0" xfId="3" applyNumberFormat="1" applyFont="1" applyFill="1"/>
    <xf numFmtId="0" fontId="0" fillId="6" borderId="5" xfId="0" applyFill="1" applyBorder="1" applyAlignment="1">
      <alignment horizontal="left"/>
    </xf>
    <xf numFmtId="0" fontId="0" fillId="6" borderId="0" xfId="0" applyFill="1" applyAlignment="1">
      <alignment horizontal="left"/>
    </xf>
    <xf numFmtId="0" fontId="0" fillId="6" borderId="6" xfId="0" applyFill="1" applyBorder="1" applyAlignment="1">
      <alignment horizontal="left" vertical="center"/>
    </xf>
    <xf numFmtId="44" fontId="3" fillId="14" borderId="24" xfId="0" applyNumberFormat="1" applyFont="1" applyFill="1" applyBorder="1"/>
    <xf numFmtId="0" fontId="0" fillId="0" borderId="0" xfId="0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44" fontId="0" fillId="0" borderId="8" xfId="1" applyFont="1" applyBorder="1" applyAlignment="1">
      <alignment horizontal="center"/>
    </xf>
    <xf numFmtId="44" fontId="0" fillId="0" borderId="9" xfId="1" applyFont="1" applyBorder="1" applyAlignment="1">
      <alignment horizontal="center"/>
    </xf>
    <xf numFmtId="44" fontId="0" fillId="0" borderId="3" xfId="1" applyFont="1" applyBorder="1" applyAlignment="1">
      <alignment horizontal="center"/>
    </xf>
    <xf numFmtId="44" fontId="0" fillId="0" borderId="4" xfId="1" applyFont="1" applyBorder="1" applyAlignment="1">
      <alignment horizontal="center"/>
    </xf>
    <xf numFmtId="44" fontId="0" fillId="0" borderId="0" xfId="1" applyFont="1" applyBorder="1" applyAlignment="1">
      <alignment horizontal="center"/>
    </xf>
    <xf numFmtId="44" fontId="0" fillId="0" borderId="6" xfId="1" applyFont="1" applyBorder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44" fontId="0" fillId="2" borderId="10" xfId="1" applyFont="1" applyFill="1" applyBorder="1" applyAlignment="1">
      <alignment horizontal="center"/>
    </xf>
    <xf numFmtId="44" fontId="0" fillId="2" borderId="11" xfId="1" applyFont="1" applyFill="1" applyBorder="1" applyAlignment="1">
      <alignment horizontal="center"/>
    </xf>
    <xf numFmtId="44" fontId="0" fillId="2" borderId="12" xfId="1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4" fontId="10" fillId="0" borderId="18" xfId="1" applyFont="1" applyBorder="1" applyAlignment="1">
      <alignment horizontal="center" vertical="center" wrapText="1"/>
    </xf>
    <xf numFmtId="44" fontId="10" fillId="0" borderId="29" xfId="1" applyFont="1" applyBorder="1" applyAlignment="1">
      <alignment horizontal="center" vertical="center" wrapText="1"/>
    </xf>
    <xf numFmtId="44" fontId="10" fillId="0" borderId="30" xfId="1" applyFont="1" applyBorder="1" applyAlignment="1">
      <alignment horizontal="center" vertical="center" wrapText="1"/>
    </xf>
    <xf numFmtId="44" fontId="10" fillId="0" borderId="26" xfId="1" applyFont="1" applyBorder="1" applyAlignment="1">
      <alignment horizontal="center" vertical="center" wrapText="1"/>
    </xf>
    <xf numFmtId="44" fontId="10" fillId="0" borderId="0" xfId="1" applyFont="1" applyBorder="1" applyAlignment="1">
      <alignment horizontal="center" vertical="center" wrapText="1"/>
    </xf>
    <xf numFmtId="44" fontId="10" fillId="0" borderId="31" xfId="1" applyFont="1" applyBorder="1" applyAlignment="1">
      <alignment horizontal="center" vertical="center" wrapText="1"/>
    </xf>
    <xf numFmtId="44" fontId="10" fillId="0" borderId="32" xfId="1" applyFont="1" applyBorder="1" applyAlignment="1">
      <alignment horizontal="center" vertical="center" wrapText="1"/>
    </xf>
    <xf numFmtId="44" fontId="10" fillId="0" borderId="33" xfId="1" applyFont="1" applyBorder="1" applyAlignment="1">
      <alignment horizontal="center" vertical="center" wrapText="1"/>
    </xf>
    <xf numFmtId="44" fontId="10" fillId="0" borderId="34" xfId="1" applyFont="1" applyBorder="1" applyAlignment="1">
      <alignment horizontal="center" vertical="center" wrapText="1"/>
    </xf>
    <xf numFmtId="44" fontId="3" fillId="7" borderId="11" xfId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7" borderId="10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44" fontId="3" fillId="8" borderId="11" xfId="1" applyFont="1" applyFill="1" applyBorder="1" applyAlignment="1">
      <alignment horizontal="center"/>
    </xf>
    <xf numFmtId="44" fontId="0" fillId="0" borderId="0" xfId="1" applyFont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44" fontId="3" fillId="0" borderId="10" xfId="1" applyFont="1" applyBorder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11" borderId="0" xfId="0" applyFont="1" applyFill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0" fillId="13" borderId="5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7" borderId="12" xfId="0" applyFont="1" applyFill="1" applyBorder="1" applyAlignment="1">
      <alignment horizontal="center"/>
    </xf>
    <xf numFmtId="0" fontId="3" fillId="14" borderId="0" xfId="0" applyFont="1" applyFill="1" applyAlignment="1">
      <alignment horizontal="left" vertical="center"/>
    </xf>
    <xf numFmtId="0" fontId="3" fillId="14" borderId="6" xfId="0" applyFont="1" applyFill="1" applyBorder="1" applyAlignment="1">
      <alignment horizontal="left" vertical="center"/>
    </xf>
    <xf numFmtId="0" fontId="3" fillId="10" borderId="0" xfId="0" applyFont="1" applyFill="1" applyAlignment="1">
      <alignment horizontal="left" vertical="center"/>
    </xf>
    <xf numFmtId="0" fontId="3" fillId="10" borderId="6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6" xfId="0" applyFont="1" applyFill="1" applyBorder="1" applyAlignment="1">
      <alignment horizontal="left" vertical="center"/>
    </xf>
    <xf numFmtId="0" fontId="3" fillId="10" borderId="0" xfId="0" applyFont="1" applyFill="1" applyAlignment="1">
      <alignment horizontal="left" vertical="center" wrapText="1"/>
    </xf>
    <xf numFmtId="0" fontId="3" fillId="10" borderId="6" xfId="0" applyFont="1" applyFill="1" applyBorder="1" applyAlignment="1">
      <alignment horizontal="left" vertical="center" wrapText="1"/>
    </xf>
    <xf numFmtId="0" fontId="0" fillId="7" borderId="0" xfId="0" applyFill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2" borderId="2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4" fontId="3" fillId="2" borderId="4" xfId="1" applyFont="1" applyFill="1" applyBorder="1" applyAlignment="1">
      <alignment horizontal="center" vertical="center" wrapText="1"/>
    </xf>
    <xf numFmtId="44" fontId="3" fillId="2" borderId="9" xfId="1" applyFont="1" applyFill="1" applyBorder="1" applyAlignment="1">
      <alignment horizontal="center" vertical="center" wrapText="1"/>
    </xf>
    <xf numFmtId="44" fontId="3" fillId="2" borderId="25" xfId="1" applyFont="1" applyFill="1" applyBorder="1" applyAlignment="1">
      <alignment horizontal="center" vertical="center"/>
    </xf>
    <xf numFmtId="44" fontId="3" fillId="2" borderId="13" xfId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14" borderId="0" xfId="0" applyFill="1" applyAlignment="1">
      <alignment horizontal="center" vertical="center"/>
    </xf>
    <xf numFmtId="44" fontId="3" fillId="2" borderId="2" xfId="1" applyFont="1" applyFill="1" applyBorder="1" applyAlignment="1">
      <alignment horizontal="center" vertical="center"/>
    </xf>
    <xf numFmtId="44" fontId="3" fillId="2" borderId="7" xfId="1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44" fontId="0" fillId="0" borderId="5" xfId="0" applyNumberFormat="1" applyBorder="1" applyAlignment="1">
      <alignment horizontal="center" vertical="center"/>
    </xf>
    <xf numFmtId="44" fontId="0" fillId="0" borderId="6" xfId="0" applyNumberFormat="1" applyBorder="1" applyAlignment="1">
      <alignment horizontal="center" vertical="center"/>
    </xf>
    <xf numFmtId="44" fontId="0" fillId="0" borderId="7" xfId="0" applyNumberFormat="1" applyBorder="1" applyAlignment="1">
      <alignment horizontal="center" vertical="center"/>
    </xf>
    <xf numFmtId="44" fontId="0" fillId="0" borderId="9" xfId="0" applyNumberFormat="1" applyBorder="1" applyAlignment="1">
      <alignment horizontal="center" vertical="center"/>
    </xf>
    <xf numFmtId="44" fontId="3" fillId="2" borderId="25" xfId="1" applyFont="1" applyFill="1" applyBorder="1" applyAlignment="1">
      <alignment horizontal="center" vertical="center" wrapText="1"/>
    </xf>
    <xf numFmtId="44" fontId="3" fillId="2" borderId="13" xfId="1" applyFont="1" applyFill="1" applyBorder="1" applyAlignment="1">
      <alignment horizontal="center" vertical="center" wrapText="1"/>
    </xf>
    <xf numFmtId="0" fontId="3" fillId="14" borderId="0" xfId="0" applyFont="1" applyFill="1" applyAlignment="1">
      <alignment horizontal="left" vertical="center" wrapText="1"/>
    </xf>
    <xf numFmtId="0" fontId="3" fillId="14" borderId="6" xfId="0" applyFont="1" applyFill="1" applyBorder="1" applyAlignment="1">
      <alignment horizontal="left" vertical="center" wrapText="1"/>
    </xf>
    <xf numFmtId="44" fontId="3" fillId="14" borderId="0" xfId="1" applyFont="1" applyFill="1" applyAlignment="1"/>
    <xf numFmtId="0" fontId="0" fillId="0" borderId="0" xfId="0" applyNumberFormat="1" applyAlignment="1">
      <alignment horizontal="left" vertical="center"/>
    </xf>
    <xf numFmtId="44" fontId="0" fillId="0" borderId="0" xfId="1" applyFont="1" applyAlignment="1"/>
    <xf numFmtId="0" fontId="0" fillId="0" borderId="0" xfId="0" applyAlignment="1"/>
    <xf numFmtId="44" fontId="0" fillId="0" borderId="5" xfId="0" applyNumberFormat="1" applyBorder="1" applyAlignment="1"/>
    <xf numFmtId="44" fontId="0" fillId="0" borderId="0" xfId="0" applyNumberFormat="1" applyAlignment="1"/>
  </cellXfs>
  <cellStyles count="5">
    <cellStyle name="Millares" xfId="4" builtinId="3"/>
    <cellStyle name="Moneda" xfId="1" builtinId="4"/>
    <cellStyle name="Moneda [0]" xfId="2" builtinId="7"/>
    <cellStyle name="Normal" xfId="0" builtinId="0"/>
    <cellStyle name="Porcentaje" xfId="3" builtinId="5"/>
  </cellStyles>
  <dxfs count="52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F0000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</dxf>
    <dxf>
      <alignment horizontal="center" vertical="center" textRotation="0" wrapText="0" indent="0" justifyLastLine="0" shrinkToFit="0" readingOrder="0"/>
    </dxf>
    <dxf>
      <numFmt numFmtId="164" formatCode="#,##0.00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#,##0.00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#,##0.00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  <alignment horizontal="left" vertical="center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numFmt numFmtId="4" formatCode="#,##0.00"/>
    </dxf>
    <dxf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GCZ\JGCZ\JGCZ%20-%20TRABAJO\1-%20Independiente\3-%20IMZA\3-%20Proyectos\4-%202023\19-%20Lucas%20Torres\2-%202024\3-%20XLS\2-%20Etapa%201\Presupuesto_MICARBONCITO_Etapa%201.xlsx" TargetMode="External"/><Relationship Id="rId1" Type="http://schemas.openxmlformats.org/officeDocument/2006/relationships/externalLinkPath" Target="/JGCZ/JGCZ/JGCZ%20-%20TRABAJO/1-%20Independiente/3-%20IMZA/3-%20Proyectos/4-%202023/19-%20Lucas%20Torres/2-%202024/3-%20XLS/2-%20Etapa%201/Presupuesto_MICARBONCITO_Etapa%20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GCZ\JGCZ\JGCZ%20-%20TRABAJO\1-%20Independiente\3-%20IMZA\3-%20Proyectos\4-%202023\19-%20Lucas%20Torres\2-%202024\3-%20XLS\3-%20Etapa%202\Presupuesto_MICARBONCITO_Etapa%202.xlsx" TargetMode="External"/><Relationship Id="rId1" Type="http://schemas.openxmlformats.org/officeDocument/2006/relationships/externalLinkPath" Target="/JGCZ/JGCZ/JGCZ%20-%20TRABAJO/1-%20Independiente/3-%20IMZA/3-%20Proyectos/4-%202023/19-%20Lucas%20Torres/2-%202024/3-%20XLS/3-%20Etapa%202/Presupuesto_MICARBONCITO_Etapa%202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GCZ\JGCZ\JGCZ%20-%20TRABAJO\1-%20Independiente\3-%20IMZA\3-%20Proyectos\3-%202022\2-%20Guadalupana\4-%20XLS\2-%202024\1-%20Quiosco\Presupuesto_QUIOSCO_20240720.xlsx" TargetMode="External"/><Relationship Id="rId1" Type="http://schemas.openxmlformats.org/officeDocument/2006/relationships/externalLinkPath" Target="/JGCZ/JGCZ/JGCZ%20-%20TRABAJO/1-%20Independiente/3-%20IMZA/3-%20Proyectos/3-%202022/2-%20Guadalupana/4-%20XLS/2-%202024/1-%20Quiosco/Presupuesto_QUIOSCO_2024072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GCZ\JGCZ\JGCZ%20-%20TRABAJO\1-%20Independiente\3-%20IMZA\3-%20Proyectos\4-%202023\19-%20Lucas%20Torres\2-%202024\3-%20XLS\1-%20General\Presupuesto_MICARBONCITO_2024.xlsx" TargetMode="External"/><Relationship Id="rId1" Type="http://schemas.openxmlformats.org/officeDocument/2006/relationships/externalLinkPath" Target="/JGCZ/JGCZ/JGCZ%20-%20TRABAJO/1-%20Independiente/3-%20IMZA/3-%20Proyectos/4-%202023/19-%20Lucas%20Torres/2-%202024/3-%20XLS/1-%20General/Presupuesto_MICARBONCITO_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JGCZ\JGCZ\JGCZ%20-%20TRABAJO\1-%20Independiente\3-%20IMZA\3-%20Proyectos\4-%202023\19-%20Lucas%20Torres\2-%202024\3-%20XLS\Presupuesto_MICARBONCITO_Etapa%201.xlsx" TargetMode="External"/><Relationship Id="rId1" Type="http://schemas.openxmlformats.org/officeDocument/2006/relationships/externalLinkPath" Target="/JGCZ/JGCZ/JGCZ%20-%20TRABAJO/1-%20Independiente/3-%20IMZA/3-%20Proyectos/4-%202023/19-%20Lucas%20Torres/2-%202024/3-%20XLS/Presupuesto_MICARBONCITO_Etapa%20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JGCZ\JGCZ%20-%20TRABAJO\1-%20Independiente\3-%20IMZA\3-%20Proyectos\4-%202023\19-%20Lucas%20Torres\2-%202024\3-%20XLS\2-%20Etapa%201\Presupuesto_MICARBONCITO_Etapa%201.xlsx" TargetMode="External"/><Relationship Id="rId1" Type="http://schemas.openxmlformats.org/officeDocument/2006/relationships/externalLinkPath" Target="file:///C:\JGCZ\JGCZ%20-%20TRABAJO\1-%20Independiente\3-%20IMZA\3-%20Proyectos\4-%202023\19-%20Lucas%20Torres\2-%202024\3-%20XLS\2-%20Etapa%201\Presupuesto_MICARBONCITO_Etapa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Obra gris"/>
      <sheetName val="5, CD -Obra blanca"/>
      <sheetName val="6. C. Indirectos"/>
      <sheetName val="Flujo de caja"/>
      <sheetName val="Presupuesto_MICARBONCITO_Etapa "/>
    </sheetNames>
    <sheetDataSet>
      <sheetData sheetId="0"/>
      <sheetData sheetId="1" refreshError="1"/>
      <sheetData sheetId="2"/>
      <sheetData sheetId="3">
        <row r="5">
          <cell r="G5">
            <v>13000</v>
          </cell>
        </row>
        <row r="6">
          <cell r="G6">
            <v>24000</v>
          </cell>
        </row>
        <row r="11">
          <cell r="G11">
            <v>11000</v>
          </cell>
        </row>
        <row r="12">
          <cell r="G12">
            <v>29000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Obra gris"/>
      <sheetName val="5, CD -Obra blanca"/>
      <sheetName val="6. C. Indirectos"/>
      <sheetName val="Flujo de caja"/>
      <sheetName val="Presupuesto_MICARBONCITO_Etapa "/>
    </sheetNames>
    <sheetDataSet>
      <sheetData sheetId="0">
        <row r="34">
          <cell r="B34" t="str">
            <v>ITEM</v>
          </cell>
        </row>
      </sheetData>
      <sheetData sheetId="1">
        <row r="7">
          <cell r="C7">
            <v>135.81</v>
          </cell>
        </row>
        <row r="31">
          <cell r="E31">
            <v>268054444.42457414</v>
          </cell>
          <cell r="F31"/>
        </row>
      </sheetData>
      <sheetData sheetId="2"/>
      <sheetData sheetId="3">
        <row r="5">
          <cell r="C5" t="str">
            <v>Soldadura PVC 1/64gl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Obra gris"/>
      <sheetName val="5, CD -Obra blanca"/>
      <sheetName val="6. C. Indirectos"/>
      <sheetName val="Flujo de caja"/>
    </sheetNames>
    <sheetDataSet>
      <sheetData sheetId="0"/>
      <sheetData sheetId="1">
        <row r="31">
          <cell r="E31">
            <v>314823774.28777951</v>
          </cell>
          <cell r="F3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Estructura"/>
      <sheetName val="5, CD -Acabados"/>
      <sheetName val="6. C. Indirectos"/>
    </sheetNames>
    <sheetDataSet>
      <sheetData sheetId="0"/>
      <sheetData sheetId="1">
        <row r="31">
          <cell r="E31">
            <v>668448792.41657674</v>
          </cell>
          <cell r="F3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Obra gris"/>
      <sheetName val="5, CD -Obra blanca"/>
      <sheetName val="6. C. Indirectos"/>
      <sheetName val="Flujo de caja"/>
    </sheetNames>
    <sheetDataSet>
      <sheetData sheetId="0"/>
      <sheetData sheetId="1">
        <row r="31">
          <cell r="E31">
            <v>253876298.12212226</v>
          </cell>
          <cell r="F3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. DATOS"/>
      <sheetName val="1. GENERAL"/>
      <sheetName val="2. CANTIDADES"/>
      <sheetName val="2.1 UNIONES PVC"/>
      <sheetName val="2.2 ACEROS"/>
      <sheetName val="2.3 DESPIECES"/>
      <sheetName val="3. CD - Obra negra"/>
      <sheetName val="4. CD - Obra gris"/>
      <sheetName val="5, CD -Obra blanca"/>
      <sheetName val="6. C. Indirectos"/>
      <sheetName val="Flujo de caja"/>
    </sheetNames>
    <sheetDataSet>
      <sheetData sheetId="0" refreshError="1"/>
      <sheetData sheetId="1" refreshError="1">
        <row r="31">
          <cell r="E31">
            <v>258331584.79006919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CD2F82B5-F8D6-40BA-87B0-1681891B69D2}" name="Tabla67" displayName="Tabla67" ref="D4:D6" totalsRowShown="0">
  <autoFilter ref="D4:D6" xr:uid="{CD2F82B5-F8D6-40BA-87B0-1681891B69D2}"/>
  <tableColumns count="1">
    <tableColumn id="1" xr3:uid="{F74AED37-9898-4989-8B97-28E65A660A7D}" name="TIPO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B4AEB0FC-EC37-4FDD-BC5C-C00454A4A513}" name="Tabla7274767880" displayName="Tabla7274767880" ref="B132:E145" totalsRowShown="0">
  <autoFilter ref="B132:E145" xr:uid="{B4AEB0FC-EC37-4FDD-BC5C-C00454A4A513}"/>
  <tableColumns count="4">
    <tableColumn id="1" xr3:uid="{3B7418A6-69FB-4881-9261-637E4DD4405A}" name="ITEM"/>
    <tableColumn id="2" xr3:uid="{B225D5E3-55A9-4D28-9C4E-7886CC0F49C8}" name="UNIDAD" dataDxfId="506"/>
    <tableColumn id="3" xr3:uid="{6221DB3E-B533-466D-B8E2-9DB4A3415B12}" name="GRUPO" dataDxfId="505"/>
    <tableColumn id="4" xr3:uid="{C3D9C654-5DE7-4548-A22A-FE46772AD84B}" name="V. UNITARIO" dataDxfId="504" dataCellStyle="Moneda"/>
  </tableColumns>
  <tableStyleInfo name="TableStyleMedium2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FBDF961-19FB-4632-9F4A-B8DE836A3EAF}" name="Tabla578914151634353637383940414251" displayName="Tabla578914151634353637383940414251" ref="WM3:WU51" totalsRowShown="0" headerRowDxfId="160">
  <autoFilter ref="WM3:WU51" xr:uid="{DFBDF961-19FB-4632-9F4A-B8DE836A3EAF}"/>
  <tableColumns count="9">
    <tableColumn id="1" xr3:uid="{4B98ABF0-ADCF-4A96-BE7C-A9F67A62E7C0}" name="Edificio"/>
    <tableColumn id="2" xr3:uid="{6C026F97-026C-48D3-AF61-FD02407E0DAE}" name="Nivel"/>
    <tableColumn id="3" xr3:uid="{01845129-6E72-4224-8C58-A0F3987F8A9F}" name="Material"/>
    <tableColumn id="4" xr3:uid="{CDDECEAE-C116-4768-A31A-5DB52054DC7D}" name="Volúmen bruto"/>
    <tableColumn id="6" xr3:uid="{4EA099CF-C52D-446F-9A23-919EF022E212}" name="Área neta" dataDxfId="159"/>
    <tableColumn id="7" xr3:uid="{4575B1F7-4103-440C-B887-38127FC93627}" name="Recuento" dataDxfId="158"/>
    <tableColumn id="8" xr3:uid="{7B864FFA-D431-4CAB-988D-776B24697886}" name="Volúmen total" dataDxfId="157"/>
    <tableColumn id="9" xr3:uid="{62FCF7ED-3FD0-455E-88A6-972E6EDD83D3}" name="Área total" dataDxfId="156"/>
    <tableColumn id="5" xr3:uid="{C5274D16-85E7-438A-ACCD-EF7DF741A1CC}" name="TOTAL" dataDxfId="155">
      <calculatedColumnFormula>+SUM(WP4:WP5)</calculatedColumnFormula>
    </tableColumn>
  </tableColumns>
  <tableStyleInfo name="TableStyleMedium7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FBB01E09-C0C7-492E-BAC6-5B60434158CB}" name="Tabla5789141516343536373839404142434445464748495051525353" displayName="Tabla5789141516343536373839404142434445464748495051525353" ref="ACC3:ACK51" totalsRowShown="0" headerRowDxfId="154">
  <autoFilter ref="ACC3:ACK51" xr:uid="{FBB01E09-C0C7-492E-BAC6-5B60434158CB}"/>
  <tableColumns count="9">
    <tableColumn id="1" xr3:uid="{7B086A07-0C71-422E-BFF9-836A9CBD7CED}" name="Edificio"/>
    <tableColumn id="2" xr3:uid="{CFC5F473-DACF-48A7-9EA5-B052C739D2D8}" name="Nivel"/>
    <tableColumn id="3" xr3:uid="{31DC9B6B-BD15-45A3-A4FE-C2CCC7552113}" name="Material"/>
    <tableColumn id="4" xr3:uid="{B29B3532-348F-4AA7-93AD-587542978A7C}" name="Volúmen bruto"/>
    <tableColumn id="6" xr3:uid="{6CF9A093-30E3-41D8-A80D-04EA2D1156FD}" name="Área neta" dataDxfId="153"/>
    <tableColumn id="7" xr3:uid="{C0568870-E2B2-451A-9901-1C301576BD14}" name="Recuento" dataDxfId="152"/>
    <tableColumn id="8" xr3:uid="{BDE77F31-751A-4EEA-870F-BAB54F2B3939}" name="Volúmen total" dataDxfId="151"/>
    <tableColumn id="9" xr3:uid="{32A4A954-5AB3-47CC-BC5F-BFEFAD71F0BF}" name="Área total" dataDxfId="150"/>
    <tableColumn id="5" xr3:uid="{8888AEF4-D0BF-4C6F-A8C6-8842466C7CA6}" name="TOTAL" dataDxfId="149">
      <calculatedColumnFormula>+SUM(ACF4:ACF5)</calculatedColumnFormula>
    </tableColumn>
  </tableColumns>
  <tableStyleInfo name="TableStyleMedium7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104E2886-A05D-4035-8D94-DA90696834EB}" name="Tabla31011121311554" displayName="Tabla31011121311554" ref="FS3:FY371" totalsRowShown="0" headerRowDxfId="148">
  <autoFilter ref="FS3:FY371" xr:uid="{104E2886-A05D-4035-8D94-DA90696834EB}"/>
  <sortState xmlns:xlrd2="http://schemas.microsoft.com/office/spreadsheetml/2017/richdata2" ref="FS4:FX371">
    <sortCondition ref="FT3:FT371"/>
  </sortState>
  <tableColumns count="7">
    <tableColumn id="1" xr3:uid="{FF9137F6-4217-45E6-9422-132C6437BBDF}" name="Edificio"/>
    <tableColumn id="2" xr3:uid="{6ED9F29D-71B6-4929-9AE6-8B1A59282375}" name="Nivel"/>
    <tableColumn id="3" xr3:uid="{55AA95F5-056F-4AE9-B69D-DDF6AC65F4F8}" name="Perfíl"/>
    <tableColumn id="5" xr3:uid="{902706A5-65AF-4CD3-8203-C7AEF0A41255}" name="Volúmen" dataDxfId="147"/>
    <tableColumn id="7" xr3:uid="{6C988975-C2F1-4BC7-AF42-4EB7D6CCD767}" name="Longitud del eje"/>
    <tableColumn id="6" xr3:uid="{B0090837-5C85-49F0-86C3-3CD3DD009673}" name="Volúmen total"/>
    <tableColumn id="4" xr3:uid="{4CE9EF6B-C755-40D3-ADF9-A7FAC401EEAA}" name="Longitud total"/>
  </tableColumns>
  <tableStyleInfo name="TableStyleMedium3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198A628-9ADE-4DFD-8889-F278870A367D}" name="Tabla310111257" displayName="Tabla310111257" ref="EU3:FA715" totalsRowShown="0" headerRowDxfId="146">
  <autoFilter ref="EU3:FA715" xr:uid="{F198A628-9ADE-4DFD-8889-F278870A367D}"/>
  <sortState xmlns:xlrd2="http://schemas.microsoft.com/office/spreadsheetml/2017/richdata2" ref="EU4:EY715">
    <sortCondition ref="EY3:EY715"/>
  </sortState>
  <tableColumns count="7">
    <tableColumn id="1" xr3:uid="{100C6E75-7D8D-4ABE-BE58-F3936DB4C296}" name="Edificio"/>
    <tableColumn id="2" xr3:uid="{A4BE9093-7680-4159-B21D-DFD74B6A749A}" name="Nivel"/>
    <tableColumn id="3" xr3:uid="{B97BF4D3-11A0-4C34-9F9A-62D6B319FF80}" name="Perfíl"/>
    <tableColumn id="5" xr3:uid="{8F7FA290-19EC-42AD-8C9C-FDA3AA5B856A}" name="Longitud de eje" dataDxfId="145"/>
    <tableColumn id="6" xr3:uid="{373E788D-C42A-442A-896D-296C82EB70E8}" name="En culmo"/>
    <tableColumn id="4" xr3:uid="{52FB4C47-4AEE-46AF-B7AD-14E64EEF7E66}" name="Longitud total"/>
    <tableColumn id="7" xr3:uid="{400E7183-29A3-4987-8DE5-7888AB7AA8B1}" name="Número"/>
  </tableColumns>
  <tableStyleInfo name="TableStyleMedium3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9169400-2EA7-4916-B1AA-5EC621E14673}" name="Tabla578914151634353637383940414243444558" displayName="Tabla578914151634353637383940414243444558" ref="YA3:YI51" totalsRowShown="0" headerRowDxfId="144">
  <autoFilter ref="YA3:YI51" xr:uid="{29169400-2EA7-4916-B1AA-5EC621E14673}"/>
  <tableColumns count="9">
    <tableColumn id="1" xr3:uid="{045D2B6A-CE6D-457C-8361-2B16F4289DEC}" name="Edificio"/>
    <tableColumn id="2" xr3:uid="{D45B1638-1092-4958-A6BC-270C4CB9F591}" name="Nivel"/>
    <tableColumn id="3" xr3:uid="{A742599D-E135-4E01-959D-F24761A77D96}" name="Material"/>
    <tableColumn id="4" xr3:uid="{93EBADAA-F40F-40A6-BB2E-0B462FB133AF}" name="Volúmen bruto"/>
    <tableColumn id="6" xr3:uid="{70C61F06-0A09-4431-89D4-87FB83BC482C}" name="Área neta" dataDxfId="143"/>
    <tableColumn id="7" xr3:uid="{897C4380-13EF-4F79-A41C-856852A7F991}" name="Recuento" dataDxfId="142"/>
    <tableColumn id="8" xr3:uid="{F30FA61E-CA6A-4D91-BD88-F2015C4D4B86}" name="Volúmen total" dataDxfId="141"/>
    <tableColumn id="9" xr3:uid="{8CD7422E-3469-4A8A-8481-7A8B1DCFE686}" name="Área total" dataDxfId="140"/>
    <tableColumn id="5" xr3:uid="{4749538E-B7B3-4C64-9EA3-D4CD78EEF7E8}" name="TOTAL" dataDxfId="139">
      <calculatedColumnFormula>+SUM(YD4:YD5)</calculatedColumnFormula>
    </tableColumn>
  </tableColumns>
  <tableStyleInfo name="TableStyleMedium7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F40B9F1D-AE2D-49AF-87FB-F4FE379FB3B4}" name="Tabla520212224252659" displayName="Tabla520212224252659" ref="KW3:LE132" totalsRowShown="0" headerRowDxfId="138">
  <autoFilter ref="KW3:LE132" xr:uid="{F40B9F1D-AE2D-49AF-87FB-F4FE379FB3B4}"/>
  <tableColumns count="9">
    <tableColumn id="1" xr3:uid="{84E20747-BECB-40E8-9E4B-F6D5718B48DB}" name="Edificio"/>
    <tableColumn id="2" xr3:uid="{13588634-6C80-4706-9D3B-DC32134FC7E0}" name="Nivel"/>
    <tableColumn id="3" xr3:uid="{93E92E1F-6AA3-4431-8626-226C272D5F60}" name="Material"/>
    <tableColumn id="6" xr3:uid="{A077D53B-B3E3-421F-B7D3-0494BE43DB37}" name="Volúmen bruto"/>
    <tableColumn id="4" xr3:uid="{B522B4E8-C5B7-462A-91B3-5EF8F7DA2D99}" name="Área neta"/>
    <tableColumn id="7" xr3:uid="{3882EA8C-F672-4924-B433-64270F6DAF71}" name="Recuento"/>
    <tableColumn id="8" xr3:uid="{4BE6700B-3BA6-4AE9-8F39-EC1D620C6251}" name="Volúmen total" dataDxfId="137">
      <calculatedColumnFormula>+Tabla520212224252659[[#This Row],[Recuento]]*Tabla520212224252659[[#This Row],[Volúmen bruto]]</calculatedColumnFormula>
    </tableColumn>
    <tableColumn id="9" xr3:uid="{61C47E57-82BD-49F2-A957-F506F9415100}" name="Área total" dataDxfId="136">
      <calculatedColumnFormula>+Tabla520212224252659[[#This Row],[Recuento]]*Tabla520212224252659[[#This Row],[Área neta]]</calculatedColumnFormula>
    </tableColumn>
    <tableColumn id="5" xr3:uid="{DE450D4C-20CF-4126-8215-6B4C5C53D791}" name="TOTAL" dataDxfId="135">
      <calculatedColumnFormula>+SUM(LD4:LD132)</calculatedColumnFormula>
    </tableColumn>
  </tableColumns>
  <tableStyleInfo name="TableStyleMedium2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F0D50577-E69E-4744-9E7E-72BD75CEC6E0}" name="Tabla5202122242526104110" displayName="Tabla5202122242526104110" ref="KM3:KU132" totalsRowShown="0" headerRowDxfId="134">
  <autoFilter ref="KM3:KU132" xr:uid="{F0D50577-E69E-4744-9E7E-72BD75CEC6E0}"/>
  <tableColumns count="9">
    <tableColumn id="1" xr3:uid="{31C03CCB-D430-4609-9984-526C56A6E7B2}" name="Edificio"/>
    <tableColumn id="2" xr3:uid="{2F5D8BE2-1456-4EEC-9D38-EF4049C2D9AB}" name="Nivel"/>
    <tableColumn id="3" xr3:uid="{BAF9A087-5762-4E44-B3B6-B270788F5658}" name="Material"/>
    <tableColumn id="6" xr3:uid="{730D2E33-F52D-4565-8C97-525B042F1B2F}" name="Volúmen bruto"/>
    <tableColumn id="4" xr3:uid="{B03CA2C4-560A-4822-BBDD-F46E12407715}" name="Área neta"/>
    <tableColumn id="7" xr3:uid="{10A9B2A1-DF37-473F-93A9-452A53607483}" name="Recuento"/>
    <tableColumn id="8" xr3:uid="{9173A483-2342-4620-8AD8-972A60B54A2F}" name="Volúmen total" dataDxfId="133">
      <calculatedColumnFormula>+Tabla5202122242526104110[[#This Row],[Recuento]]*Tabla5202122242526104110[[#This Row],[Volúmen bruto]]</calculatedColumnFormula>
    </tableColumn>
    <tableColumn id="9" xr3:uid="{0841D079-1FE1-4807-A0C0-5605074007F6}" name="Área total" dataDxfId="132">
      <calculatedColumnFormula>+Tabla5202122242526104110[[#This Row],[Recuento]]*Tabla5202122242526104110[[#This Row],[Área neta]]</calculatedColumnFormula>
    </tableColumn>
    <tableColumn id="5" xr3:uid="{6C888BA8-CA34-4DCB-B7EB-39A8B343A511}" name="TOTAL" dataDxfId="131">
      <calculatedColumnFormula>+SUM(KT4:KT132)</calculatedColumnFormula>
    </tableColumn>
  </tableColumns>
  <tableStyleInfo name="TableStyleMedium2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75F6544F-27BC-4170-9321-121798900302}" name="Tabla520212224252659111" displayName="Tabla520212224252659111" ref="LG3:LO132" totalsRowShown="0" headerRowDxfId="130">
  <autoFilter ref="LG3:LO132" xr:uid="{75F6544F-27BC-4170-9321-121798900302}"/>
  <tableColumns count="9">
    <tableColumn id="1" xr3:uid="{51B4E860-E1C7-4C68-B1BE-A0605DC97E82}" name="Edificio"/>
    <tableColumn id="2" xr3:uid="{4B86769A-DF93-4157-B283-7B137BC2052A}" name="Nivel"/>
    <tableColumn id="3" xr3:uid="{11E70F91-61A2-40D7-89A0-91864328B393}" name="Material"/>
    <tableColumn id="6" xr3:uid="{75181E3D-8732-49B8-90D3-AC74112BCB61}" name="Volúmen bruto"/>
    <tableColumn id="4" xr3:uid="{972C1D55-D881-4C56-BC21-9D046D668798}" name="Área neta"/>
    <tableColumn id="7" xr3:uid="{36A1A6A6-8251-4E6F-A58D-5D99EED7D343}" name="Recuento"/>
    <tableColumn id="8" xr3:uid="{31961BF3-42B1-44EF-B5E1-61E5543E6941}" name="Volúmen total" dataDxfId="129">
      <calculatedColumnFormula>+Tabla520212224252659111[[#This Row],[Recuento]]*Tabla520212224252659111[[#This Row],[Volúmen bruto]]</calculatedColumnFormula>
    </tableColumn>
    <tableColumn id="9" xr3:uid="{F317ED6D-BDBD-4860-9EA7-F7548DE5AE3B}" name="Área total" dataDxfId="128">
      <calculatedColumnFormula>+Tabla520212224252659111[[#This Row],[Recuento]]*Tabla520212224252659111[[#This Row],[Área neta]]</calculatedColumnFormula>
    </tableColumn>
    <tableColumn id="5" xr3:uid="{F8548CAD-7FF1-4B3B-82C3-CBA1BE1F7E50}" name="TOTAL" dataDxfId="127">
      <calculatedColumnFormula>+SUM(LN4:LN132)</calculatedColumnFormula>
    </tableColumn>
  </tableColumns>
  <tableStyleInfo name="TableStyleMedium2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45F4DBEA-135D-4206-9E56-CE48FD8D5CE8}" name="Tabla520212224252659111114" displayName="Tabla520212224252659111114" ref="LQ3:LY132" totalsRowShown="0" headerRowDxfId="126">
  <autoFilter ref="LQ3:LY132" xr:uid="{45F4DBEA-135D-4206-9E56-CE48FD8D5CE8}"/>
  <tableColumns count="9">
    <tableColumn id="1" xr3:uid="{7682551F-402E-4C4C-9765-773367153B73}" name="Edificio"/>
    <tableColumn id="2" xr3:uid="{08D6CFC0-C73D-408B-9B9B-51496927345B}" name="Nivel"/>
    <tableColumn id="3" xr3:uid="{2A79B934-E9A4-413D-9B9C-AADF809637FD}" name="Material"/>
    <tableColumn id="6" xr3:uid="{F16A9D6F-1F5C-491C-80B6-532DAB3D1288}" name="Volúmen bruto"/>
    <tableColumn id="4" xr3:uid="{753968BA-D2BE-4CC8-818D-E6229E5177C4}" name="Área neta"/>
    <tableColumn id="7" xr3:uid="{149DA65B-21FE-4409-B589-5C59DE2DCB21}" name="Recuento"/>
    <tableColumn id="8" xr3:uid="{6F296BD9-A7EE-4349-BE30-11BF0B88525D}" name="Volúmen total" dataDxfId="125">
      <calculatedColumnFormula>+Tabla520212224252659111114[[#This Row],[Recuento]]*Tabla520212224252659111114[[#This Row],[Volúmen bruto]]</calculatedColumnFormula>
    </tableColumn>
    <tableColumn id="9" xr3:uid="{62E5008F-AABB-4D4F-90A3-051C389FC40A}" name="Área total" dataDxfId="124">
      <calculatedColumnFormula>+Tabla520212224252659111114[[#This Row],[Recuento]]*Tabla520212224252659111114[[#This Row],[Área neta]]</calculatedColumnFormula>
    </tableColumn>
    <tableColumn id="5" xr3:uid="{C99997C8-741D-4543-9DA7-75EF1564A0AF}" name="TOTAL" dataDxfId="123">
      <calculatedColumnFormula>+SUM(LX4:LX132)</calculatedColumnFormula>
    </tableColumn>
  </tableColumns>
  <tableStyleInfo name="TableStyleMedium2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334D5F8F-A22C-4AD9-810D-5930C1AE75FC}" name="Tabla31011116" displayName="Tabla31011116" ref="CM3:CS380" totalsRowShown="0" headerRowDxfId="122">
  <autoFilter ref="CM3:CS380" xr:uid="{334D5F8F-A22C-4AD9-810D-5930C1AE75FC}"/>
  <sortState xmlns:xlrd2="http://schemas.microsoft.com/office/spreadsheetml/2017/richdata2" ref="CM4:CR380">
    <sortCondition ref="CN3:CN380"/>
  </sortState>
  <tableColumns count="7">
    <tableColumn id="1" xr3:uid="{52B0CC6F-3B89-49BF-88C4-6F94925F804B}" name="Edificio"/>
    <tableColumn id="2" xr3:uid="{CAD23E5D-469F-4669-8F0F-408A87035D6E}" name="Nivel"/>
    <tableColumn id="3" xr3:uid="{AA88DF40-B7EB-4C73-98FD-8B7AF534647D}" name="Perfíl"/>
    <tableColumn id="5" xr3:uid="{16BD44ED-2EFD-4601-9B4B-A326B75E7008}" name="Longitud de eje" dataDxfId="121"/>
    <tableColumn id="7" xr3:uid="{C97D79E7-BCF0-486A-B392-A49BB5E0154A}" name="En culmo"/>
    <tableColumn id="6" xr3:uid="{66C7C5F7-AA2B-4552-BE01-9F349FD37819}" name="Longitud total"/>
    <tableColumn id="4" xr3:uid="{102333B1-9F54-4112-A860-23E26B08D045}" name="Número" dataDxfId="120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1608EEBC-B38E-46CD-9E1E-09FD504709B8}" name="Tabla727482" displayName="Tabla727482" ref="B413:E421" totalsRowShown="0">
  <autoFilter ref="B413:E421" xr:uid="{1608EEBC-B38E-46CD-9E1E-09FD504709B8}"/>
  <tableColumns count="4">
    <tableColumn id="1" xr3:uid="{789EFFDF-F7BB-4D96-BFC9-94C1A8829832}" name="ITEM"/>
    <tableColumn id="2" xr3:uid="{1D5042A8-434A-44BC-8400-D3E7DFC5A748}" name="UNIDAD" dataDxfId="503"/>
    <tableColumn id="3" xr3:uid="{0B9B5EA8-3CC7-4E77-BC0F-855B76B74748}" name="GRUPO" dataDxfId="502"/>
    <tableColumn id="4" xr3:uid="{1397A802-B54A-4D43-BB66-7A4DD1DAE930}" name="V. UNITARIO" dataDxfId="501" dataCellStyle="Moneda"/>
  </tableColumns>
  <tableStyleInfo name="TableStyleMedium3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3D719A9C-8800-44E0-883D-04296B169348}" name="Tabla3101170117" displayName="Tabla3101170117" ref="CU3:DA380" totalsRowShown="0" headerRowDxfId="119">
  <autoFilter ref="CU3:DA380" xr:uid="{3D719A9C-8800-44E0-883D-04296B169348}"/>
  <sortState xmlns:xlrd2="http://schemas.microsoft.com/office/spreadsheetml/2017/richdata2" ref="CU4:CY380">
    <sortCondition ref="CV3:CV380"/>
  </sortState>
  <tableColumns count="7">
    <tableColumn id="1" xr3:uid="{EF6E4A96-8563-420F-8080-C8C74230FF66}" name="Edificio"/>
    <tableColumn id="2" xr3:uid="{A72584A4-DBC7-4C75-B912-54F1C612FF9D}" name="Nivel"/>
    <tableColumn id="3" xr3:uid="{5023869F-57C5-4104-AE37-6A0A6909060C}" name="Perfíl"/>
    <tableColumn id="5" xr3:uid="{4538D778-4DB8-43E7-97F4-B41361DA97CB}" name="Longitud de eje" dataDxfId="118"/>
    <tableColumn id="6" xr3:uid="{3C488655-729A-4642-B7F4-18F3A255D2F7}" name="En culmo"/>
    <tableColumn id="4" xr3:uid="{58F84AAB-2E5D-4C7F-935B-C9FE864D61EE}" name="Longitud total"/>
    <tableColumn id="7" xr3:uid="{EABA1DE3-E1EC-4619-ACA3-A44A9D62897C}" name="Número"/>
  </tableColumns>
  <tableStyleInfo name="TableStyleMedium3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6791B88A-B57C-459A-A34B-289A76340C42}" name="Tabla56118" displayName="Tabla56118" ref="ADD41:ADG60" totalsRowShown="0" headerRowDxfId="117" dataDxfId="116">
  <autoFilter ref="ADD41:ADG60" xr:uid="{6791B88A-B57C-459A-A34B-289A76340C42}"/>
  <tableColumns count="4">
    <tableColumn id="1" xr3:uid="{DA7FAE14-C3D3-4536-99FD-8A710FD43E89}" name="Familia y tipo" dataDxfId="115"/>
    <tableColumn id="2" xr3:uid="{B1CAA1AE-66A9-4E03-93E6-68627E959BE7}" name="Longitud" dataDxfId="114"/>
    <tableColumn id="3" xr3:uid="{8CA06B84-62D0-440B-8C80-3C21BFDA50C6}" name="Recuento" dataDxfId="113"/>
    <tableColumn id="4" xr3:uid="{FA885F89-F678-493A-8054-EA8A7C87154F}" name="TOTAL" dataDxfId="112">
      <calculatedColumnFormula>+ADF42*ADE42</calculatedColumnFormula>
    </tableColumn>
  </tableColumns>
  <tableStyleInfo name="TableStyleDark3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FF6A1063-2BB8-402F-81D4-DDA5E5CB32EC}" name="Tabla56118119" displayName="Tabla56118119" ref="ADD66:ADG85" totalsRowShown="0" headerRowDxfId="111" dataDxfId="110">
  <autoFilter ref="ADD66:ADG85" xr:uid="{FF6A1063-2BB8-402F-81D4-DDA5E5CB32EC}"/>
  <tableColumns count="4">
    <tableColumn id="1" xr3:uid="{2977DA95-BF70-42BE-9131-8A99B05EC246}" name="Familia y tipo" dataDxfId="109"/>
    <tableColumn id="2" xr3:uid="{351E1451-5342-45E0-ABF3-9118FC8E0C0D}" name="Longitud" dataDxfId="108"/>
    <tableColumn id="3" xr3:uid="{7FC9D5B3-CB34-41DD-80D0-A2756A5CBAC3}" name="Recuento" dataDxfId="107"/>
    <tableColumn id="4" xr3:uid="{A4261A14-39CB-4F63-A33D-70665477F354}" name="TOTAL" dataDxfId="106">
      <calculatedColumnFormula>+ADF67*ADE67</calculatedColumnFormula>
    </tableColumn>
  </tableColumns>
  <tableStyleInfo name="TableStyleDark3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6B5C6491-E7E3-434B-9F01-0BDBB780DD2E}" name="Tabla57891415163435363738394041121" displayName="Tabla57891415163435363738394041121" ref="VS3:WA51" totalsRowShown="0" headerRowDxfId="105">
  <autoFilter ref="VS3:WA51" xr:uid="{6B5C6491-E7E3-434B-9F01-0BDBB780DD2E}"/>
  <tableColumns count="9">
    <tableColumn id="1" xr3:uid="{83C9F3B4-70A6-42E3-AE65-C0010E4DD186}" name="Edificio"/>
    <tableColumn id="2" xr3:uid="{2F432FAD-F9A6-4D73-8AC7-D6CB05666C73}" name="Nivel"/>
    <tableColumn id="3" xr3:uid="{41611F5C-0258-47DE-90D9-B4103BC93842}" name="Material"/>
    <tableColumn id="4" xr3:uid="{E5208E71-118E-4CFF-9396-DD94757C9A69}" name="Volúmen bruto"/>
    <tableColumn id="6" xr3:uid="{5AC4A0F4-B21C-48B3-8AF0-A9CD536B042A}" name="Área neta" dataDxfId="104"/>
    <tableColumn id="7" xr3:uid="{A89BA945-9ECE-4B4E-9725-2E8A8B269BF6}" name="Recuento" dataDxfId="103"/>
    <tableColumn id="8" xr3:uid="{937FCAC7-33BE-4903-98BE-E962C880FD62}" name="Volúmen total" dataDxfId="102"/>
    <tableColumn id="9" xr3:uid="{D8477880-7930-4597-A8C4-EFE0ECE23CCC}" name="Área total" dataDxfId="101"/>
    <tableColumn id="5" xr3:uid="{559CBA0D-2351-44B6-AD03-68B97FBB9D1F}" name="TOTAL" dataDxfId="100">
      <calculatedColumnFormula>+SUM(VV4:VV5)</calculatedColumnFormula>
    </tableColumn>
  </tableColumns>
  <tableStyleInfo name="TableStyleMedium7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76EE5825-3033-4DBE-B075-0EF54A61A9CA}" name="Tabla3101170411120" displayName="Tabla3101170411120" ref="DQ3:DV380" totalsRowShown="0" headerRowDxfId="99">
  <autoFilter ref="DQ3:DV380" xr:uid="{76EE5825-3033-4DBE-B075-0EF54A61A9CA}"/>
  <sortState xmlns:xlrd2="http://schemas.microsoft.com/office/spreadsheetml/2017/richdata2" ref="DQ4:DT380">
    <sortCondition ref="DR3:DR380"/>
  </sortState>
  <tableColumns count="6">
    <tableColumn id="1" xr3:uid="{55F42974-9E78-40C9-8C8B-164F2188F494}" name="Edificio"/>
    <tableColumn id="2" xr3:uid="{0FFA3437-73FA-4269-88CF-29A580062D54}" name="Nivel"/>
    <tableColumn id="3" xr3:uid="{C4F0F63C-EF32-4DD3-BEC7-C4AAE7CC01F5}" name="Perfíl"/>
    <tableColumn id="5" xr3:uid="{A47E6E21-3D1B-4A0C-B7F3-37C61BC8BBEC}" name="Longitud de eje" dataDxfId="98"/>
    <tableColumn id="4" xr3:uid="{C88D674D-912D-4A0F-9349-0CBDAB9A570C}" name="Longitud total"/>
    <tableColumn id="7" xr3:uid="{C85CD7A6-63E0-4600-81FF-3B934CF22CFE}" name="Número"/>
  </tableColumns>
  <tableStyleInfo name="TableStyleMedium3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4706E6E4-D0A5-4249-80E0-51FFF23E1649}" name="Tabla3101170411120122" displayName="Tabla3101170411120122" ref="DX3:EC380" totalsRowShown="0" headerRowDxfId="97">
  <autoFilter ref="DX3:EC380" xr:uid="{4706E6E4-D0A5-4249-80E0-51FFF23E1649}"/>
  <sortState xmlns:xlrd2="http://schemas.microsoft.com/office/spreadsheetml/2017/richdata2" ref="DX4:EA380">
    <sortCondition ref="DY3:DY380"/>
  </sortState>
  <tableColumns count="6">
    <tableColumn id="1" xr3:uid="{2960DC2B-9557-4961-BA74-CB42FB2406AC}" name="Edificio"/>
    <tableColumn id="2" xr3:uid="{B9FDC88B-74B4-4C92-A567-7AF70388CC05}" name="Nivel"/>
    <tableColumn id="3" xr3:uid="{CFCDDE9A-A86C-485A-A542-069ED48BA073}" name="Perfíl"/>
    <tableColumn id="5" xr3:uid="{C9EE0DC1-E86A-44D3-A05F-83601EA60503}" name="Longitud de eje" dataDxfId="96"/>
    <tableColumn id="4" xr3:uid="{2EB561E3-F146-412B-B87A-1A97DD75EBA3}" name="Longitud total"/>
    <tableColumn id="7" xr3:uid="{8853002B-998F-4A58-95B3-E7947E91BBE1}" name="Número"/>
  </tableColumns>
  <tableStyleInfo name="TableStyleMedium3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E0375809-A5C0-4A6E-8CE1-5FEEBC774EFA}" name="Tabla3101112123" displayName="Tabla3101112123" ref="EM3:ES715" totalsRowShown="0" headerRowDxfId="95">
  <autoFilter ref="EM3:ES715" xr:uid="{E0375809-A5C0-4A6E-8CE1-5FEEBC774EFA}"/>
  <sortState xmlns:xlrd2="http://schemas.microsoft.com/office/spreadsheetml/2017/richdata2" ref="EM4:EQ715">
    <sortCondition ref="EQ3:EQ715"/>
  </sortState>
  <tableColumns count="7">
    <tableColumn id="1" xr3:uid="{6B5D0DA3-299C-4443-A31D-D5C887C87AB1}" name="Edificio"/>
    <tableColumn id="2" xr3:uid="{1A17BF3B-BF01-426B-BECB-E8B51E7D286E}" name="Nivel"/>
    <tableColumn id="3" xr3:uid="{E2E393AF-04F8-4FBE-8767-B83202BC3E92}" name="Perfíl"/>
    <tableColumn id="5" xr3:uid="{87A8ADC3-C236-460A-91AC-FF423D164EA3}" name="Longitud de eje" dataDxfId="94"/>
    <tableColumn id="6" xr3:uid="{73C8F6A6-D51C-40B5-B5C4-C3BC87ADB902}" name="En culmo"/>
    <tableColumn id="4" xr3:uid="{8C115B92-0883-4B55-BE9C-0BA5ECCFFB5E}" name="Longitud total"/>
    <tableColumn id="7" xr3:uid="{EC23FB05-E69D-4A35-91AE-A261CA919FD2}" name="Número"/>
  </tableColumns>
  <tableStyleInfo name="TableStyleMedium3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F7087BAE-C8E8-451F-8150-982C5E6D088D}" name="Tabla310111257124" displayName="Tabla310111257124" ref="FC3:FI715" totalsRowShown="0" headerRowDxfId="93">
  <autoFilter ref="FC3:FI715" xr:uid="{F7087BAE-C8E8-451F-8150-982C5E6D088D}"/>
  <sortState xmlns:xlrd2="http://schemas.microsoft.com/office/spreadsheetml/2017/richdata2" ref="FC4:FG715">
    <sortCondition ref="FG3:FG715"/>
  </sortState>
  <tableColumns count="7">
    <tableColumn id="1" xr3:uid="{99866617-893E-4C9E-B8EE-F9F66BC24CAB}" name="Edificio"/>
    <tableColumn id="2" xr3:uid="{9FF29E82-1A23-4086-8122-86881E40CAD2}" name="Nivel"/>
    <tableColumn id="3" xr3:uid="{21D58312-434E-4958-9D75-80698DE89073}" name="Perfíl"/>
    <tableColumn id="5" xr3:uid="{5A93C6FB-0506-4E1F-8201-D8B3A6BF47AB}" name="Longitud de eje" dataDxfId="92"/>
    <tableColumn id="6" xr3:uid="{3FA75D57-E1FA-415D-8446-1C0E58C89330}" name="En culmo"/>
    <tableColumn id="4" xr3:uid="{CDE9224F-B093-4EF1-876B-9ACD00D63F6F}" name="Longitud total"/>
    <tableColumn id="7" xr3:uid="{9B53677F-D75B-4EE7-86BD-4011B0C6DCC2}" name="Número"/>
  </tableColumns>
  <tableStyleInfo name="TableStyleMedium3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4EC7362A-D3A0-421F-A3EB-493C2A00C382}" name="Tabla578914126" displayName="Tabla578914126" ref="HA3:HI112" totalsRowShown="0" headerRowDxfId="91">
  <autoFilter ref="HA3:HI112" xr:uid="{4EC7362A-D3A0-421F-A3EB-493C2A00C382}"/>
  <sortState xmlns:xlrd2="http://schemas.microsoft.com/office/spreadsheetml/2017/richdata2" ref="HA4:HI112">
    <sortCondition ref="HB3:HB112"/>
  </sortState>
  <tableColumns count="9">
    <tableColumn id="1" xr3:uid="{E6F09BEA-3AAB-4D2F-9D4E-6CE0350E64D9}" name="Edificio"/>
    <tableColumn id="2" xr3:uid="{FA7CD2C1-5539-45B8-9D9E-8214E80B9BF5}" name="Nivel"/>
    <tableColumn id="3" xr3:uid="{8D909C0C-0934-409B-9209-820BAB674FB9}" name="Material"/>
    <tableColumn id="4" xr3:uid="{06FBE8D1-896B-4D27-B060-663521F499F9}" name="Volúmen bruto"/>
    <tableColumn id="6" xr3:uid="{4238848E-656D-435D-8742-98C304391B19}" name="Área neta" dataDxfId="90"/>
    <tableColumn id="9" xr3:uid="{06862B27-5F60-4588-A194-05A4403A4E9D}" name="Recuento" dataDxfId="89"/>
    <tableColumn id="8" xr3:uid="{21DECDAD-9A62-403F-B03E-5B45BE76DD62}" name="Volúmen total" dataDxfId="88">
      <calculatedColumnFormula>+Tabla578914126[[#This Row],[Recuento]]*Tabla578914126[[#This Row],[Volúmen bruto]]</calculatedColumnFormula>
    </tableColumn>
    <tableColumn id="7" xr3:uid="{E2BC1CD6-C79D-45A1-BEBB-11E85D49116E}" name="Área total" dataDxfId="87">
      <calculatedColumnFormula>+Tabla578914126[[#This Row],[Recuento]]*Tabla578914126[[#This Row],[Área neta]]</calculatedColumnFormula>
    </tableColumn>
    <tableColumn id="5" xr3:uid="{9CBD6B67-1559-46D1-981F-E7E6C485CA55}" name="TOTAL" dataDxfId="86">
      <calculatedColumnFormula>+SUM(HD4:HD5)</calculatedColumnFormula>
    </tableColumn>
  </tableColumns>
  <tableStyleInfo name="TableStyleMedium5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B967EF06-E1DC-41FF-80B6-D3E6D4DE8DB8}" name="Tabla578914126127" displayName="Tabla578914126127" ref="HK3:HS112" totalsRowShown="0" headerRowDxfId="85">
  <autoFilter ref="HK3:HS112" xr:uid="{B967EF06-E1DC-41FF-80B6-D3E6D4DE8DB8}"/>
  <sortState xmlns:xlrd2="http://schemas.microsoft.com/office/spreadsheetml/2017/richdata2" ref="HK4:HS112">
    <sortCondition ref="HL3:HL112"/>
  </sortState>
  <tableColumns count="9">
    <tableColumn id="1" xr3:uid="{3ACD3732-F7C8-49F9-A560-E26C002D2DC2}" name="Edificio"/>
    <tableColumn id="2" xr3:uid="{31B1A8C4-A6DB-4F74-9540-FB8984F0A9FD}" name="Nivel"/>
    <tableColumn id="3" xr3:uid="{561C3525-0D74-46C6-AE9C-C80596C92CB7}" name="Material"/>
    <tableColumn id="4" xr3:uid="{5D7566FB-943A-47BE-9A12-C66D5A59C1C0}" name="Volúmen bruto"/>
    <tableColumn id="6" xr3:uid="{A9C65CEE-051C-415C-A9EE-BAE56344EB78}" name="Área neta" dataDxfId="84"/>
    <tableColumn id="9" xr3:uid="{BA1FD3BA-1EAA-4BDB-BA82-532B141C0F34}" name="Recuento" dataDxfId="83"/>
    <tableColumn id="8" xr3:uid="{6098C217-B926-4E9E-A8A9-7FD93E80ED74}" name="Volúmen total" dataDxfId="82">
      <calculatedColumnFormula>+Tabla578914126127[[#This Row],[Recuento]]*Tabla578914126127[[#This Row],[Volúmen bruto]]</calculatedColumnFormula>
    </tableColumn>
    <tableColumn id="7" xr3:uid="{74E8EDCC-9811-4463-8600-D9FA247A3433}" name="Área total" dataDxfId="81">
      <calculatedColumnFormula>+Tabla578914126127[[#This Row],[Recuento]]*Tabla578914126127[[#This Row],[Área neta]]</calculatedColumnFormula>
    </tableColumn>
    <tableColumn id="5" xr3:uid="{D5FB4825-5DCC-4F88-9564-19BB3C100276}" name="TOTAL" dataDxfId="80">
      <calculatedColumnFormula>+SUM(HN4:HN5)</calculatedColumnFormula>
    </tableColumn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95F85E6-24F0-45D7-84C7-67251A2042A5}" name="Tabla72748283" displayName="Tabla72748283" ref="B424:E440" totalsRowShown="0">
  <autoFilter ref="B424:E440" xr:uid="{095F85E6-24F0-45D7-84C7-67251A2042A5}"/>
  <tableColumns count="4">
    <tableColumn id="1" xr3:uid="{C4CF92DD-FA32-4206-883A-9CC2ADDB154E}" name="ITEM"/>
    <tableColumn id="2" xr3:uid="{4A6050B5-9D41-48AA-A15A-C62954927458}" name="UNIDAD" dataDxfId="500"/>
    <tableColumn id="3" xr3:uid="{0D2F4539-B5D6-423D-B6B1-3D139A06BA7E}" name="GRUPO" dataDxfId="499"/>
    <tableColumn id="4" xr3:uid="{8DA5468E-3A0F-4A80-A5C7-10D50EB16D4D}" name="V. UNITARIO" dataDxfId="498" dataCellStyle="Moneda"/>
  </tableColumns>
  <tableStyleInfo name="TableStyleMedium3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8AA692F6-DAE7-4628-8997-55A4BE128FD5}" name="Tabla5202122242526104" displayName="Tabla5202122242526104" ref="KC3:KK132" totalsRowShown="0" headerRowDxfId="79">
  <autoFilter ref="KC3:KK132" xr:uid="{8AA692F6-DAE7-4628-8997-55A4BE128FD5}"/>
  <tableColumns count="9">
    <tableColumn id="1" xr3:uid="{5B0FBE29-7926-4BBD-B46C-E307119B1A1C}" name="Edificio"/>
    <tableColumn id="2" xr3:uid="{6A6097AD-1D71-48E6-AEB8-5C5C9710A95A}" name="Nivel"/>
    <tableColumn id="3" xr3:uid="{9FABC633-F453-493A-A418-792C2E939DBA}" name="Material"/>
    <tableColumn id="6" xr3:uid="{5EC8D9AB-BA83-4EF2-B1AA-CF5146C5E961}" name="Volúmen bruto"/>
    <tableColumn id="4" xr3:uid="{DD0DE80F-9C8A-4846-9459-88ECBF672F58}" name="Área neta"/>
    <tableColumn id="7" xr3:uid="{48E30933-BA89-49F2-ADFA-87FD5445CCCE}" name="Recuento"/>
    <tableColumn id="8" xr3:uid="{2E928BC3-652F-4D1D-9615-834E73BB4408}" name="Volúmen total" dataDxfId="78">
      <calculatedColumnFormula>+Tabla5202122242526104[[#This Row],[Recuento]]*Tabla5202122242526104[[#This Row],[Volúmen bruto]]</calculatedColumnFormula>
    </tableColumn>
    <tableColumn id="9" xr3:uid="{272E3AFB-FC01-47F1-AF88-F28E2042F701}" name="Área total" dataDxfId="77">
      <calculatedColumnFormula>+Tabla5202122242526104[[#This Row],[Recuento]]*Tabla5202122242526104[[#This Row],[Área neta]]</calculatedColumnFormula>
    </tableColumn>
    <tableColumn id="5" xr3:uid="{64AD9A84-0692-47A4-8C76-2D350AD30950}" name="TOTAL" dataDxfId="76">
      <calculatedColumnFormula>+SUM(KJ4:KJ132)</calculatedColumnFormula>
    </tableColumn>
  </tableColumns>
  <tableStyleInfo name="TableStyleMedium2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E712EA70-0E8F-480D-9201-494CFD69FFAF}" name="Tabla520212224252659111114128" displayName="Tabla520212224252659111114128" ref="MA3:MI132" totalsRowShown="0" headerRowDxfId="75">
  <autoFilter ref="MA3:MI132" xr:uid="{E712EA70-0E8F-480D-9201-494CFD69FFAF}"/>
  <tableColumns count="9">
    <tableColumn id="1" xr3:uid="{3AD64FD3-484E-4B84-A2E2-84E222C38D58}" name="Edificio"/>
    <tableColumn id="2" xr3:uid="{FCBAF219-500C-469E-9FD4-3A5B86346CA8}" name="Nivel"/>
    <tableColumn id="3" xr3:uid="{2F255C9C-3FAA-492A-83E3-23AB99461C5D}" name="Material"/>
    <tableColumn id="6" xr3:uid="{7F59065C-50D4-4A9B-919F-F911B0245F82}" name="Volúmen bruto"/>
    <tableColumn id="4" xr3:uid="{1DB336D3-A1C1-4265-8200-7F06AFF91B82}" name="Área neta"/>
    <tableColumn id="7" xr3:uid="{345D22F1-1DA2-428D-A23B-4EF2B90BD6C2}" name="Recuento"/>
    <tableColumn id="8" xr3:uid="{72EF1FEB-17F9-45C1-9B05-32063DE99F0A}" name="Volúmen total" dataDxfId="74">
      <calculatedColumnFormula>+Tabla520212224252659111114128[[#This Row],[Recuento]]*Tabla520212224252659111114128[[#This Row],[Volúmen bruto]]</calculatedColumnFormula>
    </tableColumn>
    <tableColumn id="9" xr3:uid="{C20EE4C0-A2FD-4C1A-8591-75C83A97ADA2}" name="Área total" dataDxfId="73">
      <calculatedColumnFormula>+Tabla520212224252659111114128[[#This Row],[Recuento]]*Tabla520212224252659111114128[[#This Row],[Área neta]]</calculatedColumnFormula>
    </tableColumn>
    <tableColumn id="5" xr3:uid="{54CCB84A-03D8-4C0F-AE57-C1A97907B2AD}" name="TOTAL" dataDxfId="72">
      <calculatedColumnFormula>+SUM(MH4:MH132)</calculatedColumnFormula>
    </tableColumn>
  </tableColumns>
  <tableStyleInfo name="TableStyleMedium2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A2FDBD9C-9D84-4ADE-BBBF-0927988EE438}" name="Tabla520212224252627129" displayName="Tabla520212224252627129" ref="MU3:NC132" totalsRowShown="0" headerRowDxfId="71">
  <autoFilter ref="MU3:NC132" xr:uid="{A2FDBD9C-9D84-4ADE-BBBF-0927988EE438}"/>
  <tableColumns count="9">
    <tableColumn id="1" xr3:uid="{6E21664A-6007-4C59-99F5-CC344A0A9331}" name="Edificio"/>
    <tableColumn id="2" xr3:uid="{202DB945-1518-494D-B35E-36AB482F72FE}" name="Nivel"/>
    <tableColumn id="3" xr3:uid="{F5E2D0D2-CE02-495D-A5D2-13EAC1E3B235}" name="Material"/>
    <tableColumn id="6" xr3:uid="{71CC8D3D-9C98-4A73-BE57-FC5ED18EDD79}" name="Volúmen bruto"/>
    <tableColumn id="4" xr3:uid="{8C66F14D-CAF6-4549-82A8-049CB9F63D68}" name="Área neta"/>
    <tableColumn id="7" xr3:uid="{9A1AC17B-9154-4C0B-B2A0-848D8946F218}" name="Recuento"/>
    <tableColumn id="8" xr3:uid="{B3029D63-5466-4CA4-9A6E-C52C90B10F4A}" name="Volúmen total" dataDxfId="70">
      <calculatedColumnFormula>+Tabla520212224252627129[[#This Row],[Recuento]]*Tabla520212224252627129[[#This Row],[Volúmen bruto]]</calculatedColumnFormula>
    </tableColumn>
    <tableColumn id="9" xr3:uid="{7353703B-4213-46FC-89C3-56DCF9966B66}" name="Área total" dataDxfId="69">
      <calculatedColumnFormula>+Tabla520212224252627129[[#This Row],[Recuento]]*Tabla520212224252627129[[#This Row],[Área neta]]</calculatedColumnFormula>
    </tableColumn>
    <tableColumn id="5" xr3:uid="{95756DB2-E740-4C54-8BCE-2588DEF5E8D6}" name="TOTAL" dataDxfId="68">
      <calculatedColumnFormula>+SUM(NB4:NB132)</calculatedColumnFormula>
    </tableColumn>
  </tableColumns>
  <tableStyleInfo name="TableStyleMedium2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36AB5080-607D-4A07-AB47-000797722ECA}" name="Tabla520212224252627129125" displayName="Tabla520212224252627129125" ref="NE3:NM132" totalsRowShown="0" headerRowDxfId="67">
  <autoFilter ref="NE3:NM132" xr:uid="{36AB5080-607D-4A07-AB47-000797722ECA}"/>
  <tableColumns count="9">
    <tableColumn id="1" xr3:uid="{8E794612-800A-4D46-9D3C-58C340FBE325}" name="Edificio"/>
    <tableColumn id="2" xr3:uid="{EDB63090-D150-4A90-8BEE-EC69056D2D0F}" name="Nivel"/>
    <tableColumn id="3" xr3:uid="{4AB62D54-62C3-4999-99E1-64EB8EC6C4C6}" name="Material"/>
    <tableColumn id="6" xr3:uid="{656D6EC8-86E1-461A-AFFA-01E119F0ED35}" name="Volúmen bruto"/>
    <tableColumn id="4" xr3:uid="{20B91D27-6844-47A0-9356-822D5267CC3F}" name="Área neta"/>
    <tableColumn id="7" xr3:uid="{580748F3-CAF6-4E3F-BF03-D4BAC0CC26BE}" name="Recuento"/>
    <tableColumn id="8" xr3:uid="{7E2255D6-3C58-431F-94C5-824C02BF1C68}" name="Volúmen total" dataDxfId="66">
      <calculatedColumnFormula>+Tabla520212224252627129125[[#This Row],[Recuento]]*Tabla520212224252627129125[[#This Row],[Volúmen bruto]]</calculatedColumnFormula>
    </tableColumn>
    <tableColumn id="9" xr3:uid="{446135F8-3CD8-4E61-900F-4616D682AB6F}" name="Área total" dataDxfId="65">
      <calculatedColumnFormula>+Tabla520212224252627129125[[#This Row],[Recuento]]*Tabla520212224252627129125[[#This Row],[Área neta]]</calculatedColumnFormula>
    </tableColumn>
    <tableColumn id="5" xr3:uid="{C4BB47CC-6524-48CD-9F6E-F2BE053A7D4D}" name="TOTAL" dataDxfId="64">
      <calculatedColumnFormula>+SUM(NL4:NL132)</calculatedColumnFormula>
    </tableColumn>
  </tableColumns>
  <tableStyleInfo name="TableStyleMedium2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E2EC9A75-E8F0-4928-8A6E-699A748F01E1}" name="Tabla520212224252627129125130" displayName="Tabla520212224252627129125130" ref="NO3:NW132" totalsRowShown="0" headerRowDxfId="63">
  <autoFilter ref="NO3:NW132" xr:uid="{E2EC9A75-E8F0-4928-8A6E-699A748F01E1}"/>
  <tableColumns count="9">
    <tableColumn id="1" xr3:uid="{6621FDFF-9A50-4D8A-B414-F7C7614E0F3B}" name="Edificio"/>
    <tableColumn id="2" xr3:uid="{6DCB6BAA-AD4F-4517-9636-CFBEB0E72CC9}" name="Nivel"/>
    <tableColumn id="3" xr3:uid="{D089BD58-9F4A-4419-ABB7-C1947E1D4163}" name="Material"/>
    <tableColumn id="6" xr3:uid="{373A2AF9-5756-4AED-BFA4-93E9E440258F}" name="Volúmen bruto"/>
    <tableColumn id="4" xr3:uid="{08B319C5-F057-46F3-BBF2-7EC3AED277F3}" name="Área neta"/>
    <tableColumn id="7" xr3:uid="{D885A832-A7EE-469B-914B-334453E177CA}" name="Recuento"/>
    <tableColumn id="8" xr3:uid="{C5B7E060-ED8E-4D59-84A7-D36164EF2B97}" name="Volúmen total" dataDxfId="62">
      <calculatedColumnFormula>+Tabla520212224252627129125130[[#This Row],[Recuento]]*Tabla520212224252627129125130[[#This Row],[Volúmen bruto]]</calculatedColumnFormula>
    </tableColumn>
    <tableColumn id="9" xr3:uid="{D9503DED-5592-46B6-A814-7EB7BF872DAA}" name="Área total" dataDxfId="61">
      <calculatedColumnFormula>+Tabla520212224252627129125130[[#This Row],[Recuento]]*Tabla520212224252627129125130[[#This Row],[Área neta]]</calculatedColumnFormula>
    </tableColumn>
    <tableColumn id="5" xr3:uid="{C77AAC4C-CB2E-4357-92B2-3EF13B31D335}" name="TOTAL" dataDxfId="60">
      <calculatedColumnFormula>+SUM(NV4:NV132)</calculatedColumnFormula>
    </tableColumn>
  </tableColumns>
  <tableStyleInfo name="TableStyleMedium2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213498C1-0188-4A1D-B8E4-C6969304B102}" name="Tabla520212224252627129125130131" displayName="Tabla520212224252627129125130131" ref="NY3:OG132" totalsRowShown="0" headerRowDxfId="59">
  <autoFilter ref="NY3:OG132" xr:uid="{213498C1-0188-4A1D-B8E4-C6969304B102}"/>
  <tableColumns count="9">
    <tableColumn id="1" xr3:uid="{82720D2C-9149-4FEF-93EC-39811F44EBBE}" name="Edificio"/>
    <tableColumn id="2" xr3:uid="{618D50B7-862A-46E4-BAC5-2D5BB8E36670}" name="Nivel"/>
    <tableColumn id="3" xr3:uid="{F6C46C32-6F86-4C61-8F75-1A99DD225F30}" name="Material"/>
    <tableColumn id="6" xr3:uid="{08E7569B-E962-416B-9606-C1886F664AA6}" name="Volúmen bruto"/>
    <tableColumn id="4" xr3:uid="{48EE3967-B6B1-493F-8D67-589DD50579A3}" name="Área neta"/>
    <tableColumn id="7" xr3:uid="{B2653179-D4B9-451E-902A-A2D05E6D2B63}" name="Recuento"/>
    <tableColumn id="8" xr3:uid="{40911F32-9575-44AE-8DC6-8EA62D7F45DB}" name="Volúmen total" dataDxfId="58">
      <calculatedColumnFormula>+Tabla520212224252627129125130131[[#This Row],[Recuento]]*Tabla520212224252627129125130131[[#This Row],[Volúmen bruto]]</calculatedColumnFormula>
    </tableColumn>
    <tableColumn id="9" xr3:uid="{2221E37B-2F53-4AD1-8559-E9380971F0F9}" name="Área total" dataDxfId="57">
      <calculatedColumnFormula>+Tabla520212224252627129125130131[[#This Row],[Recuento]]*Tabla520212224252627129125130131[[#This Row],[Área neta]]</calculatedColumnFormula>
    </tableColumn>
    <tableColumn id="5" xr3:uid="{AB72F778-9CD7-4F6D-ABF3-87E668794C21}" name="TOTAL" dataDxfId="56">
      <calculatedColumnFormula>+SUM(OF4:OF132)</calculatedColumnFormula>
    </tableColumn>
  </tableColumns>
  <tableStyleInfo name="TableStyleMedium2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D6A86601-0BED-4A72-98E1-340C1545F6C1}" name="Tabla520212224252627129125130131132" displayName="Tabla520212224252627129125130131132" ref="OI3:OQ132" totalsRowShown="0" headerRowDxfId="55">
  <autoFilter ref="OI3:OQ132" xr:uid="{D6A86601-0BED-4A72-98E1-340C1545F6C1}"/>
  <tableColumns count="9">
    <tableColumn id="1" xr3:uid="{3E85C51B-FFBA-4295-AE27-A81CBE9ECD42}" name="Edificio"/>
    <tableColumn id="2" xr3:uid="{4FE2CC40-EBAF-405A-8678-0038FB485181}" name="Nivel"/>
    <tableColumn id="3" xr3:uid="{C172D3D3-3C27-4B1B-8CE4-53C9279CAAD5}" name="Material"/>
    <tableColumn id="6" xr3:uid="{6852E7E6-180A-45B5-B04B-330B56B98AB1}" name="Volúmen bruto"/>
    <tableColumn id="4" xr3:uid="{C49ED405-DEEF-4832-BDB2-1EE656A7ED88}" name="Área neta"/>
    <tableColumn id="7" xr3:uid="{94150A20-AFA6-4FC2-A61C-DD6A622A635E}" name="Recuento"/>
    <tableColumn id="8" xr3:uid="{8076AAD2-8331-40E8-B306-5884FAFE7EF4}" name="Volúmen total" dataDxfId="54">
      <calculatedColumnFormula>+Tabla520212224252627129125130131132[[#This Row],[Recuento]]*Tabla520212224252627129125130131132[[#This Row],[Volúmen bruto]]</calculatedColumnFormula>
    </tableColumn>
    <tableColumn id="9" xr3:uid="{9777AD2F-31B7-4EF7-A373-0E51C9A00582}" name="Área total" dataDxfId="53">
      <calculatedColumnFormula>+Tabla520212224252627129125130131132[[#This Row],[Recuento]]*Tabla520212224252627129125130131132[[#This Row],[Área neta]]</calculatedColumnFormula>
    </tableColumn>
    <tableColumn id="5" xr3:uid="{F65FA6E5-0BC5-41AA-B5AE-868D55AAA92D}" name="TOTAL" dataDxfId="52">
      <calculatedColumnFormula>+SUM(OP4:OP132)</calculatedColumnFormula>
    </tableColumn>
  </tableColumns>
  <tableStyleInfo name="TableStyleMedium2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31B7CD4F-E29F-4A3A-A86E-23A45632ACB2}" name="Tabla52021222425262728133" displayName="Tabla52021222425262728133" ref="PC3:PK132" totalsRowShown="0" headerRowDxfId="51">
  <autoFilter ref="PC3:PK132" xr:uid="{31B7CD4F-E29F-4A3A-A86E-23A45632ACB2}"/>
  <tableColumns count="9">
    <tableColumn id="1" xr3:uid="{0CE3E312-2590-4B04-8132-960C91238EA4}" name="Edificio"/>
    <tableColumn id="2" xr3:uid="{CE826F95-F29A-4B6C-B44C-9454872A5897}" name="Nivel"/>
    <tableColumn id="3" xr3:uid="{80D92751-DE54-4400-ACA7-482A9F60911D}" name="Material"/>
    <tableColumn id="6" xr3:uid="{03B6ABEB-B251-4A03-A431-BE742F1F67CF}" name="Volúmen bruto"/>
    <tableColumn id="4" xr3:uid="{9B6D58B1-70C1-426B-B4BA-8E8478B5B777}" name="Área neta"/>
    <tableColumn id="7" xr3:uid="{2D5DA15A-DF90-4F0E-91D1-3BB72549C112}" name="Recuento"/>
    <tableColumn id="8" xr3:uid="{03E9D05D-AE53-4CD3-856C-D03DDAE99BDD}" name="Volúmen total" dataDxfId="50">
      <calculatedColumnFormula>+Tabla52021222425262728133[[#This Row],[Recuento]]*Tabla52021222425262728133[[#This Row],[Volúmen bruto]]</calculatedColumnFormula>
    </tableColumn>
    <tableColumn id="9" xr3:uid="{3FC18953-EE7F-4062-9EF2-5BAD4D7555A8}" name="Área total" dataDxfId="49">
      <calculatedColumnFormula>+Tabla52021222425262728133[[#This Row],[Recuento]]*Tabla52021222425262728133[[#This Row],[Área neta]]</calculatedColumnFormula>
    </tableColumn>
    <tableColumn id="5" xr3:uid="{DB786569-18A1-4C4D-AA2D-6BE05F59DB70}" name="TOTAL" dataDxfId="48">
      <calculatedColumnFormula>+SUM(PJ6)</calculatedColumnFormula>
    </tableColumn>
  </tableColumns>
  <tableStyleInfo name="TableStyleMedium2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AC1EF826-D422-428E-BCEA-A955FF337A83}" name="Tabla520212224252627289349134" displayName="Tabla520212224252627289349134" ref="QG3:QO132" totalsRowShown="0" headerRowDxfId="47">
  <autoFilter ref="QG3:QO132" xr:uid="{AC1EF826-D422-428E-BCEA-A955FF337A83}"/>
  <tableColumns count="9">
    <tableColumn id="1" xr3:uid="{3800B3EB-8EE7-4BC5-8ECE-9949C090347D}" name="Edificio"/>
    <tableColumn id="2" xr3:uid="{FA86093C-8718-4BEB-9783-D358D9E2B563}" name="Nivel"/>
    <tableColumn id="3" xr3:uid="{5531CC1E-4D6F-40C4-B64B-407245F64B9C}" name="Material"/>
    <tableColumn id="6" xr3:uid="{141E6C24-AEA1-46FF-92D5-200BB9275A52}" name="Volúmen bruto"/>
    <tableColumn id="4" xr3:uid="{6D10825E-5266-4081-A59C-3831A139D192}" name="Área neta"/>
    <tableColumn id="7" xr3:uid="{F6A7076A-C969-4382-96F7-D1BA374E187A}" name="Recuento"/>
    <tableColumn id="8" xr3:uid="{42B10692-49C8-4410-80FE-7564682E59DC}" name="Volúmen total" dataDxfId="46">
      <calculatedColumnFormula>+Tabla520212224252627289349134[[#This Row],[Recuento]]*Tabla520212224252627289349134[[#This Row],[Volúmen bruto]]</calculatedColumnFormula>
    </tableColumn>
    <tableColumn id="9" xr3:uid="{18AFC515-90E9-4A2B-83A7-4A14269A2B1B}" name="Área total" dataDxfId="45">
      <calculatedColumnFormula>+Tabla520212224252627289349134[[#This Row],[Recuento]]*Tabla520212224252627289349134[[#This Row],[Área neta]]</calculatedColumnFormula>
    </tableColumn>
    <tableColumn id="5" xr3:uid="{1FED4465-ADD4-4BD9-B40C-89335BB50196}" name="TOTAL" dataDxfId="44">
      <calculatedColumnFormula>+SUM(QN4:QN132)</calculatedColumnFormula>
    </tableColumn>
  </tableColumns>
  <tableStyleInfo name="TableStyleMedium2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66F4012-7D1A-4D3D-88BD-45B9D0BA2B0C}" name="Tabla57891415163435363738394041425112" displayName="Tabla57891415163435363738394041425112" ref="WW3:XE51" totalsRowShown="0" headerRowDxfId="43">
  <autoFilter ref="WW3:XE51" xr:uid="{366F4012-7D1A-4D3D-88BD-45B9D0BA2B0C}"/>
  <tableColumns count="9">
    <tableColumn id="1" xr3:uid="{C270710E-A8DE-475F-B70D-253E864B5DDA}" name="Edificio"/>
    <tableColumn id="2" xr3:uid="{2D536F00-1038-4AF7-A73B-BC56B1914A18}" name="Nivel"/>
    <tableColumn id="3" xr3:uid="{DEE33FE0-15AB-49C8-974B-22215FCBF965}" name="Material"/>
    <tableColumn id="4" xr3:uid="{E37F7349-0231-4ADF-A878-6DCDCB8E9179}" name="Volúmen bruto"/>
    <tableColumn id="6" xr3:uid="{E3B03E69-ACE5-4F12-A018-F5DCE9AFF7BA}" name="Área neta" dataDxfId="42"/>
    <tableColumn id="7" xr3:uid="{80F9C5F1-46FE-444B-8308-209A8B6E140C}" name="Recuento" dataDxfId="41"/>
    <tableColumn id="8" xr3:uid="{2EAB23E9-A7EB-4AB3-8D54-BAA338170E40}" name="Volúmen total" dataDxfId="40"/>
    <tableColumn id="9" xr3:uid="{E37A299F-D766-41DA-975B-DC105C4810FC}" name="Área total" dataDxfId="39"/>
    <tableColumn id="5" xr3:uid="{E2A988BA-812A-47DA-AD46-6B802A1FF5CB}" name="TOTAL" dataDxfId="38">
      <calculatedColumnFormula>+SUM(WZ4:WZ5)</calculatedColumnFormula>
    </tableColumn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CDEA5B5-7673-451B-B8CC-46F2C55E7106}" name="Tabla7274828381" displayName="Tabla7274828381" ref="B195:E263" totalsRowShown="0">
  <autoFilter ref="B195:E263" xr:uid="{0CDEA5B5-7673-451B-B8CC-46F2C55E7106}"/>
  <tableColumns count="4">
    <tableColumn id="1" xr3:uid="{E7DB9B1B-AD09-4991-A7EA-7FD9786BA1B2}" name="ITEM"/>
    <tableColumn id="2" xr3:uid="{AE0AD6A1-531B-49E2-8530-AFFCF44B3B6E}" name="UNIDAD" dataDxfId="497"/>
    <tableColumn id="3" xr3:uid="{C72866EB-CA5C-466B-BED1-F647F6C0DB16}" name="GRUPO" dataDxfId="496"/>
    <tableColumn id="4" xr3:uid="{E1B9FD61-4378-498B-B888-C91D4AD1C0CD}" name="V. UNITARIO" dataDxfId="495" dataCellStyle="Moneda"/>
  </tableColumns>
  <tableStyleInfo name="TableStyleMedium5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79DBF7D-4977-42B6-9040-0C19DDFB185E}" name="Tabla57891415163435363738394041424344454647484950515213" displayName="Tabla57891415163435363738394041424344454647484950515213" ref="ABI3:ABQ51" totalsRowShown="0" headerRowDxfId="37">
  <autoFilter ref="ABI3:ABQ51" xr:uid="{079DBF7D-4977-42B6-9040-0C19DDFB185E}"/>
  <tableColumns count="9">
    <tableColumn id="1" xr3:uid="{58F60258-40B8-44E0-BEA6-D3A4B3D2FF72}" name="Edificio"/>
    <tableColumn id="2" xr3:uid="{77E1E0E7-ABA6-48DF-8BFA-6E9B84BAA9FB}" name="Nivel"/>
    <tableColumn id="3" xr3:uid="{8910B6AD-F6EA-4ADE-B1E7-7D2F7002C95D}" name="Material"/>
    <tableColumn id="4" xr3:uid="{8E0DD719-7616-41EF-B6D8-EED72CA989C2}" name="Volúmen bruto"/>
    <tableColumn id="6" xr3:uid="{0674103C-341D-42AD-AAD2-039BD89F0F05}" name="Área neta" dataDxfId="36"/>
    <tableColumn id="7" xr3:uid="{73E9593A-A7E0-4037-BAFE-7685DAEF03D4}" name="Recuento" dataDxfId="35"/>
    <tableColumn id="8" xr3:uid="{E19A92E6-0387-4271-895D-A8D68431CD97}" name="Volúmen total" dataDxfId="34"/>
    <tableColumn id="9" xr3:uid="{B0FBA9CA-4624-4D47-A6C2-0D606166C95E}" name="Área total" dataDxfId="33"/>
    <tableColumn id="5" xr3:uid="{3FEC1B62-F99F-4785-B278-AB622359533E}" name="TOTAL" dataDxfId="32">
      <calculatedColumnFormula>+SUM(ABL4:ABL5)</calculatedColumnFormula>
    </tableColumn>
  </tableColumns>
  <tableStyleInfo name="TableStyleMedium7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F28003F4-8911-40F5-97CD-57AEB81F70D6}" name="Tabla5789141516343536373839404142434445464748495051521340" displayName="Tabla5789141516343536373839404142434445464748495051521340" ref="ABS3:ACA51" totalsRowShown="0" headerRowDxfId="31">
  <autoFilter ref="ABS3:ACA51" xr:uid="{F28003F4-8911-40F5-97CD-57AEB81F70D6}"/>
  <tableColumns count="9">
    <tableColumn id="1" xr3:uid="{05A05CD9-A2E5-41B7-A59B-44F50916F780}" name="Edificio"/>
    <tableColumn id="2" xr3:uid="{3E7DFAEF-6E97-43E3-AE41-8A2DF32D018E}" name="Nivel"/>
    <tableColumn id="3" xr3:uid="{6B5E7766-1DA5-4060-AACA-6FE17A3804C2}" name="Material"/>
    <tableColumn id="4" xr3:uid="{04F9DAC3-9A61-4C4A-BF04-CDFE76836557}" name="Volúmen bruto"/>
    <tableColumn id="6" xr3:uid="{39C017E8-F328-4038-9205-15CE7D436EC8}" name="Área neta" dataDxfId="30"/>
    <tableColumn id="7" xr3:uid="{201A68AF-294A-4105-A4A6-B533582DF892}" name="Recuento" dataDxfId="29"/>
    <tableColumn id="8" xr3:uid="{8BDB21AF-9A04-47D9-AB02-D38087B4F383}" name="Volúmen total" dataDxfId="28"/>
    <tableColumn id="9" xr3:uid="{CF2B35CE-AD4D-416F-99B6-25C60B669ECC}" name="Área total" dataDxfId="27"/>
    <tableColumn id="5" xr3:uid="{25FA83C1-53B9-4DF2-BAD7-0C75368E2BF5}" name="TOTAL" dataDxfId="26">
      <calculatedColumnFormula>+SUM(ABV4:ABV5)</calculatedColumnFormula>
    </tableColumn>
  </tableColumns>
  <tableStyleInfo name="TableStyleMedium7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B62D66B6-98D1-4D1A-9105-D0B3AC2D10BE}" name="Tabla55135" displayName="Tabla55135" ref="ACW35:ADB63" totalsRowShown="0" headerRowDxfId="23" dataDxfId="22">
  <autoFilter ref="ACW35:ADB63" xr:uid="{B62D66B6-98D1-4D1A-9105-D0B3AC2D10BE}"/>
  <tableColumns count="6">
    <tableColumn id="1" xr3:uid="{6A1DD106-5574-4F78-A980-62A6C996BC1A}" name="Familia y tipo"/>
    <tableColumn id="6" xr3:uid="{083C7E96-BB43-4922-9BC5-6F15D1F6F323}" name="ETAPA" dataDxfId="21"/>
    <tableColumn id="2" xr3:uid="{A656F401-06B9-49B5-826F-46D8AFDBCECF}" name="Altura" dataDxfId="20"/>
    <tableColumn id="3" xr3:uid="{4437BE5E-7277-46B7-BE00-CC5646261455}" name="Ancho" dataDxfId="19"/>
    <tableColumn id="4" xr3:uid="{480648BC-2C50-41DA-94FC-6A3C0AFAE958}" name="Recuento"/>
    <tableColumn id="5" xr3:uid="{167E94CC-864B-4BD4-8B91-531557D43CB3}" name="TOTAL" dataDxfId="18">
      <calculatedColumnFormula>+(ACZ36*ACY36)*ADA36</calculatedColumnFormula>
    </tableColumn>
  </tableColumns>
  <tableStyleInfo name="TableStyleDark5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12429561-6013-4F7C-BA08-F45ACE5C7057}" name="Tabla111" displayName="Tabla111" ref="BR3:BR424" totalsRowShown="0">
  <autoFilter ref="BR3:BR424" xr:uid="{12429561-6013-4F7C-BA08-F45ACE5C7057}"/>
  <sortState xmlns:xlrd2="http://schemas.microsoft.com/office/spreadsheetml/2017/richdata2" ref="BR4:BR424">
    <sortCondition ref="BR3:BR424"/>
  </sortState>
  <tableColumns count="1">
    <tableColumn id="1" xr3:uid="{ABE4BE8E-68E0-41DA-855D-6E25C1E95B76}" name="PIEZAS"/>
  </tableColumns>
  <tableStyleInfo name="TableStyleMedium7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B1D98B57-ABB6-49B4-9F1A-E54B6B554322}" name="Tabla112" displayName="Tabla112" ref="EI3:EI1427" totalsRowShown="0">
  <autoFilter ref="EI3:EI1427" xr:uid="{B1D98B57-ABB6-49B4-9F1A-E54B6B554322}"/>
  <sortState xmlns:xlrd2="http://schemas.microsoft.com/office/spreadsheetml/2017/richdata2" ref="EI4:EI832">
    <sortCondition descending="1" ref="EI3:EI1427"/>
  </sortState>
  <tableColumns count="1">
    <tableColumn id="1" xr3:uid="{86549C6F-8D70-4842-8EC2-A1451957E173}" name="PIEZAS"/>
  </tableColumns>
  <tableStyleInfo name="TableStyleMedium1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93682F1-318C-47B1-8CF7-C2761EBC1498}" name="Tabla727482838184" displayName="Tabla727482838184" ref="B266:E298" totalsRowShown="0">
  <autoFilter ref="B266:E298" xr:uid="{B93682F1-318C-47B1-8CF7-C2761EBC1498}"/>
  <tableColumns count="4">
    <tableColumn id="1" xr3:uid="{AD8179B4-05BD-47A3-8A03-E22FF5F588B2}" name="ITEM"/>
    <tableColumn id="2" xr3:uid="{89F2A8FE-0EB7-4B01-8D22-7464591119A8}" name="UNIDAD" dataDxfId="494"/>
    <tableColumn id="3" xr3:uid="{E0FCAFEB-D298-4624-96C3-A077A30FC06B}" name="GRUPO" dataDxfId="493"/>
    <tableColumn id="4" xr3:uid="{7F2168D2-8EBA-4D20-B6D4-7130F1B5F38F}" name="V. UNITARIO" dataDxfId="492" dataCellStyle="Moneda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42B5180C-E44B-4915-B353-60785B4BE09C}" name="Tabla727482838185" displayName="Tabla727482838185" ref="B301:E344" totalsRowShown="0">
  <autoFilter ref="B301:E344" xr:uid="{42B5180C-E44B-4915-B353-60785B4BE09C}"/>
  <tableColumns count="4">
    <tableColumn id="1" xr3:uid="{11377FBA-1541-42A7-B002-7F4959DD3894}" name="ITEM"/>
    <tableColumn id="2" xr3:uid="{1575A5FF-315D-4318-8877-089E3610AB5C}" name="UNIDAD" dataDxfId="491"/>
    <tableColumn id="3" xr3:uid="{4B8AF170-B65C-4142-8DAC-D8A8262D89D0}" name="GRUPO" dataDxfId="490"/>
    <tableColumn id="4" xr3:uid="{0BF38842-EDC4-4434-A3CF-EDCFFE6331D2}" name="V. UNITARIO" dataDxfId="489" dataCellStyle="Moneda [0]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22DC4BBC-5175-48D4-AE9D-0D80C3B95511}" name="Tabla7274828386" displayName="Tabla7274828386" ref="B443:E453" totalsRowShown="0">
  <autoFilter ref="B443:E453" xr:uid="{22DC4BBC-5175-48D4-AE9D-0D80C3B95511}"/>
  <tableColumns count="4">
    <tableColumn id="1" xr3:uid="{B9EFCC50-2111-4A19-A82E-36475E289B5D}" name="ITEM"/>
    <tableColumn id="2" xr3:uid="{98F39311-0523-488D-BCC8-290A133F7BFB}" name="UNIDAD" dataDxfId="488"/>
    <tableColumn id="3" xr3:uid="{2580956A-9F1A-4B18-91C5-5B4D61CBAFAB}" name="GRUPO" dataDxfId="487"/>
    <tableColumn id="4" xr3:uid="{77C0F17B-A1CD-4293-91B6-75895B1DBAFD}" name="V. UNITARIO" dataDxfId="486" dataCellStyle="Moneda"/>
  </tableColumns>
  <tableStyleInfo name="TableStyleMedium3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B668DAFA-3587-4F97-94D7-EFFA384F55E2}" name="Tabla727482838687" displayName="Tabla727482838687" ref="B456:E469" totalsRowShown="0">
  <autoFilter ref="B456:E469" xr:uid="{B668DAFA-3587-4F97-94D7-EFFA384F55E2}"/>
  <tableColumns count="4">
    <tableColumn id="1" xr3:uid="{0FF370BC-B90C-4C92-A54B-CC840EEE192B}" name="ITEM"/>
    <tableColumn id="2" xr3:uid="{9CB40ED2-2C36-446F-9536-51DB515F2D84}" name="UNIDAD" dataDxfId="485"/>
    <tableColumn id="3" xr3:uid="{4CAC4F03-AB87-45D0-BF65-36DE4F1190D1}" name="GRUPO" dataDxfId="484"/>
    <tableColumn id="4" xr3:uid="{82E2A188-6984-46F8-866B-F5320985D179}" name="V. UNITARIO" dataDxfId="483" dataCellStyle="Moneda"/>
  </tableColumns>
  <tableStyleInfo name="TableStyleMedium3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E68D7681-01DF-4CF0-A90C-0BAFB67BB6A6}" name="Tabla72748283868788" displayName="Tabla72748283868788" ref="B472:E479" totalsRowShown="0">
  <autoFilter ref="B472:E479" xr:uid="{E68D7681-01DF-4CF0-A90C-0BAFB67BB6A6}"/>
  <tableColumns count="4">
    <tableColumn id="1" xr3:uid="{07E184F1-6FCB-45D1-81F9-1E36C7085446}" name="ITEM"/>
    <tableColumn id="2" xr3:uid="{F21225C6-125A-4C78-84BD-BB7F5FA6156D}" name="UNIDAD" dataDxfId="482"/>
    <tableColumn id="3" xr3:uid="{6CC8A250-7E8E-43AE-85C3-AD1823BD7DC4}" name="GRUPO" dataDxfId="481"/>
    <tableColumn id="4" xr3:uid="{57A5B262-C7F4-4826-8298-A563BABB1783}" name="V. UNITARIO" dataDxfId="480" dataCellStyle="Moneda"/>
  </tableColumns>
  <tableStyleInfo name="TableStyleMedium3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65A728AB-3F30-44C6-A597-9B47093351FA}" name="Tabla7274828386878872" displayName="Tabla7274828386878872" ref="B482:E493" totalsRowShown="0">
  <autoFilter ref="B482:E493" xr:uid="{65A728AB-3F30-44C6-A597-9B47093351FA}"/>
  <tableColumns count="4">
    <tableColumn id="1" xr3:uid="{ECF5B25C-72A1-495B-9C72-B9E0593460DD}" name="ITEM"/>
    <tableColumn id="2" xr3:uid="{9A2EC3A4-1C1B-4170-9603-2D9927484256}" name="UNIDAD" dataDxfId="479"/>
    <tableColumn id="3" xr3:uid="{791826C7-2A96-4DE9-8717-C969B1371472}" name="GRUPO" dataDxfId="478"/>
    <tableColumn id="4" xr3:uid="{AED55DA1-FA36-48A5-9118-15FA9520A11B}" name="V. UNITARIO" dataDxfId="477" dataCellStyle="Moneda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EBE09789-13E2-4541-91F8-C538916884B6}" name="Tabla6771" displayName="Tabla6771" ref="B4:B6" totalsRowShown="0">
  <autoFilter ref="B4:B6" xr:uid="{EBE09789-13E2-4541-91F8-C538916884B6}"/>
  <tableColumns count="1">
    <tableColumn id="1" xr3:uid="{8951DB78-2728-48DB-9AE7-B780D576F6D8}" name="ESPACIO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6E3CD17E-D623-40B1-8783-C56F178E000E}" name="Tabla727482838687887289" displayName="Tabla727482838687887289" ref="B496:E502" totalsRowShown="0">
  <autoFilter ref="B496:E502" xr:uid="{6E3CD17E-D623-40B1-8783-C56F178E000E}"/>
  <tableColumns count="4">
    <tableColumn id="1" xr3:uid="{B3F6D379-66DB-488E-8F7C-A7E053BCB988}" name="ITEM"/>
    <tableColumn id="2" xr3:uid="{C1E1E9A4-CBFD-44A9-A56E-743705C6E545}" name="UNIDAD" dataDxfId="476"/>
    <tableColumn id="3" xr3:uid="{FFB45A82-AD70-4E12-88CB-DE73B0B1DCDD}" name="GRUPO" dataDxfId="475"/>
    <tableColumn id="4" xr3:uid="{F7DEBC56-2AFA-4FB5-88D9-E7AAC4B78FBC}" name="V. UNITARIO" dataDxfId="474" dataCellStyle="Moneda"/>
  </tableColumns>
  <tableStyleInfo name="TableStyleMedium3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E04085B-08F9-42C8-B621-B233A4F408E2}" name="Tabla72748283868788728990" displayName="Tabla72748283868788728990" ref="B505:E518" totalsRowShown="0">
  <autoFilter ref="B505:E518" xr:uid="{AE04085B-08F9-42C8-B621-B233A4F408E2}"/>
  <tableColumns count="4">
    <tableColumn id="1" xr3:uid="{AF3B4009-6D26-459A-89D8-2EFC8D62591A}" name="ITEM"/>
    <tableColumn id="2" xr3:uid="{9E63E331-62C4-4CF2-8229-EB74C605694C}" name="UNIDAD" dataDxfId="473"/>
    <tableColumn id="3" xr3:uid="{636CFA7F-B343-49C5-9B75-B255B0CC31C1}" name="GRUPO" dataDxfId="472"/>
    <tableColumn id="4" xr3:uid="{861506AC-5E73-4148-ADF4-BDAF48B6CD48}" name="V. UNITARIO" dataDxfId="471" dataCellStyle="Moneda"/>
  </tableColumns>
  <tableStyleInfo name="TableStyleMedium3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9C6072E5-D326-45A5-9C92-9C5681159E1F}" name="Tabla7274828386878872899091" displayName="Tabla7274828386878872899091" ref="B521:E537" totalsRowShown="0">
  <autoFilter ref="B521:E537" xr:uid="{9C6072E5-D326-45A5-9C92-9C5681159E1F}"/>
  <tableColumns count="4">
    <tableColumn id="1" xr3:uid="{92565794-5F59-45E1-9C99-DD7FB7E648DA}" name="ITEM"/>
    <tableColumn id="2" xr3:uid="{342DFF61-809C-4B91-BA84-18076E4BE918}" name="UNIDAD" dataDxfId="470"/>
    <tableColumn id="3" xr3:uid="{517F4383-8DC8-493D-8CAA-6ADB53815B60}" name="GRUPO" dataDxfId="469"/>
    <tableColumn id="4" xr3:uid="{049A6E55-06B1-429B-B763-442111421B3C}" name="V. UNITARIO" dataDxfId="468" dataCellStyle="Moneda [0]"/>
  </tableColumns>
  <tableStyleInfo name="TableStyleMedium3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10D25352-EDE0-4728-A491-70AF16C60321}" name="Tabla727482838687887289909192" displayName="Tabla727482838687887289909192" ref="B540:E549" totalsRowShown="0">
  <autoFilter ref="B540:E549" xr:uid="{10D25352-EDE0-4728-A491-70AF16C60321}"/>
  <tableColumns count="4">
    <tableColumn id="1" xr3:uid="{89CAA6AB-D8DA-46CD-AAD4-842AB7E3B732}" name="ITEM"/>
    <tableColumn id="2" xr3:uid="{61DAEC69-C0DB-4DDD-AAAB-E4EC16D71506}" name="UNIDAD" dataDxfId="467"/>
    <tableColumn id="3" xr3:uid="{26978B6B-D4A3-47B7-AAE8-5CD467FE1347}" name="GRUPO" dataDxfId="466"/>
    <tableColumn id="4" xr3:uid="{FBC29457-A169-4768-AB3C-B917ED41541B}" name="V. UNITARIO" dataDxfId="465" dataCellStyle="Moneda [0]"/>
  </tableColumns>
  <tableStyleInfo name="TableStyleMedium3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D4BDF944-3D07-473B-8530-059C68C0148F}" name="Tabla93" displayName="Tabla93" ref="J4:J26" totalsRowShown="0">
  <autoFilter ref="J4:J26" xr:uid="{D4BDF944-3D07-473B-8530-059C68C0148F}"/>
  <tableColumns count="1">
    <tableColumn id="1" xr3:uid="{CDAE9598-B1D5-421E-897D-25A921A40F24}" name="MATERIAL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49DCDF4E-10BE-4BDE-AC8B-2C879A3B3619}" name="Tabla94" displayName="Tabla94" ref="B150:E171" totalsRowShown="0">
  <autoFilter ref="B150:E171" xr:uid="{49DCDF4E-10BE-4BDE-AC8B-2C879A3B3619}"/>
  <tableColumns count="4">
    <tableColumn id="1" xr3:uid="{A2537332-BE5D-47BF-96AE-93F53AA278B5}" name="ITEM">
      <calculatedColumnFormula>+#REF!</calculatedColumnFormula>
    </tableColumn>
    <tableColumn id="2" xr3:uid="{6E48CA24-800B-4A64-86A9-B2D3285D220D}" name="UNIDAD" dataDxfId="464"/>
    <tableColumn id="3" xr3:uid="{98E5D00E-3757-4C73-868A-5A7CE084A0E4}" name="GRUPO" dataDxfId="463"/>
    <tableColumn id="4" xr3:uid="{0785247B-30DE-4354-803D-868875CB2C7A}" name="V. UNITARIO" dataDxfId="462" dataCellStyle="Moneda">
      <calculatedColumnFormula>+(#REF!*$C$23)+(#REF!*$C$24)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2FD90863-6E69-4403-B547-E23CAFCCDEB1}" name="Tabla95" displayName="Tabla95" ref="B347:E354" totalsRowShown="0">
  <autoFilter ref="B347:E354" xr:uid="{2FD90863-6E69-4403-B547-E23CAFCCDEB1}"/>
  <tableColumns count="4">
    <tableColumn id="1" xr3:uid="{1F76E3C2-5609-4270-BA3A-35E199023BFA}" name="ITEM"/>
    <tableColumn id="2" xr3:uid="{503D3724-EB4E-4EA5-ADF8-3906B219A1DE}" name="UNIDAD" dataDxfId="461"/>
    <tableColumn id="3" xr3:uid="{77CD469B-4F5E-4D98-89C2-2CC93917B5A4}" name="GRUPO" dataDxfId="460"/>
    <tableColumn id="4" xr3:uid="{855EBF86-5DB2-4A1B-8D68-DCA9873A0032}" name="V. UNITARIO" dataDxfId="459" dataCellStyle="Moneda [0]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7A8EF78F-EAE7-48C7-800F-424452061DB3}" name="Tabla9497" displayName="Tabla9497" ref="B184:E190" totalsRowShown="0">
  <autoFilter ref="B184:E190" xr:uid="{7A8EF78F-EAE7-48C7-800F-424452061DB3}"/>
  <tableColumns count="4">
    <tableColumn id="1" xr3:uid="{4DC4DC89-CE2F-4A47-833E-81AD0D9BADCC}" name="ITEM"/>
    <tableColumn id="2" xr3:uid="{EE7AC40C-EE3C-47A9-93A3-BFAB3AEA647D}" name="UNIDAD" dataDxfId="458"/>
    <tableColumn id="3" xr3:uid="{AE779F5A-B631-4BCF-BD4E-C336DA6B0FFE}" name="GRUPO" dataDxfId="457"/>
    <tableColumn id="4" xr3:uid="{DDF555C0-F83A-4DA9-828F-5715A01235B3}" name="V. UNITARIO" dataDxfId="456" dataCellStyle="Moned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E5BA047-D70B-4DB6-84A5-27740183B840}" name="Tabla9498" displayName="Tabla9498" ref="B370:E376" totalsRowShown="0">
  <autoFilter ref="B370:E376" xr:uid="{DE5BA047-D70B-4DB6-84A5-27740183B840}"/>
  <tableColumns count="4">
    <tableColumn id="1" xr3:uid="{11EB765B-74B5-4E5D-9B0A-BDBAF40CBE83}" name="ITEM">
      <calculatedColumnFormula>+#REF!</calculatedColumnFormula>
    </tableColumn>
    <tableColumn id="2" xr3:uid="{0C8ABC2D-415B-419A-9A8E-AF487A04908E}" name="UNIDAD" dataDxfId="455"/>
    <tableColumn id="3" xr3:uid="{831A5B2A-1939-40C2-91AF-52FBB6011576}" name="GRUPO" dataDxfId="454"/>
    <tableColumn id="4" xr3:uid="{9082F89B-D077-41D2-B910-36A771DD984D}" name="V. UNITARIO" dataDxfId="453" dataCellStyle="Moneda">
      <calculatedColumnFormula>+(#REF!*$C$23)+(#REF!*$C$24)</calculatedColumnFormula>
    </tableColumn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15B45311-8256-44DE-B0AB-935600C6687F}" name="Tabla949899" displayName="Tabla949899" ref="B382:E386" totalsRowShown="0">
  <autoFilter ref="B382:E386" xr:uid="{15B45311-8256-44DE-B0AB-935600C6687F}"/>
  <tableColumns count="4">
    <tableColumn id="1" xr3:uid="{067141A1-8E7E-487C-9377-C74871008E5B}" name="ITEM">
      <calculatedColumnFormula>+#REF!</calculatedColumnFormula>
    </tableColumn>
    <tableColumn id="2" xr3:uid="{BFF1D914-8DF9-4670-8C99-613FFB1C9E62}" name="UNIDAD" dataDxfId="452"/>
    <tableColumn id="3" xr3:uid="{7145C71A-EEEF-4962-B598-5394EE0A3EE4}" name="GRUPO" dataDxfId="451"/>
    <tableColumn id="4" xr3:uid="{87F39213-BAC8-4A8A-86CF-5A0041FC97EA}" name="V. UNITARIO" dataDxfId="450" dataCellStyle="Moneda">
      <calculatedColumnFormula>+(#REF!*$C$23)+(#REF!*$C$24)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E40027F5-1605-476C-9C2D-E7D877A61FA5}" name="Tabla72" displayName="Tabla72" ref="B34:E51" totalsRowShown="0">
  <autoFilter ref="B34:E51" xr:uid="{E40027F5-1605-476C-9C2D-E7D877A61FA5}"/>
  <tableColumns count="4">
    <tableColumn id="1" xr3:uid="{2128D8EC-7BE0-470E-AB77-364BAE48C48F}" name="ITEM"/>
    <tableColumn id="2" xr3:uid="{EE061787-4391-42E2-A5D1-40B8405ED30B}" name="UNIDAD" dataDxfId="527"/>
    <tableColumn id="3" xr3:uid="{6DCDF43F-B664-4538-AF1C-A5751C455DA7}" name="GRUPO" dataDxfId="526"/>
    <tableColumn id="4" xr3:uid="{48E83499-9480-4050-B919-4D3C050B4102}" name="V. UNITARIO" dataDxfId="525" dataCellStyle="Moneda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78427BAF-E4E2-4BF6-B42C-C291C9DBC4CB}" name="Tabla949899100" displayName="Tabla949899100" ref="B390:E398" totalsRowShown="0">
  <autoFilter ref="B390:E398" xr:uid="{78427BAF-E4E2-4BF6-B42C-C291C9DBC4CB}"/>
  <tableColumns count="4">
    <tableColumn id="1" xr3:uid="{11040EA3-CA88-4310-BB13-21BEA88AE4BD}" name="ITEM"/>
    <tableColumn id="2" xr3:uid="{88E2A850-8F35-41B1-891E-1BDD52752A76}" name="UNIDAD" dataDxfId="449"/>
    <tableColumn id="3" xr3:uid="{891F12B3-B340-4AF1-B09D-277F3849B627}" name="GRUPO" dataDxfId="448"/>
    <tableColumn id="4" xr3:uid="{DBD930EE-75B1-43C1-BFDC-FE90470765BE}" name="V. UNITARIO" dataDxfId="447" dataCellStyle="Moneda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FB84E719-F281-415E-A74C-7AAD9431CBB8}" name="Tabla949899101" displayName="Tabla949899101" ref="B405:E408" totalsRowShown="0">
  <autoFilter ref="B405:E408" xr:uid="{FB84E719-F281-415E-A74C-7AAD9431CBB8}"/>
  <tableColumns count="4">
    <tableColumn id="1" xr3:uid="{FDFF65F8-1A07-4451-9B1E-099391A675D5}" name="ITEM"/>
    <tableColumn id="2" xr3:uid="{B4398735-5E6D-4DBC-8E2A-C4F585F01644}" name="UNIDAD" dataDxfId="446"/>
    <tableColumn id="3" xr3:uid="{12062AD7-BA25-4A8F-A791-93D1B63918A7}" name="GRUPO" dataDxfId="445"/>
    <tableColumn id="4" xr3:uid="{A9BC09E7-1178-403C-89B5-D015F7642746}" name="V. UNITARIO" dataDxfId="444" dataCellStyle="Moneda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5BFC7B1C-182F-46D6-BB66-0A77E42E0FBB}" name="Tabla95102" displayName="Tabla95102" ref="B357:E364" totalsRowShown="0">
  <autoFilter ref="B357:E364" xr:uid="{5BFC7B1C-182F-46D6-BB66-0A77E42E0FBB}"/>
  <tableColumns count="4">
    <tableColumn id="1" xr3:uid="{609AC7ED-F150-494E-8A3F-1F90D8C2AF3A}" name="ITEM"/>
    <tableColumn id="2" xr3:uid="{EF0E94A4-2B06-470C-BF51-0A4805C8077F}" name="UNIDAD" dataDxfId="443"/>
    <tableColumn id="3" xr3:uid="{6822CB35-BAA6-425F-8A50-4650C002C62E}" name="GRUPO" dataDxfId="442"/>
    <tableColumn id="4" xr3:uid="{2ACAB56C-A439-4159-B22B-DB1498E79E0F}" name="V. UNITARIO" dataDxfId="441" dataCellStyle="Moneda [0]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E3E15660-0A93-41BD-AD53-24E8230F6F5A}" name="Tabla102" displayName="Tabla102" ref="B555:E563" totalsRowShown="0">
  <autoFilter ref="B555:E563" xr:uid="{E3E15660-0A93-41BD-AD53-24E8230F6F5A}"/>
  <tableColumns count="4">
    <tableColumn id="1" xr3:uid="{E6B93F95-CA0D-48D0-943C-6510FAD9CCB7}" name="ITEM"/>
    <tableColumn id="2" xr3:uid="{A37CE963-CE21-4A80-918B-16BEAF499C82}" name="UNIDAD" dataDxfId="440"/>
    <tableColumn id="3" xr3:uid="{F91DDC35-A302-46A4-AE07-24068BCC8797}" name="GRUPO" dataDxfId="439"/>
    <tableColumn id="4" xr3:uid="{8AF7C037-5B44-46BF-B71E-8B697599131E}" name="V. UNITARIO" dataDxfId="438" dataCellStyle="Moneda"/>
  </tableColumns>
  <tableStyleInfo name="TableStyleMedium3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4FF7F57D-B9F3-4334-9C8B-EA90B4B0D97A}" name="Tabla104" displayName="Tabla104" ref="B566:E574" totalsRowShown="0">
  <autoFilter ref="B566:E574" xr:uid="{4FF7F57D-B9F3-4334-9C8B-EA90B4B0D97A}"/>
  <tableColumns count="4">
    <tableColumn id="1" xr3:uid="{4551CA2F-70D5-4AAF-B050-8D380261D029}" name="ITEM"/>
    <tableColumn id="2" xr3:uid="{EB54CD2C-9AAE-4115-9116-B21C362D778A}" name="UNIDAD" dataDxfId="437"/>
    <tableColumn id="3" xr3:uid="{01DFB23E-2F7D-483F-A782-B544F41764F1}" name="GRUPO" dataDxfId="436"/>
    <tableColumn id="4" xr3:uid="{50975F24-C973-4EFE-A007-14AD104EE1CE}" name="V. UNITARIO" dataDxfId="435" dataCellStyle="Moneda"/>
  </tableColumns>
  <tableStyleInfo name="TableStyleMedium3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E9DBF32E-BD88-4E0D-BD24-EF5D5D01667A}" name="Tabla105" displayName="Tabla105" ref="B577:E579" totalsRowShown="0">
  <autoFilter ref="B577:E579" xr:uid="{E9DBF32E-BD88-4E0D-BD24-EF5D5D01667A}"/>
  <tableColumns count="4">
    <tableColumn id="1" xr3:uid="{7F14EAB0-E8DB-4D47-9811-D0CF4CCAE8A1}" name="ITEM"/>
    <tableColumn id="2" xr3:uid="{3172FBD3-ECD6-4E59-BD9A-0BB39DB325E7}" name="UNIDAD" dataDxfId="434"/>
    <tableColumn id="3" xr3:uid="{B86AF6C4-5D56-493A-9090-914501A307BC}" name="GRUPO" dataDxfId="433"/>
    <tableColumn id="4" xr3:uid="{32BE17BD-D797-4879-820B-C963708B606F}" name="V. UNITARIO" dataDxfId="432" dataCellStyle="Moneda"/>
  </tableColumns>
  <tableStyleInfo name="TableStyleMedium3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79F8864C-3313-46CB-AC69-0657AEDE6315}" name="Tabla102107" displayName="Tabla102107" ref="B582:E617" totalsRowShown="0">
  <autoFilter ref="B582:E617" xr:uid="{79F8864C-3313-46CB-AC69-0657AEDE6315}"/>
  <tableColumns count="4">
    <tableColumn id="1" xr3:uid="{6C579576-330E-4F39-AFBE-B72A96135489}" name="ITEM"/>
    <tableColumn id="2" xr3:uid="{CBAFDAF6-EA23-40ED-B4E1-03564224EEDA}" name="UNIDAD" dataDxfId="431"/>
    <tableColumn id="3" xr3:uid="{63CC3170-CED5-4697-ABB4-090A5F44AC44}" name="GRUPO" dataDxfId="430"/>
    <tableColumn id="4" xr3:uid="{15674C8A-9F03-423E-AAD2-F8DAF90D6D66}" name="V. UNITARIO" dataDxfId="429" dataCellStyle="Moneda"/>
  </tableColumns>
  <tableStyleInfo name="TableStyleMedium3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CA7827BC-B123-49E0-A12B-057B74A9C88F}" name="Tabla107" displayName="Tabla107" ref="B620:E623" totalsRowShown="0">
  <autoFilter ref="B620:E623" xr:uid="{CA7827BC-B123-49E0-A12B-057B74A9C88F}"/>
  <tableColumns count="4">
    <tableColumn id="1" xr3:uid="{50A254EB-375C-402F-AAF2-A4F2FF55FBFB}" name="ITEM"/>
    <tableColumn id="2" xr3:uid="{46B4C0E3-F7D4-41E2-82F6-A1E8B9E76BBA}" name="UNIDAD" dataDxfId="428"/>
    <tableColumn id="3" xr3:uid="{011630C5-3138-4FF0-A4C6-E3CD72D9BF47}" name="GRUPO" dataDxfId="427"/>
    <tableColumn id="4" xr3:uid="{0E716BDC-9F93-4E12-A5FA-BF451F029FD1}" name="V. UNITARIO" dataDxfId="426" dataCellStyle="Moneda"/>
  </tableColumns>
  <tableStyleInfo name="TableStyleMedium3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A6474699-FFE9-431B-A22A-591D8581BDF3}" name="Tabla93109" displayName="Tabla93109" ref="M4:M16" totalsRowShown="0">
  <autoFilter ref="M4:M16" xr:uid="{A6474699-FFE9-431B-A22A-591D8581BDF3}"/>
  <tableColumns count="1">
    <tableColumn id="1" xr3:uid="{3F671DF0-6509-4480-96FD-58F50A812EDF}" name="MANO.DE.OBRA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B24440-AEC4-4C4C-A4DB-807795ECB7FA}" name="Tabla3" displayName="Tabla3" ref="B3:I107" totalsRowShown="0" headerRowDxfId="425">
  <autoFilter ref="B3:I107" xr:uid="{6AB24440-AEC4-4C4C-A4DB-807795ECB7FA}"/>
  <sortState xmlns:xlrd2="http://schemas.microsoft.com/office/spreadsheetml/2017/richdata2" ref="B4:H107">
    <sortCondition ref="C3:C107"/>
  </sortState>
  <tableColumns count="8">
    <tableColumn id="1" xr3:uid="{E645A4E3-19DF-4EB7-81B9-D42169B6FC59}" name="Edificio"/>
    <tableColumn id="2" xr3:uid="{FCDE616B-CFDA-4F3C-9B39-CE1466B7D528}" name="Nivel"/>
    <tableColumn id="3" xr3:uid="{1C0C1C7C-CDD8-4CF5-AA10-93B552B7DF7C}" name="Perfíl"/>
    <tableColumn id="4" xr3:uid="{2EA0B192-08B1-4492-B0A0-42D09DA2C065}" name="Volúmen neto"/>
    <tableColumn id="5" xr3:uid="{2FAD0192-6A5D-479D-8246-4856E22F63A6}" name="Longitud de eje" dataDxfId="424"/>
    <tableColumn id="8" xr3:uid="{02E0BE2B-0BD6-4005-9F62-112BE22104C6}" name="Número" dataDxfId="423"/>
    <tableColumn id="6" xr3:uid="{C8DA828A-A038-406A-8054-A3BBC9D0E859}" name="Volúmen total"/>
    <tableColumn id="7" xr3:uid="{07B418C6-078A-461F-9AFC-803E716093C9}" name="Longitud total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B634733-7100-4AC7-B8F5-B936C7EE7208}" name="Tabla7274" displayName="Tabla7274" ref="B54:E59" totalsRowShown="0">
  <autoFilter ref="B54:E59" xr:uid="{9B634733-7100-4AC7-B8F5-B936C7EE7208}"/>
  <tableColumns count="4">
    <tableColumn id="1" xr3:uid="{682519D9-5191-4014-8F21-6C5EB9040F60}" name="ITEM"/>
    <tableColumn id="2" xr3:uid="{07FFB0DB-0A04-4542-8B14-93260BCAE663}" name="UNIDAD" dataDxfId="524"/>
    <tableColumn id="3" xr3:uid="{4D1617E4-5F50-43DD-B49A-FD2DFCD9B082}" name="GRUPO" dataDxfId="523"/>
    <tableColumn id="4" xr3:uid="{8E66AC18-D237-44A2-AF2E-77AFDD82B860}" name="V. UNITARIO" dataDxfId="522" dataCellStyle="Moneda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169F9C-5540-428A-8DAB-51D1D0DC567D}" name="Tabla5" displayName="Tabla5" ref="K3:U52" totalsRowShown="0" headerRowDxfId="422">
  <autoFilter ref="K3:U52" xr:uid="{F3169F9C-5540-428A-8DAB-51D1D0DC567D}"/>
  <tableColumns count="11">
    <tableColumn id="1" xr3:uid="{FBFBA283-11BB-452C-BA79-BB72A35BBC81}" name="Edificio"/>
    <tableColumn id="2" xr3:uid="{86C8C48C-8477-4FFE-9990-547637DBDB89}" name="Nivel"/>
    <tableColumn id="3" xr3:uid="{421AC041-493C-4008-AD85-875ED30F8322}" name="Material"/>
    <tableColumn id="6" xr3:uid="{F048F8B3-15AB-4895-925B-861B38BE9717}" name="Volúmen bruto"/>
    <tableColumn id="4" xr3:uid="{A19E2077-4808-4468-8BF5-FD49778804F0}" name="Área neta"/>
    <tableColumn id="10" xr3:uid="{79893977-3554-43DD-B407-6018974379E4}" name="Longitud nominal"/>
    <tableColumn id="7" xr3:uid="{C575337E-BC06-4A63-9984-E8A3C3D9BAE1}" name="Recuento"/>
    <tableColumn id="8" xr3:uid="{47E59317-7A05-4DF3-826D-79602BA19071}" name="Volúmen total" dataDxfId="421"/>
    <tableColumn id="9" xr3:uid="{85246B1F-81DD-4932-8B15-2885B8C9A116}" name="Área total" dataDxfId="420"/>
    <tableColumn id="11" xr3:uid="{239C772D-79B5-4383-A1FC-ACB76216EC46}" name="Longitud total"/>
    <tableColumn id="5" xr3:uid="{2C71D1B3-A0AC-4C3B-A214-BDD7E90CF836}" name="Área total2" dataDxfId="419">
      <calculatedColumnFormula>+SUM(S4:S22)</calculatedColumnFormula>
    </tableColumn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AEEDD9-F194-4312-BA33-6F5028CA735D}" name="Tabla31011" displayName="Tabla31011" ref="BW3:CC380" totalsRowShown="0" headerRowDxfId="418">
  <autoFilter ref="BW3:CC380" xr:uid="{4EAEEDD9-F194-4312-BA33-6F5028CA735D}"/>
  <sortState xmlns:xlrd2="http://schemas.microsoft.com/office/spreadsheetml/2017/richdata2" ref="BW4:CB380">
    <sortCondition ref="BX3:BX380"/>
  </sortState>
  <tableColumns count="7">
    <tableColumn id="1" xr3:uid="{ADB80847-734C-492B-AEC5-9A2D2ACD1563}" name="Edificio"/>
    <tableColumn id="2" xr3:uid="{7A3D8F88-A98B-4129-8099-9974647C9372}" name="Nivel"/>
    <tableColumn id="3" xr3:uid="{3CC925BE-4CA1-40E5-9A14-523CFB8AD79C}" name="Perfíl"/>
    <tableColumn id="5" xr3:uid="{EE133EA2-259D-4924-8950-28291BD21174}" name="Longitud de eje" dataDxfId="417"/>
    <tableColumn id="7" xr3:uid="{B4BE086A-9803-45A6-8344-04869529DB6F}" name="En culmo"/>
    <tableColumn id="6" xr3:uid="{B42F8ADC-2A00-42AF-8CAF-5D47A2DD28B7}" name="Longitud total"/>
    <tableColumn id="4" xr3:uid="{0524938D-5862-42AD-B053-8D2BDC0AC8E5}" name="Número" dataDxfId="416"/>
  </tableColumns>
  <tableStyleInfo name="TableStyleMedium3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730F378-FE52-431B-A759-31251AEAD145}" name="Tabla3101112" displayName="Tabla3101112" ref="EE3:EK715" totalsRowShown="0" headerRowDxfId="415">
  <autoFilter ref="EE3:EK715" xr:uid="{A730F378-FE52-431B-A759-31251AEAD145}"/>
  <sortState xmlns:xlrd2="http://schemas.microsoft.com/office/spreadsheetml/2017/richdata2" ref="EE4:EI715">
    <sortCondition ref="EI3:EI715"/>
  </sortState>
  <tableColumns count="7">
    <tableColumn id="1" xr3:uid="{37D6F768-A55B-4BCA-9812-347EEEC70FDE}" name="Edificio"/>
    <tableColumn id="2" xr3:uid="{D46D87A8-FA3C-4527-9E39-53151521A71E}" name="Nivel"/>
    <tableColumn id="3" xr3:uid="{B1F1859A-1DC9-4E3E-98F6-228A7075D52D}" name="Perfíl"/>
    <tableColumn id="5" xr3:uid="{141FD7E5-FE26-4BE1-AA10-6A6FEBEB2E5F}" name="Longitud de eje" dataDxfId="414"/>
    <tableColumn id="6" xr3:uid="{C577F8D4-1721-4B15-8730-E5ACF233AA78}" name="En culmo"/>
    <tableColumn id="4" xr3:uid="{C2181E3F-7691-4100-AB42-9A706767AEF7}" name="Longitud total"/>
    <tableColumn id="7" xr3:uid="{DB16F664-7582-4FB4-8D12-73CAB497728D}" name="Número"/>
  </tableColumns>
  <tableStyleInfo name="TableStyleMedium3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FFA495-1833-41A4-89C3-3A6055622334}" name="Tabla578914" displayName="Tabla578914" ref="GQ3:GY112" totalsRowShown="0" headerRowDxfId="413">
  <autoFilter ref="GQ3:GY112" xr:uid="{AFFFA495-1833-41A4-89C3-3A6055622334}"/>
  <sortState xmlns:xlrd2="http://schemas.microsoft.com/office/spreadsheetml/2017/richdata2" ref="GQ4:GY112">
    <sortCondition ref="GR3:GR112"/>
  </sortState>
  <tableColumns count="9">
    <tableColumn id="1" xr3:uid="{6553A022-0745-40D5-BC10-1BEB6F2910EF}" name="Edificio"/>
    <tableColumn id="2" xr3:uid="{C8F6C94A-6315-452A-A861-5E377568BC92}" name="Nivel"/>
    <tableColumn id="3" xr3:uid="{7D607B3D-074D-46B3-B2E2-4EE5C6A8F3DC}" name="Material"/>
    <tableColumn id="4" xr3:uid="{3BE30BAA-9341-4BC8-995D-353BBD68D6FC}" name="Volúmen bruto"/>
    <tableColumn id="6" xr3:uid="{471638CA-FFCB-48AF-93C7-2361C96E2CE6}" name="Área neta" dataDxfId="412"/>
    <tableColumn id="9" xr3:uid="{5491E105-4021-4895-84E4-180B087C896B}" name="Recuento" dataDxfId="411"/>
    <tableColumn id="8" xr3:uid="{B70EC464-79AB-46E7-989B-91E4DF9B6272}" name="Volúmen total" dataDxfId="410">
      <calculatedColumnFormula>+Tabla578914[[#This Row],[Recuento]]*Tabla578914[[#This Row],[Volúmen bruto]]</calculatedColumnFormula>
    </tableColumn>
    <tableColumn id="7" xr3:uid="{5761DB78-E019-4CCF-9572-EA23BB8BD484}" name="Área total" dataDxfId="409">
      <calculatedColumnFormula>+Tabla578914[[#This Row],[Recuento]]*Tabla578914[[#This Row],[Área neta]]</calculatedColumnFormula>
    </tableColumn>
    <tableColumn id="5" xr3:uid="{72C1E64D-0731-464E-9CC7-0D7BE345A36D}" name="TOTAL" dataDxfId="408">
      <calculatedColumnFormula>+SUM(GT4:GT5)</calculatedColumnFormula>
    </tableColumn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1479C8C-1724-4749-B05D-CDA31D96B480}" name="Tabla5789141516" displayName="Tabla5789141516" ref="SQ3:SY51" totalsRowShown="0" headerRowDxfId="407">
  <autoFilter ref="SQ3:SY51" xr:uid="{D1479C8C-1724-4749-B05D-CDA31D96B480}"/>
  <tableColumns count="9">
    <tableColumn id="1" xr3:uid="{07BF6FC3-3258-4BAB-B18D-9C0C58DCB228}" name="Edificio"/>
    <tableColumn id="2" xr3:uid="{1D749569-C8EC-492F-802D-592A7746786C}" name="Nivel"/>
    <tableColumn id="3" xr3:uid="{ABEF780E-37A2-45D0-B119-ECC83CF623DF}" name="Material"/>
    <tableColumn id="4" xr3:uid="{784434D5-43CF-4515-A2B6-7FE4A909F41E}" name="Volúmen bruto"/>
    <tableColumn id="6" xr3:uid="{0ED10360-2B32-48FD-845E-BAA575A06754}" name="Área neta" dataDxfId="406"/>
    <tableColumn id="7" xr3:uid="{91F4413F-2172-47AC-B22F-C7B5CD03542F}" name="Recuento" dataDxfId="405"/>
    <tableColumn id="8" xr3:uid="{E6FE1973-A4FD-497F-9228-B67D9DDDF32A}" name="Volúmen total" dataDxfId="404"/>
    <tableColumn id="9" xr3:uid="{2E28CA09-9E1C-4601-AE2B-6A5084C9DA1B}" name="Área total" dataDxfId="403"/>
    <tableColumn id="5" xr3:uid="{3B6CDA54-4735-46DF-A059-3E4E086341EA}" name="TOTAL" dataDxfId="402">
      <calculatedColumnFormula>+SUM(ST4:ST5)</calculatedColumnFormula>
    </tableColumn>
  </tableColumns>
  <tableStyleInfo name="TableStyleMedium7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46A4FCE-A2E6-4EF2-B57E-747145E94AC1}" name="Tabla57891418" displayName="Tabla57891418" ref="HU3:IC112" totalsRowShown="0" headerRowDxfId="401">
  <autoFilter ref="HU3:IC112" xr:uid="{146A4FCE-A2E6-4EF2-B57E-747145E94AC1}"/>
  <sortState xmlns:xlrd2="http://schemas.microsoft.com/office/spreadsheetml/2017/richdata2" ref="HU4:IC112">
    <sortCondition ref="HV3:HV112"/>
  </sortState>
  <tableColumns count="9">
    <tableColumn id="1" xr3:uid="{1EB85541-8EAE-4DA0-ACB2-645D94255CF7}" name="Edificio"/>
    <tableColumn id="2" xr3:uid="{1E6733F9-9503-406C-AFD5-CA82D97D3DF8}" name="Nivel"/>
    <tableColumn id="3" xr3:uid="{CE8016F5-73A7-496E-8043-179FFCB66870}" name="Material"/>
    <tableColumn id="4" xr3:uid="{E9C221D6-8386-40C5-B97D-A8F71629CEDD}" name="Volúmen bruto"/>
    <tableColumn id="6" xr3:uid="{389F8124-DCD4-4E4C-8520-962D185FFA41}" name="Área neta" dataDxfId="400"/>
    <tableColumn id="7" xr3:uid="{F38E47A2-D3F9-4DBD-8801-4603A432BF59}" name="Recuento" dataDxfId="399"/>
    <tableColumn id="10" xr3:uid="{4184228C-82E1-41D9-9740-0D4BC8F2572D}" name="Volúmen total" dataDxfId="398">
      <calculatedColumnFormula>+Tabla57891418[[#This Row],[Volúmen bruto]]*Tabla57891418[[#This Row],[Recuento]]</calculatedColumnFormula>
    </tableColumn>
    <tableColumn id="9" xr3:uid="{E5D8A766-F8BF-492F-A04E-0DBA0798CA05}" name="Área total" dataDxfId="397">
      <calculatedColumnFormula>+Tabla57891418[[#This Row],[Área neta]]*Tabla57891418[[#This Row],[Recuento]]</calculatedColumnFormula>
    </tableColumn>
    <tableColumn id="5" xr3:uid="{C882AD30-1F21-4A9D-85D7-97897EEBC8DB}" name="TOTAL" dataDxfId="396">
      <calculatedColumnFormula>+SUM(HX4:HX4)</calculatedColumnFormula>
    </tableColumn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046ACAC-F323-44C1-ABA0-FBE05F4C262F}" name="Tabla520212223" displayName="Tabla520212223" ref="IO3:IW39" totalsRowShown="0" headerRowDxfId="395">
  <autoFilter ref="IO3:IW39" xr:uid="{6046ACAC-F323-44C1-ABA0-FBE05F4C262F}"/>
  <tableColumns count="9">
    <tableColumn id="1" xr3:uid="{6DDED79E-815C-4FDC-AC95-AE9D8B4C0C08}" name="Edificio"/>
    <tableColumn id="2" xr3:uid="{F04AFF01-83D4-416D-865F-EAD1F70F57CE}" name="Nivel"/>
    <tableColumn id="3" xr3:uid="{47FAD153-BD96-4825-820F-F06AFAC4D4F7}" name="Material"/>
    <tableColumn id="6" xr3:uid="{CB177FF4-F95F-4A9F-AA95-8E9CA8F4CFD7}" name="Volúmen bruto"/>
    <tableColumn id="4" xr3:uid="{D0BBB3FD-915E-4B8D-8A67-7BB15E259C60}" name="Área neta"/>
    <tableColumn id="7" xr3:uid="{4BB69BB9-0153-430E-B1F2-90CA9B7839CC}" name="Recuento"/>
    <tableColumn id="8" xr3:uid="{3EF795E7-714B-4FD5-AA1C-F96269A25624}" name="Volúmen total" dataDxfId="394">
      <calculatedColumnFormula>+Tabla520212223[[#This Row],[Recuento]]*Tabla520212223[[#This Row],[Volúmen bruto]]</calculatedColumnFormula>
    </tableColumn>
    <tableColumn id="9" xr3:uid="{34280FBB-A0B8-4B92-9F8E-8234CD24DD9D}" name="Área total" dataDxfId="393">
      <calculatedColumnFormula>+Tabla520212223[[#This Row],[Recuento]]*Tabla520212223[[#This Row],[Área neta]]</calculatedColumnFormula>
    </tableColumn>
    <tableColumn id="5" xr3:uid="{FC7CBA46-411A-41B4-8245-70C0570C732F}" name="Área total2" dataDxfId="392">
      <calculatedColumnFormula>+SUM(IV4:IV15)</calculatedColumnFormula>
    </tableColumn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3FDDB0-34BD-40D5-9FF8-CC1FE8399E22}" name="Tabla520212224" displayName="Tabla520212224" ref="IY3:JG123" totalsRowShown="0" headerRowDxfId="391">
  <autoFilter ref="IY3:JG123" xr:uid="{663FDDB0-34BD-40D5-9FF8-CC1FE8399E22}"/>
  <tableColumns count="9">
    <tableColumn id="1" xr3:uid="{4F5DC00E-58C3-4EFC-AC5E-7E5CBACCFFCF}" name="Edificio"/>
    <tableColumn id="2" xr3:uid="{2FEA58ED-7FF0-43A6-B501-BFC46C6C9E10}" name="Nivel"/>
    <tableColumn id="3" xr3:uid="{C68431DE-3615-4161-ACD8-7B7D3FD428E6}" name="Material"/>
    <tableColumn id="6" xr3:uid="{034E22DA-F7CB-4DFE-AFF2-0F3159D773FB}" name="Volúmen bruto"/>
    <tableColumn id="4" xr3:uid="{DB173848-416B-4B0C-8FE4-3AE7813A1C6B}" name="Área neta"/>
    <tableColumn id="7" xr3:uid="{88C21FF9-4251-4949-BC77-FBAB9E4EC7FC}" name="Recuento"/>
    <tableColumn id="8" xr3:uid="{B70AEC5B-F619-4753-A809-B9ABDFE1880F}" name="Volúmen total" dataDxfId="390">
      <calculatedColumnFormula>+Tabla520212224[[#This Row],[Recuento]]*Tabla520212224[[#This Row],[Volúmen bruto]]</calculatedColumnFormula>
    </tableColumn>
    <tableColumn id="9" xr3:uid="{B4E12AC1-E87C-419C-B3B8-EE6CB70294A9}" name="Área total" dataDxfId="389">
      <calculatedColumnFormula>+Tabla520212224[[#This Row],[Recuento]]*Tabla520212224[[#This Row],[Área neta]]</calculatedColumnFormula>
    </tableColumn>
    <tableColumn id="5" xr3:uid="{37321A83-8D2D-48F6-8BB8-FC921841C4C2}" name="TOTAL" dataDxfId="388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459CFED-1393-4FFC-86EE-9DCDDB731D32}" name="Tabla52021222425" displayName="Tabla52021222425" ref="JI3:JQ144" totalsRowShown="0" headerRowDxfId="387">
  <autoFilter ref="JI3:JQ144" xr:uid="{7459CFED-1393-4FFC-86EE-9DCDDB731D32}"/>
  <tableColumns count="9">
    <tableColumn id="1" xr3:uid="{1421D330-7FAB-4831-BC2F-151F3173144A}" name="Edificio"/>
    <tableColumn id="2" xr3:uid="{A135DD90-DF1D-4272-87E6-981981DAB46C}" name="Nivel"/>
    <tableColumn id="3" xr3:uid="{BFBEA7C5-4827-4A5F-B86E-F34AD1606DCC}" name="Material"/>
    <tableColumn id="6" xr3:uid="{345C7A11-34BF-487F-92DD-701D9DD4B583}" name="Volúmen bruto"/>
    <tableColumn id="4" xr3:uid="{FF151DAE-A22E-48AB-A780-289AD358DCDA}" name="Área neta"/>
    <tableColumn id="7" xr3:uid="{35339888-084C-42C1-9EA6-BA4087D82583}" name="Recuento"/>
    <tableColumn id="8" xr3:uid="{D05B8DDE-5A4A-4E8A-A8F5-5BC2070989EB}" name="Volúmen total" dataDxfId="386">
      <calculatedColumnFormula>+Tabla52021222425[[#This Row],[Recuento]]*Tabla52021222425[[#This Row],[Volúmen bruto]]</calculatedColumnFormula>
    </tableColumn>
    <tableColumn id="9" xr3:uid="{853C5C77-F59C-43F3-80F3-F9B1959B2996}" name="Área total" dataDxfId="385">
      <calculatedColumnFormula>+Tabla52021222425[[#This Row],[Recuento]]*Tabla52021222425[[#This Row],[Área neta]]</calculatedColumnFormula>
    </tableColumn>
    <tableColumn id="5" xr3:uid="{5FEE1532-900C-460E-800A-AAA48246DE7F}" name="TOTAL" dataDxfId="384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C166FB5-5A85-43F6-8CC3-FEB39137B7E5}" name="Tabla5202122242526" displayName="Tabla5202122242526" ref="JS3:KA132" totalsRowShown="0" headerRowDxfId="383">
  <autoFilter ref="JS3:KA132" xr:uid="{EC166FB5-5A85-43F6-8CC3-FEB39137B7E5}"/>
  <tableColumns count="9">
    <tableColumn id="1" xr3:uid="{5374A598-ECD0-47AE-89EE-C3115D62F0B6}" name="Edificio"/>
    <tableColumn id="2" xr3:uid="{147F7907-A04D-42B8-94D5-65904497F2BF}" name="Nivel"/>
    <tableColumn id="3" xr3:uid="{E9621463-C646-4D74-88F2-7FD127C703DD}" name="Material"/>
    <tableColumn id="6" xr3:uid="{5F501113-6539-4C6D-811A-3B57E51F0DBD}" name="Volúmen bruto"/>
    <tableColumn id="4" xr3:uid="{C5E90098-8CC0-4CB5-97B2-89FF55E41B7D}" name="Área neta"/>
    <tableColumn id="7" xr3:uid="{D8FB649C-ECFD-4B3A-AC53-085DF763CA25}" name="Recuento"/>
    <tableColumn id="8" xr3:uid="{CDD0CBD5-A4DC-4802-A70C-ED03EE9FF4B9}" name="Volúmen total" dataDxfId="382">
      <calculatedColumnFormula>+Tabla5202122242526[[#This Row],[Recuento]]*Tabla5202122242526[[#This Row],[Volúmen bruto]]</calculatedColumnFormula>
    </tableColumn>
    <tableColumn id="9" xr3:uid="{AD7BD32C-B79A-465F-9997-8F07417505A3}" name="Área total" dataDxfId="381">
      <calculatedColumnFormula>+Tabla5202122242526[[#This Row],[Recuento]]*Tabla5202122242526[[#This Row],[Área neta]]</calculatedColumnFormula>
    </tableColumn>
    <tableColumn id="5" xr3:uid="{8C4DC682-07E6-4CED-AC7E-F2D15F97F2D6}" name="TOTAL" dataDxfId="380">
      <calculatedColumnFormula>+SUM(JZ4:JZ132)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F82BAA9A-7E95-4AFB-AD99-DD2D24D6B8AC}" name="Tabla7275" displayName="Tabla7275" ref="B62:E89" totalsRowShown="0">
  <autoFilter ref="B62:E89" xr:uid="{F82BAA9A-7E95-4AFB-AD99-DD2D24D6B8AC}"/>
  <tableColumns count="4">
    <tableColumn id="1" xr3:uid="{D3B44EA7-B8EB-4F19-ABCE-18B4F232CA5C}" name="ITEM"/>
    <tableColumn id="2" xr3:uid="{9DB5BE49-2B02-4728-B1A2-227D7DFB5860}" name="UNIDAD" dataDxfId="521"/>
    <tableColumn id="3" xr3:uid="{BE571AAE-BCA8-461D-BB43-1239A633DA0B}" name="GRUPO" dataDxfId="520"/>
    <tableColumn id="4" xr3:uid="{80C1052E-DD68-4850-842D-B5459037F07D}" name="V. UNITARIO" dataDxfId="519" dataCellStyle="Moneda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62C9A004-6C11-4689-87AF-7D50A1BACB50}" name="Tabla520212224252627" displayName="Tabla520212224252627" ref="MK3:MS132" totalsRowShown="0" headerRowDxfId="379">
  <autoFilter ref="MK3:MS132" xr:uid="{62C9A004-6C11-4689-87AF-7D50A1BACB50}"/>
  <tableColumns count="9">
    <tableColumn id="1" xr3:uid="{E894A9AB-C3C2-4BAF-A947-3FDF54AD4CFF}" name="Edificio"/>
    <tableColumn id="2" xr3:uid="{E1D74248-3D75-4C2E-8E81-9B43851E3C20}" name="Nivel"/>
    <tableColumn id="3" xr3:uid="{0082610D-20E3-4BFB-9791-59C51C45442A}" name="Material"/>
    <tableColumn id="6" xr3:uid="{F0269A8B-5345-48E5-9B51-3FA1346F9D11}" name="Volúmen bruto"/>
    <tableColumn id="4" xr3:uid="{7FC30F25-2E76-4CE7-BD27-76899842BAB9}" name="Área neta"/>
    <tableColumn id="7" xr3:uid="{92A3A16F-8D8D-4F6B-9203-7CAD36A0F06F}" name="Recuento"/>
    <tableColumn id="8" xr3:uid="{0B844275-138E-4A05-A04E-B25DA6EB47E8}" name="Volúmen total" dataDxfId="378">
      <calculatedColumnFormula>+Tabla520212224252627[[#This Row],[Recuento]]*Tabla520212224252627[[#This Row],[Volúmen bruto]]</calculatedColumnFormula>
    </tableColumn>
    <tableColumn id="9" xr3:uid="{254A0B72-2007-425C-9064-95DB135F5833}" name="Área total" dataDxfId="377">
      <calculatedColumnFormula>+Tabla520212224252627[[#This Row],[Recuento]]*Tabla520212224252627[[#This Row],[Área neta]]</calculatedColumnFormula>
    </tableColumn>
    <tableColumn id="5" xr3:uid="{3496557B-716F-41A9-941B-FE164922CD77}" name="TOTAL" dataDxfId="376">
      <calculatedColumnFormula>+SUM(MR4:MR132)</calculatedColumnFormula>
    </tableColumn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6506A1E-2687-4A0D-9D3F-996ECECEE5D9}" name="Tabla52021222425262728" displayName="Tabla52021222425262728" ref="OS3:PA132" totalsRowShown="0" headerRowDxfId="375">
  <autoFilter ref="OS3:PA132" xr:uid="{16506A1E-2687-4A0D-9D3F-996ECECEE5D9}"/>
  <tableColumns count="9">
    <tableColumn id="1" xr3:uid="{6F574762-FA33-45E8-874C-BDA7D68D1C96}" name="Edificio"/>
    <tableColumn id="2" xr3:uid="{956F72C7-4EB8-4FD0-BD42-016D7D48D6C9}" name="Nivel"/>
    <tableColumn id="3" xr3:uid="{BDBD6F2C-40EC-4B69-8561-F95862C1586A}" name="Material"/>
    <tableColumn id="6" xr3:uid="{CF01BAA6-2C07-453B-99DD-CBE6AC542A0D}" name="Volúmen bruto"/>
    <tableColumn id="4" xr3:uid="{247FE1C3-E7FB-413E-A29A-F2A985E1885A}" name="Área neta"/>
    <tableColumn id="7" xr3:uid="{EE6EBAEE-5F33-4CDD-BDBA-6D81C0B14543}" name="Recuento"/>
    <tableColumn id="8" xr3:uid="{C3B8B722-849A-4A76-883C-C27269E1E38B}" name="Volúmen total" dataDxfId="374">
      <calculatedColumnFormula>+Tabla52021222425262728[[#This Row],[Recuento]]*Tabla52021222425262728[[#This Row],[Volúmen bruto]]</calculatedColumnFormula>
    </tableColumn>
    <tableColumn id="9" xr3:uid="{DA75F7D8-6FA7-4DA9-A63D-D85FBC8C0161}" name="Área total" dataDxfId="373">
      <calculatedColumnFormula>+Tabla52021222425262728[[#This Row],[Recuento]]*Tabla52021222425262728[[#This Row],[Área neta]]</calculatedColumnFormula>
    </tableColumn>
    <tableColumn id="5" xr3:uid="{3A6BE5EF-1D6A-4CD7-8FFF-678EDC686B5C}" name="TOTAL" dataDxfId="372">
      <calculatedColumnFormula>+SUM(OZ6)</calculatedColumnFormula>
    </tableColumn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BE1367F-480A-4DFE-A59C-F52BA94AD5C2}" name="Tabla5202122242526272829" displayName="Tabla5202122242526272829" ref="QQ3:RA132" totalsRowShown="0" headerRowDxfId="371">
  <autoFilter ref="QQ3:RA132" xr:uid="{5BE1367F-480A-4DFE-A59C-F52BA94AD5C2}"/>
  <tableColumns count="11">
    <tableColumn id="1" xr3:uid="{F0FD71A4-0318-42F9-8529-C1D20EB06166}" name="Edificio"/>
    <tableColumn id="2" xr3:uid="{225BF228-2D6A-4A92-9089-B8739CDC1C35}" name="Nivel"/>
    <tableColumn id="3" xr3:uid="{FE9E839F-2CF6-4798-8C89-2472A2F6A075}" name="Material"/>
    <tableColumn id="6" xr3:uid="{F122D2FC-B56B-4A14-96E6-BD0B5F1C3922}" name="Volúmen bruto"/>
    <tableColumn id="4" xr3:uid="{CCB80313-FCF9-4690-AB93-BED25D6D3ADE}" name="Área neta"/>
    <tableColumn id="10" xr3:uid="{32862B35-E726-438E-9509-DC30CAF41DFC}" name="Longitud"/>
    <tableColumn id="7" xr3:uid="{3838AFA0-7C80-421F-89AD-0CEBA2756DCF}" name="Recuento"/>
    <tableColumn id="8" xr3:uid="{576242CC-D1D0-4480-A77B-585B96461789}" name="Volúmen total" dataDxfId="370">
      <calculatedColumnFormula>+Tabla5202122242526272829[[#This Row],[Recuento]]*Tabla5202122242526272829[[#This Row],[Volúmen bruto]]</calculatedColumnFormula>
    </tableColumn>
    <tableColumn id="9" xr3:uid="{BE8B9251-4FA6-4086-AFDC-D32467A1B83B}" name="Área total" dataDxfId="369">
      <calculatedColumnFormula>+Tabla5202122242526272829[[#This Row],[Recuento]]*Tabla5202122242526272829[[#This Row],[Área neta]]</calculatedColumnFormula>
    </tableColumn>
    <tableColumn id="11" xr3:uid="{69136891-784F-4515-A79E-E17665DD8983}" name="Longitud total" dataDxfId="368"/>
    <tableColumn id="5" xr3:uid="{F87CE066-43AB-4AB1-9A66-257F9E42DDC0}" name="TOTAL" dataDxfId="367">
      <calculatedColumnFormula>+SUM(QY4:QY132)</calculatedColumnFormula>
    </tableColumn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B1408C6-3528-4F74-91BF-E037AA4507EC}" name="Tabla520212224252627283132" displayName="Tabla520212224252627283132" ref="RC3:RK130" totalsRowShown="0" headerRowDxfId="366">
  <autoFilter ref="RC3:RK130" xr:uid="{1B1408C6-3528-4F74-91BF-E037AA4507EC}"/>
  <tableColumns count="9">
    <tableColumn id="1" xr3:uid="{4ADE2F0A-6DFD-4F8B-A555-A3B6FEAF08C1}" name="Edificio"/>
    <tableColumn id="2" xr3:uid="{1047449E-C265-48EF-A153-234B57ECB4E6}" name="Nivel"/>
    <tableColumn id="3" xr3:uid="{2A2F1CD2-B815-4153-910A-CBF74CA021F6}" name="Material"/>
    <tableColumn id="6" xr3:uid="{A804B796-F616-49DE-B452-60A319B6E2D9}" name="Volúmen bruto"/>
    <tableColumn id="4" xr3:uid="{B7B779A7-81C3-43C0-9A90-9AB7EA4AEF13}" name="Área neta"/>
    <tableColumn id="7" xr3:uid="{71A2106F-72CF-4855-AF77-4A9AE323C43B}" name="Recuento"/>
    <tableColumn id="8" xr3:uid="{ACB4CF07-6E4C-4C30-86E1-BB3D4F394913}" name="Volúmen total" dataDxfId="365">
      <calculatedColumnFormula>+Tabla520212224252627283132[[#This Row],[Recuento]]*Tabla520212224252627283132[[#This Row],[Volúmen bruto]]</calculatedColumnFormula>
    </tableColumn>
    <tableColumn id="9" xr3:uid="{ECDA608A-8F66-42B2-A7F5-6BE1CDC67869}" name="Área total" dataDxfId="364">
      <calculatedColumnFormula>+Tabla520212224252627283132[[#This Row],[Recuento]]*Tabla520212224252627283132[[#This Row],[Área neta]]</calculatedColumnFormula>
    </tableColumn>
    <tableColumn id="5" xr3:uid="{2726BDF5-E944-4BA1-A796-4A4373D411D8}" name="TOTAL" dataDxfId="363">
      <calculatedColumnFormula>+SUM(RJ4:RJ130)</calculatedColumnFormula>
    </tableColumn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306ABEC-9021-45D5-83A5-02112DACA338}" name="Tabla52021222425262728313233" displayName="Tabla52021222425262728313233" ref="RW3:SE132" totalsRowShown="0" headerRowDxfId="362">
  <autoFilter ref="RW3:SE132" xr:uid="{0306ABEC-9021-45D5-83A5-02112DACA338}"/>
  <tableColumns count="9">
    <tableColumn id="1" xr3:uid="{D2E1B6CB-68BB-4135-81AB-F23D20CFB1FC}" name="Edificio"/>
    <tableColumn id="2" xr3:uid="{B3997301-3EDB-4D73-875D-9C7AB144DE29}" name="Nivel"/>
    <tableColumn id="3" xr3:uid="{892D8572-1033-4515-90D4-127C88EF262A}" name="Material"/>
    <tableColumn id="6" xr3:uid="{8C606952-351F-4741-88E6-E1A37D952D5B}" name="Volúmen bruto"/>
    <tableColumn id="4" xr3:uid="{17141460-51BD-45D3-A463-484330638C4F}" name="Área neta"/>
    <tableColumn id="7" xr3:uid="{A27F99A8-C37F-4C3E-8A15-A4986B774D2D}" name="Recuento"/>
    <tableColumn id="8" xr3:uid="{2A1A6330-D96C-421E-89C4-E5EFE59CEA19}" name="Volúmen total" dataDxfId="361">
      <calculatedColumnFormula>+Tabla52021222425262728313233[[#This Row],[Recuento]]*Tabla52021222425262728313233[[#This Row],[Volúmen bruto]]</calculatedColumnFormula>
    </tableColumn>
    <tableColumn id="9" xr3:uid="{06305A4B-0459-4B18-829E-DF1A2B82686A}" name="Área total" dataDxfId="360">
      <calculatedColumnFormula>+Tabla52021222425262728313233[[#This Row],[Recuento]]*Tabla52021222425262728313233[[#This Row],[Área neta]]</calculatedColumnFormula>
    </tableColumn>
    <tableColumn id="5" xr3:uid="{5F9441AB-958E-40CC-A8B2-16E0DFC29F7D}" name="TOTAL" dataDxfId="359">
      <calculatedColumnFormula>+SUM(SD4:SD132)</calculatedColumnFormula>
    </tableColumn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4EC3985-CDBB-4700-A9AF-902FBF020716}" name="Tabla578914151634" displayName="Tabla578914151634" ref="TA3:TI49" totalsRowShown="0" headerRowDxfId="358">
  <autoFilter ref="TA3:TI49" xr:uid="{E4EC3985-CDBB-4700-A9AF-902FBF020716}"/>
  <tableColumns count="9">
    <tableColumn id="1" xr3:uid="{EF964D71-3B77-4E96-ADE4-8CA8CDB03C93}" name="Edificio"/>
    <tableColumn id="2" xr3:uid="{DF479AB5-37CC-4BB8-8022-42EBE0085370}" name="Nivel"/>
    <tableColumn id="3" xr3:uid="{1F606990-5407-48FB-B64B-86BCDCC15D14}" name="Material"/>
    <tableColumn id="4" xr3:uid="{8C05A48F-69E3-4A4A-94CB-CF3738663602}" name="Volúmen bruto"/>
    <tableColumn id="6" xr3:uid="{533E99EE-35D4-45B6-8D64-33C44ADFB9FD}" name="Área neta" dataDxfId="357"/>
    <tableColumn id="7" xr3:uid="{B21DA182-8E71-4769-B9CE-5545A06D94BB}" name="Recuento" dataDxfId="356"/>
    <tableColumn id="8" xr3:uid="{9932A979-B316-462B-98F7-38E56EC3E797}" name="Volúmen total" dataDxfId="355"/>
    <tableColumn id="9" xr3:uid="{53387106-EDE5-4C04-9255-6A60E3C32485}" name="Área total" dataDxfId="354"/>
    <tableColumn id="5" xr3:uid="{0BEF4445-700C-46D6-844D-B138B49F08A1}" name="TOTAL" dataDxfId="353">
      <calculatedColumnFormula>+SUM(TD4:TD5)</calculatedColumnFormula>
    </tableColumn>
  </tableColumns>
  <tableStyleInfo name="TableStyleMedium7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2C7C9BC-F7A9-4D8E-8561-CE35D4A6E554}" name="Tabla57891415163435" displayName="Tabla57891415163435" ref="TK3:TS51" totalsRowShown="0" headerRowDxfId="352">
  <autoFilter ref="TK3:TS51" xr:uid="{72C7C9BC-F7A9-4D8E-8561-CE35D4A6E554}"/>
  <tableColumns count="9">
    <tableColumn id="1" xr3:uid="{8B5D32B0-3D6F-49DA-9B67-95F8E627B448}" name="Edificio"/>
    <tableColumn id="2" xr3:uid="{31442F89-1068-49D6-8201-8EDBA2B504A7}" name="Nivel"/>
    <tableColumn id="3" xr3:uid="{65987B34-3CCC-4FB7-B85A-9F750EB3EA8C}" name="Material"/>
    <tableColumn id="4" xr3:uid="{867ACA23-2E72-4CF0-B7D1-65A00F38E547}" name="Volúmen bruto"/>
    <tableColumn id="6" xr3:uid="{8E9AD488-C3BC-4084-BBB6-AE0FC6989093}" name="Área neta" dataDxfId="351"/>
    <tableColumn id="7" xr3:uid="{27A06CE5-F518-4F0B-B9E3-F7BD639E5DB0}" name="Recuento" dataDxfId="350"/>
    <tableColumn id="8" xr3:uid="{9B22EF07-3DD2-443C-9AFA-7EB4005B3674}" name="Volúmen total" dataDxfId="349"/>
    <tableColumn id="9" xr3:uid="{43AAA159-C3DA-4899-BF91-AB82BB41A149}" name="Área total" dataDxfId="348"/>
    <tableColumn id="5" xr3:uid="{8E673424-8322-4817-99C5-DA16753C8B72}" name="TOTAL" dataDxfId="347">
      <calculatedColumnFormula>+SUM(TN4:TN5)</calculatedColumnFormula>
    </tableColumn>
  </tableColumns>
  <tableStyleInfo name="TableStyleMedium7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5FF2206-7A87-4DE0-BE06-F6DA09AC1F28}" name="Tabla5789141516343536" displayName="Tabla5789141516343536" ref="TU3:UC51" totalsRowShown="0" headerRowDxfId="346">
  <autoFilter ref="TU3:UC51" xr:uid="{A5FF2206-7A87-4DE0-BE06-F6DA09AC1F28}"/>
  <tableColumns count="9">
    <tableColumn id="1" xr3:uid="{0CB9681D-92C9-4607-BB50-C61DD076F0EE}" name="Edificio"/>
    <tableColumn id="2" xr3:uid="{BB94D5AA-9DCD-4C3F-A3FD-A66AD82696DF}" name="Nivel"/>
    <tableColumn id="3" xr3:uid="{4F6AA266-1CFD-40E1-BA4D-39A564E5D379}" name="Material"/>
    <tableColumn id="4" xr3:uid="{822862C7-3DED-4E43-A75B-02EABA2C6D13}" name="Volúmen bruto"/>
    <tableColumn id="6" xr3:uid="{96D589B2-AF8F-4364-A832-9B1A4A8F5939}" name="Área neta" dataDxfId="345"/>
    <tableColumn id="7" xr3:uid="{09342362-1C04-4068-BDFB-8F6E36CF8F65}" name="Recuento" dataDxfId="344"/>
    <tableColumn id="8" xr3:uid="{0BD13273-5E97-42A8-9B4B-A07AB3E75146}" name="Volúmen total" dataDxfId="343"/>
    <tableColumn id="9" xr3:uid="{87F2BEB8-3CF0-4A09-BD9B-D86202A18E93}" name="Área total" dataDxfId="342"/>
    <tableColumn id="5" xr3:uid="{06F13522-10AA-41EA-B6AB-FD481599821B}" name="TOTAL" dataDxfId="341">
      <calculatedColumnFormula>+SUM(TX4:TX5)</calculatedColumnFormula>
    </tableColumn>
  </tableColumns>
  <tableStyleInfo name="TableStyleMedium7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0A6FA9B-C715-4A74-8FAE-36E3BDCF6863}" name="Tabla57891415163435363738" displayName="Tabla57891415163435363738" ref="UE3:UM51" totalsRowShown="0" headerRowDxfId="340">
  <autoFilter ref="UE3:UM51" xr:uid="{50A6FA9B-C715-4A74-8FAE-36E3BDCF6863}"/>
  <tableColumns count="9">
    <tableColumn id="1" xr3:uid="{3BA46C75-0D5B-4B6B-A4FE-BE69A0CE7C7D}" name="Edificio"/>
    <tableColumn id="2" xr3:uid="{5AAC7432-76B3-47AE-897A-0C9BB2469E53}" name="Nivel"/>
    <tableColumn id="3" xr3:uid="{6E13DFE9-CF06-464C-BED8-16CE85791F79}" name="Material"/>
    <tableColumn id="4" xr3:uid="{580717AA-6ECA-4BD1-987F-B6E8A380E3CC}" name="Volúmen bruto"/>
    <tableColumn id="6" xr3:uid="{6C714275-AA8E-4BA2-B503-0852208074F7}" name="Área neta" dataDxfId="339"/>
    <tableColumn id="7" xr3:uid="{1D5AAD89-95FF-4EC3-923A-1EEAF0D0F7E8}" name="Recuento" dataDxfId="338"/>
    <tableColumn id="8" xr3:uid="{2A5C055E-9F3A-4398-964E-CB085E5F4680}" name="Volúmen total" dataDxfId="337"/>
    <tableColumn id="9" xr3:uid="{8673E8A2-2732-4DFE-91BB-FD7E36781F16}" name="Área total" dataDxfId="336"/>
    <tableColumn id="5" xr3:uid="{86EE6CA8-85D3-4A7F-A093-DD94FF621CE1}" name="TOTAL" dataDxfId="335">
      <calculatedColumnFormula>+SUM(UH4:UH5)</calculatedColumnFormula>
    </tableColumn>
  </tableColumns>
  <tableStyleInfo name="TableStyleMedium7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10A47A00-6DF4-419E-BB80-E1B52624AEC1}" name="Tabla5789141516343536373839" displayName="Tabla5789141516343536373839" ref="UO3:UW51" totalsRowShown="0" headerRowDxfId="334">
  <autoFilter ref="UO3:UW51" xr:uid="{10A47A00-6DF4-419E-BB80-E1B52624AEC1}"/>
  <tableColumns count="9">
    <tableColumn id="1" xr3:uid="{05337558-8868-4DB5-BB44-FDF65FD37FC3}" name="Edificio"/>
    <tableColumn id="2" xr3:uid="{86710F72-1154-46B1-B573-3AFE74DD46EE}" name="Nivel"/>
    <tableColumn id="3" xr3:uid="{34E25DD5-89A1-4E4B-901A-D5AF3DA11C39}" name="Material"/>
    <tableColumn id="4" xr3:uid="{B6941047-6011-4516-9B1B-9E2872176CEF}" name="Volúmen bruto"/>
    <tableColumn id="6" xr3:uid="{7A3A56DF-739E-438D-A411-3EB240196466}" name="Área neta" dataDxfId="333"/>
    <tableColumn id="7" xr3:uid="{A431F644-D515-4072-8F48-AC9017ED85FA}" name="Recuento" dataDxfId="332"/>
    <tableColumn id="8" xr3:uid="{5B4702B2-C65F-4822-A24E-D4D1D1E05D5D}" name="Volúmen total" dataDxfId="331"/>
    <tableColumn id="9" xr3:uid="{BD703F13-319D-4C5C-95EC-BBFFE859BA6F}" name="Área total" dataDxfId="330"/>
    <tableColumn id="5" xr3:uid="{BD375501-02CB-48FF-8C15-69D94BF37F71}" name="TOTAL" dataDxfId="329">
      <calculatedColumnFormula>+SUM(UR4:UR5)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489F2814-35A2-43A0-909A-6ABD2CFDF6BF}" name="Tabla727476" displayName="Tabla727476" ref="B92:E98" totalsRowShown="0">
  <autoFilter ref="B92:E98" xr:uid="{489F2814-35A2-43A0-909A-6ABD2CFDF6BF}"/>
  <tableColumns count="4">
    <tableColumn id="1" xr3:uid="{242B9454-92F0-4694-AF12-2C8107058957}" name="ITEM"/>
    <tableColumn id="2" xr3:uid="{5860110F-725C-4C43-A5AC-75177E8EED27}" name="UNIDAD" dataDxfId="518"/>
    <tableColumn id="3" xr3:uid="{2228D190-6089-4CB5-B0D8-84FE6FB5421B}" name="GRUPO" dataDxfId="517"/>
    <tableColumn id="4" xr3:uid="{E7C7B5FB-8CA3-4C03-B53F-CC6B722F8BA6}" name="V. UNITARIO" dataDxfId="516" dataCellStyle="Moneda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7EFF8A5-1901-4E4E-8CBD-E565C7CC4F48}" name="Tabla578914151634353637383940" displayName="Tabla578914151634353637383940" ref="UY3:VG51" totalsRowShown="0" headerRowDxfId="328">
  <autoFilter ref="UY3:VG51" xr:uid="{07EFF8A5-1901-4E4E-8CBD-E565C7CC4F48}"/>
  <tableColumns count="9">
    <tableColumn id="1" xr3:uid="{94191635-3D6D-43E6-BA8E-F4C893C9206C}" name="Edificio"/>
    <tableColumn id="2" xr3:uid="{3F56A626-8600-4B8B-AC89-60C9EA6A2CB5}" name="Nivel"/>
    <tableColumn id="3" xr3:uid="{602F9C0D-7BAC-42FA-B2CB-D0EA7AE2B45D}" name="Material"/>
    <tableColumn id="4" xr3:uid="{D29A20A6-D2AE-48EC-8C33-C2C8526E442B}" name="Volúmen bruto"/>
    <tableColumn id="6" xr3:uid="{DADF61CE-81C2-4CF6-A8F8-F3C4F8234782}" name="Área neta" dataDxfId="327"/>
    <tableColumn id="7" xr3:uid="{96A769DC-247B-4846-B670-05811CCCB51D}" name="Recuento" dataDxfId="326"/>
    <tableColumn id="8" xr3:uid="{BB503810-B1F7-4E39-9C00-15CB082188FD}" name="Volúmen total" dataDxfId="325"/>
    <tableColumn id="9" xr3:uid="{CF342249-1F3E-4576-AD80-8F79847AD3E5}" name="Área total" dataDxfId="324"/>
    <tableColumn id="5" xr3:uid="{83C1B462-7551-482F-8B50-DEE61B9C20A4}" name="TOTAL" dataDxfId="323">
      <calculatedColumnFormula>+SUM(VB4:VB5)</calculatedColumnFormula>
    </tableColumn>
  </tableColumns>
  <tableStyleInfo name="TableStyleMedium7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6F6DC64-1C4D-4BBD-A50B-3AC2FF50DEE4}" name="Tabla57891415163435363738394041" displayName="Tabla57891415163435363738394041" ref="VI3:VQ51" totalsRowShown="0" headerRowDxfId="322">
  <autoFilter ref="VI3:VQ51" xr:uid="{46F6DC64-1C4D-4BBD-A50B-3AC2FF50DEE4}"/>
  <tableColumns count="9">
    <tableColumn id="1" xr3:uid="{C3432072-D8D7-4435-B728-AB123B4CDAF5}" name="Edificio"/>
    <tableColumn id="2" xr3:uid="{CC9DAC5B-CA7E-47C9-A6E3-DDD62EEEABBC}" name="Nivel"/>
    <tableColumn id="3" xr3:uid="{469AC963-9E6B-481F-8FCA-1683321BF963}" name="Material"/>
    <tableColumn id="4" xr3:uid="{52C12402-582E-490B-8A83-A9697A6FE5D9}" name="Volúmen bruto"/>
    <tableColumn id="6" xr3:uid="{F51FC991-D01C-4287-A625-2DF8D142B625}" name="Área neta" dataDxfId="321"/>
    <tableColumn id="7" xr3:uid="{EDDEC57B-2808-40E8-BC2E-098BDE9370AE}" name="Recuento" dataDxfId="320"/>
    <tableColumn id="8" xr3:uid="{7ACE9A9B-4FF7-4CB1-B24B-AAE1F3C82178}" name="Volúmen total" dataDxfId="319"/>
    <tableColumn id="9" xr3:uid="{E1766409-0BBE-491E-8706-C6CCA5631C0D}" name="Área total" dataDxfId="318"/>
    <tableColumn id="5" xr3:uid="{E5BDB7FD-89D2-4724-9F15-E5769FD46DF6}" name="TOTAL" dataDxfId="317">
      <calculatedColumnFormula>+SUM(VL4:VL5)</calculatedColumnFormula>
    </tableColumn>
  </tableColumns>
  <tableStyleInfo name="TableStyleMedium7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2919319-3BEE-40E1-B3F7-2D12DA0F988C}" name="Tabla5789141516343536373839404142" displayName="Tabla5789141516343536373839404142" ref="WC3:WK51" totalsRowShown="0" headerRowDxfId="316">
  <autoFilter ref="WC3:WK51" xr:uid="{D2919319-3BEE-40E1-B3F7-2D12DA0F988C}"/>
  <tableColumns count="9">
    <tableColumn id="1" xr3:uid="{1621FF40-D3FF-4D0D-8AF3-BDCEA5FC7393}" name="Edificio"/>
    <tableColumn id="2" xr3:uid="{9116F0D6-BF5A-4B25-B02F-AB1DA0ED39CE}" name="Nivel"/>
    <tableColumn id="3" xr3:uid="{B6E43576-B726-4EC4-A6D3-1D83B0CCB969}" name="Material"/>
    <tableColumn id="4" xr3:uid="{0A032EB6-362C-415B-9C2C-D139AC0A1AE5}" name="Volúmen bruto"/>
    <tableColumn id="6" xr3:uid="{9B2EDACA-30E5-4FB8-A3CE-729FC1DBA1C3}" name="Área neta" dataDxfId="315"/>
    <tableColumn id="7" xr3:uid="{C7190108-1BD3-42C2-8863-2CB79939308E}" name="Recuento" dataDxfId="314"/>
    <tableColumn id="8" xr3:uid="{D33A1ED6-9E94-4A3E-B265-DEA15DD8FC20}" name="Volúmen total" dataDxfId="313"/>
    <tableColumn id="9" xr3:uid="{93F29264-D1B0-42A5-BD23-695926E3C245}" name="Área total" dataDxfId="312"/>
    <tableColumn id="5" xr3:uid="{1488DA01-FB2F-4E2F-8D16-A29E03C56740}" name="TOTAL" dataDxfId="311">
      <calculatedColumnFormula>+SUM(WF4:WF5)</calculatedColumnFormula>
    </tableColumn>
  </tableColumns>
  <tableStyleInfo name="TableStyleMedium7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5074D58-E993-4F35-A7A6-5C174B972A4F}" name="Tabla5789141516343536373839404142434445" displayName="Tabla5789141516343536373839404142434445" ref="XQ3:XY51" totalsRowShown="0" headerRowDxfId="310">
  <autoFilter ref="XQ3:XY51" xr:uid="{85074D58-E993-4F35-A7A6-5C174B972A4F}"/>
  <tableColumns count="9">
    <tableColumn id="1" xr3:uid="{4EBABB02-FA0B-4BB4-9E35-C16BC7078B2E}" name="Edificio"/>
    <tableColumn id="2" xr3:uid="{36CCCECF-C1C5-435A-98B4-12D1CB2AC273}" name="Nivel"/>
    <tableColumn id="3" xr3:uid="{5E640BBB-FE24-476E-9CD3-7736E07FF729}" name="Material"/>
    <tableColumn id="4" xr3:uid="{D7E1F93D-7094-4DEF-95DC-D4E71C55BCB9}" name="Volúmen bruto"/>
    <tableColumn id="6" xr3:uid="{CDE87DD8-300D-4D82-A912-58749494DC58}" name="Área neta" dataDxfId="309"/>
    <tableColumn id="7" xr3:uid="{527B435A-1FC9-4A60-B612-4E45015C1677}" name="Recuento" dataDxfId="308"/>
    <tableColumn id="8" xr3:uid="{A848E8DA-0E43-4F34-968F-A324BBED0A08}" name="Volúmen total" dataDxfId="307"/>
    <tableColumn id="9" xr3:uid="{D2596524-70C5-4964-B21E-85622999A1EA}" name="Área total" dataDxfId="306"/>
    <tableColumn id="5" xr3:uid="{041E8DB1-1449-420A-A7C4-74D5637E9A09}" name="TOTAL" dataDxfId="305">
      <calculatedColumnFormula>+SUM(XT4:XT5)</calculatedColumnFormula>
    </tableColumn>
  </tableColumns>
  <tableStyleInfo name="TableStyleMedium7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EC64557-658B-4000-9F98-549C6B99C513}" name="Tabla57891415163435363738394041424344454647" displayName="Tabla57891415163435363738394041424344454647" ref="YQ3:YY51" totalsRowShown="0" headerRowDxfId="304">
  <autoFilter ref="YQ3:YY51" xr:uid="{CEC64557-658B-4000-9F98-549C6B99C513}"/>
  <tableColumns count="9">
    <tableColumn id="1" xr3:uid="{24F0318D-1501-4822-A477-7E1A6127ED7C}" name="Edificio"/>
    <tableColumn id="2" xr3:uid="{1AD00F6C-DFE8-4684-B48E-A7DB7D1380B9}" name="Nivel"/>
    <tableColumn id="3" xr3:uid="{B08734AB-104D-49C9-A039-07975CFC3956}" name="Material"/>
    <tableColumn id="4" xr3:uid="{D65EACBB-76A5-43AD-BC29-DA58105BEC6E}" name="Volúmen bruto"/>
    <tableColumn id="6" xr3:uid="{4E607F0B-1D58-4C72-93BF-EA899F8D794E}" name="Área neta" dataDxfId="303"/>
    <tableColumn id="7" xr3:uid="{5FE79F98-8BA1-43F8-914A-9FD1674B7AE8}" name="Recuento" dataDxfId="302"/>
    <tableColumn id="8" xr3:uid="{74C6C099-C3E3-4764-817E-B35A42379ACE}" name="Volúmen total" dataDxfId="301"/>
    <tableColumn id="9" xr3:uid="{7D3E3E67-A37B-4EBF-AEEA-432988CCA746}" name="Área total" dataDxfId="300"/>
    <tableColumn id="5" xr3:uid="{F9768217-0644-45A2-8B79-7F7D9D440615}" name="TOTAL" dataDxfId="299">
      <calculatedColumnFormula>+SUM(YT4:YT5)</calculatedColumnFormula>
    </tableColumn>
  </tableColumns>
  <tableStyleInfo name="TableStyleMedium7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B399A196-2FC7-4C38-A876-6DC13011096F}" name="Tabla57891415163435363738394041424344454647484950" displayName="Tabla57891415163435363738394041424344454647484950" ref="ZU3:AAC51" totalsRowShown="0" headerRowDxfId="298">
  <autoFilter ref="ZU3:AAC51" xr:uid="{B399A196-2FC7-4C38-A876-6DC13011096F}"/>
  <tableColumns count="9">
    <tableColumn id="1" xr3:uid="{F2C9F3AA-B081-4F84-A46F-845FD39A733C}" name="Edificio"/>
    <tableColumn id="2" xr3:uid="{FE04B509-7F05-4C75-AB48-AB03C9D20721}" name="Nivel"/>
    <tableColumn id="3" xr3:uid="{654BD9E1-84C4-4F2E-B919-216B28041DF9}" name="Material"/>
    <tableColumn id="4" xr3:uid="{B6E0D284-ADB1-46FC-B9EF-381B133DDBDE}" name="Volúmen bruto"/>
    <tableColumn id="6" xr3:uid="{86F172BB-6E66-43AB-8187-CB320068DBFC}" name="Área neta" dataDxfId="297"/>
    <tableColumn id="7" xr3:uid="{A1C4DADB-C082-4BCD-9B79-49FF83CEDC7A}" name="Recuento" dataDxfId="296"/>
    <tableColumn id="8" xr3:uid="{EFEA16B3-A022-4D2B-8403-BF6C2B7C0614}" name="Volúmen total" dataDxfId="295"/>
    <tableColumn id="9" xr3:uid="{DBEBE5BE-8C7A-45BD-82D7-F18B9F22A3E0}" name="Área total" dataDxfId="294"/>
    <tableColumn id="5" xr3:uid="{F4321B2B-D0D9-40AB-9044-B76B87EE34AE}" name="TOTAL" dataDxfId="293">
      <calculatedColumnFormula>+SUM(ZX4:ZX5)</calculatedColumnFormula>
    </tableColumn>
  </tableColumns>
  <tableStyleInfo name="TableStyleMedium7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895C0FD-C8A4-4CD6-BB3A-373C152AD0B5}" name="Tabla5789141516343536373839404142434445464748495051" displayName="Tabla5789141516343536373839404142434445464748495051" ref="AAO3:AAW38" totalsRowShown="0" headerRowDxfId="292">
  <autoFilter ref="AAO3:AAW38" xr:uid="{2895C0FD-C8A4-4CD6-BB3A-373C152AD0B5}"/>
  <tableColumns count="9">
    <tableColumn id="1" xr3:uid="{B98F07DC-C6F4-4969-9D62-6A71A395B894}" name="Edificio"/>
    <tableColumn id="2" xr3:uid="{4B3AEC4A-72F9-4602-8C28-6A86845E3D9C}" name="Nivel"/>
    <tableColumn id="3" xr3:uid="{06806BBA-35F9-4343-80C9-B4A329DCD1C1}" name="Material"/>
    <tableColumn id="4" xr3:uid="{F44C02F4-B6BF-403A-9CFF-8100DC86C472}" name="Volúmen bruto"/>
    <tableColumn id="6" xr3:uid="{445DF699-09FB-4481-A0D0-76B5DEDAF128}" name="Área neta" dataDxfId="291"/>
    <tableColumn id="7" xr3:uid="{6ACC718B-BBC8-401C-8039-EAD393EDE493}" name="Recuento" dataDxfId="290"/>
    <tableColumn id="8" xr3:uid="{4E7520B8-9372-4616-8D4E-8BA4782E5C39}" name="Volúmen total" dataDxfId="289"/>
    <tableColumn id="9" xr3:uid="{7E2A71AA-E070-4211-8A27-B3A02CE81F09}" name="Área total" dataDxfId="288"/>
    <tableColumn id="5" xr3:uid="{CF173191-67F9-430E-9D79-DD884F8D7C5E}" name="TOTAL" dataDxfId="287">
      <calculatedColumnFormula>+SUM(AAR4:AAR5)</calculatedColumnFormula>
    </tableColumn>
  </tableColumns>
  <tableStyleInfo name="TableStyleMedium7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4ED4D89-877A-4CF5-AF87-F543D19B8833}" name="Tabla578914151634353637383940414243444546474849505152" displayName="Tabla578914151634353637383940414243444546474849505152" ref="AAY3:ABG51" totalsRowShown="0" headerRowDxfId="286">
  <autoFilter ref="AAY3:ABG51" xr:uid="{64ED4D89-877A-4CF5-AF87-F543D19B8833}"/>
  <tableColumns count="9">
    <tableColumn id="1" xr3:uid="{A86AE468-329E-4C3C-886E-C335A2569065}" name="Edificio"/>
    <tableColumn id="2" xr3:uid="{A217382A-E3AC-4171-9937-CAFC95E77455}" name="Nivel"/>
    <tableColumn id="3" xr3:uid="{37111D3C-6E94-4AFF-8DE2-A7951A054921}" name="Material"/>
    <tableColumn id="4" xr3:uid="{BDE0D28C-0E3D-4ED7-A7C6-3C7981C4A052}" name="Volúmen bruto"/>
    <tableColumn id="6" xr3:uid="{B70E0340-FE0C-43D8-B399-330F2F801100}" name="Área neta" dataDxfId="285"/>
    <tableColumn id="7" xr3:uid="{A300C3F9-5AEB-434C-BF7C-9460AFDCEACD}" name="Recuento" dataDxfId="284"/>
    <tableColumn id="8" xr3:uid="{D2BDE264-64BB-4A47-B189-C5BEFB70C6CF}" name="Volúmen total" dataDxfId="283"/>
    <tableColumn id="9" xr3:uid="{549BCFB5-1C69-4D50-B6A2-F7C72B4FDAA4}" name="Área total" dataDxfId="282"/>
    <tableColumn id="5" xr3:uid="{A4481EDC-DE3F-47FB-B5BB-AF81C711A647}" name="TOTAL" dataDxfId="281">
      <calculatedColumnFormula>+SUM(ABB4:ABB5)</calculatedColumnFormula>
    </tableColumn>
  </tableColumns>
  <tableStyleInfo name="TableStyleMedium7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29AF5FB1-8E1C-430B-ACAB-5C664006CBFA}" name="Tabla57891415163435363738394041424344454647484950515253" displayName="Tabla57891415163435363738394041424344454647484950515253" ref="ACM3:ACU51" totalsRowShown="0" headerRowDxfId="280">
  <autoFilter ref="ACM3:ACU51" xr:uid="{29AF5FB1-8E1C-430B-ACAB-5C664006CBFA}"/>
  <tableColumns count="9">
    <tableColumn id="1" xr3:uid="{A9E7080A-1258-4247-BDBB-013EE95F7301}" name="Edificio"/>
    <tableColumn id="2" xr3:uid="{0B648F42-1049-4C44-8ADD-1E59D02021F9}" name="Nivel"/>
    <tableColumn id="3" xr3:uid="{314A004B-6AF0-4F8B-B5CE-165D04985645}" name="Material"/>
    <tableColumn id="4" xr3:uid="{FF4046A9-D6D9-41BC-913E-15F301AE178F}" name="Volúmen bruto"/>
    <tableColumn id="6" xr3:uid="{8B105550-2CC7-4E7A-A0D1-701FE46E3054}" name="Área neta" dataDxfId="279"/>
    <tableColumn id="7" xr3:uid="{533C1232-68FA-4DCB-BEDC-A330CE4CAD23}" name="Recuento" dataDxfId="278"/>
    <tableColumn id="8" xr3:uid="{C3C35020-EE91-486F-968A-71AFA93B95A2}" name="Volúmen total" dataDxfId="277"/>
    <tableColumn id="9" xr3:uid="{5801C824-EF21-4B8A-B072-43A4BDDDEC09}" name="Área total" dataDxfId="276"/>
    <tableColumn id="5" xr3:uid="{F296B78E-3DE8-4892-B6B2-F3D4767A5F39}" name="TOTAL" dataDxfId="275">
      <calculatedColumnFormula>+SUM(ACP4:ACP5)</calculatedColumnFormula>
    </tableColumn>
  </tableColumns>
  <tableStyleInfo name="TableStyleMedium7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627BF1AB-11EB-49BE-9EE4-A1B6F7E7BE09}" name="Tabla5789141516343536373839404142434445464748495054" displayName="Tabla5789141516343536373839404142434445464748495054" ref="AAE3:AAM51" totalsRowShown="0" headerRowDxfId="274">
  <autoFilter ref="AAE3:AAM51" xr:uid="{627BF1AB-11EB-49BE-9EE4-A1B6F7E7BE09}"/>
  <tableColumns count="9">
    <tableColumn id="1" xr3:uid="{A6134D1C-30FD-4CBC-8195-C2A853FB7599}" name="Edificio"/>
    <tableColumn id="2" xr3:uid="{E1DDF10A-6D7B-4FBE-AAAF-7AAC860670B7}" name="Nivel"/>
    <tableColumn id="3" xr3:uid="{4B25C9D1-11F5-4B3B-A930-F87AD6E4BCB8}" name="Material"/>
    <tableColumn id="4" xr3:uid="{6CD042FF-3DC2-4B81-807A-9BD9E85DD007}" name="Volúmen bruto"/>
    <tableColumn id="6" xr3:uid="{348D241F-24D1-40CB-82B3-431AA7F0BAE0}" name="Área neta" dataDxfId="273"/>
    <tableColumn id="7" xr3:uid="{998B6CBA-7459-4286-A48B-0218869ADB8E}" name="Recuento" dataDxfId="272"/>
    <tableColumn id="8" xr3:uid="{A3F9F666-07F4-4E87-883E-037538A529C2}" name="Volúmen total" dataDxfId="271"/>
    <tableColumn id="9" xr3:uid="{A91456B5-B7DE-4E51-B3C7-F85DC1831013}" name="Área total" dataDxfId="270"/>
    <tableColumn id="5" xr3:uid="{F1B21701-E01C-492D-A484-85F2352630E6}" name="TOTAL" dataDxfId="269">
      <calculatedColumnFormula>+SUM(AAH4:AAH5)</calculatedColumnFormula>
    </tableColumn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2E46E171-9B7C-484E-9267-02A9856528AB}" name="Tabla72747677" displayName="Tabla72747677" ref="B101:E113" totalsRowShown="0">
  <autoFilter ref="B101:E113" xr:uid="{2E46E171-9B7C-484E-9267-02A9856528AB}"/>
  <tableColumns count="4">
    <tableColumn id="1" xr3:uid="{CEE43029-AC78-491D-B928-87A2C74AA23F}" name="ITEM"/>
    <tableColumn id="2" xr3:uid="{CDDD5035-C1B2-4B23-A50C-B7E0211BE70C}" name="UNIDAD" dataDxfId="515"/>
    <tableColumn id="3" xr3:uid="{846DBF20-ED2E-48C1-BDB7-936E19D196FA}" name="GRUPO" dataDxfId="514"/>
    <tableColumn id="4" xr3:uid="{C0FA3B57-8D9D-4A57-BF7B-18DD2718B053}" name="V. UNITARIO" dataDxfId="513" dataCellStyle="Moneda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B0C87C36-9E4B-45D9-B4C1-922DFAF9C90A}" name="Tabla3102" displayName="Tabla3102" ref="BG3:BM185" totalsRowShown="0" headerRowDxfId="268">
  <autoFilter ref="BG3:BM185" xr:uid="{B0C87C36-9E4B-45D9-B4C1-922DFAF9C90A}"/>
  <sortState xmlns:xlrd2="http://schemas.microsoft.com/office/spreadsheetml/2017/richdata2" ref="BG4:BL185">
    <sortCondition ref="BH3:BH185"/>
  </sortState>
  <tableColumns count="7">
    <tableColumn id="1" xr3:uid="{07681823-A686-4404-B275-C51C99F4FF5E}" name="Edificio"/>
    <tableColumn id="2" xr3:uid="{2C558ED2-1CE6-4359-B23D-E39F66762A2B}" name="Nivel"/>
    <tableColumn id="3" xr3:uid="{09A54B40-C02D-41DE-B1BD-77F0222035E7}" name="Perfíl"/>
    <tableColumn id="5" xr3:uid="{64E48CFE-EB77-43AB-A7BE-DE62D3DBAEE1}" name="Longitud de eje" dataDxfId="267"/>
    <tableColumn id="4" xr3:uid="{0ACDEE48-D460-4B06-AC01-3010629676C2}" name="En culmo" dataDxfId="266"/>
    <tableColumn id="6" xr3:uid="{A0B2278C-3E63-4AA0-A671-1CBAFADCDBEB}" name="Longitud total" dataDxfId="265">
      <calculatedColumnFormula>+Tabla3102[[#This Row],[Longitud de eje]]*BF4</calculatedColumnFormula>
    </tableColumn>
    <tableColumn id="7" xr3:uid="{204DEC8C-E616-42C4-9EFD-287FA26A3512}" name="Número" dataDxfId="264">
      <calculatedColumnFormula>+Tabla3102[[#This Row],[Longitud de eje]]*BG4</calculatedColumnFormula>
    </tableColumn>
  </tableColumns>
  <tableStyleInfo name="TableStyleMedium3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2376AB8-C7C5-4AFB-B7DA-3CBF1EE0734B}" name="Tabla310113" displayName="Tabla310113" ref="YK3:YO380" totalsRowShown="0" headerRowDxfId="263">
  <autoFilter ref="YK3:YO380" xr:uid="{F2376AB8-C7C5-4AFB-B7DA-3CBF1EE0734B}"/>
  <sortState xmlns:xlrd2="http://schemas.microsoft.com/office/spreadsheetml/2017/richdata2" ref="YK4:YO380">
    <sortCondition ref="YL3:YL380"/>
  </sortState>
  <tableColumns count="5">
    <tableColumn id="1" xr3:uid="{D615A0FB-0164-4952-A17E-2553F7F3DCD6}" name="Edificio"/>
    <tableColumn id="2" xr3:uid="{DAFE73BC-5A8F-4AC8-9C71-E9CE9CDE7A7B}" name="Nivel"/>
    <tableColumn id="3" xr3:uid="{458D5DF7-AB6C-4D17-8783-CE91BE266E35}" name="Perfíl"/>
    <tableColumn id="5" xr3:uid="{8D431681-B7D6-4751-A1EE-A2181F386293}" name="Longitud de eje" dataDxfId="262"/>
    <tableColumn id="6" xr3:uid="{91BB14F5-64B8-42EE-9C74-2EAF440CF1AF}" name="Total"/>
  </tableColumns>
  <tableStyleInfo name="TableStyleMedium3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2D2AC889-4291-40F9-89B3-4A14405A98DC}" name="Tabla3101112137" displayName="Tabla3101112137" ref="GI3:GO370" totalsRowShown="0" headerRowDxfId="261">
  <autoFilter ref="GI3:GO370" xr:uid="{2D2AC889-4291-40F9-89B3-4A14405A98DC}"/>
  <sortState xmlns:xlrd2="http://schemas.microsoft.com/office/spreadsheetml/2017/richdata2" ref="GI4:GN370">
    <sortCondition ref="GJ3:GJ370"/>
  </sortState>
  <tableColumns count="7">
    <tableColumn id="1" xr3:uid="{C50B30A6-76DB-4291-94DA-F15044567997}" name="Edificio"/>
    <tableColumn id="2" xr3:uid="{D6E5121B-0218-4500-BFBE-FBB5FEA7BCE4}" name="Nivel"/>
    <tableColumn id="3" xr3:uid="{55A0BAFF-5E82-45D7-8518-9AB31FA09658}" name="Perfíl"/>
    <tableColumn id="5" xr3:uid="{7BF5EB3C-3DE0-4A37-BF6C-2AC9745B9882}" name="Volúmen" dataDxfId="260"/>
    <tableColumn id="7" xr3:uid="{7E6C8550-C1DC-46BE-A207-7D1F904B20C5}" name="Longitud del eje"/>
    <tableColumn id="6" xr3:uid="{810B1737-7B12-4BA7-8B18-ED16D883DC56}" name="Volúmen total"/>
    <tableColumn id="4" xr3:uid="{D869E0D3-85BA-486D-A406-1CB3FF115752}" name="Longitud total2"/>
  </tableColumns>
  <tableStyleInfo name="TableStyleMedium3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E72791E-DF00-456C-85AC-9FDEF5EB36BF}" name="Tabla5202122242526272831329" displayName="Tabla5202122242526272831329" ref="RM3:RU130" totalsRowShown="0" headerRowDxfId="259">
  <autoFilter ref="RM3:RU130" xr:uid="{4E72791E-DF00-456C-85AC-9FDEF5EB36BF}"/>
  <tableColumns count="9">
    <tableColumn id="1" xr3:uid="{ACC1C006-F5A2-492B-A014-BFC323F379F9}" name="Edificio"/>
    <tableColumn id="2" xr3:uid="{E7BEE633-1FF7-4F24-A2A4-2A834ED504C8}" name="Nivel"/>
    <tableColumn id="3" xr3:uid="{B052614E-221B-4C70-8862-34E7FB5F5F05}" name="Material"/>
    <tableColumn id="6" xr3:uid="{4F75C567-2E32-4B1F-8D3A-732B05EDDE9B}" name="Volúmen bruto"/>
    <tableColumn id="4" xr3:uid="{C6F0651F-634F-4580-ABBD-DF3A15BFF34F}" name="Área neta"/>
    <tableColumn id="7" xr3:uid="{FF3FD985-6D4B-4581-A552-6D23A2D71AD4}" name="Recuento"/>
    <tableColumn id="8" xr3:uid="{2A3A373A-AC9B-43A3-A464-1AE3D9C07A70}" name="Volúmen total" dataDxfId="258">
      <calculatedColumnFormula>+Tabla5202122242526272831329[[#This Row],[Recuento]]*Tabla5202122242526272831329[[#This Row],[Volúmen bruto]]</calculatedColumnFormula>
    </tableColumn>
    <tableColumn id="9" xr3:uid="{2CAC435C-61D9-4AF8-8F77-82B643F105D4}" name="Área total" dataDxfId="257">
      <calculatedColumnFormula>+Tabla5202122242526272831329[[#This Row],[Recuento]]*Tabla5202122242526272831329[[#This Row],[Área neta]]</calculatedColumnFormula>
    </tableColumn>
    <tableColumn id="5" xr3:uid="{0D4CD527-2EA4-4082-A346-AB72B43520AC}" name="TOTAL" dataDxfId="256">
      <calculatedColumnFormula>+SUM(RT4:RT6)</calculatedColumnFormula>
    </tableColumn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571173B-5E89-4072-9E6B-269F4FBFE177}" name="Tabla55" displayName="Tabla55" ref="ACW3:ADB31" totalsRowShown="0" headerRowDxfId="255" dataDxfId="254">
  <autoFilter ref="ACW3:ADB31" xr:uid="{4571173B-5E89-4072-9E6B-269F4FBFE177}"/>
  <tableColumns count="6">
    <tableColumn id="1" xr3:uid="{7E859AF1-9159-4E57-ADCA-189384CB799A}" name="Familia y tipo"/>
    <tableColumn id="6" xr3:uid="{18DA597E-2809-4375-A607-C67C0B0CB2DC}" name="ETAPA" dataDxfId="24"/>
    <tableColumn id="2" xr3:uid="{7AEDDAE7-7F49-461D-8A34-499AC598DDCF}" name="Altura" dataDxfId="25"/>
    <tableColumn id="3" xr3:uid="{C8358902-2AA4-4BC8-B0F4-D9652051DAE7}" name="Ancho" dataDxfId="253"/>
    <tableColumn id="4" xr3:uid="{BFEBB052-DD87-4C57-9571-F8B43BC15C8E}" name="Recuento"/>
    <tableColumn id="5" xr3:uid="{CFD45228-6E9C-4C13-BB84-7F169457BF45}" name="TOTAL" dataDxfId="252">
      <calculatedColumnFormula>+(ACZ4*ACY4)*ADA4</calculatedColumnFormula>
    </tableColumn>
  </tableColumns>
  <tableStyleInfo name="TableStyleDark5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582A9CA4-D964-48BE-8CF5-3A87FC3B1834}" name="Tabla56" displayName="Tabla56" ref="ADD3:ADG36" totalsRowShown="0" headerRowDxfId="251" dataDxfId="250">
  <autoFilter ref="ADD3:ADG36" xr:uid="{582A9CA4-D964-48BE-8CF5-3A87FC3B1834}"/>
  <tableColumns count="4">
    <tableColumn id="1" xr3:uid="{D211C95B-4D4F-4B3C-ADA2-1FFAC418C146}" name="Familia y tipo" dataDxfId="249"/>
    <tableColumn id="2" xr3:uid="{66E096DB-336C-4B3B-A50B-58131D6F0B45}" name="Longitud" dataDxfId="248"/>
    <tableColumn id="3" xr3:uid="{95FF696A-6DAD-45B3-B41B-5BF85A176CE1}" name="Recuento" dataDxfId="247"/>
    <tableColumn id="4" xr3:uid="{19CBDFFA-C482-42AD-9CB9-D28043DEF964}" name="TOTAL" dataDxfId="246">
      <calculatedColumnFormula>+ADF4*ADE4</calculatedColumnFormula>
    </tableColumn>
  </tableColumns>
  <tableStyleInfo name="TableStyleDark3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B50E1796-8AC4-46B8-9E23-613263C33BB6}" name="Tabla578914151634353637383940414243444546474849505152535560" displayName="Tabla578914151634353637383940414243444546474849505152535560" ref="ADJ3:ADP157" totalsRowShown="0" headerRowDxfId="245">
  <autoFilter ref="ADJ3:ADP157" xr:uid="{B50E1796-8AC4-46B8-9E23-613263C33BB6}"/>
  <tableColumns count="7">
    <tableColumn id="1" xr3:uid="{7CFFC8B6-0647-4D35-A3FB-4AF7EC75BBD7}" name="Nivel"/>
    <tableColumn id="2" xr3:uid="{A77F2764-8BE0-42E8-A743-A0EA1ACBD51B}" name="Perfíl"/>
    <tableColumn id="3" xr3:uid="{261A0F1A-D5A7-4D17-BEF5-B15CF2C8DB3B}" name="Longitud"/>
    <tableColumn id="4" xr3:uid="{228C5DE0-86AC-4978-A346-19624051C9BA}" name="Recuento"/>
    <tableColumn id="7" xr3:uid="{7A55E534-3264-4C33-A5BE-79F484C4A2BB}" name="G. Total"/>
    <tableColumn id="6" xr3:uid="{3CA0A4F3-2AD9-44FF-9FA7-1EB620F3ADE4}" name="TOTAL" dataDxfId="244">
      <calculatedColumnFormula>+Tabla578914151634353637383940414243444546474849505152535560[[#This Row],[Recuento]]*ADH4</calculatedColumnFormula>
    </tableColumn>
    <tableColumn id="5" xr3:uid="{CCEE2D73-D52A-4CD0-890D-19C7E4713EA9}" name="Columna1" dataDxfId="243">
      <calculatedColumnFormula>+SUM(ADL4:ADL5)</calculatedColumnFormula>
    </tableColumn>
  </tableColumns>
  <tableStyleInfo name="TableStyleMedium1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BA22E4D1-47FC-4486-9951-2C85E75940F8}" name="Tabla57891415163435363738394041424344454647484950515253556061" displayName="Tabla57891415163435363738394041424344454647484950515253556061" ref="ADR3:ADW124" totalsRowShown="0" headerRowDxfId="242">
  <autoFilter ref="ADR3:ADW124" xr:uid="{BA22E4D1-47FC-4486-9951-2C85E75940F8}"/>
  <tableColumns count="6">
    <tableColumn id="1" xr3:uid="{57EEC9FA-A6A0-4AF4-BCF5-955E8C01EF50}" name="Edificio2"/>
    <tableColumn id="4" xr3:uid="{677EF6E5-2E28-496D-82E3-5194AAE6173C}" name="Nivel"/>
    <tableColumn id="2" xr3:uid="{1C1323CA-0847-490B-911B-7B857C676B50}" name="Perfíl"/>
    <tableColumn id="3" xr3:uid="{570F2030-A277-420B-92FF-B77383CB9C37}" name="Diámetro"/>
    <tableColumn id="6" xr3:uid="{DC61BABB-65BE-4881-BA42-F18AE3BC3450}" name="TOTAL" dataDxfId="241"/>
    <tableColumn id="5" xr3:uid="{00FDECAB-5696-414D-9849-CA59F537903B}" name="Columna1" dataDxfId="240">
      <calculatedColumnFormula>+SUM(ADQ4:ADQ25)</calculatedColumnFormula>
    </tableColumn>
  </tableColumns>
  <tableStyleInfo name="TableStyleMedium1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D927054A-177F-4AAD-83F6-A7A6F213747E}" name="Tabla57891415163435363738394041424344454647484950515253556062" displayName="Tabla57891415163435363738394041424344454647484950515253556062" ref="ADY3:AEE106" totalsRowShown="0" headerRowDxfId="239">
  <autoFilter ref="ADY3:AEE106" xr:uid="{D927054A-177F-4AAD-83F6-A7A6F213747E}"/>
  <tableColumns count="7">
    <tableColumn id="1" xr3:uid="{F6CC24C6-AC66-4EF6-8B2E-B009C61DCFCB}" name="Nivel"/>
    <tableColumn id="2" xr3:uid="{89C6B532-4DD9-427D-831E-5E083F859672}" name="Perfíl"/>
    <tableColumn id="3" xr3:uid="{2140D88D-2647-466A-9F9D-06582512DCAB}" name="Longitud"/>
    <tableColumn id="4" xr3:uid="{5B3CFB2B-1A83-4B2C-87C7-FF06D4587AEB}" name="Recuento"/>
    <tableColumn id="6" xr3:uid="{78015AC7-B073-4741-9F6E-6C140CDE5139}" name="Total" dataDxfId="238">
      <calculatedColumnFormula>+Tabla57891415163435363738394041424344454647484950515253556062[[#This Row],[Recuento]]*#REF!</calculatedColumnFormula>
    </tableColumn>
    <tableColumn id="7" xr3:uid="{47478608-EAE8-4CDC-8CD9-1E1A1E90F78E}" name="G. total" dataDxfId="237"/>
    <tableColumn id="5" xr3:uid="{59C571B5-F845-4DF6-A2AF-28147E308ADB}" name="Columna1" dataDxfId="236">
      <calculatedColumnFormula>+SUM(AEA4:AEA5)</calculatedColumnFormula>
    </tableColumn>
  </tableColumns>
  <tableStyleInfo name="TableStyleMedium1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F150505-88CA-4595-87B0-FA61E6B099B1}" name="Tabla5789141516343536373839404142434445464748495051525355606163" displayName="Tabla5789141516343536373839404142434445464748495051525355606163" ref="AEG3:AEL89" totalsRowShown="0" headerRowDxfId="235">
  <autoFilter ref="AEG3:AEL89" xr:uid="{1F150505-88CA-4595-87B0-FA61E6B099B1}"/>
  <tableColumns count="6">
    <tableColumn id="1" xr3:uid="{45ACA07F-2EAE-4757-BE2F-CFF10ACC71C1}" name="Edificio2"/>
    <tableColumn id="4" xr3:uid="{F9456120-893F-4EAA-8290-5B5B661DAAC5}" name="Nivel"/>
    <tableColumn id="2" xr3:uid="{D211DC90-8EF7-46FD-ABF9-A31C59BC0C51}" name="Perfíl"/>
    <tableColumn id="3" xr3:uid="{42B038A6-1901-4E77-ACCD-D1CFC55CBA0C}" name="Diámetro"/>
    <tableColumn id="6" xr3:uid="{0A03F426-339D-4726-B239-19F7BB867C69}" name="TOTAL" dataDxfId="234"/>
    <tableColumn id="5" xr3:uid="{CCA8ADF4-1A4C-4993-8360-105834861416}" name="Columna1" dataDxfId="233">
      <calculatedColumnFormula>+SUM(AEF4:AEF25)</calculatedColumnFormula>
    </tableColumn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226C4B3-ED9B-490F-8CB9-8AB7F70B137B}" name="Tabla72747678" displayName="Tabla72747678" ref="B116:E121" totalsRowShown="0">
  <autoFilter ref="B116:E121" xr:uid="{C226C4B3-ED9B-490F-8CB9-8AB7F70B137B}"/>
  <tableColumns count="4">
    <tableColumn id="1" xr3:uid="{48D041D8-79DD-4B6B-84DA-191CF58F5B77}" name="ITEM"/>
    <tableColumn id="2" xr3:uid="{20705FB1-213B-46DE-B0C8-0689EA4DD4C9}" name="UNIDAD" dataDxfId="512"/>
    <tableColumn id="3" xr3:uid="{B1FBE217-08F0-49E8-9A01-B36A4A301C69}" name="GRUPO" dataDxfId="511"/>
    <tableColumn id="4" xr3:uid="{B3F16C04-A29C-4F62-BCDE-4639272BDC53}" name="V. UNITARIO" dataDxfId="510" dataCellStyle="Moneda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8A349D27-D401-4E2E-92CD-ADAE7BBA8DAB}" name="Tabla5789141516343536373839404142434445464748495051525355606264" displayName="Tabla5789141516343536373839404142434445464748495051525355606264" ref="AEN3:AET114" totalsRowShown="0" headerRowDxfId="232">
  <autoFilter ref="AEN3:AET114" xr:uid="{8A349D27-D401-4E2E-92CD-ADAE7BBA8DAB}"/>
  <sortState xmlns:xlrd2="http://schemas.microsoft.com/office/spreadsheetml/2017/richdata2" ref="AEN4:AET114">
    <sortCondition ref="AEP3:AEP114"/>
  </sortState>
  <tableColumns count="7">
    <tableColumn id="1" xr3:uid="{34B4A55F-0311-45A3-9874-EA0CC849BAD0}" name="Nivel"/>
    <tableColumn id="2" xr3:uid="{402271CE-A25A-4147-89BD-2BB6CD1A5C2B}" name="Perfíl"/>
    <tableColumn id="3" xr3:uid="{52ED3BA4-4276-458E-A3BB-3A69BAC583C1}" name="Longitud"/>
    <tableColumn id="4" xr3:uid="{2667A85A-967F-47B9-8798-829978A667E3}" name="Recuento"/>
    <tableColumn id="7" xr3:uid="{FB7C66E6-4DD3-4B9B-AABF-A11298786E52}" name="G. Total"/>
    <tableColumn id="6" xr3:uid="{E5516733-8AF7-48B5-9B0E-09970235B5A4}" name="TOTAL" dataDxfId="231">
      <calculatedColumnFormula>+Tabla5789141516343536373839404142434445464748495051525355606264[[#This Row],[Recuento]]*#REF!</calculatedColumnFormula>
    </tableColumn>
    <tableColumn id="5" xr3:uid="{09D2F71B-D97E-4720-95BD-C7C01CD90B11}" name="Columna1" dataDxfId="230">
      <calculatedColumnFormula>+SUM(AEP4:AEP5)</calculatedColumnFormula>
    </tableColumn>
  </tableColumns>
  <tableStyleInfo name="TableStyleMedium1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CCB47B98-A47A-4A60-AB88-28B6E5BE2F0D}" name="Tabla578914151634353637383940414243444546474849505152535560616365" displayName="Tabla578914151634353637383940414243444546474849505152535560616365" ref="AEV3:AFA95" totalsRowShown="0" headerRowDxfId="229">
  <autoFilter ref="AEV3:AFA95" xr:uid="{CCB47B98-A47A-4A60-AB88-28B6E5BE2F0D}"/>
  <tableColumns count="6">
    <tableColumn id="1" xr3:uid="{19BC3E92-E408-4E18-806D-BB25F144B65F}" name="Edificio2"/>
    <tableColumn id="4" xr3:uid="{8F662A21-B86E-400F-B60D-3AF2D6503626}" name="Nivel"/>
    <tableColumn id="2" xr3:uid="{313A708A-6924-4A02-87FB-42BE79BBB3BF}" name="Perfíl"/>
    <tableColumn id="3" xr3:uid="{E86E4749-D2AA-4EAE-8405-6D53F7FB0EC8}" name="Diámetro"/>
    <tableColumn id="6" xr3:uid="{E21A97C6-AD6E-42BA-B0D6-B5118B6CD2DC}" name="TOTAL" dataDxfId="228"/>
    <tableColumn id="5" xr3:uid="{FAE3B85E-B07A-4DEE-8893-6AD0C5A2D294}" name="Columna1" dataDxfId="227">
      <calculatedColumnFormula>+SUM(AEU4:AEU27)</calculatedColumnFormula>
    </tableColumn>
  </tableColumns>
  <tableStyleInfo name="TableStyleMedium1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66E67232-1C13-428A-8F35-48EDF80EC8B3}" name="Tabla366" displayName="Tabla366" ref="AFC3:AFG107" totalsRowShown="0" headerRowDxfId="226">
  <autoFilter ref="AFC3:AFG107" xr:uid="{66E67232-1C13-428A-8F35-48EDF80EC8B3}"/>
  <sortState xmlns:xlrd2="http://schemas.microsoft.com/office/spreadsheetml/2017/richdata2" ref="AFC4:AFG107">
    <sortCondition ref="AFD3:AFD107"/>
  </sortState>
  <tableColumns count="5">
    <tableColumn id="1" xr3:uid="{339CD964-A044-4866-96C1-BBD543FA79EF}" name="Nivel"/>
    <tableColumn id="2" xr3:uid="{FACB2ADC-7E39-489D-BB8E-C25555A2051B}" name="Perfíl"/>
    <tableColumn id="3" xr3:uid="{9C3123BD-65AC-4A45-82B7-90D755A1D408}" name="Longitud de eje"/>
    <tableColumn id="5" xr3:uid="{A7396FEF-752E-4E7D-A18E-DDC63AE2966C}" name="Recuento" dataDxfId="225"/>
    <tableColumn id="6" xr3:uid="{787D6695-B7A5-4E79-8F61-FB1B4FB0FB04}" name="Longitud total"/>
  </tableColumns>
  <tableStyleInfo name="TableStyleMedium3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BDCEE1EC-49B1-40DF-942D-818A5757E26D}" name="Tabla578914151634353637383940414243444546474849505152535560626467" displayName="Tabla578914151634353637383940414243444546474849505152535560626467" ref="AFI3:AFO361" totalsRowShown="0" headerRowDxfId="224">
  <autoFilter ref="AFI3:AFO361" xr:uid="{BDCEE1EC-49B1-40DF-942D-818A5757E26D}"/>
  <tableColumns count="7">
    <tableColumn id="1" xr3:uid="{190B57BC-C87D-4318-9F9C-34B2495EF0C4}" name="Nivel"/>
    <tableColumn id="2" xr3:uid="{4C72B041-7DD3-4882-9EDF-9756300C1B41}" name="Perfíl"/>
    <tableColumn id="3" xr3:uid="{ADB94B62-657F-4045-966D-6ABE4D2BFBA5}" name="Longitud"/>
    <tableColumn id="4" xr3:uid="{8886D38D-15D1-4F66-8DC0-502A03FE7D4C}" name="Recuento"/>
    <tableColumn id="7" xr3:uid="{6721886E-F0C7-4429-B511-C519999DC873}" name="G. Total"/>
    <tableColumn id="6" xr3:uid="{52FC3AAC-2E6C-4028-8838-81701383DCB2}" name="TOTAL" dataDxfId="223">
      <calculatedColumnFormula>+Tabla578914151634353637383940414243444546474849505152535560626467[[#This Row],[Recuento]]*#REF!</calculatedColumnFormula>
    </tableColumn>
    <tableColumn id="5" xr3:uid="{03C4090E-9C52-4B9E-BEBD-C33B3B26FA6E}" name="Columna1" dataDxfId="222">
      <calculatedColumnFormula>+SUM(AFK4:AFK5)</calculatedColumnFormula>
    </tableColumn>
  </tableColumns>
  <tableStyleInfo name="TableStyleMedium1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75FC8B8B-5C84-4DDF-8833-40C655792739}" name="Tabla31069" displayName="Tabla31069" ref="BO3:BU185" totalsRowShown="0" headerRowDxfId="221">
  <autoFilter ref="BO3:BU185" xr:uid="{75FC8B8B-5C84-4DDF-8833-40C655792739}"/>
  <sortState xmlns:xlrd2="http://schemas.microsoft.com/office/spreadsheetml/2017/richdata2" ref="BO4:BT185">
    <sortCondition ref="BP3:BP185"/>
  </sortState>
  <tableColumns count="7">
    <tableColumn id="1" xr3:uid="{81353CF0-A355-49BD-93AF-87463293AA75}" name="Edificio"/>
    <tableColumn id="2" xr3:uid="{1D504A07-20FF-4F26-9318-E4A2ACB00A3B}" name="Nivel"/>
    <tableColumn id="3" xr3:uid="{16171FD7-91E2-4B5E-B730-86736AFE0C3E}" name="Perfíl"/>
    <tableColumn id="5" xr3:uid="{429D6EFF-6829-47BB-B7A6-F30F6C0D135A}" name="Longitud de eje" dataDxfId="220"/>
    <tableColumn id="4" xr3:uid="{6C1AF4E0-E122-41DE-B12C-C4E65595A47A}" name="En culmo" dataDxfId="219"/>
    <tableColumn id="6" xr3:uid="{63668A1E-A69E-481F-8F36-AAD657E792DF}" name="Longitud total"/>
    <tableColumn id="9" xr3:uid="{5C0590E1-7910-4E33-AD8F-99265DE6F52E}" name="Número"/>
  </tableColumns>
  <tableStyleInfo name="TableStyleMedium3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ED707894-2DC4-4FE9-9550-3A62067DA753}" name="Tabla3101170" displayName="Tabla3101170" ref="CE3:CK380" totalsRowShown="0" headerRowDxfId="218">
  <autoFilter ref="CE3:CK380" xr:uid="{ED707894-2DC4-4FE9-9550-3A62067DA753}"/>
  <sortState xmlns:xlrd2="http://schemas.microsoft.com/office/spreadsheetml/2017/richdata2" ref="CE4:CI380">
    <sortCondition ref="CF3:CF380"/>
  </sortState>
  <tableColumns count="7">
    <tableColumn id="1" xr3:uid="{3DDFDA97-F377-465F-8BE2-663A6E237334}" name="Edificio"/>
    <tableColumn id="2" xr3:uid="{9A1C170B-ECF9-423B-9473-2201E974088D}" name="Nivel"/>
    <tableColumn id="3" xr3:uid="{4CABDFE4-014B-43AB-94C0-944771CD6585}" name="Perfíl"/>
    <tableColumn id="5" xr3:uid="{7D5C5B31-D2F3-4F0A-8D56-4AD71F95DB0D}" name="Longitud de eje" dataDxfId="217"/>
    <tableColumn id="6" xr3:uid="{8B4C388A-BBB5-40C2-B018-7C6DFD5B4B2E}" name="En culmo"/>
    <tableColumn id="4" xr3:uid="{C74E7DD1-E3DA-4F93-BC63-83EC15CA60AE}" name="Longitud total"/>
    <tableColumn id="7" xr3:uid="{37068937-F9AC-4BC0-A694-1EC17326BC87}" name="Número"/>
  </tableColumns>
  <tableStyleInfo name="TableStyleMedium3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76C9716F-B721-4BBA-9B4A-8A3A0DCB6F52}" name="Tabla5202122242526272893" displayName="Tabla5202122242526272893" ref="PM3:PU132" totalsRowShown="0" headerRowDxfId="216">
  <autoFilter ref="PM3:PU132" xr:uid="{76C9716F-B721-4BBA-9B4A-8A3A0DCB6F52}"/>
  <tableColumns count="9">
    <tableColumn id="1" xr3:uid="{79147DAF-8627-4DB5-8003-95E75B3E2A97}" name="Edificio"/>
    <tableColumn id="2" xr3:uid="{2C00F9BC-6AB2-41FE-953D-BA506C04C942}" name="Nivel"/>
    <tableColumn id="3" xr3:uid="{31C56F8D-BFAF-42A4-9CAF-D7A4A0C46707}" name="Material"/>
    <tableColumn id="6" xr3:uid="{829951CE-C9D9-4542-B02C-1DB61457C9CB}" name="Volúmen bruto"/>
    <tableColumn id="4" xr3:uid="{50F71150-7697-43A4-9EF8-26EB0BF04AEB}" name="Área neta"/>
    <tableColumn id="7" xr3:uid="{685E5507-1A55-49A7-B2DF-FE667350522A}" name="Recuento"/>
    <tableColumn id="8" xr3:uid="{2958624C-876A-47C3-8021-A9C4CB8D8C8F}" name="Volúmen total" dataDxfId="215">
      <calculatedColumnFormula>+Tabla5202122242526272893[[#This Row],[Recuento]]*Tabla5202122242526272893[[#This Row],[Volúmen bruto]]</calculatedColumnFormula>
    </tableColumn>
    <tableColumn id="9" xr3:uid="{7BE7EE84-B801-436A-96AA-1F315CBC4693}" name="Área total" dataDxfId="214">
      <calculatedColumnFormula>+Tabla5202122242526272893[[#This Row],[Recuento]]*Tabla5202122242526272893[[#This Row],[Área neta]]</calculatedColumnFormula>
    </tableColumn>
    <tableColumn id="5" xr3:uid="{DFF61DA5-83BF-4E24-B8AF-045DF6196D1F}" name="TOTAL" dataDxfId="213">
      <calculatedColumnFormula>+SUM(PT4:PT132)</calculatedColumnFormula>
    </tableColumn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3E5F713E-AAED-4647-81EE-12286E257D1A}" name="Tabla310111213115" displayName="Tabla310111213115" ref="FK3:FQ371" totalsRowShown="0" headerRowDxfId="212">
  <autoFilter ref="FK3:FQ371" xr:uid="{3E5F713E-AAED-4647-81EE-12286E257D1A}"/>
  <sortState xmlns:xlrd2="http://schemas.microsoft.com/office/spreadsheetml/2017/richdata2" ref="FK4:FP371">
    <sortCondition ref="FL3:FL371"/>
  </sortState>
  <tableColumns count="7">
    <tableColumn id="1" xr3:uid="{F72A9208-050B-4175-AA99-DEC3C4631F43}" name="Edificio"/>
    <tableColumn id="2" xr3:uid="{7BA77091-9F6B-46F0-8C06-E9D950E9FBA2}" name="Nivel"/>
    <tableColumn id="3" xr3:uid="{7091A98C-F3BF-4CB3-81AA-CF4A6630F2A1}" name="Perfíl"/>
    <tableColumn id="5" xr3:uid="{B9EB6B6E-574B-4E83-B35D-6E33546488A3}" name="Volúmen" dataDxfId="211"/>
    <tableColumn id="7" xr3:uid="{2853748C-1D77-4DC7-BB37-33222CAC82DE}" name="Longitud del eje"/>
    <tableColumn id="6" xr3:uid="{BD0BA5EE-7E5D-4E65-96CD-FD23773E8826}" name="Volúmen total"/>
    <tableColumn id="4" xr3:uid="{27B8ABE8-C662-4E8F-8AA2-5429B1E7D656}" name="Longitud total"/>
  </tableColumns>
  <tableStyleInfo name="TableStyleMedium3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E4CE408-40B1-4DD5-879E-AE9621EBC498}" name="Tabla3101112131157" displayName="Tabla3101112131157" ref="GA3:GG371" totalsRowShown="0" headerRowDxfId="210">
  <autoFilter ref="GA3:GG371" xr:uid="{FE4CE408-40B1-4DD5-879E-AE9621EBC498}"/>
  <sortState xmlns:xlrd2="http://schemas.microsoft.com/office/spreadsheetml/2017/richdata2" ref="GA4:GF371">
    <sortCondition ref="GB3:GB371"/>
  </sortState>
  <tableColumns count="7">
    <tableColumn id="1" xr3:uid="{3AD213A5-194F-4470-A437-794D8724B95B}" name="Edificio"/>
    <tableColumn id="2" xr3:uid="{71DC9B26-7E18-4008-B098-806E3C635EC3}" name="Nivel"/>
    <tableColumn id="3" xr3:uid="{F476EF98-00ED-4464-AA10-2CD19DB511AD}" name="Perfíl"/>
    <tableColumn id="5" xr3:uid="{219BCAFD-9EA4-4D3F-9115-86695C6D7B05}" name="Volúmen" dataDxfId="209"/>
    <tableColumn id="7" xr3:uid="{E839300A-7AEF-44E9-B39E-B04508A8A768}" name="Longitud del eje"/>
    <tableColumn id="6" xr3:uid="{04B371A0-504C-4D66-B899-42333DD30F59}" name="Volúmen total"/>
    <tableColumn id="4" xr3:uid="{BD6ADFC5-38B3-4E01-B67C-DF4EA1BA96AE}" name="Longitud total"/>
  </tableColumns>
  <tableStyleInfo name="TableStyleMedium3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11DE56-A662-494A-BDB5-AAC5B799AA23}" name="Tabla31011704" displayName="Tabla31011704" ref="DC3:DH380" totalsRowShown="0" headerRowDxfId="208">
  <autoFilter ref="DC3:DH380" xr:uid="{DF11DE56-A662-494A-BDB5-AAC5B799AA23}"/>
  <sortState xmlns:xlrd2="http://schemas.microsoft.com/office/spreadsheetml/2017/richdata2" ref="DC4:DF380">
    <sortCondition ref="DD3:DD380"/>
  </sortState>
  <tableColumns count="6">
    <tableColumn id="1" xr3:uid="{7B0EEB4B-73E9-4026-AB68-9EC31690EEB8}" name="Edificio"/>
    <tableColumn id="2" xr3:uid="{BEDA1E8E-8B66-453C-98DA-5A19950484AD}" name="Nivel"/>
    <tableColumn id="3" xr3:uid="{4ACFC3B4-E514-4682-9F28-D277DBB14E61}" name="Perfíl"/>
    <tableColumn id="5" xr3:uid="{03FDC19A-5CC9-405E-AE16-B5CF26F8092F}" name="Longitud de eje" dataDxfId="207"/>
    <tableColumn id="4" xr3:uid="{65DBAA47-8CAD-49C7-A7A8-8C8556269D4B}" name="Longitud total"/>
    <tableColumn id="7" xr3:uid="{F2899F5F-24E1-4901-8E28-E7329F8296BF}" name="Número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4F3B6B1C-85D0-4113-8E60-DBE7C8E80781}" name="Tabla7274767779" displayName="Tabla7274767779" ref="B124:E129" totalsRowShown="0">
  <autoFilter ref="B124:E129" xr:uid="{4F3B6B1C-85D0-4113-8E60-DBE7C8E80781}"/>
  <tableColumns count="4">
    <tableColumn id="1" xr3:uid="{EA92B8D1-9305-4081-86C5-1EABE9C4E64D}" name="ITEM"/>
    <tableColumn id="2" xr3:uid="{CBEFB9C0-503E-47F9-AABF-A03736FBD784}" name="UNIDAD" dataDxfId="509"/>
    <tableColumn id="3" xr3:uid="{FDAD119F-275A-4F83-B6C2-DC973CA891D4}" name="GRUPO" dataDxfId="508"/>
    <tableColumn id="4" xr3:uid="{8AA42621-9893-46CD-87DD-135F2BB0853A}" name="V. UNITARIO" dataDxfId="507" dataCellStyle="Moneda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BEC926D-2214-4F76-9B29-3D7063B1F6F4}" name="Tabla3101170411" displayName="Tabla3101170411" ref="DJ3:DO380" totalsRowShown="0" headerRowDxfId="206">
  <autoFilter ref="DJ3:DO380" xr:uid="{BBEC926D-2214-4F76-9B29-3D7063B1F6F4}"/>
  <sortState xmlns:xlrd2="http://schemas.microsoft.com/office/spreadsheetml/2017/richdata2" ref="DJ4:DM380">
    <sortCondition ref="DK3:DK380"/>
  </sortState>
  <tableColumns count="6">
    <tableColumn id="1" xr3:uid="{A095B01F-A8B8-4593-94D4-C94A0E65FC0C}" name="Edificio"/>
    <tableColumn id="2" xr3:uid="{3D6C5626-D05F-4B26-B885-FFDFBE052CEE}" name="Nivel"/>
    <tableColumn id="3" xr3:uid="{0CD041C4-42BF-4F65-8E01-FDCB0D88B4F8}" name="Perfíl"/>
    <tableColumn id="5" xr3:uid="{84ACD4E7-6500-4B26-A9EF-1FE1779B586A}" name="Longitud de eje" dataDxfId="205"/>
    <tableColumn id="4" xr3:uid="{B154718F-ED86-4DAF-9FBA-5EB13FAE0FDE}" name="En culmo"/>
    <tableColumn id="7" xr3:uid="{1F9B5577-FFB6-42FE-9F83-A0DD0059230F}" name="Longitud total"/>
  </tableColumns>
  <tableStyleInfo name="TableStyleMedium3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0EA2E9D-9325-4660-B1BF-159B195C4B88}" name="Tabla5202122242526272831323314" displayName="Tabla5202122242526272831323314" ref="SG3:SO132" totalsRowShown="0" headerRowDxfId="204">
  <autoFilter ref="SG3:SO132" xr:uid="{10EA2E9D-9325-4660-B1BF-159B195C4B88}"/>
  <tableColumns count="9">
    <tableColumn id="1" xr3:uid="{E8E890EC-3CBB-4999-A90D-15F9A2983703}" name="Edificio"/>
    <tableColumn id="2" xr3:uid="{144BD29C-0099-432C-83DF-F50693D0EC94}" name="Nivel"/>
    <tableColumn id="3" xr3:uid="{6EAA25ED-E150-4997-8DBB-7D0F0C5B3560}" name="Material"/>
    <tableColumn id="6" xr3:uid="{6B55290D-B541-4A14-B284-83C437BF1679}" name="Volúmen bruto"/>
    <tableColumn id="4" xr3:uid="{46AA85B3-0586-47B0-8604-E6E8023A5972}" name="Área neta"/>
    <tableColumn id="7" xr3:uid="{1FD02E48-5DDC-491F-B17E-DCC89B868002}" name="Recuento"/>
    <tableColumn id="8" xr3:uid="{3D865035-2529-4742-ABE0-387C6E6D9E63}" name="Volúmen total" dataDxfId="203">
      <calculatedColumnFormula>+Tabla5202122242526272831323314[[#This Row],[Recuento]]*Tabla5202122242526272831323314[[#This Row],[Volúmen bruto]]</calculatedColumnFormula>
    </tableColumn>
    <tableColumn id="9" xr3:uid="{0B92212C-0A4E-41FC-A744-1CA58C153C36}" name="Área total" dataDxfId="202">
      <calculatedColumnFormula>+Tabla5202122242526272831323314[[#This Row],[Recuento]]*Tabla5202122242526272831323314[[#This Row],[Área neta]]</calculatedColumnFormula>
    </tableColumn>
    <tableColumn id="5" xr3:uid="{EF0D0A78-1D3E-4A45-91EF-86B9915CB4CA}" name="TOTAL" dataDxfId="201">
      <calculatedColumnFormula>+SUM(SN4:SN132)</calculatedColumnFormula>
    </tableColumn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A695EFC-DC82-4BA0-88E6-EE1BC1A63D01}" name="Tabla522" displayName="Tabla522" ref="W3:AG52" totalsRowShown="0" headerRowDxfId="200">
  <autoFilter ref="W3:AG52" xr:uid="{8A695EFC-DC82-4BA0-88E6-EE1BC1A63D01}"/>
  <tableColumns count="11">
    <tableColumn id="1" xr3:uid="{C65D3450-5CC3-4682-BFCB-66F739A74241}" name="Edificio"/>
    <tableColumn id="2" xr3:uid="{37F9E21C-3C1E-4EF2-B5C9-DA947B741532}" name="Nivel"/>
    <tableColumn id="3" xr3:uid="{B2278DA9-833F-4795-8E0B-ED593FCE7C68}" name="Material"/>
    <tableColumn id="6" xr3:uid="{1EBCAA4D-86D6-4E42-A7C1-1D8F5D47C957}" name="Volúmen bruto"/>
    <tableColumn id="4" xr3:uid="{EC07A358-6761-450E-8279-8D9959E6DDF9}" name="Área neta"/>
    <tableColumn id="10" xr3:uid="{57834DE2-EA1F-413E-B512-C210EB846D10}" name="Longitud nominal"/>
    <tableColumn id="7" xr3:uid="{1D89BE09-B59E-45C2-AED4-49D79C46D09E}" name="Recuento"/>
    <tableColumn id="8" xr3:uid="{607F1C54-2F5C-4FE9-A65B-04DA2EC9CDDC}" name="Volúmen total" dataDxfId="199"/>
    <tableColumn id="9" xr3:uid="{313C65F5-6960-4FB0-A19B-6EF89C55BA19}" name="Área total" dataDxfId="198"/>
    <tableColumn id="11" xr3:uid="{D6115FD4-6452-4FC1-AE44-97F28EEF2B9D}" name="Longitud total"/>
    <tableColumn id="5" xr3:uid="{94937A15-68DA-4F8B-A845-4736FC07FA11}" name="Área total2" dataDxfId="197">
      <calculatedColumnFormula>+SUM(AE4:AE22)</calculatedColumnFormula>
    </tableColumn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A6A79F5-56D9-47D8-9AED-D743C18167F6}" name="Tabla52223" displayName="Tabla52223" ref="AI3:AS52" totalsRowShown="0" headerRowDxfId="196">
  <autoFilter ref="AI3:AS52" xr:uid="{0A6A79F5-56D9-47D8-9AED-D743C18167F6}"/>
  <tableColumns count="11">
    <tableColumn id="1" xr3:uid="{F7C404A1-5A99-47DC-83E3-7D8C860DC8AF}" name="Edificio"/>
    <tableColumn id="2" xr3:uid="{D4481D19-6C10-4C7F-BD37-34795AEA71B2}" name="Nivel"/>
    <tableColumn id="3" xr3:uid="{6892417E-9E9D-4FF6-A5DD-D8A607240513}" name="Material"/>
    <tableColumn id="6" xr3:uid="{6CF7958C-216B-4F96-A088-676F4DEC750A}" name="Volúmen bruto"/>
    <tableColumn id="4" xr3:uid="{CBD459AB-7813-422F-B40D-C9159587B412}" name="Área neta"/>
    <tableColumn id="10" xr3:uid="{4955526C-EC72-4074-AC94-7BFE7496D5D3}" name="Longitud nominal"/>
    <tableColumn id="7" xr3:uid="{A52911F8-0F33-4705-ABA8-55179E5B94C2}" name="Recuento"/>
    <tableColumn id="8" xr3:uid="{6C7853CB-C4A6-452C-B46F-D4DF27341296}" name="Volúmen total" dataDxfId="195"/>
    <tableColumn id="9" xr3:uid="{80470D1D-6DD8-4E1A-A947-441EAA14B4E9}" name="Área total" dataDxfId="194"/>
    <tableColumn id="11" xr3:uid="{BF834798-0486-431E-BDB8-95B328B80C3A}" name="Longitud total"/>
    <tableColumn id="5" xr3:uid="{ABCFC490-A533-4B37-8D3D-94685130315F}" name="Área total2" dataDxfId="193">
      <calculatedColumnFormula>+SUM(AQ4:AQ22)</calculatedColumnFormula>
    </tableColumn>
  </tableColumns>
  <tableStyleInfo name="TableStyleMedium2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B59D41A-DAAA-4360-8AE8-0C820E0EBABF}" name="Tabla5222329" displayName="Tabla5222329" ref="AU3:BE52" totalsRowShown="0" headerRowDxfId="192">
  <autoFilter ref="AU3:BE52" xr:uid="{EB59D41A-DAAA-4360-8AE8-0C820E0EBABF}"/>
  <tableColumns count="11">
    <tableColumn id="1" xr3:uid="{F4330374-C79C-45EC-842D-3CCF738AFCCE}" name="Edificio"/>
    <tableColumn id="2" xr3:uid="{5A64F1BA-34E2-4DE4-8178-820179DE06E8}" name="Nivel"/>
    <tableColumn id="3" xr3:uid="{44ADF164-A5A5-4FE2-B0AB-C4B4050CCA83}" name="Material"/>
    <tableColumn id="6" xr3:uid="{0909B967-33F1-4079-8E90-46CF2C50EF89}" name="Volúmen bruto"/>
    <tableColumn id="4" xr3:uid="{0D1CC67C-3329-414A-ABE8-5C3B9C5F96C2}" name="Área neta"/>
    <tableColumn id="10" xr3:uid="{EC83BBB1-CE3A-4C6F-8702-0C5895303A58}" name="Longitud nominal"/>
    <tableColumn id="7" xr3:uid="{B5128FF2-9E19-489B-94ED-45248A62E4ED}" name="Recuento"/>
    <tableColumn id="8" xr3:uid="{F851F0A9-D552-4759-BF09-1D0E427FD9AC}" name="Volúmen total" dataDxfId="191"/>
    <tableColumn id="9" xr3:uid="{61235F73-4A27-4BD2-8772-1CE87657C9E1}" name="Área total" dataDxfId="190"/>
    <tableColumn id="11" xr3:uid="{1984F22B-009D-43A3-8977-E8C187C97E3C}" name="Longitud total"/>
    <tableColumn id="5" xr3:uid="{86EDFC6F-CC9A-4F53-A483-6C24A3EAD595}" name="Área total2" dataDxfId="189">
      <calculatedColumnFormula>+SUM(BC4:BC22)</calculatedColumnFormula>
    </tableColumn>
  </tableColumns>
  <tableStyleInfo name="TableStyleMedium2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3B47617-7C38-46C0-9FEE-0321E27D175C}" name="Tabla578914151634353637383940414243444536" displayName="Tabla578914151634353637383940414243444536" ref="XG3:XO51" totalsRowShown="0" headerRowDxfId="188">
  <autoFilter ref="XG3:XO51" xr:uid="{03B47617-7C38-46C0-9FEE-0321E27D175C}"/>
  <tableColumns count="9">
    <tableColumn id="1" xr3:uid="{395C4C4E-896F-46CC-8D5D-5C06AD0FCD38}" name="Edificio"/>
    <tableColumn id="2" xr3:uid="{31C85B6A-D8F1-4ED6-B5CC-9074BC9BFF17}" name="Nivel"/>
    <tableColumn id="3" xr3:uid="{38007FA3-DEC9-45A8-ADA6-6A4EACFE20E8}" name="Material"/>
    <tableColumn id="4" xr3:uid="{D556A506-0C58-444F-9293-164B10FF03C5}" name="Volúmen bruto"/>
    <tableColumn id="6" xr3:uid="{D1FC3A2F-472F-49D1-8B34-242AF5F92043}" name="Área neta" dataDxfId="187"/>
    <tableColumn id="7" xr3:uid="{35D1F049-4AF2-4195-8601-AA5A1BD99936}" name="Recuento" dataDxfId="186"/>
    <tableColumn id="8" xr3:uid="{9158ADBB-24AC-4325-A418-77146C48AB3F}" name="Volúmen total" dataDxfId="185"/>
    <tableColumn id="9" xr3:uid="{9E6FA028-A4CF-4C9D-B845-3E7440231295}" name="Área total" dataDxfId="184"/>
    <tableColumn id="5" xr3:uid="{2DE75347-C55B-438C-AAB8-9729B950703D}" name="TOTAL" dataDxfId="183">
      <calculatedColumnFormula>+SUM(XJ4:XJ5)</calculatedColumnFormula>
    </tableColumn>
  </tableColumns>
  <tableStyleInfo name="TableStyleMedium7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82F17F5-4704-4EBB-B0F2-AF8ADBF45C38}" name="Tabla5789141516343536373839404142434445464748495038" displayName="Tabla5789141516343536373839404142434445464748495038" ref="ZA3:ZI51" totalsRowShown="0" headerRowDxfId="182">
  <autoFilter ref="ZA3:ZI51" xr:uid="{D82F17F5-4704-4EBB-B0F2-AF8ADBF45C38}"/>
  <tableColumns count="9">
    <tableColumn id="1" xr3:uid="{C59459DA-DE59-455C-8399-40CAB9D9466A}" name="Edificio"/>
    <tableColumn id="2" xr3:uid="{9A7394C7-31EC-4B91-8FA9-77DE14397CF3}" name="Nivel"/>
    <tableColumn id="3" xr3:uid="{9C952C9A-7C2E-43BC-9E0D-AB9204E1FEA7}" name="Material"/>
    <tableColumn id="4" xr3:uid="{9B4A4D0A-AA60-4429-BF28-43A2D3F443CA}" name="Volúmen bruto"/>
    <tableColumn id="6" xr3:uid="{0EA4A95D-B9B4-45C7-92E0-05BC7153797D}" name="Área neta" dataDxfId="181"/>
    <tableColumn id="7" xr3:uid="{391372F8-8F44-4237-9EB4-3C6895C8ED37}" name="Recuento" dataDxfId="180"/>
    <tableColumn id="8" xr3:uid="{BC8941A2-9BAB-485B-8E17-1C5BAE4A2B6A}" name="Volúmen total" dataDxfId="179"/>
    <tableColumn id="9" xr3:uid="{C0F5BA40-D37C-4840-B8F5-C1F06269AA54}" name="Área total" dataDxfId="178"/>
    <tableColumn id="5" xr3:uid="{7F809F80-1D9A-4BB4-B150-26F4BEDEFDEE}" name="TOTAL" dataDxfId="177">
      <calculatedColumnFormula>+SUM(ZD4:ZD5)</calculatedColumnFormula>
    </tableColumn>
  </tableColumns>
  <tableStyleInfo name="TableStyleMedium7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5E284A8-62FE-4810-ABBD-7E565ABD52EA}" name="Tabla5789141516343536373839404142434445464748495041" displayName="Tabla5789141516343536373839404142434445464748495041" ref="ZK3:ZS51" totalsRowShown="0" headerRowDxfId="176">
  <autoFilter ref="ZK3:ZS51" xr:uid="{15E284A8-62FE-4810-ABBD-7E565ABD52EA}"/>
  <tableColumns count="9">
    <tableColumn id="1" xr3:uid="{82A37757-2F13-48D0-990E-7C6167A507FF}" name="Edificio"/>
    <tableColumn id="2" xr3:uid="{A0419105-66D1-41FC-9621-2EB02C6BE404}" name="Nivel"/>
    <tableColumn id="3" xr3:uid="{C96EEAE8-7500-4418-AC98-ACDB53F5919D}" name="Material"/>
    <tableColumn id="4" xr3:uid="{D981B50D-728D-4A6C-903F-206AD2CFFCB5}" name="Volúmen bruto"/>
    <tableColumn id="6" xr3:uid="{F62F7215-BC52-418A-931F-20F3BF47DF54}" name="Área neta" dataDxfId="175"/>
    <tableColumn id="7" xr3:uid="{13560638-7D1E-4139-AD93-8F350531724C}" name="Recuento" dataDxfId="174"/>
    <tableColumn id="8" xr3:uid="{551B3DE3-A160-4574-A3C6-A59D09C49639}" name="Volúmen total" dataDxfId="173"/>
    <tableColumn id="9" xr3:uid="{F41AECAF-B459-420D-B817-FB6BA9E842B7}" name="Área total" dataDxfId="172"/>
    <tableColumn id="5" xr3:uid="{D80B8609-A5B3-487B-9744-486824765BCF}" name="TOTAL" dataDxfId="171">
      <calculatedColumnFormula>+SUM(ZN4:ZN5)</calculatedColumnFormula>
    </tableColumn>
  </tableColumns>
  <tableStyleInfo name="TableStyleMedium7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91186CB-C5C8-45AF-B042-7094D92F2BE8}" name="Tabla5789141835" displayName="Tabla5789141835" ref="IE3:IM112" totalsRowShown="0" headerRowDxfId="170">
  <autoFilter ref="IE3:IM112" xr:uid="{A91186CB-C5C8-45AF-B042-7094D92F2BE8}"/>
  <sortState xmlns:xlrd2="http://schemas.microsoft.com/office/spreadsheetml/2017/richdata2" ref="IE4:IM112">
    <sortCondition ref="IF3:IF112"/>
  </sortState>
  <tableColumns count="9">
    <tableColumn id="1" xr3:uid="{4E499124-ED3B-475A-8201-3BEC045D2701}" name="Edificio"/>
    <tableColumn id="2" xr3:uid="{72FB22F2-088E-4660-BCF3-693EC0438909}" name="Nivel"/>
    <tableColumn id="3" xr3:uid="{CDB73782-5FDE-44F1-84C9-28A968E899E7}" name="Material"/>
    <tableColumn id="4" xr3:uid="{991BDFF8-67CB-47BB-A3DB-170065C1EC4E}" name="Volúmen bruto"/>
    <tableColumn id="6" xr3:uid="{3777044F-9EDA-4A3D-956F-830C3EABB779}" name="Área neta" dataDxfId="169"/>
    <tableColumn id="7" xr3:uid="{B686FBC8-6EE9-44B8-A15C-4452C630B026}" name="Recuento" dataDxfId="168"/>
    <tableColumn id="10" xr3:uid="{5583B9AE-BAC0-4E9D-B9EF-F766B8991EA1}" name="Volúmen total" dataDxfId="167">
      <calculatedColumnFormula>+Tabla5789141835[[#This Row],[Volúmen bruto]]*Tabla5789141835[[#This Row],[Recuento]]</calculatedColumnFormula>
    </tableColumn>
    <tableColumn id="9" xr3:uid="{FB9BF056-A4EA-49DF-9686-9C108059FB36}" name="Área total" dataDxfId="166">
      <calculatedColumnFormula>+Tabla5789141835[[#This Row],[Área neta]]*Tabla5789141835[[#This Row],[Recuento]]</calculatedColumnFormula>
    </tableColumn>
    <tableColumn id="5" xr3:uid="{C19E74A2-2BAB-43ED-AAC4-E4E278B4A725}" name="TOTAL" dataDxfId="165">
      <calculatedColumnFormula>+SUM(IH4:IH4)</calculatedColumnFormula>
    </tableColumn>
  </tableColumns>
  <tableStyleInfo name="TableStyleMedium5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354771C-1959-465A-9A99-A1D741315DB3}" name="Tabla520212224252627289349" displayName="Tabla520212224252627289349" ref="PW3:QE132" totalsRowShown="0" headerRowDxfId="164">
  <autoFilter ref="PW3:QE132" xr:uid="{C354771C-1959-465A-9A99-A1D741315DB3}"/>
  <tableColumns count="9">
    <tableColumn id="1" xr3:uid="{C7137F92-0970-4BD4-AFC5-2BBCE5F53458}" name="Edificio"/>
    <tableColumn id="2" xr3:uid="{24127894-D712-4817-83E7-8DEC431230A3}" name="Nivel"/>
    <tableColumn id="3" xr3:uid="{00B1D7A2-7115-43A2-89E1-985B3B464DC5}" name="Material"/>
    <tableColumn id="6" xr3:uid="{1049D110-2E45-4F14-88C1-16E4C9199D9F}" name="Volúmen bruto"/>
    <tableColumn id="4" xr3:uid="{8C712CE0-9B27-4EC7-8EEE-379475675AAF}" name="Área neta"/>
    <tableColumn id="7" xr3:uid="{F270C0FB-A4E9-454A-B0B7-090675A84E0B}" name="Recuento"/>
    <tableColumn id="8" xr3:uid="{F71B0D2D-1FD2-4B1A-BECE-B74DFBC66DCB}" name="Volúmen total" dataDxfId="163">
      <calculatedColumnFormula>+Tabla520212224252627289349[[#This Row],[Recuento]]*Tabla520212224252627289349[[#This Row],[Volúmen bruto]]</calculatedColumnFormula>
    </tableColumn>
    <tableColumn id="9" xr3:uid="{93165F04-C871-4113-B998-0BB8ED75B271}" name="Área total" dataDxfId="162">
      <calculatedColumnFormula>+Tabla520212224252627289349[[#This Row],[Recuento]]*Tabla520212224252627289349[[#This Row],[Área neta]]</calculatedColumnFormula>
    </tableColumn>
    <tableColumn id="5" xr3:uid="{DD868196-0FB9-4EBF-B119-437217BF7827}" name="TOTAL" dataDxfId="161">
      <calculatedColumnFormula>+SUM(QD4:QD132)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9" Type="http://schemas.openxmlformats.org/officeDocument/2006/relationships/table" Target="../tables/table38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8" Type="http://schemas.openxmlformats.org/officeDocument/2006/relationships/table" Target="../tables/table7.xml"/><Relationship Id="rId3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64.xml"/><Relationship Id="rId21" Type="http://schemas.openxmlformats.org/officeDocument/2006/relationships/table" Target="../tables/table59.xml"/><Relationship Id="rId42" Type="http://schemas.openxmlformats.org/officeDocument/2006/relationships/table" Target="../tables/table80.xml"/><Relationship Id="rId47" Type="http://schemas.openxmlformats.org/officeDocument/2006/relationships/table" Target="../tables/table85.xml"/><Relationship Id="rId63" Type="http://schemas.openxmlformats.org/officeDocument/2006/relationships/table" Target="../tables/table101.xml"/><Relationship Id="rId68" Type="http://schemas.openxmlformats.org/officeDocument/2006/relationships/table" Target="../tables/table106.xml"/><Relationship Id="rId84" Type="http://schemas.openxmlformats.org/officeDocument/2006/relationships/table" Target="../tables/table122.xml"/><Relationship Id="rId89" Type="http://schemas.openxmlformats.org/officeDocument/2006/relationships/table" Target="../tables/table127.xml"/><Relationship Id="rId16" Type="http://schemas.openxmlformats.org/officeDocument/2006/relationships/table" Target="../tables/table54.xml"/><Relationship Id="rId11" Type="http://schemas.openxmlformats.org/officeDocument/2006/relationships/table" Target="../tables/table49.xml"/><Relationship Id="rId32" Type="http://schemas.openxmlformats.org/officeDocument/2006/relationships/table" Target="../tables/table70.xml"/><Relationship Id="rId37" Type="http://schemas.openxmlformats.org/officeDocument/2006/relationships/table" Target="../tables/table75.xml"/><Relationship Id="rId53" Type="http://schemas.openxmlformats.org/officeDocument/2006/relationships/table" Target="../tables/table91.xml"/><Relationship Id="rId58" Type="http://schemas.openxmlformats.org/officeDocument/2006/relationships/table" Target="../tables/table96.xml"/><Relationship Id="rId74" Type="http://schemas.openxmlformats.org/officeDocument/2006/relationships/table" Target="../tables/table112.xml"/><Relationship Id="rId79" Type="http://schemas.openxmlformats.org/officeDocument/2006/relationships/table" Target="../tables/table117.xml"/><Relationship Id="rId5" Type="http://schemas.openxmlformats.org/officeDocument/2006/relationships/table" Target="../tables/table43.xml"/><Relationship Id="rId90" Type="http://schemas.openxmlformats.org/officeDocument/2006/relationships/table" Target="../tables/table128.xml"/><Relationship Id="rId22" Type="http://schemas.openxmlformats.org/officeDocument/2006/relationships/table" Target="../tables/table60.xml"/><Relationship Id="rId27" Type="http://schemas.openxmlformats.org/officeDocument/2006/relationships/table" Target="../tables/table65.xml"/><Relationship Id="rId43" Type="http://schemas.openxmlformats.org/officeDocument/2006/relationships/table" Target="../tables/table81.xml"/><Relationship Id="rId48" Type="http://schemas.openxmlformats.org/officeDocument/2006/relationships/table" Target="../tables/table86.xml"/><Relationship Id="rId64" Type="http://schemas.openxmlformats.org/officeDocument/2006/relationships/table" Target="../tables/table102.xml"/><Relationship Id="rId69" Type="http://schemas.openxmlformats.org/officeDocument/2006/relationships/table" Target="../tables/table107.xml"/><Relationship Id="rId8" Type="http://schemas.openxmlformats.org/officeDocument/2006/relationships/table" Target="../tables/table46.xml"/><Relationship Id="rId51" Type="http://schemas.openxmlformats.org/officeDocument/2006/relationships/table" Target="../tables/table89.xml"/><Relationship Id="rId72" Type="http://schemas.openxmlformats.org/officeDocument/2006/relationships/table" Target="../tables/table110.xml"/><Relationship Id="rId80" Type="http://schemas.openxmlformats.org/officeDocument/2006/relationships/table" Target="../tables/table118.xml"/><Relationship Id="rId85" Type="http://schemas.openxmlformats.org/officeDocument/2006/relationships/table" Target="../tables/table123.xml"/><Relationship Id="rId93" Type="http://schemas.openxmlformats.org/officeDocument/2006/relationships/table" Target="../tables/table131.xml"/><Relationship Id="rId3" Type="http://schemas.openxmlformats.org/officeDocument/2006/relationships/table" Target="../tables/table41.xml"/><Relationship Id="rId12" Type="http://schemas.openxmlformats.org/officeDocument/2006/relationships/table" Target="../tables/table50.xml"/><Relationship Id="rId17" Type="http://schemas.openxmlformats.org/officeDocument/2006/relationships/table" Target="../tables/table55.xml"/><Relationship Id="rId25" Type="http://schemas.openxmlformats.org/officeDocument/2006/relationships/table" Target="../tables/table63.xml"/><Relationship Id="rId33" Type="http://schemas.openxmlformats.org/officeDocument/2006/relationships/table" Target="../tables/table71.xml"/><Relationship Id="rId38" Type="http://schemas.openxmlformats.org/officeDocument/2006/relationships/table" Target="../tables/table76.xml"/><Relationship Id="rId46" Type="http://schemas.openxmlformats.org/officeDocument/2006/relationships/table" Target="../tables/table84.xml"/><Relationship Id="rId59" Type="http://schemas.openxmlformats.org/officeDocument/2006/relationships/table" Target="../tables/table97.xml"/><Relationship Id="rId67" Type="http://schemas.openxmlformats.org/officeDocument/2006/relationships/table" Target="../tables/table105.xml"/><Relationship Id="rId20" Type="http://schemas.openxmlformats.org/officeDocument/2006/relationships/table" Target="../tables/table58.xml"/><Relationship Id="rId41" Type="http://schemas.openxmlformats.org/officeDocument/2006/relationships/table" Target="../tables/table79.xml"/><Relationship Id="rId54" Type="http://schemas.openxmlformats.org/officeDocument/2006/relationships/table" Target="../tables/table92.xml"/><Relationship Id="rId62" Type="http://schemas.openxmlformats.org/officeDocument/2006/relationships/table" Target="../tables/table100.xml"/><Relationship Id="rId70" Type="http://schemas.openxmlformats.org/officeDocument/2006/relationships/table" Target="../tables/table108.xml"/><Relationship Id="rId75" Type="http://schemas.openxmlformats.org/officeDocument/2006/relationships/table" Target="../tables/table113.xml"/><Relationship Id="rId83" Type="http://schemas.openxmlformats.org/officeDocument/2006/relationships/table" Target="../tables/table121.xml"/><Relationship Id="rId88" Type="http://schemas.openxmlformats.org/officeDocument/2006/relationships/table" Target="../tables/table126.xml"/><Relationship Id="rId91" Type="http://schemas.openxmlformats.org/officeDocument/2006/relationships/table" Target="../tables/table129.xml"/><Relationship Id="rId1" Type="http://schemas.openxmlformats.org/officeDocument/2006/relationships/table" Target="../tables/table39.xml"/><Relationship Id="rId6" Type="http://schemas.openxmlformats.org/officeDocument/2006/relationships/table" Target="../tables/table44.xml"/><Relationship Id="rId15" Type="http://schemas.openxmlformats.org/officeDocument/2006/relationships/table" Target="../tables/table53.xml"/><Relationship Id="rId23" Type="http://schemas.openxmlformats.org/officeDocument/2006/relationships/table" Target="../tables/table61.xml"/><Relationship Id="rId28" Type="http://schemas.openxmlformats.org/officeDocument/2006/relationships/table" Target="../tables/table66.xml"/><Relationship Id="rId36" Type="http://schemas.openxmlformats.org/officeDocument/2006/relationships/table" Target="../tables/table74.xml"/><Relationship Id="rId49" Type="http://schemas.openxmlformats.org/officeDocument/2006/relationships/table" Target="../tables/table87.xml"/><Relationship Id="rId57" Type="http://schemas.openxmlformats.org/officeDocument/2006/relationships/table" Target="../tables/table95.xml"/><Relationship Id="rId10" Type="http://schemas.openxmlformats.org/officeDocument/2006/relationships/table" Target="../tables/table48.xml"/><Relationship Id="rId31" Type="http://schemas.openxmlformats.org/officeDocument/2006/relationships/table" Target="../tables/table69.xml"/><Relationship Id="rId44" Type="http://schemas.openxmlformats.org/officeDocument/2006/relationships/table" Target="../tables/table82.xml"/><Relationship Id="rId52" Type="http://schemas.openxmlformats.org/officeDocument/2006/relationships/table" Target="../tables/table90.xml"/><Relationship Id="rId60" Type="http://schemas.openxmlformats.org/officeDocument/2006/relationships/table" Target="../tables/table98.xml"/><Relationship Id="rId65" Type="http://schemas.openxmlformats.org/officeDocument/2006/relationships/table" Target="../tables/table103.xml"/><Relationship Id="rId73" Type="http://schemas.openxmlformats.org/officeDocument/2006/relationships/table" Target="../tables/table111.xml"/><Relationship Id="rId78" Type="http://schemas.openxmlformats.org/officeDocument/2006/relationships/table" Target="../tables/table116.xml"/><Relationship Id="rId81" Type="http://schemas.openxmlformats.org/officeDocument/2006/relationships/table" Target="../tables/table119.xml"/><Relationship Id="rId86" Type="http://schemas.openxmlformats.org/officeDocument/2006/relationships/table" Target="../tables/table124.xml"/><Relationship Id="rId94" Type="http://schemas.openxmlformats.org/officeDocument/2006/relationships/table" Target="../tables/table132.xml"/><Relationship Id="rId4" Type="http://schemas.openxmlformats.org/officeDocument/2006/relationships/table" Target="../tables/table42.xml"/><Relationship Id="rId9" Type="http://schemas.openxmlformats.org/officeDocument/2006/relationships/table" Target="../tables/table47.xml"/><Relationship Id="rId13" Type="http://schemas.openxmlformats.org/officeDocument/2006/relationships/table" Target="../tables/table51.xml"/><Relationship Id="rId18" Type="http://schemas.openxmlformats.org/officeDocument/2006/relationships/table" Target="../tables/table56.xml"/><Relationship Id="rId39" Type="http://schemas.openxmlformats.org/officeDocument/2006/relationships/table" Target="../tables/table77.xml"/><Relationship Id="rId34" Type="http://schemas.openxmlformats.org/officeDocument/2006/relationships/table" Target="../tables/table72.xml"/><Relationship Id="rId50" Type="http://schemas.openxmlformats.org/officeDocument/2006/relationships/table" Target="../tables/table88.xml"/><Relationship Id="rId55" Type="http://schemas.openxmlformats.org/officeDocument/2006/relationships/table" Target="../tables/table93.xml"/><Relationship Id="rId76" Type="http://schemas.openxmlformats.org/officeDocument/2006/relationships/table" Target="../tables/table114.xml"/><Relationship Id="rId7" Type="http://schemas.openxmlformats.org/officeDocument/2006/relationships/table" Target="../tables/table45.xml"/><Relationship Id="rId71" Type="http://schemas.openxmlformats.org/officeDocument/2006/relationships/table" Target="../tables/table109.xml"/><Relationship Id="rId92" Type="http://schemas.openxmlformats.org/officeDocument/2006/relationships/table" Target="../tables/table130.xml"/><Relationship Id="rId2" Type="http://schemas.openxmlformats.org/officeDocument/2006/relationships/table" Target="../tables/table40.xml"/><Relationship Id="rId29" Type="http://schemas.openxmlformats.org/officeDocument/2006/relationships/table" Target="../tables/table67.xml"/><Relationship Id="rId24" Type="http://schemas.openxmlformats.org/officeDocument/2006/relationships/table" Target="../tables/table62.xml"/><Relationship Id="rId40" Type="http://schemas.openxmlformats.org/officeDocument/2006/relationships/table" Target="../tables/table78.xml"/><Relationship Id="rId45" Type="http://schemas.openxmlformats.org/officeDocument/2006/relationships/table" Target="../tables/table83.xml"/><Relationship Id="rId66" Type="http://schemas.openxmlformats.org/officeDocument/2006/relationships/table" Target="../tables/table104.xml"/><Relationship Id="rId87" Type="http://schemas.openxmlformats.org/officeDocument/2006/relationships/table" Target="../tables/table125.xml"/><Relationship Id="rId61" Type="http://schemas.openxmlformats.org/officeDocument/2006/relationships/table" Target="../tables/table99.xml"/><Relationship Id="rId82" Type="http://schemas.openxmlformats.org/officeDocument/2006/relationships/table" Target="../tables/table120.xml"/><Relationship Id="rId19" Type="http://schemas.openxmlformats.org/officeDocument/2006/relationships/table" Target="../tables/table57.xml"/><Relationship Id="rId14" Type="http://schemas.openxmlformats.org/officeDocument/2006/relationships/table" Target="../tables/table52.xml"/><Relationship Id="rId30" Type="http://schemas.openxmlformats.org/officeDocument/2006/relationships/table" Target="../tables/table68.xml"/><Relationship Id="rId35" Type="http://schemas.openxmlformats.org/officeDocument/2006/relationships/table" Target="../tables/table73.xml"/><Relationship Id="rId56" Type="http://schemas.openxmlformats.org/officeDocument/2006/relationships/table" Target="../tables/table94.xml"/><Relationship Id="rId77" Type="http://schemas.openxmlformats.org/officeDocument/2006/relationships/table" Target="../tables/table11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4.xml"/><Relationship Id="rId1" Type="http://schemas.openxmlformats.org/officeDocument/2006/relationships/table" Target="../tables/table13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177A3-506B-483C-886C-07974DAB6D5C}">
  <sheetPr codeName="Hoja1"/>
  <dimension ref="B2:AB623"/>
  <sheetViews>
    <sheetView topLeftCell="A114" zoomScaleNormal="100" workbookViewId="0">
      <selection activeCell="E141" sqref="E141"/>
    </sheetView>
  </sheetViews>
  <sheetFormatPr baseColWidth="10" defaultRowHeight="15" x14ac:dyDescent="0.25"/>
  <cols>
    <col min="1" max="1" width="2.28515625" customWidth="1"/>
    <col min="2" max="2" width="28.140625" customWidth="1"/>
    <col min="3" max="3" width="9.42578125" customWidth="1"/>
    <col min="4" max="4" width="10.7109375" customWidth="1"/>
    <col min="5" max="5" width="18.140625" customWidth="1"/>
    <col min="6" max="6" width="7.140625" customWidth="1"/>
    <col min="7" max="7" width="28.42578125" customWidth="1"/>
    <col min="8" max="8" width="9.85546875" customWidth="1"/>
    <col min="9" max="9" width="12.42578125" customWidth="1"/>
    <col min="10" max="10" width="14.28515625" customWidth="1"/>
    <col min="11" max="11" width="2.42578125" customWidth="1"/>
    <col min="12" max="12" width="8" style="1" customWidth="1"/>
    <col min="13" max="13" width="15.28515625" style="1" customWidth="1"/>
    <col min="14" max="14" width="5.85546875" style="4" customWidth="1"/>
    <col min="15" max="15" width="12.85546875" customWidth="1"/>
    <col min="16" max="16" width="10.7109375" customWidth="1"/>
    <col min="17" max="17" width="10.7109375" style="188" customWidth="1"/>
    <col min="18" max="18" width="17.5703125" style="1" customWidth="1"/>
    <col min="19" max="19" width="19.7109375" customWidth="1"/>
    <col min="20" max="20" width="15.85546875" customWidth="1"/>
    <col min="21" max="21" width="17.28515625" style="4" customWidth="1"/>
    <col min="22" max="22" width="17.140625" style="31" customWidth="1"/>
    <col min="23" max="23" width="17" style="31" customWidth="1"/>
    <col min="24" max="24" width="12.42578125" customWidth="1"/>
    <col min="25" max="25" width="17.85546875" style="188" customWidth="1"/>
    <col min="26" max="26" width="15.42578125" customWidth="1"/>
    <col min="27" max="27" width="16.7109375" bestFit="1" customWidth="1"/>
    <col min="28" max="28" width="14.5703125" style="4" bestFit="1" customWidth="1"/>
  </cols>
  <sheetData>
    <row r="2" spans="2:25" x14ac:dyDescent="0.25">
      <c r="B2" t="s">
        <v>619</v>
      </c>
      <c r="Y2"/>
    </row>
    <row r="3" spans="2:25" x14ac:dyDescent="0.25">
      <c r="Y3"/>
    </row>
    <row r="4" spans="2:25" x14ac:dyDescent="0.25">
      <c r="B4" t="s">
        <v>618</v>
      </c>
      <c r="D4" t="s">
        <v>276</v>
      </c>
      <c r="J4" t="s">
        <v>251</v>
      </c>
      <c r="M4" t="s">
        <v>778</v>
      </c>
      <c r="Y4"/>
    </row>
    <row r="5" spans="2:25" x14ac:dyDescent="0.25">
      <c r="B5" t="s">
        <v>1812</v>
      </c>
      <c r="D5" t="s">
        <v>251</v>
      </c>
      <c r="J5" t="s">
        <v>717</v>
      </c>
      <c r="M5" t="s">
        <v>259</v>
      </c>
      <c r="Y5"/>
    </row>
    <row r="6" spans="2:25" x14ac:dyDescent="0.25">
      <c r="B6" t="s">
        <v>1400</v>
      </c>
      <c r="D6" t="s">
        <v>778</v>
      </c>
      <c r="J6" t="s">
        <v>634</v>
      </c>
      <c r="M6" t="s">
        <v>257</v>
      </c>
      <c r="Y6"/>
    </row>
    <row r="7" spans="2:25" x14ac:dyDescent="0.25">
      <c r="J7" t="s">
        <v>274</v>
      </c>
      <c r="M7" t="s">
        <v>739</v>
      </c>
      <c r="Y7"/>
    </row>
    <row r="8" spans="2:25" ht="15.75" thickBot="1" x14ac:dyDescent="0.3">
      <c r="J8" t="s">
        <v>639</v>
      </c>
      <c r="M8" t="s">
        <v>740</v>
      </c>
      <c r="Y8"/>
    </row>
    <row r="9" spans="2:25" ht="15.75" thickBot="1" x14ac:dyDescent="0.3">
      <c r="B9" s="300" t="s">
        <v>626</v>
      </c>
      <c r="C9" s="301"/>
      <c r="D9" s="301"/>
      <c r="E9" s="301"/>
      <c r="F9" s="301"/>
      <c r="G9" s="301"/>
      <c r="H9" s="302"/>
      <c r="J9" t="s">
        <v>644</v>
      </c>
      <c r="M9" t="s">
        <v>777</v>
      </c>
      <c r="Y9"/>
    </row>
    <row r="10" spans="2:25" ht="45" x14ac:dyDescent="0.25">
      <c r="B10" s="5"/>
      <c r="C10" t="s">
        <v>622</v>
      </c>
      <c r="D10" t="s">
        <v>486</v>
      </c>
      <c r="E10" s="180" t="s">
        <v>487</v>
      </c>
      <c r="F10" s="180" t="s">
        <v>623</v>
      </c>
      <c r="G10" s="180" t="s">
        <v>485</v>
      </c>
      <c r="H10" s="251" t="s">
        <v>627</v>
      </c>
      <c r="J10" t="s">
        <v>647</v>
      </c>
      <c r="M10" t="s">
        <v>742</v>
      </c>
      <c r="Y10"/>
    </row>
    <row r="11" spans="2:25" x14ac:dyDescent="0.25">
      <c r="B11" s="5" t="s">
        <v>1351</v>
      </c>
      <c r="C11">
        <v>5</v>
      </c>
      <c r="D11">
        <v>1.6</v>
      </c>
      <c r="H11" s="6"/>
      <c r="J11" t="s">
        <v>292</v>
      </c>
      <c r="M11" t="s">
        <v>751</v>
      </c>
      <c r="Y11"/>
    </row>
    <row r="12" spans="2:25" x14ac:dyDescent="0.25">
      <c r="B12" s="5" t="s">
        <v>1352</v>
      </c>
      <c r="C12">
        <v>6</v>
      </c>
      <c r="D12">
        <v>1.6</v>
      </c>
      <c r="H12" s="6"/>
      <c r="J12" t="s">
        <v>670</v>
      </c>
      <c r="M12" t="s">
        <v>752</v>
      </c>
      <c r="Y12"/>
    </row>
    <row r="13" spans="2:25" x14ac:dyDescent="0.25">
      <c r="B13" s="5" t="s">
        <v>1353</v>
      </c>
      <c r="C13">
        <v>7</v>
      </c>
      <c r="D13">
        <v>1.6</v>
      </c>
      <c r="H13" s="6"/>
      <c r="J13" t="s">
        <v>669</v>
      </c>
      <c r="M13" t="s">
        <v>759</v>
      </c>
      <c r="Y13"/>
    </row>
    <row r="14" spans="2:25" x14ac:dyDescent="0.25">
      <c r="B14" s="5" t="s">
        <v>1354</v>
      </c>
      <c r="C14">
        <v>8</v>
      </c>
      <c r="D14">
        <v>1.6</v>
      </c>
      <c r="H14" s="6"/>
      <c r="J14" t="s">
        <v>718</v>
      </c>
      <c r="M14" t="s">
        <v>14</v>
      </c>
      <c r="Y14"/>
    </row>
    <row r="15" spans="2:25" x14ac:dyDescent="0.25">
      <c r="B15" s="5" t="s">
        <v>1355</v>
      </c>
      <c r="C15">
        <v>9</v>
      </c>
      <c r="D15">
        <v>1.6</v>
      </c>
      <c r="H15" s="6"/>
      <c r="J15" t="s">
        <v>722</v>
      </c>
      <c r="M15" t="s">
        <v>613</v>
      </c>
      <c r="Y15"/>
    </row>
    <row r="16" spans="2:25" x14ac:dyDescent="0.25">
      <c r="B16" s="5" t="s">
        <v>624</v>
      </c>
      <c r="C16">
        <v>6</v>
      </c>
      <c r="F16">
        <v>1.1599999999999999</v>
      </c>
      <c r="H16" s="6"/>
      <c r="J16" t="s">
        <v>744</v>
      </c>
      <c r="M16" t="s">
        <v>652</v>
      </c>
      <c r="Y16"/>
    </row>
    <row r="17" spans="2:28" x14ac:dyDescent="0.25">
      <c r="B17" s="5" t="s">
        <v>625</v>
      </c>
      <c r="C17">
        <v>6</v>
      </c>
      <c r="E17">
        <v>1.1599999999999999</v>
      </c>
      <c r="H17" s="6"/>
      <c r="J17" t="s">
        <v>508</v>
      </c>
      <c r="Y17"/>
    </row>
    <row r="18" spans="2:28" x14ac:dyDescent="0.25">
      <c r="B18" s="5" t="s">
        <v>621</v>
      </c>
      <c r="C18">
        <v>5</v>
      </c>
      <c r="D18">
        <f>+(1.6/6)*1</f>
        <v>0.26666666666666666</v>
      </c>
      <c r="H18" s="6">
        <f>+(1.6/6)*5</f>
        <v>1.3333333333333333</v>
      </c>
      <c r="J18" t="s">
        <v>586</v>
      </c>
      <c r="Y18"/>
    </row>
    <row r="19" spans="2:28" ht="15.75" thickBot="1" x14ac:dyDescent="0.3">
      <c r="B19" s="252" t="s">
        <v>290</v>
      </c>
      <c r="C19" s="11">
        <v>6</v>
      </c>
      <c r="D19" s="11">
        <v>1.1000000000000001</v>
      </c>
      <c r="E19" s="11"/>
      <c r="F19" s="11"/>
      <c r="G19" s="11">
        <v>0.5</v>
      </c>
      <c r="H19" s="9"/>
      <c r="J19" t="s">
        <v>719</v>
      </c>
      <c r="Y19"/>
    </row>
    <row r="20" spans="2:28" x14ac:dyDescent="0.25">
      <c r="J20" t="s">
        <v>685</v>
      </c>
      <c r="Y20"/>
    </row>
    <row r="21" spans="2:28" ht="15.75" thickBot="1" x14ac:dyDescent="0.3">
      <c r="J21" t="s">
        <v>529</v>
      </c>
      <c r="Y21"/>
    </row>
    <row r="22" spans="2:28" ht="15.75" thickBot="1" x14ac:dyDescent="0.3">
      <c r="B22" s="300" t="s">
        <v>249</v>
      </c>
      <c r="C22" s="301"/>
      <c r="D22" s="302"/>
      <c r="J22" t="s">
        <v>512</v>
      </c>
      <c r="Y22"/>
    </row>
    <row r="23" spans="2:28" x14ac:dyDescent="0.25">
      <c r="B23" s="5" t="s">
        <v>622</v>
      </c>
      <c r="C23" s="305">
        <v>33000</v>
      </c>
      <c r="D23" s="306"/>
      <c r="J23" t="s">
        <v>565</v>
      </c>
      <c r="Y23"/>
    </row>
    <row r="24" spans="2:28" x14ac:dyDescent="0.25">
      <c r="B24" s="5" t="s">
        <v>486</v>
      </c>
      <c r="C24" s="307">
        <v>160000</v>
      </c>
      <c r="D24" s="308"/>
      <c r="J24" t="s">
        <v>571</v>
      </c>
      <c r="Y24"/>
    </row>
    <row r="25" spans="2:28" x14ac:dyDescent="0.25">
      <c r="B25" s="5" t="s">
        <v>487</v>
      </c>
      <c r="C25" s="307">
        <v>140000</v>
      </c>
      <c r="D25" s="308"/>
      <c r="J25" t="s">
        <v>598</v>
      </c>
      <c r="Y25"/>
    </row>
    <row r="26" spans="2:28" x14ac:dyDescent="0.25">
      <c r="B26" s="5" t="s">
        <v>623</v>
      </c>
      <c r="C26" s="307">
        <v>140000</v>
      </c>
      <c r="D26" s="308"/>
      <c r="J26" t="s">
        <v>708</v>
      </c>
      <c r="Y26"/>
    </row>
    <row r="27" spans="2:28" x14ac:dyDescent="0.25">
      <c r="B27" s="5" t="s">
        <v>485</v>
      </c>
      <c r="C27" s="307">
        <v>110000</v>
      </c>
      <c r="D27" s="308"/>
      <c r="Y27"/>
    </row>
    <row r="28" spans="2:28" ht="15.75" thickBot="1" x14ac:dyDescent="0.3">
      <c r="B28" s="252" t="s">
        <v>628</v>
      </c>
      <c r="C28" s="303">
        <v>30000</v>
      </c>
      <c r="D28" s="304"/>
      <c r="Y28"/>
    </row>
    <row r="29" spans="2:28" x14ac:dyDescent="0.25">
      <c r="Y29"/>
    </row>
    <row r="30" spans="2:28" x14ac:dyDescent="0.25">
      <c r="Y30"/>
    </row>
    <row r="31" spans="2:28" x14ac:dyDescent="0.25">
      <c r="B31" s="299" t="s">
        <v>796</v>
      </c>
      <c r="C31" s="299"/>
      <c r="D31" s="299"/>
      <c r="E31" s="299"/>
      <c r="G31" s="299" t="s">
        <v>797</v>
      </c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4"/>
      <c r="V31"/>
      <c r="W31"/>
      <c r="Y31"/>
      <c r="AB31"/>
    </row>
    <row r="32" spans="2:28" x14ac:dyDescent="0.25">
      <c r="B32" s="299" t="s">
        <v>244</v>
      </c>
      <c r="C32" s="299"/>
      <c r="D32" s="299"/>
      <c r="E32" s="299"/>
      <c r="G32" s="299" t="s">
        <v>244</v>
      </c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t="s">
        <v>935</v>
      </c>
      <c r="S32" s="194">
        <f>+S34+S54+S62+S92+S101+S116+S124+S132</f>
        <v>112817021.97754706</v>
      </c>
      <c r="T32" s="4"/>
      <c r="V32"/>
      <c r="W32"/>
      <c r="Y32"/>
      <c r="AB32"/>
    </row>
    <row r="33" spans="2:28" x14ac:dyDescent="0.25">
      <c r="B33" s="299" t="s">
        <v>620</v>
      </c>
      <c r="C33" s="299"/>
      <c r="D33" s="299"/>
      <c r="E33" s="299"/>
      <c r="G33" s="299" t="s">
        <v>620</v>
      </c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4"/>
      <c r="V33"/>
      <c r="W33"/>
      <c r="Y33"/>
      <c r="AB33"/>
    </row>
    <row r="34" spans="2:28" x14ac:dyDescent="0.25">
      <c r="B34" t="s">
        <v>246</v>
      </c>
      <c r="C34" s="1" t="s">
        <v>248</v>
      </c>
      <c r="D34" s="1" t="s">
        <v>261</v>
      </c>
      <c r="E34" s="4" t="s">
        <v>249</v>
      </c>
      <c r="G34" s="186" t="s">
        <v>798</v>
      </c>
      <c r="H34" s="186" t="s">
        <v>799</v>
      </c>
      <c r="I34" s="186" t="s">
        <v>800</v>
      </c>
      <c r="J34" s="186" t="s">
        <v>815</v>
      </c>
      <c r="K34" s="186" t="s">
        <v>816</v>
      </c>
      <c r="L34" s="186" t="s">
        <v>1125</v>
      </c>
      <c r="M34" s="187" t="s">
        <v>817</v>
      </c>
      <c r="N34" s="187" t="s">
        <v>818</v>
      </c>
      <c r="O34" s="187" t="s">
        <v>819</v>
      </c>
      <c r="P34" s="186" t="s">
        <v>820</v>
      </c>
      <c r="Q34" s="189" t="s">
        <v>847</v>
      </c>
      <c r="R34" s="186" t="s">
        <v>85</v>
      </c>
      <c r="S34" s="196">
        <f>+SUM(R35:R51)</f>
        <v>31167994.133520003</v>
      </c>
      <c r="T34" s="4"/>
      <c r="V34"/>
      <c r="W34"/>
      <c r="Y34"/>
      <c r="AB34"/>
    </row>
    <row r="35" spans="2:28" x14ac:dyDescent="0.25">
      <c r="B35" t="str">
        <f>+B11</f>
        <v>Concreto 2000PSI ( H. en obra)</v>
      </c>
      <c r="C35" s="1" t="s">
        <v>269</v>
      </c>
      <c r="D35" s="1" t="s">
        <v>272</v>
      </c>
      <c r="E35" s="4">
        <f>+(C11*$C$23)+(D11*$C$24)</f>
        <v>421000</v>
      </c>
      <c r="G35" t="str">
        <f>+B35</f>
        <v>Concreto 2000PSI ( H. en obra)</v>
      </c>
      <c r="H35" t="s">
        <v>76</v>
      </c>
      <c r="I35" s="1" t="str">
        <f>+C35</f>
        <v>M3</v>
      </c>
      <c r="J35" s="1" t="s">
        <v>801</v>
      </c>
      <c r="K35" s="1"/>
      <c r="L35" s="207">
        <v>1</v>
      </c>
      <c r="M35" s="4">
        <f>+E35</f>
        <v>421000</v>
      </c>
      <c r="N35" s="31"/>
      <c r="O35" s="31"/>
      <c r="P35" t="s">
        <v>821</v>
      </c>
      <c r="Q35" s="190">
        <f>(SUMIFS('3. CD - Obra negra'!$O$4:$O$344,'3. CD - Obra negra'!$E$4:$E$344,G35))+(SUMIFS('4. CD - Obra gris'!$O$14:$O$74,'4. CD - Obra gris'!$E$14:$E$74,G35))+(SUMIFS('5, CD -Obra blanca'!$O$4:$O$151,'5, CD -Obra blanca'!$E$4:$E$151,G35))</f>
        <v>4.6979400000000009</v>
      </c>
      <c r="R35" s="194">
        <f>+Q35*M35</f>
        <v>1977832.7400000005</v>
      </c>
      <c r="T35" s="4"/>
      <c r="V35"/>
      <c r="W35"/>
      <c r="Y35"/>
      <c r="AB35"/>
    </row>
    <row r="36" spans="2:28" x14ac:dyDescent="0.25">
      <c r="B36" t="str">
        <f>+B12</f>
        <v>Concreto 2500PSI ( H. en obra)</v>
      </c>
      <c r="C36" s="1" t="s">
        <v>269</v>
      </c>
      <c r="D36" s="1" t="s">
        <v>272</v>
      </c>
      <c r="E36" s="4">
        <f>+(C12*$C$23)+(D12*$C$24)</f>
        <v>454000</v>
      </c>
      <c r="G36" t="str">
        <f t="shared" ref="G36:G51" si="0">+B36</f>
        <v>Concreto 2500PSI ( H. en obra)</v>
      </c>
      <c r="H36" t="s">
        <v>76</v>
      </c>
      <c r="I36" s="1" t="str">
        <f t="shared" ref="I36:I51" si="1">+C36</f>
        <v>M3</v>
      </c>
      <c r="J36" s="1" t="s">
        <v>802</v>
      </c>
      <c r="K36" s="1"/>
      <c r="L36" s="207">
        <v>1</v>
      </c>
      <c r="M36" s="4">
        <f t="shared" ref="M36:M51" si="2">+E36</f>
        <v>454000</v>
      </c>
      <c r="N36" s="31"/>
      <c r="O36" s="31"/>
      <c r="P36" t="s">
        <v>821</v>
      </c>
      <c r="Q36" s="190">
        <f>(SUMIFS('3. CD - Obra negra'!$O$4:$O$344,'3. CD - Obra negra'!$E$4:$E$344,G36))+(SUMIFS('4. CD - Obra gris'!$O$14:$O$74,'4. CD - Obra gris'!$E$14:$E$74,G36))+(SUMIFS('5, CD -Obra blanca'!$O$4:$O$151,'5, CD -Obra blanca'!$E$4:$E$151,G36))</f>
        <v>0</v>
      </c>
      <c r="R36" s="194">
        <f t="shared" ref="R36:R51" si="3">+Q36*M36</f>
        <v>0</v>
      </c>
      <c r="T36" s="4"/>
      <c r="V36"/>
      <c r="W36"/>
      <c r="Y36"/>
      <c r="AB36"/>
    </row>
    <row r="37" spans="2:28" x14ac:dyDescent="0.25">
      <c r="B37" t="str">
        <f>+B13</f>
        <v>Concreto 3000PSI ( H. en obra)</v>
      </c>
      <c r="C37" s="1" t="s">
        <v>269</v>
      </c>
      <c r="D37" s="1" t="s">
        <v>272</v>
      </c>
      <c r="E37" s="4">
        <f>+(C13*$C$23)+(D13*$C$24)</f>
        <v>487000</v>
      </c>
      <c r="G37" t="str">
        <f t="shared" si="0"/>
        <v>Concreto 3000PSI ( H. en obra)</v>
      </c>
      <c r="H37" t="s">
        <v>76</v>
      </c>
      <c r="I37" s="1" t="str">
        <f t="shared" si="1"/>
        <v>M3</v>
      </c>
      <c r="J37" s="1" t="s">
        <v>803</v>
      </c>
      <c r="K37" s="1"/>
      <c r="L37" s="207">
        <v>1</v>
      </c>
      <c r="M37" s="4">
        <f t="shared" si="2"/>
        <v>487000</v>
      </c>
      <c r="N37" s="31"/>
      <c r="O37" s="31"/>
      <c r="P37" t="s">
        <v>821</v>
      </c>
      <c r="Q37" s="190">
        <f>(SUMIFS('3. CD - Obra negra'!$O$4:$O$344,'3. CD - Obra negra'!$E$4:$E$344,G37))+(SUMIFS('4. CD - Obra gris'!$O$14:$O$74,'4. CD - Obra gris'!$E$14:$E$74,G37))+(SUMIFS('5, CD -Obra blanca'!$O$4:$O$151,'5, CD -Obra blanca'!$E$4:$E$151,G37))</f>
        <v>39.369225000000007</v>
      </c>
      <c r="R37" s="194">
        <f t="shared" si="3"/>
        <v>19172812.575000003</v>
      </c>
      <c r="T37" s="4"/>
      <c r="V37"/>
      <c r="W37"/>
      <c r="Y37"/>
      <c r="AB37"/>
    </row>
    <row r="38" spans="2:28" x14ac:dyDescent="0.25">
      <c r="B38" t="s">
        <v>1256</v>
      </c>
      <c r="C38" s="1" t="s">
        <v>269</v>
      </c>
      <c r="D38" s="1" t="s">
        <v>272</v>
      </c>
      <c r="E38" s="4">
        <f>+((C14*$C$23)+(D14*$C$24))*1.2</f>
        <v>624000</v>
      </c>
      <c r="G38" t="str">
        <f>+B38</f>
        <v>Concreto 3000PSI mixer</v>
      </c>
      <c r="H38" t="s">
        <v>76</v>
      </c>
      <c r="I38" s="1" t="str">
        <f>+C38</f>
        <v>M3</v>
      </c>
      <c r="J38" s="1" t="s">
        <v>803</v>
      </c>
      <c r="K38" s="1"/>
      <c r="L38" s="207">
        <v>1</v>
      </c>
      <c r="M38" s="4">
        <f>+E38</f>
        <v>624000</v>
      </c>
      <c r="N38" s="31"/>
      <c r="O38" s="31"/>
      <c r="P38" t="s">
        <v>821</v>
      </c>
      <c r="Q38" s="190">
        <f>(SUMIFS('3. CD - Obra negra'!$O$4:$O$344,'3. CD - Obra negra'!$E$4:$E$344,G38))+(SUMIFS('4. CD - Obra gris'!$O$14:$O$74,'4. CD - Obra gris'!$E$14:$E$74,G38))+(SUMIFS('5, CD -Obra blanca'!$O$4:$O$151,'5, CD -Obra blanca'!$E$4:$E$151,G38))</f>
        <v>0</v>
      </c>
      <c r="R38" s="194">
        <f>+Q38*M38</f>
        <v>0</v>
      </c>
      <c r="T38" s="4"/>
      <c r="V38"/>
      <c r="W38"/>
      <c r="Y38"/>
      <c r="AB38"/>
    </row>
    <row r="39" spans="2:28" x14ac:dyDescent="0.25">
      <c r="B39" t="str">
        <f>+B14</f>
        <v>Concreto 3500PSI ( H. en obra)</v>
      </c>
      <c r="C39" s="1" t="s">
        <v>269</v>
      </c>
      <c r="D39" s="1" t="s">
        <v>272</v>
      </c>
      <c r="E39" s="4">
        <f>+(C14*$C$23)+(D14*$C$24)</f>
        <v>520000</v>
      </c>
      <c r="G39" t="str">
        <f t="shared" si="0"/>
        <v>Concreto 3500PSI ( H. en obra)</v>
      </c>
      <c r="H39" t="s">
        <v>76</v>
      </c>
      <c r="I39" s="1" t="str">
        <f t="shared" si="1"/>
        <v>M3</v>
      </c>
      <c r="J39" s="1" t="s">
        <v>804</v>
      </c>
      <c r="K39" s="1"/>
      <c r="L39" s="207">
        <v>1</v>
      </c>
      <c r="M39" s="4">
        <f t="shared" si="2"/>
        <v>520000</v>
      </c>
      <c r="N39" s="31"/>
      <c r="O39" s="31"/>
      <c r="P39" t="s">
        <v>821</v>
      </c>
      <c r="Q39" s="190">
        <f>(SUMIFS('3. CD - Obra negra'!$O$4:$O$344,'3. CD - Obra negra'!$E$4:$E$344,G39))+(SUMIFS('4. CD - Obra gris'!$O$14:$O$74,'4. CD - Obra gris'!$E$14:$E$74,G39))+(SUMIFS('5, CD -Obra blanca'!$O$4:$O$151,'5, CD -Obra blanca'!$E$4:$E$151,G39))</f>
        <v>0</v>
      </c>
      <c r="R39" s="194">
        <f t="shared" si="3"/>
        <v>0</v>
      </c>
      <c r="T39" s="4"/>
      <c r="V39"/>
      <c r="W39"/>
      <c r="Y39"/>
      <c r="AB39"/>
    </row>
    <row r="40" spans="2:28" x14ac:dyDescent="0.25">
      <c r="B40" t="str">
        <f>+B15</f>
        <v>Concreto 4000PSI ( H. en obra)</v>
      </c>
      <c r="C40" s="1" t="s">
        <v>269</v>
      </c>
      <c r="D40" s="1" t="s">
        <v>272</v>
      </c>
      <c r="E40" s="4">
        <f>+(C15*$C$23)+(D15*$C$24)</f>
        <v>553000</v>
      </c>
      <c r="G40" t="str">
        <f t="shared" si="0"/>
        <v>Concreto 4000PSI ( H. en obra)</v>
      </c>
      <c r="H40" t="s">
        <v>76</v>
      </c>
      <c r="I40" s="1" t="str">
        <f t="shared" si="1"/>
        <v>M3</v>
      </c>
      <c r="J40" s="1" t="s">
        <v>805</v>
      </c>
      <c r="K40" s="1"/>
      <c r="L40" s="207">
        <v>1</v>
      </c>
      <c r="M40" s="4">
        <f t="shared" si="2"/>
        <v>553000</v>
      </c>
      <c r="N40" s="31"/>
      <c r="O40" s="31"/>
      <c r="P40" t="s">
        <v>821</v>
      </c>
      <c r="Q40" s="190">
        <f>(SUMIFS('3. CD - Obra negra'!$O$4:$O$344,'3. CD - Obra negra'!$E$4:$E$344,G40))+(SUMIFS('4. CD - Obra gris'!$O$14:$O$74,'4. CD - Obra gris'!$E$14:$E$74,G40))+(SUMIFS('5, CD -Obra blanca'!$O$4:$O$151,'5, CD -Obra blanca'!$E$4:$E$151,G40))</f>
        <v>0</v>
      </c>
      <c r="R40" s="194">
        <f t="shared" si="3"/>
        <v>0</v>
      </c>
      <c r="T40" s="4"/>
      <c r="V40"/>
      <c r="W40"/>
      <c r="Y40"/>
      <c r="AB40"/>
    </row>
    <row r="41" spans="2:28" ht="30" customHeight="1" x14ac:dyDescent="0.25">
      <c r="B41" t="str">
        <f>+B16</f>
        <v>Mortero pañete</v>
      </c>
      <c r="C41" s="1" t="s">
        <v>269</v>
      </c>
      <c r="D41" s="1" t="s">
        <v>272</v>
      </c>
      <c r="E41" s="4">
        <f>+(C16*C23)+(F16*C26)</f>
        <v>360400</v>
      </c>
      <c r="G41" t="str">
        <f t="shared" si="0"/>
        <v>Mortero pañete</v>
      </c>
      <c r="H41" t="s">
        <v>76</v>
      </c>
      <c r="I41" s="1" t="str">
        <f t="shared" si="1"/>
        <v>M3</v>
      </c>
      <c r="J41" s="1" t="s">
        <v>806</v>
      </c>
      <c r="K41" s="1"/>
      <c r="L41" s="207">
        <v>1</v>
      </c>
      <c r="M41" s="4">
        <f t="shared" si="2"/>
        <v>360400</v>
      </c>
      <c r="N41" s="31"/>
      <c r="O41" s="31"/>
      <c r="P41" t="s">
        <v>821</v>
      </c>
      <c r="Q41" s="190">
        <f>(SUMIFS('3. CD - Obra negra'!$O$4:$O$344,'3. CD - Obra negra'!$E$4:$E$344,G41))+(SUMIFS('4. CD - Obra gris'!$O$14:$O$74,'4. CD - Obra gris'!$E$14:$E$74,G41))+(SUMIFS('5, CD -Obra blanca'!$O$4:$O$151,'5, CD -Obra blanca'!$E$4:$E$151,G41))</f>
        <v>4.5830000000000002</v>
      </c>
      <c r="R41" s="194">
        <f t="shared" si="3"/>
        <v>1651713.2</v>
      </c>
      <c r="T41" s="4"/>
      <c r="V41"/>
      <c r="W41"/>
      <c r="Y41"/>
      <c r="AB41"/>
    </row>
    <row r="42" spans="2:28" x14ac:dyDescent="0.25">
      <c r="B42" t="str">
        <f>+B17</f>
        <v>Mortero pega</v>
      </c>
      <c r="C42" s="1" t="s">
        <v>269</v>
      </c>
      <c r="D42" s="1" t="s">
        <v>272</v>
      </c>
      <c r="E42" s="4">
        <f>+(C17*C23)+(E17*C25)</f>
        <v>360400</v>
      </c>
      <c r="G42" t="str">
        <f t="shared" si="0"/>
        <v>Mortero pega</v>
      </c>
      <c r="H42" t="s">
        <v>76</v>
      </c>
      <c r="I42" s="1" t="str">
        <f t="shared" si="1"/>
        <v>M3</v>
      </c>
      <c r="J42" s="1" t="s">
        <v>807</v>
      </c>
      <c r="K42" s="1"/>
      <c r="L42" s="207">
        <v>1</v>
      </c>
      <c r="M42" s="4">
        <f t="shared" si="2"/>
        <v>360400</v>
      </c>
      <c r="N42" s="31"/>
      <c r="O42" s="31"/>
      <c r="P42" t="s">
        <v>821</v>
      </c>
      <c r="Q42" s="190">
        <f>(SUMIFS('3. CD - Obra negra'!$O$4:$O$344,'3. CD - Obra negra'!$E$4:$E$344,G42))+(SUMIFS('4. CD - Obra gris'!$O$14:$O$74,'4. CD - Obra gris'!$E$14:$E$74,G42))+(SUMIFS('5, CD -Obra blanca'!$O$4:$O$151,'5, CD -Obra blanca'!$E$4:$E$151,G42))</f>
        <v>15.922726300000001</v>
      </c>
      <c r="R42" s="194">
        <f t="shared" si="3"/>
        <v>5738550.5585200004</v>
      </c>
      <c r="T42" s="4"/>
      <c r="V42"/>
      <c r="W42"/>
      <c r="Y42"/>
      <c r="AB42"/>
    </row>
    <row r="43" spans="2:28" x14ac:dyDescent="0.25">
      <c r="B43" t="s">
        <v>1158</v>
      </c>
      <c r="C43" s="1" t="s">
        <v>488</v>
      </c>
      <c r="D43" s="1" t="s">
        <v>272</v>
      </c>
      <c r="E43" s="4">
        <v>75000</v>
      </c>
      <c r="G43" t="str">
        <f>+B43</f>
        <v>Cemento blanco 40kg</v>
      </c>
      <c r="H43" t="s">
        <v>76</v>
      </c>
      <c r="I43" s="1" t="str">
        <f>+C43</f>
        <v>BTO</v>
      </c>
      <c r="J43" s="1" t="s">
        <v>808</v>
      </c>
      <c r="K43" s="1"/>
      <c r="L43" s="207">
        <v>1</v>
      </c>
      <c r="M43" s="4">
        <f>+E43</f>
        <v>75000</v>
      </c>
      <c r="N43" s="31"/>
      <c r="O43" s="31"/>
      <c r="P43" t="s">
        <v>821</v>
      </c>
      <c r="Q43" s="190">
        <f>(SUMIFS('3. CD - Obra negra'!$O$4:$O$344,'3. CD - Obra negra'!$E$4:$E$344,G43))+(SUMIFS('4. CD - Obra gris'!$O$14:$O$74,'4. CD - Obra gris'!$E$14:$E$74,G43))+(SUMIFS('5, CD -Obra blanca'!$O$4:$O$151,'5, CD -Obra blanca'!$E$4:$E$151,G43))</f>
        <v>10.86</v>
      </c>
      <c r="R43" s="194">
        <f>+Q43*M43</f>
        <v>814500</v>
      </c>
      <c r="T43" s="4"/>
      <c r="V43"/>
      <c r="W43"/>
      <c r="Y43"/>
      <c r="AB43"/>
    </row>
    <row r="44" spans="2:28" x14ac:dyDescent="0.25">
      <c r="B44" t="str">
        <f>+B18</f>
        <v>Tierra cemento</v>
      </c>
      <c r="C44" s="1" t="s">
        <v>269</v>
      </c>
      <c r="D44" s="1" t="s">
        <v>272</v>
      </c>
      <c r="E44" s="4">
        <f>+(C18*C23)+(D18*C24)+(H18*C28)</f>
        <v>247666.66666666666</v>
      </c>
      <c r="G44" t="str">
        <f t="shared" si="0"/>
        <v>Tierra cemento</v>
      </c>
      <c r="H44" t="s">
        <v>76</v>
      </c>
      <c r="I44" s="1" t="str">
        <f t="shared" si="1"/>
        <v>M3</v>
      </c>
      <c r="J44" s="1" t="s">
        <v>808</v>
      </c>
      <c r="K44" s="1"/>
      <c r="L44" s="207">
        <v>1</v>
      </c>
      <c r="M44" s="4">
        <f t="shared" si="2"/>
        <v>247666.66666666666</v>
      </c>
      <c r="N44" s="31"/>
      <c r="O44" s="31"/>
      <c r="P44" t="s">
        <v>821</v>
      </c>
      <c r="Q44" s="190">
        <f>(SUMIFS('3. CD - Obra negra'!$O$4:$O$344,'3. CD - Obra negra'!$E$4:$E$344,G44))+(SUMIFS('4. CD - Obra gris'!$O$14:$O$74,'4. CD - Obra gris'!$E$14:$E$74,G44))+(SUMIFS('5, CD -Obra blanca'!$O$4:$O$151,'5, CD -Obra blanca'!$E$4:$E$151,G44))</f>
        <v>0</v>
      </c>
      <c r="R44" s="194">
        <f t="shared" si="3"/>
        <v>0</v>
      </c>
      <c r="T44" s="4"/>
      <c r="V44"/>
      <c r="W44"/>
      <c r="Y44"/>
      <c r="AB44"/>
    </row>
    <row r="45" spans="2:28" x14ac:dyDescent="0.25">
      <c r="B45" t="str">
        <f>+B19</f>
        <v>Ciclópeo</v>
      </c>
      <c r="C45" s="1" t="s">
        <v>269</v>
      </c>
      <c r="D45" s="1" t="s">
        <v>272</v>
      </c>
      <c r="E45" s="4">
        <f>+(C19*C23)+(D19*C24)+(G19*C27)</f>
        <v>429000</v>
      </c>
      <c r="G45" t="str">
        <f t="shared" si="0"/>
        <v>Ciclópeo</v>
      </c>
      <c r="H45" t="s">
        <v>76</v>
      </c>
      <c r="I45" s="1" t="str">
        <f t="shared" si="1"/>
        <v>M3</v>
      </c>
      <c r="J45" s="1" t="s">
        <v>809</v>
      </c>
      <c r="K45" s="1"/>
      <c r="L45" s="207">
        <v>1</v>
      </c>
      <c r="M45" s="4">
        <f t="shared" si="2"/>
        <v>429000</v>
      </c>
      <c r="N45" s="31"/>
      <c r="O45" s="31"/>
      <c r="P45" t="s">
        <v>821</v>
      </c>
      <c r="Q45" s="190">
        <f>(SUMIFS('3. CD - Obra negra'!$O$4:$O$344,'3. CD - Obra negra'!$E$4:$E$344,G45))+(SUMIFS('4. CD - Obra gris'!$O$14:$O$74,'4. CD - Obra gris'!$E$14:$E$74,G45))+(SUMIFS('5, CD -Obra blanca'!$O$4:$O$151,'5, CD -Obra blanca'!$E$4:$E$151,G45))</f>
        <v>4.2251400000000006</v>
      </c>
      <c r="R45" s="194">
        <f t="shared" si="3"/>
        <v>1812585.0600000003</v>
      </c>
      <c r="T45" s="4"/>
      <c r="V45"/>
      <c r="W45"/>
      <c r="Y45"/>
      <c r="AB45"/>
    </row>
    <row r="46" spans="2:28" x14ac:dyDescent="0.25">
      <c r="B46" t="s">
        <v>1797</v>
      </c>
      <c r="C46" s="1" t="s">
        <v>269</v>
      </c>
      <c r="D46" s="1" t="s">
        <v>1798</v>
      </c>
      <c r="E46" s="4">
        <v>400000</v>
      </c>
      <c r="G46" t="str">
        <f>+B46</f>
        <v>Piedra in situ</v>
      </c>
      <c r="H46" t="s">
        <v>76</v>
      </c>
      <c r="I46" s="1" t="str">
        <f>+C46</f>
        <v>M3</v>
      </c>
      <c r="J46" s="1" t="s">
        <v>1799</v>
      </c>
      <c r="K46" s="1"/>
      <c r="L46" s="207">
        <v>1</v>
      </c>
      <c r="M46" s="4">
        <f>+E46</f>
        <v>400000</v>
      </c>
      <c r="N46" s="31"/>
      <c r="O46" s="31"/>
      <c r="P46" t="s">
        <v>821</v>
      </c>
      <c r="Q46" s="190">
        <f>(SUMIFS('3. CD - Obra negra'!$O$4:$O$344,'3. CD - Obra negra'!$E$4:$E$344,G46))+(SUMIFS('4. CD - Obra gris'!$O$14:$O$74,'4. CD - Obra gris'!$E$14:$E$74,G46))+(SUMIFS('5, CD -Obra blanca'!$O$4:$O$151,'5, CD -Obra blanca'!$E$4:$E$151,G46))</f>
        <v>0</v>
      </c>
      <c r="R46" s="194">
        <f>+Q46*M46</f>
        <v>0</v>
      </c>
      <c r="T46" s="4"/>
      <c r="V46"/>
      <c r="W46"/>
      <c r="Y46"/>
      <c r="AB46"/>
    </row>
    <row r="47" spans="2:28" x14ac:dyDescent="0.25">
      <c r="B47" t="s">
        <v>629</v>
      </c>
      <c r="C47" s="1" t="s">
        <v>269</v>
      </c>
      <c r="D47" s="1" t="s">
        <v>593</v>
      </c>
      <c r="E47" s="4">
        <v>50000</v>
      </c>
      <c r="G47" t="str">
        <f t="shared" si="0"/>
        <v>Gravilla de río</v>
      </c>
      <c r="H47" t="s">
        <v>76</v>
      </c>
      <c r="I47" s="1" t="str">
        <f t="shared" si="1"/>
        <v>M3</v>
      </c>
      <c r="J47" s="1" t="s">
        <v>810</v>
      </c>
      <c r="K47" s="1"/>
      <c r="L47" s="207">
        <v>1</v>
      </c>
      <c r="M47" s="4">
        <f t="shared" si="2"/>
        <v>50000</v>
      </c>
      <c r="N47" s="31"/>
      <c r="O47" s="31"/>
      <c r="P47" t="s">
        <v>821</v>
      </c>
      <c r="Q47" s="190">
        <f>(SUMIFS('3. CD - Obra negra'!$O$4:$O$344,'3. CD - Obra negra'!$E$4:$E$344,G47))+(SUMIFS('4. CD - Obra gris'!$O$14:$O$74,'4. CD - Obra gris'!$E$14:$E$74,G47))+(SUMIFS('5, CD -Obra blanca'!$O$4:$O$151,'5, CD -Obra blanca'!$E$4:$E$151,G47))</f>
        <v>0</v>
      </c>
      <c r="R47" s="194">
        <f t="shared" si="3"/>
        <v>0</v>
      </c>
      <c r="T47" s="4"/>
      <c r="V47"/>
      <c r="W47"/>
      <c r="Y47"/>
      <c r="AB47"/>
    </row>
    <row r="48" spans="2:28" x14ac:dyDescent="0.25">
      <c r="B48" t="s">
        <v>630</v>
      </c>
      <c r="C48" s="1" t="s">
        <v>269</v>
      </c>
      <c r="D48" s="1" t="s">
        <v>593</v>
      </c>
      <c r="E48" s="279">
        <v>160000</v>
      </c>
      <c r="G48" t="str">
        <f t="shared" si="0"/>
        <v>Gravilla fina</v>
      </c>
      <c r="H48" t="s">
        <v>76</v>
      </c>
      <c r="I48" s="1" t="str">
        <f t="shared" si="1"/>
        <v>M3</v>
      </c>
      <c r="J48" s="1" t="s">
        <v>811</v>
      </c>
      <c r="K48" s="1"/>
      <c r="L48" s="207">
        <v>1</v>
      </c>
      <c r="M48" s="4">
        <f t="shared" si="2"/>
        <v>160000</v>
      </c>
      <c r="N48" s="31"/>
      <c r="O48" s="31"/>
      <c r="P48" t="s">
        <v>821</v>
      </c>
      <c r="Q48" s="190">
        <f>(SUMIFS('3. CD - Obra negra'!$O$4:$O$344,'3. CD - Obra negra'!$E$4:$E$344,G48))+(SUMIFS('4. CD - Obra gris'!$O$14:$O$74,'4. CD - Obra gris'!$E$14:$E$74,G48))+(SUMIFS('5, CD -Obra blanca'!$O$4:$O$151,'5, CD -Obra blanca'!$E$4:$E$151,G48))</f>
        <v>0</v>
      </c>
      <c r="R48" s="194">
        <f t="shared" si="3"/>
        <v>0</v>
      </c>
      <c r="T48" s="4"/>
      <c r="V48"/>
      <c r="W48"/>
      <c r="Y48"/>
      <c r="AB48"/>
    </row>
    <row r="49" spans="2:28" x14ac:dyDescent="0.25">
      <c r="B49" t="s">
        <v>631</v>
      </c>
      <c r="C49" s="1" t="s">
        <v>269</v>
      </c>
      <c r="D49" s="1" t="s">
        <v>593</v>
      </c>
      <c r="E49" s="4">
        <v>170000</v>
      </c>
      <c r="G49" t="str">
        <f t="shared" si="0"/>
        <v>Gravilla mixta</v>
      </c>
      <c r="H49" t="s">
        <v>76</v>
      </c>
      <c r="I49" s="1" t="str">
        <f t="shared" si="1"/>
        <v>M3</v>
      </c>
      <c r="J49" s="1" t="s">
        <v>812</v>
      </c>
      <c r="K49" s="1"/>
      <c r="L49" s="207">
        <v>1</v>
      </c>
      <c r="M49" s="4">
        <f t="shared" si="2"/>
        <v>170000</v>
      </c>
      <c r="N49" s="31"/>
      <c r="O49" s="31"/>
      <c r="P49" t="s">
        <v>821</v>
      </c>
      <c r="Q49" s="190">
        <f>(SUMIFS('3. CD - Obra negra'!$O$4:$O$344,'3. CD - Obra negra'!$E$4:$E$344,G49))+(SUMIFS('4. CD - Obra gris'!$O$14:$O$74,'4. CD - Obra gris'!$E$14:$E$74,G49))+(SUMIFS('5, CD -Obra blanca'!$O$4:$O$151,'5, CD -Obra blanca'!$E$4:$E$151,G49))</f>
        <v>0</v>
      </c>
      <c r="R49" s="194">
        <f t="shared" si="3"/>
        <v>0</v>
      </c>
      <c r="T49" s="4"/>
      <c r="V49"/>
      <c r="W49"/>
      <c r="Y49"/>
      <c r="AB49"/>
    </row>
    <row r="50" spans="2:28" x14ac:dyDescent="0.25">
      <c r="B50" t="s">
        <v>632</v>
      </c>
      <c r="C50" s="1" t="s">
        <v>269</v>
      </c>
      <c r="D50" s="1" t="s">
        <v>593</v>
      </c>
      <c r="E50" s="4">
        <v>160000</v>
      </c>
      <c r="G50" t="str">
        <f t="shared" si="0"/>
        <v>Gravilla 1/2"</v>
      </c>
      <c r="H50" t="s">
        <v>76</v>
      </c>
      <c r="I50" s="1" t="str">
        <f t="shared" si="1"/>
        <v>M3</v>
      </c>
      <c r="J50" s="1" t="s">
        <v>813</v>
      </c>
      <c r="K50" s="1"/>
      <c r="L50" s="207">
        <v>1</v>
      </c>
      <c r="M50" s="4">
        <f t="shared" si="2"/>
        <v>160000</v>
      </c>
      <c r="N50" s="31"/>
      <c r="O50" s="31"/>
      <c r="P50" t="s">
        <v>821</v>
      </c>
      <c r="Q50" s="190">
        <f>(SUMIFS('3. CD - Obra negra'!$O$4:$O$344,'3. CD - Obra negra'!$E$4:$E$344,G50))+(SUMIFS('4. CD - Obra gris'!$O$14:$O$74,'4. CD - Obra gris'!$E$14:$E$74,G50))+(SUMIFS('5, CD -Obra blanca'!$O$4:$O$151,'5, CD -Obra blanca'!$E$4:$E$151,G50))</f>
        <v>0</v>
      </c>
      <c r="R50" s="194">
        <f t="shared" si="3"/>
        <v>0</v>
      </c>
      <c r="T50" s="4"/>
      <c r="V50"/>
      <c r="W50"/>
      <c r="Y50"/>
      <c r="AB50"/>
    </row>
    <row r="51" spans="2:28" x14ac:dyDescent="0.25">
      <c r="B51" t="s">
        <v>633</v>
      </c>
      <c r="C51" s="1" t="s">
        <v>269</v>
      </c>
      <c r="D51" s="1" t="s">
        <v>593</v>
      </c>
      <c r="E51" s="4">
        <v>160000</v>
      </c>
      <c r="G51" t="str">
        <f t="shared" si="0"/>
        <v>Gravilla 3/4"</v>
      </c>
      <c r="H51" t="s">
        <v>76</v>
      </c>
      <c r="I51" s="1" t="str">
        <f t="shared" si="1"/>
        <v>M3</v>
      </c>
      <c r="J51" s="1" t="s">
        <v>814</v>
      </c>
      <c r="K51" s="1"/>
      <c r="L51" s="207">
        <v>1</v>
      </c>
      <c r="M51" s="4">
        <f t="shared" si="2"/>
        <v>160000</v>
      </c>
      <c r="N51" s="31"/>
      <c r="O51" s="31"/>
      <c r="P51" t="s">
        <v>821</v>
      </c>
      <c r="Q51" s="190">
        <f>(SUMIFS('3. CD - Obra negra'!$O$4:$O$344,'3. CD - Obra negra'!$E$4:$E$344,G51))+(SUMIFS('4. CD - Obra gris'!$O$14:$O$74,'4. CD - Obra gris'!$E$14:$E$74,G51))+(SUMIFS('5, CD -Obra blanca'!$O$4:$O$151,'5, CD -Obra blanca'!$E$4:$E$151,G51))</f>
        <v>0</v>
      </c>
      <c r="R51" s="194">
        <f t="shared" si="3"/>
        <v>0</v>
      </c>
      <c r="T51" s="4"/>
      <c r="V51"/>
      <c r="W51"/>
      <c r="Y51"/>
      <c r="AB51"/>
    </row>
    <row r="52" spans="2:28" x14ac:dyDescent="0.25">
      <c r="C52" s="1"/>
      <c r="D52" s="1"/>
      <c r="E52" s="4"/>
      <c r="I52" s="1"/>
      <c r="L52"/>
      <c r="M52" s="4"/>
      <c r="N52" s="31"/>
      <c r="O52" s="31"/>
      <c r="R52"/>
      <c r="T52" s="4"/>
      <c r="V52"/>
      <c r="W52"/>
      <c r="Y52"/>
      <c r="AB52"/>
    </row>
    <row r="53" spans="2:28" x14ac:dyDescent="0.25">
      <c r="B53" s="299" t="s">
        <v>634</v>
      </c>
      <c r="C53" s="299"/>
      <c r="D53" s="299"/>
      <c r="E53" s="299"/>
      <c r="G53" s="299" t="s">
        <v>634</v>
      </c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4"/>
      <c r="V53"/>
      <c r="W53"/>
      <c r="Y53"/>
      <c r="AB53"/>
    </row>
    <row r="54" spans="2:28" x14ac:dyDescent="0.25">
      <c r="B54" t="s">
        <v>246</v>
      </c>
      <c r="C54" s="1" t="s">
        <v>248</v>
      </c>
      <c r="D54" s="1" t="s">
        <v>261</v>
      </c>
      <c r="E54" s="4" t="s">
        <v>249</v>
      </c>
      <c r="G54" s="186" t="s">
        <v>798</v>
      </c>
      <c r="H54" s="186" t="s">
        <v>799</v>
      </c>
      <c r="I54" s="186" t="s">
        <v>800</v>
      </c>
      <c r="J54" s="186" t="s">
        <v>815</v>
      </c>
      <c r="K54" s="186" t="s">
        <v>816</v>
      </c>
      <c r="L54" s="186" t="s">
        <v>1125</v>
      </c>
      <c r="M54" s="187" t="s">
        <v>817</v>
      </c>
      <c r="N54" s="187" t="s">
        <v>818</v>
      </c>
      <c r="O54" s="187" t="s">
        <v>819</v>
      </c>
      <c r="P54" s="186" t="s">
        <v>820</v>
      </c>
      <c r="Q54" s="189" t="s">
        <v>847</v>
      </c>
      <c r="R54" s="186" t="s">
        <v>85</v>
      </c>
      <c r="S54" s="196">
        <f>+SUM(R55:R59)</f>
        <v>15173409.558000002</v>
      </c>
      <c r="T54" s="4"/>
      <c r="V54"/>
      <c r="W54"/>
      <c r="Y54"/>
      <c r="AB54"/>
    </row>
    <row r="55" spans="2:28" x14ac:dyDescent="0.25">
      <c r="B55" t="s">
        <v>264</v>
      </c>
      <c r="C55" s="1" t="s">
        <v>269</v>
      </c>
      <c r="D55" s="1" t="s">
        <v>635</v>
      </c>
      <c r="E55" s="4">
        <v>95000</v>
      </c>
      <c r="G55" t="str">
        <f>+B55</f>
        <v>Base B200</v>
      </c>
      <c r="H55" t="s">
        <v>76</v>
      </c>
      <c r="I55" s="1" t="str">
        <f>+C55</f>
        <v>M3</v>
      </c>
      <c r="J55" s="1" t="s">
        <v>822</v>
      </c>
      <c r="K55" s="1"/>
      <c r="L55" s="207">
        <v>1</v>
      </c>
      <c r="M55" s="4">
        <f>+E55</f>
        <v>95000</v>
      </c>
      <c r="N55" s="31"/>
      <c r="O55" s="31"/>
      <c r="P55" t="s">
        <v>821</v>
      </c>
      <c r="Q55" s="190">
        <f>(SUMIFS('3. CD - Obra negra'!$O$4:$O$344,'3. CD - Obra negra'!$E$4:$E$344,G55))+(SUMIFS('4. CD - Obra gris'!$O$14:$O$74,'4. CD - Obra gris'!$E$14:$E$74,G55))+(SUMIFS('5, CD -Obra blanca'!$O$4:$O$151,'5, CD -Obra blanca'!$E$4:$E$151,G55))</f>
        <v>73.664417999999998</v>
      </c>
      <c r="R55" s="194">
        <f>+Q55*M55</f>
        <v>6998119.71</v>
      </c>
      <c r="T55" s="4"/>
      <c r="V55"/>
      <c r="W55"/>
      <c r="Y55"/>
      <c r="AB55"/>
    </row>
    <row r="56" spans="2:28" x14ac:dyDescent="0.25">
      <c r="B56" t="s">
        <v>559</v>
      </c>
      <c r="C56" s="1" t="s">
        <v>269</v>
      </c>
      <c r="D56" s="1" t="s">
        <v>489</v>
      </c>
      <c r="E56" s="4">
        <v>300000</v>
      </c>
      <c r="G56" t="str">
        <f>+B56</f>
        <v>Arcilla</v>
      </c>
      <c r="H56" t="s">
        <v>76</v>
      </c>
      <c r="I56" s="1" t="str">
        <f>+C56</f>
        <v>M3</v>
      </c>
      <c r="J56" s="1" t="s">
        <v>823</v>
      </c>
      <c r="K56" s="1"/>
      <c r="L56" s="207">
        <v>1</v>
      </c>
      <c r="M56" s="4">
        <f>+E56</f>
        <v>300000</v>
      </c>
      <c r="N56" s="31"/>
      <c r="O56" s="31"/>
      <c r="P56" t="s">
        <v>821</v>
      </c>
      <c r="Q56" s="190">
        <f>(SUMIFS('3. CD - Obra negra'!$O$4:$O$344,'3. CD - Obra negra'!$E$4:$E$344,G56))+(SUMIFS('4. CD - Obra gris'!$O$14:$O$74,'4. CD - Obra gris'!$E$14:$E$74,G56))+(SUMIFS('5, CD -Obra blanca'!$O$4:$O$151,'5, CD -Obra blanca'!$E$4:$E$151,G56))</f>
        <v>4.539810000000001</v>
      </c>
      <c r="R56" s="194">
        <f>+Q56*M56</f>
        <v>1361943.0000000002</v>
      </c>
      <c r="T56" s="4"/>
      <c r="V56"/>
      <c r="W56"/>
      <c r="Y56"/>
      <c r="AB56"/>
    </row>
    <row r="57" spans="2:28" x14ac:dyDescent="0.25">
      <c r="B57" t="s">
        <v>1283</v>
      </c>
      <c r="C57" s="1" t="s">
        <v>269</v>
      </c>
      <c r="D57" s="1" t="s">
        <v>489</v>
      </c>
      <c r="E57" s="4">
        <v>1400000</v>
      </c>
      <c r="G57" t="str">
        <f>+B57</f>
        <v>Cal hidratada</v>
      </c>
      <c r="H57" t="s">
        <v>76</v>
      </c>
      <c r="I57" s="1" t="str">
        <f>+C57</f>
        <v>M3</v>
      </c>
      <c r="J57" s="1" t="s">
        <v>824</v>
      </c>
      <c r="K57" s="1"/>
      <c r="L57" s="207">
        <v>1</v>
      </c>
      <c r="M57" s="4">
        <f>+E57</f>
        <v>1400000</v>
      </c>
      <c r="N57" s="31"/>
      <c r="O57" s="31"/>
      <c r="P57" t="s">
        <v>821</v>
      </c>
      <c r="Q57" s="190">
        <f>(SUMIFS('3. CD - Obra negra'!$O$4:$O$344,'3. CD - Obra negra'!$E$4:$E$344,G57))+(SUMIFS('4. CD - Obra gris'!$O$14:$O$74,'4. CD - Obra gris'!$E$14:$E$74,G57))+(SUMIFS('5, CD -Obra blanca'!$O$4:$O$151,'5, CD -Obra blanca'!$E$4:$E$151,G57))</f>
        <v>4.4036157000000014</v>
      </c>
      <c r="R57" s="194">
        <f>+Q57*M57</f>
        <v>6165061.9800000023</v>
      </c>
      <c r="T57" s="4"/>
      <c r="V57"/>
      <c r="W57"/>
      <c r="Y57"/>
      <c r="AB57"/>
    </row>
    <row r="58" spans="2:28" x14ac:dyDescent="0.25">
      <c r="B58" t="str">
        <f>+B26</f>
        <v>Arena semilavada</v>
      </c>
      <c r="C58" s="1" t="s">
        <v>269</v>
      </c>
      <c r="D58" s="1" t="s">
        <v>489</v>
      </c>
      <c r="E58" s="4">
        <f>+C26</f>
        <v>140000</v>
      </c>
      <c r="G58" t="str">
        <f>+B58</f>
        <v>Arena semilavada</v>
      </c>
      <c r="H58" t="s">
        <v>76</v>
      </c>
      <c r="I58" s="1" t="str">
        <f>+C58</f>
        <v>M3</v>
      </c>
      <c r="J58" s="1" t="s">
        <v>825</v>
      </c>
      <c r="K58" s="1"/>
      <c r="L58" s="207">
        <v>1</v>
      </c>
      <c r="M58" s="4">
        <f>+E58</f>
        <v>140000</v>
      </c>
      <c r="N58" s="31"/>
      <c r="O58" s="31"/>
      <c r="P58" t="s">
        <v>821</v>
      </c>
      <c r="Q58" s="190">
        <f>(SUMIFS('3. CD - Obra negra'!$O$4:$O$344,'3. CD - Obra negra'!$E$4:$E$344,G58))+(SUMIFS('4. CD - Obra gris'!$O$14:$O$74,'4. CD - Obra gris'!$E$14:$E$74,G58))+(SUMIFS('5, CD -Obra blanca'!$O$4:$O$151,'5, CD -Obra blanca'!$E$4:$E$151,G58))</f>
        <v>4.6306062000000008</v>
      </c>
      <c r="R58" s="194">
        <f>+Q58*M58</f>
        <v>648284.86800000013</v>
      </c>
      <c r="T58" s="4"/>
      <c r="V58"/>
      <c r="W58"/>
      <c r="Y58"/>
      <c r="AB58"/>
    </row>
    <row r="59" spans="2:28" x14ac:dyDescent="0.25">
      <c r="B59" t="str">
        <f>+B28</f>
        <v>Tierra insitu</v>
      </c>
      <c r="C59" s="1" t="s">
        <v>269</v>
      </c>
      <c r="D59" s="1" t="s">
        <v>635</v>
      </c>
      <c r="E59" s="4">
        <f>+C28</f>
        <v>30000</v>
      </c>
      <c r="G59" t="str">
        <f>+B59</f>
        <v>Tierra insitu</v>
      </c>
      <c r="H59" t="s">
        <v>76</v>
      </c>
      <c r="I59" s="1" t="str">
        <f>+C59</f>
        <v>M3</v>
      </c>
      <c r="J59" s="1" t="s">
        <v>826</v>
      </c>
      <c r="K59" s="1"/>
      <c r="L59" s="207">
        <v>1</v>
      </c>
      <c r="M59" s="4">
        <f>+E59</f>
        <v>30000</v>
      </c>
      <c r="N59" s="31"/>
      <c r="O59" s="31"/>
      <c r="P59" t="s">
        <v>821</v>
      </c>
      <c r="Q59" s="190">
        <f>(SUMIFS('3. CD - Obra negra'!$O$4:$O$344,'3. CD - Obra negra'!$E$4:$E$344,G59))+(SUMIFS('4. CD - Obra gris'!$O$14:$O$74,'4. CD - Obra gris'!$E$14:$E$74,G59))+(SUMIFS('5, CD -Obra blanca'!$O$4:$O$151,'5, CD -Obra blanca'!$E$4:$E$151,G59))</f>
        <v>0</v>
      </c>
      <c r="R59" s="194">
        <f>+Q59*M59</f>
        <v>0</v>
      </c>
      <c r="T59" s="4"/>
      <c r="V59"/>
      <c r="W59"/>
      <c r="Y59"/>
      <c r="AB59"/>
    </row>
    <row r="60" spans="2:28" x14ac:dyDescent="0.25">
      <c r="C60" s="1"/>
      <c r="D60" s="1"/>
      <c r="E60" s="4"/>
      <c r="I60" s="1"/>
      <c r="L60"/>
      <c r="M60" s="4"/>
      <c r="N60" s="31"/>
      <c r="O60" s="31"/>
      <c r="R60"/>
      <c r="T60" s="4"/>
      <c r="V60"/>
      <c r="W60"/>
      <c r="Y60"/>
      <c r="AB60"/>
    </row>
    <row r="61" spans="2:28" x14ac:dyDescent="0.25">
      <c r="B61" s="299" t="s">
        <v>274</v>
      </c>
      <c r="C61" s="299"/>
      <c r="D61" s="299"/>
      <c r="E61" s="299"/>
      <c r="G61" s="299" t="s">
        <v>274</v>
      </c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4"/>
      <c r="V61"/>
      <c r="W61"/>
      <c r="Y61"/>
      <c r="AB61"/>
    </row>
    <row r="62" spans="2:28" x14ac:dyDescent="0.25">
      <c r="B62" t="s">
        <v>246</v>
      </c>
      <c r="C62" s="1" t="s">
        <v>248</v>
      </c>
      <c r="D62" s="1" t="s">
        <v>261</v>
      </c>
      <c r="E62" s="4" t="s">
        <v>249</v>
      </c>
      <c r="G62" s="186" t="s">
        <v>798</v>
      </c>
      <c r="H62" s="186" t="s">
        <v>799</v>
      </c>
      <c r="I62" s="186" t="s">
        <v>800</v>
      </c>
      <c r="J62" s="186" t="s">
        <v>815</v>
      </c>
      <c r="K62" s="186" t="s">
        <v>816</v>
      </c>
      <c r="L62" s="186" t="s">
        <v>1125</v>
      </c>
      <c r="M62" s="187" t="s">
        <v>817</v>
      </c>
      <c r="N62" s="187" t="s">
        <v>818</v>
      </c>
      <c r="O62" s="187" t="s">
        <v>819</v>
      </c>
      <c r="P62" s="186" t="s">
        <v>820</v>
      </c>
      <c r="Q62" s="189" t="s">
        <v>847</v>
      </c>
      <c r="R62" s="186" t="s">
        <v>85</v>
      </c>
      <c r="S62" s="196">
        <f>+SUM(R63:R89)</f>
        <v>47282590.588408008</v>
      </c>
      <c r="T62" s="4"/>
      <c r="V62"/>
      <c r="W62"/>
      <c r="Y62"/>
      <c r="AB62"/>
    </row>
    <row r="63" spans="2:28" x14ac:dyDescent="0.25">
      <c r="B63" t="s">
        <v>266</v>
      </c>
      <c r="C63" s="1" t="s">
        <v>270</v>
      </c>
      <c r="D63" s="1" t="s">
        <v>274</v>
      </c>
      <c r="E63" s="4">
        <v>8000</v>
      </c>
      <c r="G63" t="str">
        <f t="shared" ref="G63:G69" si="4">+B63</f>
        <v>Alambre negro No 18</v>
      </c>
      <c r="H63" t="s">
        <v>76</v>
      </c>
      <c r="I63" s="1" t="str">
        <f>+C63</f>
        <v>KG</v>
      </c>
      <c r="J63" s="1" t="s">
        <v>827</v>
      </c>
      <c r="K63" s="1"/>
      <c r="L63" s="207">
        <v>1</v>
      </c>
      <c r="M63" s="4">
        <f t="shared" ref="M63:M69" si="5">+E63</f>
        <v>8000</v>
      </c>
      <c r="N63" s="31"/>
      <c r="O63" s="31"/>
      <c r="P63" t="s">
        <v>821</v>
      </c>
      <c r="Q63" s="190">
        <f>(SUMIFS('3. CD - Obra negra'!$O$4:$O$344,'3. CD - Obra negra'!$E$4:$E$344,G63))+(SUMIFS('4. CD - Obra gris'!$O$14:$O$74,'4. CD - Obra gris'!$E$14:$E$74,G63))+(SUMIFS('5, CD -Obra blanca'!$O$4:$O$151,'5, CD -Obra blanca'!$E$4:$E$151,G63))</f>
        <v>103.21832417600001</v>
      </c>
      <c r="R63" s="194">
        <f>+Q63*M63</f>
        <v>825746.59340800007</v>
      </c>
      <c r="T63" s="4"/>
      <c r="V63"/>
      <c r="W63"/>
      <c r="Y63"/>
      <c r="AB63"/>
    </row>
    <row r="64" spans="2:28" x14ac:dyDescent="0.25">
      <c r="B64" t="s">
        <v>1349</v>
      </c>
      <c r="C64" s="1" t="s">
        <v>270</v>
      </c>
      <c r="D64" s="1" t="s">
        <v>274</v>
      </c>
      <c r="E64" s="4">
        <v>4000</v>
      </c>
      <c r="G64" t="str">
        <f t="shared" si="4"/>
        <v>Varilla 5/8"</v>
      </c>
      <c r="H64" t="s">
        <v>76</v>
      </c>
      <c r="I64" s="1" t="str">
        <f>+C64</f>
        <v>KG</v>
      </c>
      <c r="J64" s="1" t="s">
        <v>1350</v>
      </c>
      <c r="K64" s="1"/>
      <c r="L64" s="207">
        <v>1</v>
      </c>
      <c r="M64" s="4">
        <f t="shared" si="5"/>
        <v>4000</v>
      </c>
      <c r="N64" s="31"/>
      <c r="O64" s="31"/>
      <c r="P64" t="s">
        <v>821</v>
      </c>
      <c r="Q64" s="190">
        <f>(SUMIFS('3. CD - Obra negra'!$O$4:$O$344,'3. CD - Obra negra'!$E$4:$E$344,G64))+(SUMIFS('4. CD - Obra gris'!$O$14:$O$74,'4. CD - Obra gris'!$E$14:$E$74,G64))+(SUMIFS('5, CD -Obra blanca'!$O$4:$O$151,'5, CD -Obra blanca'!$E$4:$E$151,G64))</f>
        <v>0</v>
      </c>
      <c r="R64" s="194">
        <f>+Q64*M64</f>
        <v>0</v>
      </c>
      <c r="T64" s="4"/>
      <c r="V64"/>
      <c r="W64"/>
      <c r="Y64"/>
      <c r="AB64"/>
    </row>
    <row r="65" spans="2:28" x14ac:dyDescent="0.25">
      <c r="B65" t="s">
        <v>574</v>
      </c>
      <c r="C65" s="1" t="s">
        <v>270</v>
      </c>
      <c r="D65" s="1" t="s">
        <v>274</v>
      </c>
      <c r="E65" s="4">
        <v>4000</v>
      </c>
      <c r="G65" t="str">
        <f t="shared" si="4"/>
        <v>Varilla 1/2"</v>
      </c>
      <c r="H65" t="s">
        <v>76</v>
      </c>
      <c r="I65" s="1" t="str">
        <f t="shared" ref="I65:I89" si="6">+C65</f>
        <v>KG</v>
      </c>
      <c r="J65" s="1" t="s">
        <v>828</v>
      </c>
      <c r="K65" s="1"/>
      <c r="L65" s="207">
        <v>1</v>
      </c>
      <c r="M65" s="4">
        <f t="shared" si="5"/>
        <v>4000</v>
      </c>
      <c r="N65" s="31"/>
      <c r="O65" s="31"/>
      <c r="P65" t="s">
        <v>821</v>
      </c>
      <c r="Q65" s="190">
        <f>(SUMIFS('3. CD - Obra negra'!$O$4:$O$344,'3. CD - Obra negra'!$E$4:$E$344,G65))+(SUMIFS('4. CD - Obra gris'!$O$14:$O$74,'4. CD - Obra gris'!$E$14:$E$74,G65))+(SUMIFS('5, CD -Obra blanca'!$O$4:$O$151,'5, CD -Obra blanca'!$E$4:$E$151,G65))</f>
        <v>3151.9341300000001</v>
      </c>
      <c r="R65" s="194">
        <f t="shared" ref="R65:R89" si="7">+Q65*M65</f>
        <v>12607736.52</v>
      </c>
      <c r="T65" s="4"/>
      <c r="V65"/>
      <c r="W65"/>
      <c r="Y65"/>
      <c r="AB65"/>
    </row>
    <row r="66" spans="2:28" x14ac:dyDescent="0.25">
      <c r="B66" t="s">
        <v>636</v>
      </c>
      <c r="C66" s="1" t="s">
        <v>270</v>
      </c>
      <c r="D66" s="1" t="s">
        <v>274</v>
      </c>
      <c r="E66" s="4">
        <v>4000</v>
      </c>
      <c r="G66" t="str">
        <f t="shared" si="4"/>
        <v>Varilla 3/8"</v>
      </c>
      <c r="H66" t="s">
        <v>76</v>
      </c>
      <c r="I66" s="1" t="str">
        <f t="shared" si="6"/>
        <v>KG</v>
      </c>
      <c r="J66" s="1" t="s">
        <v>829</v>
      </c>
      <c r="K66" s="1"/>
      <c r="L66" s="207">
        <v>1</v>
      </c>
      <c r="M66" s="4">
        <f t="shared" si="5"/>
        <v>4000</v>
      </c>
      <c r="N66" s="31"/>
      <c r="O66" s="31"/>
      <c r="P66" t="s">
        <v>821</v>
      </c>
      <c r="Q66" s="190">
        <f>(SUMIFS('3. CD - Obra negra'!$O$4:$O$344,'3. CD - Obra negra'!$E$4:$E$344,G66))+(SUMIFS('4. CD - Obra gris'!$O$14:$O$74,'4. CD - Obra gris'!$E$14:$E$74,G66))+(SUMIFS('5, CD -Obra blanca'!$O$4:$O$151,'5, CD -Obra blanca'!$E$4:$E$151,G66))</f>
        <v>1567.52036</v>
      </c>
      <c r="R66" s="194">
        <f t="shared" si="7"/>
        <v>6270081.4399999995</v>
      </c>
      <c r="T66" s="4"/>
      <c r="V66"/>
      <c r="W66"/>
      <c r="Y66"/>
      <c r="AB66"/>
    </row>
    <row r="67" spans="2:28" x14ac:dyDescent="0.25">
      <c r="B67" t="s">
        <v>1349</v>
      </c>
      <c r="C67" s="1" t="s">
        <v>270</v>
      </c>
      <c r="D67" s="1" t="s">
        <v>274</v>
      </c>
      <c r="E67" s="4">
        <v>4000</v>
      </c>
      <c r="G67" t="str">
        <f t="shared" si="4"/>
        <v>Varilla 5/8"</v>
      </c>
      <c r="H67" t="s">
        <v>76</v>
      </c>
      <c r="I67" s="1" t="str">
        <f>+C67</f>
        <v>KG</v>
      </c>
      <c r="J67" s="1" t="s">
        <v>1350</v>
      </c>
      <c r="K67" s="1"/>
      <c r="L67" s="207">
        <v>1</v>
      </c>
      <c r="M67" s="4">
        <f t="shared" si="5"/>
        <v>4000</v>
      </c>
      <c r="N67" s="31"/>
      <c r="O67" s="31"/>
      <c r="P67" t="s">
        <v>821</v>
      </c>
      <c r="Q67" s="190">
        <f>(SUMIFS('3. CD - Obra negra'!$O$4:$O$344,'3. CD - Obra negra'!$E$4:$E$344,G67))+(SUMIFS('4. CD - Obra gris'!$O$14:$O$74,'4. CD - Obra gris'!$E$14:$E$74,G67))+(SUMIFS('5, CD -Obra blanca'!$O$4:$O$151,'5, CD -Obra blanca'!$E$4:$E$151,G67))</f>
        <v>0</v>
      </c>
      <c r="R67" s="194">
        <f>+Q67*M67</f>
        <v>0</v>
      </c>
      <c r="T67" s="4"/>
      <c r="V67"/>
      <c r="W67"/>
      <c r="Y67"/>
      <c r="AB67"/>
    </row>
    <row r="68" spans="2:28" x14ac:dyDescent="0.25">
      <c r="B68" t="s">
        <v>637</v>
      </c>
      <c r="C68" s="1" t="s">
        <v>270</v>
      </c>
      <c r="D68" s="1" t="s">
        <v>274</v>
      </c>
      <c r="E68" s="4">
        <v>4000</v>
      </c>
      <c r="G68" t="str">
        <f t="shared" si="4"/>
        <v>Varilla 1"</v>
      </c>
      <c r="H68" t="s">
        <v>76</v>
      </c>
      <c r="I68" s="1" t="str">
        <f t="shared" si="6"/>
        <v>KG</v>
      </c>
      <c r="J68" s="1" t="s">
        <v>830</v>
      </c>
      <c r="K68" s="1"/>
      <c r="L68" s="207">
        <v>1</v>
      </c>
      <c r="M68" s="4">
        <f t="shared" si="5"/>
        <v>4000</v>
      </c>
      <c r="N68" s="31"/>
      <c r="O68" s="31"/>
      <c r="P68" t="s">
        <v>821</v>
      </c>
      <c r="Q68" s="190">
        <f>(SUMIFS('3. CD - Obra negra'!$O$4:$O$344,'3. CD - Obra negra'!$E$4:$E$344,G68))+(SUMIFS('4. CD - Obra gris'!$O$14:$O$74,'4. CD - Obra gris'!$E$14:$E$74,G68))+(SUMIFS('5, CD -Obra blanca'!$O$4:$O$151,'5, CD -Obra blanca'!$E$4:$E$151,G68))</f>
        <v>0</v>
      </c>
      <c r="R68" s="194">
        <f t="shared" si="7"/>
        <v>0</v>
      </c>
      <c r="T68" s="4"/>
      <c r="V68"/>
      <c r="W68"/>
      <c r="Y68"/>
      <c r="AB68"/>
    </row>
    <row r="69" spans="2:28" x14ac:dyDescent="0.25">
      <c r="B69" t="s">
        <v>1284</v>
      </c>
      <c r="C69" s="1" t="s">
        <v>260</v>
      </c>
      <c r="D69" s="1" t="s">
        <v>274</v>
      </c>
      <c r="E69" s="4">
        <v>17000</v>
      </c>
      <c r="G69" t="str">
        <f t="shared" si="4"/>
        <v>Concremalla 5,5mm</v>
      </c>
      <c r="H69" t="s">
        <v>76</v>
      </c>
      <c r="I69" s="1" t="str">
        <f t="shared" si="6"/>
        <v>M2</v>
      </c>
      <c r="J69" s="1" t="s">
        <v>831</v>
      </c>
      <c r="K69" s="1"/>
      <c r="L69" s="207">
        <v>1</v>
      </c>
      <c r="M69" s="4">
        <f t="shared" si="5"/>
        <v>17000</v>
      </c>
      <c r="N69" s="31"/>
      <c r="O69" s="31"/>
      <c r="P69" t="s">
        <v>821</v>
      </c>
      <c r="Q69" s="190">
        <f>(SUMIFS('3. CD - Obra negra'!$O$4:$O$344,'3. CD - Obra negra'!$E$4:$E$344,G69))+(SUMIFS('4. CD - Obra gris'!$O$14:$O$74,'4. CD - Obra gris'!$E$14:$E$74,G69))+(SUMIFS('5, CD -Obra blanca'!$O$4:$O$151,'5, CD -Obra blanca'!$E$4:$E$151,G69))</f>
        <v>255.53900000000004</v>
      </c>
      <c r="R69" s="194">
        <f t="shared" si="7"/>
        <v>4344163.0000000009</v>
      </c>
      <c r="T69" s="4"/>
      <c r="V69"/>
      <c r="W69"/>
      <c r="Y69"/>
      <c r="AB69"/>
    </row>
    <row r="70" spans="2:28" x14ac:dyDescent="0.25">
      <c r="B70" t="s">
        <v>638</v>
      </c>
      <c r="C70" s="1" t="s">
        <v>260</v>
      </c>
      <c r="D70" s="1" t="s">
        <v>274</v>
      </c>
      <c r="E70" s="4">
        <v>2500</v>
      </c>
      <c r="G70" t="str">
        <f t="shared" ref="G70:G89" si="8">+B70</f>
        <v>Malla gallinero 1-1/4"</v>
      </c>
      <c r="H70" t="s">
        <v>76</v>
      </c>
      <c r="I70" s="1" t="str">
        <f t="shared" si="6"/>
        <v>M2</v>
      </c>
      <c r="J70" s="1" t="s">
        <v>832</v>
      </c>
      <c r="K70" s="1"/>
      <c r="L70" s="207">
        <v>1</v>
      </c>
      <c r="M70" s="4">
        <f t="shared" ref="M70:M89" si="9">+E70</f>
        <v>2500</v>
      </c>
      <c r="N70" s="31"/>
      <c r="O70" s="31"/>
      <c r="P70" t="s">
        <v>821</v>
      </c>
      <c r="Q70" s="190">
        <f>(SUMIFS('3. CD - Obra negra'!$O$4:$O$344,'3. CD - Obra negra'!$E$4:$E$344,G70))+(SUMIFS('4. CD - Obra gris'!$O$14:$O$74,'4. CD - Obra gris'!$E$14:$E$74,G70))+(SUMIFS('5, CD -Obra blanca'!$O$4:$O$151,'5, CD -Obra blanca'!$E$4:$E$151,G70))</f>
        <v>0</v>
      </c>
      <c r="R70" s="194">
        <f t="shared" si="7"/>
        <v>0</v>
      </c>
      <c r="T70" s="4"/>
      <c r="V70"/>
      <c r="W70"/>
      <c r="Y70"/>
      <c r="AB70"/>
    </row>
    <row r="71" spans="2:28" x14ac:dyDescent="0.25">
      <c r="B71" t="s">
        <v>514</v>
      </c>
      <c r="C71" s="1" t="s">
        <v>260</v>
      </c>
      <c r="D71" s="1" t="s">
        <v>274</v>
      </c>
      <c r="E71" s="4">
        <v>5500</v>
      </c>
      <c r="G71" t="str">
        <f t="shared" si="8"/>
        <v>Malla de vena</v>
      </c>
      <c r="H71" t="s">
        <v>76</v>
      </c>
      <c r="I71" s="1" t="str">
        <f t="shared" si="6"/>
        <v>M2</v>
      </c>
      <c r="J71" s="1" t="s">
        <v>833</v>
      </c>
      <c r="K71" s="1"/>
      <c r="L71" s="207">
        <v>1</v>
      </c>
      <c r="M71" s="4">
        <f t="shared" si="9"/>
        <v>5500</v>
      </c>
      <c r="N71" s="31"/>
      <c r="O71" s="31"/>
      <c r="P71" t="s">
        <v>821</v>
      </c>
      <c r="Q71" s="190">
        <f>(SUMIFS('3. CD - Obra negra'!$O$4:$O$344,'3. CD - Obra negra'!$E$4:$E$344,G71))+(SUMIFS('4. CD - Obra gris'!$O$14:$O$74,'4. CD - Obra gris'!$E$14:$E$74,G71))+(SUMIFS('5, CD -Obra blanca'!$O$4:$O$151,'5, CD -Obra blanca'!$E$4:$E$151,G71))</f>
        <v>0</v>
      </c>
      <c r="R71" s="194">
        <f t="shared" si="7"/>
        <v>0</v>
      </c>
      <c r="T71" s="4"/>
      <c r="V71"/>
      <c r="W71"/>
      <c r="Y71"/>
      <c r="AB71"/>
    </row>
    <row r="72" spans="2:28" x14ac:dyDescent="0.25">
      <c r="B72" t="s">
        <v>510</v>
      </c>
      <c r="C72" s="1" t="s">
        <v>335</v>
      </c>
      <c r="D72" s="1" t="s">
        <v>274</v>
      </c>
      <c r="E72" s="4">
        <v>10000</v>
      </c>
      <c r="G72" t="str">
        <f t="shared" si="8"/>
        <v>Tubo acero 50x25x0,8mm</v>
      </c>
      <c r="H72" t="s">
        <v>76</v>
      </c>
      <c r="I72" s="1" t="str">
        <f t="shared" si="6"/>
        <v>ML</v>
      </c>
      <c r="J72" s="1" t="s">
        <v>834</v>
      </c>
      <c r="K72" s="1"/>
      <c r="L72" s="207">
        <v>1</v>
      </c>
      <c r="M72" s="4">
        <f t="shared" si="9"/>
        <v>10000</v>
      </c>
      <c r="N72" s="31"/>
      <c r="O72" s="31"/>
      <c r="P72" t="s">
        <v>821</v>
      </c>
      <c r="Q72" s="190">
        <f>(SUMIFS('3. CD - Obra negra'!$O$4:$O$344,'3. CD - Obra negra'!$E$4:$E$344,G72))+(SUMIFS('4. CD - Obra gris'!$O$14:$O$74,'4. CD - Obra gris'!$E$14:$E$74,G72))+(SUMIFS('5, CD -Obra blanca'!$O$4:$O$151,'5, CD -Obra blanca'!$E$4:$E$151,G72))</f>
        <v>19.193999999999999</v>
      </c>
      <c r="R72" s="194">
        <f t="shared" si="7"/>
        <v>191940</v>
      </c>
      <c r="T72" s="4"/>
      <c r="V72"/>
      <c r="W72"/>
      <c r="Y72"/>
      <c r="AB72"/>
    </row>
    <row r="73" spans="2:28" x14ac:dyDescent="0.25">
      <c r="B73" t="s">
        <v>1285</v>
      </c>
      <c r="C73" s="1" t="s">
        <v>335</v>
      </c>
      <c r="D73" s="1" t="s">
        <v>274</v>
      </c>
      <c r="E73" s="4">
        <f>167000/6</f>
        <v>27833.333333333332</v>
      </c>
      <c r="G73" t="str">
        <f>+B73</f>
        <v>Tubo acero 100x100x1,5</v>
      </c>
      <c r="H73" t="s">
        <v>76</v>
      </c>
      <c r="I73" s="1" t="str">
        <f>+C73</f>
        <v>ML</v>
      </c>
      <c r="J73" s="1" t="s">
        <v>834</v>
      </c>
      <c r="K73" s="1"/>
      <c r="L73" s="207">
        <v>1</v>
      </c>
      <c r="M73" s="4">
        <f>+E73</f>
        <v>27833.333333333332</v>
      </c>
      <c r="N73" s="31"/>
      <c r="O73" s="31"/>
      <c r="P73" t="s">
        <v>821</v>
      </c>
      <c r="Q73" s="190">
        <f>(SUMIFS('3. CD - Obra negra'!$O$4:$O$344,'3. CD - Obra negra'!$E$4:$E$344,G73))+(SUMIFS('4. CD - Obra gris'!$O$14:$O$74,'4. CD - Obra gris'!$E$14:$E$74,G73))+(SUMIFS('5, CD -Obra blanca'!$O$4:$O$151,'5, CD -Obra blanca'!$E$4:$E$151,G73))</f>
        <v>0</v>
      </c>
      <c r="R73" s="194">
        <f>+Q73*M73</f>
        <v>0</v>
      </c>
      <c r="T73" s="4"/>
      <c r="V73"/>
      <c r="W73"/>
      <c r="Y73"/>
      <c r="AB73"/>
    </row>
    <row r="74" spans="2:28" x14ac:dyDescent="0.25">
      <c r="B74" t="s">
        <v>1261</v>
      </c>
      <c r="C74" s="1" t="s">
        <v>335</v>
      </c>
      <c r="D74" s="1" t="s">
        <v>274</v>
      </c>
      <c r="E74" s="4">
        <v>11200</v>
      </c>
      <c r="G74" t="str">
        <f>+B74</f>
        <v>Tubo acero 40x40x1,5</v>
      </c>
      <c r="H74" t="s">
        <v>76</v>
      </c>
      <c r="I74" s="1" t="str">
        <f>+C74</f>
        <v>ML</v>
      </c>
      <c r="J74" s="1" t="s">
        <v>834</v>
      </c>
      <c r="K74" s="1"/>
      <c r="L74" s="207">
        <v>1</v>
      </c>
      <c r="M74" s="4">
        <f>+E74</f>
        <v>11200</v>
      </c>
      <c r="N74" s="31"/>
      <c r="O74" s="31"/>
      <c r="P74" t="s">
        <v>821</v>
      </c>
      <c r="Q74" s="190">
        <f>(SUMIFS('3. CD - Obra negra'!$O$4:$O$344,'3. CD - Obra negra'!$E$4:$E$344,G74))+(SUMIFS('4. CD - Obra gris'!$O$14:$O$74,'4. CD - Obra gris'!$E$14:$E$74,G74))+(SUMIFS('5, CD -Obra blanca'!$O$4:$O$151,'5, CD -Obra blanca'!$E$4:$E$151,G74))</f>
        <v>19.908000000000001</v>
      </c>
      <c r="R74" s="194">
        <f>+Q74*M74</f>
        <v>222969.60000000001</v>
      </c>
      <c r="T74" s="4"/>
      <c r="V74"/>
      <c r="W74"/>
      <c r="Y74"/>
      <c r="AB74"/>
    </row>
    <row r="75" spans="2:28" x14ac:dyDescent="0.25">
      <c r="B75" t="s">
        <v>1286</v>
      </c>
      <c r="C75" s="1" t="s">
        <v>335</v>
      </c>
      <c r="D75" s="1" t="s">
        <v>274</v>
      </c>
      <c r="E75" s="4">
        <v>190000</v>
      </c>
      <c r="G75" t="str">
        <f>+B75</f>
        <v>Tubo acero 100x250x5</v>
      </c>
      <c r="H75" t="s">
        <v>76</v>
      </c>
      <c r="I75" s="1" t="str">
        <f>+C75</f>
        <v>ML</v>
      </c>
      <c r="J75" s="1" t="s">
        <v>834</v>
      </c>
      <c r="K75" s="1"/>
      <c r="L75" s="207">
        <v>1</v>
      </c>
      <c r="M75" s="4">
        <f>+E75</f>
        <v>190000</v>
      </c>
      <c r="N75" s="31"/>
      <c r="O75" s="31"/>
      <c r="P75" t="s">
        <v>821</v>
      </c>
      <c r="Q75" s="190">
        <f>(SUMIFS('3. CD - Obra negra'!$O$4:$O$344,'3. CD - Obra negra'!$E$4:$E$344,G75))+(SUMIFS('4. CD - Obra gris'!$O$14:$O$74,'4. CD - Obra gris'!$E$14:$E$74,G75))+(SUMIFS('5, CD -Obra blanca'!$O$4:$O$151,'5, CD -Obra blanca'!$E$4:$E$151,G75))</f>
        <v>0</v>
      </c>
      <c r="R75" s="194">
        <f>+Q75*M75</f>
        <v>0</v>
      </c>
      <c r="T75" s="4"/>
      <c r="V75"/>
      <c r="W75"/>
      <c r="Y75"/>
      <c r="AB75"/>
    </row>
    <row r="76" spans="2:28" x14ac:dyDescent="0.25">
      <c r="B76" t="s">
        <v>1282</v>
      </c>
      <c r="C76" s="1" t="s">
        <v>335</v>
      </c>
      <c r="D76" s="1" t="s">
        <v>274</v>
      </c>
      <c r="E76" s="4">
        <v>50000</v>
      </c>
      <c r="G76" t="str">
        <f>+B76</f>
        <v>Tubo SGSDFGSDFG</v>
      </c>
      <c r="H76" t="s">
        <v>76</v>
      </c>
      <c r="I76" s="1" t="str">
        <f>+C76</f>
        <v>ML</v>
      </c>
      <c r="J76" s="1" t="s">
        <v>834</v>
      </c>
      <c r="K76" s="1"/>
      <c r="L76" s="207">
        <v>1</v>
      </c>
      <c r="M76" s="4">
        <f>+E76</f>
        <v>50000</v>
      </c>
      <c r="N76" s="31"/>
      <c r="O76" s="31"/>
      <c r="P76" t="s">
        <v>821</v>
      </c>
      <c r="Q76" s="190">
        <f>(SUMIFS('3. CD - Obra negra'!$O$4:$O$344,'3. CD - Obra negra'!$E$4:$E$344,G76))+(SUMIFS('4. CD - Obra gris'!$O$14:$O$74,'4. CD - Obra gris'!$E$14:$E$74,G76))+(SUMIFS('5, CD -Obra blanca'!$O$4:$O$151,'5, CD -Obra blanca'!$E$4:$E$151,G76))</f>
        <v>0</v>
      </c>
      <c r="R76" s="194">
        <f>+Q76*M76</f>
        <v>0</v>
      </c>
      <c r="T76" s="4"/>
      <c r="V76"/>
      <c r="W76"/>
      <c r="Y76"/>
      <c r="AB76"/>
    </row>
    <row r="77" spans="2:28" x14ac:dyDescent="0.25">
      <c r="B77" t="s">
        <v>1487</v>
      </c>
      <c r="C77" s="1" t="s">
        <v>270</v>
      </c>
      <c r="D77" s="1" t="s">
        <v>274</v>
      </c>
      <c r="E77" s="4">
        <v>10000</v>
      </c>
      <c r="G77" t="str">
        <f>+B77</f>
        <v>Soldadura estructural 1/8"</v>
      </c>
      <c r="H77" t="s">
        <v>76</v>
      </c>
      <c r="I77" s="1" t="str">
        <f>+C77</f>
        <v>KG</v>
      </c>
      <c r="J77" s="1" t="s">
        <v>1488</v>
      </c>
      <c r="K77" s="1"/>
      <c r="L77" s="207">
        <v>1</v>
      </c>
      <c r="M77" s="4">
        <f>+E77</f>
        <v>10000</v>
      </c>
      <c r="N77" s="31"/>
      <c r="O77" s="31"/>
      <c r="P77" t="s">
        <v>821</v>
      </c>
      <c r="Q77" s="190">
        <f>(SUMIFS('3. CD - Obra negra'!$O$4:$O$344,'3. CD - Obra negra'!$E$4:$E$344,G77))+(SUMIFS('4. CD - Obra gris'!$O$14:$O$74,'4. CD - Obra gris'!$E$14:$E$74,G77))+(SUMIFS('5, CD -Obra blanca'!$O$4:$O$151,'5, CD -Obra blanca'!$E$4:$E$151,G77))</f>
        <v>0</v>
      </c>
      <c r="R77" s="194">
        <f>+Q77*M77</f>
        <v>0</v>
      </c>
      <c r="T77" s="4"/>
      <c r="V77"/>
      <c r="W77"/>
      <c r="Y77"/>
      <c r="AB77"/>
    </row>
    <row r="78" spans="2:28" x14ac:dyDescent="0.25">
      <c r="B78" t="s">
        <v>278</v>
      </c>
      <c r="C78" s="1" t="s">
        <v>643</v>
      </c>
      <c r="D78" s="1" t="s">
        <v>291</v>
      </c>
      <c r="E78" s="4">
        <v>5200</v>
      </c>
      <c r="G78" t="str">
        <f t="shared" si="8"/>
        <v>Puntilla</v>
      </c>
      <c r="H78" t="s">
        <v>76</v>
      </c>
      <c r="I78" s="1" t="str">
        <f t="shared" si="6"/>
        <v>LB</v>
      </c>
      <c r="J78" s="1" t="s">
        <v>835</v>
      </c>
      <c r="K78" s="1"/>
      <c r="L78" s="207">
        <v>1</v>
      </c>
      <c r="M78" s="4">
        <f t="shared" si="9"/>
        <v>5200</v>
      </c>
      <c r="N78" s="31"/>
      <c r="O78" s="31"/>
      <c r="P78" t="s">
        <v>821</v>
      </c>
      <c r="Q78" s="190">
        <f>(SUMIFS('3. CD - Obra negra'!$O$4:$O$344,'3. CD - Obra negra'!$E$4:$E$344,G78))+(SUMIFS('4. CD - Obra gris'!$O$14:$O$74,'4. CD - Obra gris'!$E$14:$E$74,G78))+(SUMIFS('5, CD -Obra blanca'!$O$4:$O$151,'5, CD -Obra blanca'!$E$4:$E$151,G78))</f>
        <v>15.674652500000004</v>
      </c>
      <c r="R78" s="194">
        <f t="shared" si="7"/>
        <v>81508.193000000028</v>
      </c>
      <c r="T78" s="4"/>
      <c r="V78"/>
      <c r="W78"/>
      <c r="Y78"/>
      <c r="AB78"/>
    </row>
    <row r="79" spans="2:28" x14ac:dyDescent="0.25">
      <c r="B79" t="s">
        <v>788</v>
      </c>
      <c r="C79" s="1" t="s">
        <v>126</v>
      </c>
      <c r="D79" s="1" t="s">
        <v>291</v>
      </c>
      <c r="E79" s="4">
        <f>63000/12</f>
        <v>5250</v>
      </c>
      <c r="G79" t="str">
        <f t="shared" si="8"/>
        <v>Tornillo autoperforante capuchón 2"</v>
      </c>
      <c r="H79" t="s">
        <v>76</v>
      </c>
      <c r="I79" s="1" t="str">
        <f t="shared" si="6"/>
        <v>UND</v>
      </c>
      <c r="J79" s="1" t="s">
        <v>1287</v>
      </c>
      <c r="K79" s="1"/>
      <c r="L79" s="207">
        <v>1</v>
      </c>
      <c r="M79" s="4">
        <f t="shared" si="9"/>
        <v>5250</v>
      </c>
      <c r="N79" s="31"/>
      <c r="O79" s="31"/>
      <c r="P79" t="s">
        <v>821</v>
      </c>
      <c r="Q79" s="190">
        <f>(SUMIFS('3. CD - Obra negra'!$O$4:$O$344,'3. CD - Obra negra'!$E$4:$E$344,G79))+(SUMIFS('4. CD - Obra gris'!$O$14:$O$74,'4. CD - Obra gris'!$E$14:$E$74,G79))+(SUMIFS('5, CD -Obra blanca'!$O$4:$O$151,'5, CD -Obra blanca'!$E$4:$E$151,G79))</f>
        <v>249.98400000000004</v>
      </c>
      <c r="R79" s="194">
        <f t="shared" si="7"/>
        <v>1312416.0000000002</v>
      </c>
      <c r="T79" s="4"/>
      <c r="V79"/>
      <c r="W79"/>
      <c r="Y79"/>
      <c r="AB79"/>
    </row>
    <row r="80" spans="2:28" x14ac:dyDescent="0.25">
      <c r="B80" t="s">
        <v>1289</v>
      </c>
      <c r="C80" s="1" t="s">
        <v>126</v>
      </c>
      <c r="D80" s="1" t="s">
        <v>291</v>
      </c>
      <c r="E80" s="4">
        <v>610</v>
      </c>
      <c r="G80" t="str">
        <f>+B80</f>
        <v>Tornillo autoperforante capuchón 1-1/2"</v>
      </c>
      <c r="H80" t="s">
        <v>76</v>
      </c>
      <c r="I80" s="1" t="str">
        <f>+C80</f>
        <v>UND</v>
      </c>
      <c r="J80" s="1" t="s">
        <v>1288</v>
      </c>
      <c r="K80" s="1"/>
      <c r="L80" s="207">
        <v>1</v>
      </c>
      <c r="M80" s="4">
        <f>+E80</f>
        <v>610</v>
      </c>
      <c r="N80" s="31"/>
      <c r="O80" s="31"/>
      <c r="P80" t="s">
        <v>821</v>
      </c>
      <c r="Q80" s="190">
        <f>(SUMIFS('3. CD - Obra negra'!$O$4:$O$344,'3. CD - Obra negra'!$E$4:$E$344,G80))+(SUMIFS('4. CD - Obra gris'!$O$14:$O$74,'4. CD - Obra gris'!$E$14:$E$74,G80))+(SUMIFS('5, CD -Obra blanca'!$O$4:$O$151,'5, CD -Obra blanca'!$E$4:$E$151,G80))</f>
        <v>0</v>
      </c>
      <c r="R80" s="194">
        <f>+Q80*M80</f>
        <v>0</v>
      </c>
      <c r="T80" s="4"/>
      <c r="V80"/>
      <c r="W80"/>
      <c r="Y80"/>
      <c r="AB80"/>
    </row>
    <row r="81" spans="2:28" x14ac:dyDescent="0.25">
      <c r="B81" t="s">
        <v>1290</v>
      </c>
      <c r="C81" s="1" t="s">
        <v>126</v>
      </c>
      <c r="D81" s="1" t="s">
        <v>291</v>
      </c>
      <c r="E81" s="4">
        <v>98</v>
      </c>
      <c r="G81" t="str">
        <f t="shared" si="8"/>
        <v>Tornillo drywall #8 2"</v>
      </c>
      <c r="H81" t="s">
        <v>76</v>
      </c>
      <c r="I81" s="1" t="str">
        <f t="shared" si="6"/>
        <v>UND</v>
      </c>
      <c r="J81" s="1" t="s">
        <v>836</v>
      </c>
      <c r="K81" s="1"/>
      <c r="L81" s="207">
        <v>1</v>
      </c>
      <c r="M81" s="4">
        <f t="shared" si="9"/>
        <v>98</v>
      </c>
      <c r="N81" s="31"/>
      <c r="O81" s="31"/>
      <c r="P81" t="s">
        <v>821</v>
      </c>
      <c r="Q81" s="190">
        <f>(SUMIFS('3. CD - Obra negra'!$O$4:$O$344,'3. CD - Obra negra'!$E$4:$E$344,G81))+(SUMIFS('4. CD - Obra gris'!$O$14:$O$74,'4. CD - Obra gris'!$E$14:$E$74,G81))+(SUMIFS('5, CD -Obra blanca'!$O$4:$O$151,'5, CD -Obra blanca'!$E$4:$E$151,G81))</f>
        <v>9177.4710000000014</v>
      </c>
      <c r="R81" s="194">
        <f t="shared" si="7"/>
        <v>899392.15800000017</v>
      </c>
      <c r="T81" s="4"/>
      <c r="V81"/>
      <c r="W81"/>
      <c r="Y81"/>
      <c r="AB81"/>
    </row>
    <row r="82" spans="2:28" x14ac:dyDescent="0.25">
      <c r="B82" t="s">
        <v>534</v>
      </c>
      <c r="C82" s="1" t="s">
        <v>335</v>
      </c>
      <c r="D82" s="1" t="s">
        <v>291</v>
      </c>
      <c r="E82" s="4">
        <v>3500</v>
      </c>
      <c r="G82" t="str">
        <f t="shared" si="8"/>
        <v>Varilla roscada zincada 3/8"</v>
      </c>
      <c r="H82" t="s">
        <v>76</v>
      </c>
      <c r="I82" s="1" t="str">
        <f t="shared" si="6"/>
        <v>ML</v>
      </c>
      <c r="J82" s="1" t="s">
        <v>838</v>
      </c>
      <c r="K82" s="1"/>
      <c r="L82" s="207">
        <v>1</v>
      </c>
      <c r="M82" s="4">
        <f t="shared" si="9"/>
        <v>3500</v>
      </c>
      <c r="N82" s="31"/>
      <c r="O82" s="31"/>
      <c r="P82" t="s">
        <v>821</v>
      </c>
      <c r="Q82" s="190">
        <f>(SUMIFS('3. CD - Obra negra'!$O$4:$O$344,'3. CD - Obra negra'!$E$4:$E$344,G82))+(SUMIFS('4. CD - Obra gris'!$O$14:$O$74,'4. CD - Obra gris'!$E$14:$E$74,G82))+(SUMIFS('5, CD -Obra blanca'!$O$4:$O$151,'5, CD -Obra blanca'!$E$4:$E$151,G82))</f>
        <v>750.8506000000001</v>
      </c>
      <c r="R82" s="194">
        <f t="shared" si="7"/>
        <v>2627977.1000000006</v>
      </c>
      <c r="T82" s="4"/>
      <c r="V82"/>
      <c r="W82"/>
      <c r="Y82"/>
      <c r="AB82"/>
    </row>
    <row r="83" spans="2:28" x14ac:dyDescent="0.25">
      <c r="B83" t="s">
        <v>535</v>
      </c>
      <c r="C83" s="1" t="s">
        <v>656</v>
      </c>
      <c r="D83" s="1" t="s">
        <v>291</v>
      </c>
      <c r="E83" s="4">
        <v>330</v>
      </c>
      <c r="G83" t="str">
        <f t="shared" si="8"/>
        <v>Tuerca+arandela zincada 3/8"</v>
      </c>
      <c r="H83" t="s">
        <v>76</v>
      </c>
      <c r="I83" s="1" t="str">
        <f t="shared" si="6"/>
        <v>PAR</v>
      </c>
      <c r="J83" s="1" t="s">
        <v>837</v>
      </c>
      <c r="K83" s="1"/>
      <c r="L83" s="207">
        <v>1</v>
      </c>
      <c r="M83" s="4">
        <f t="shared" si="9"/>
        <v>330</v>
      </c>
      <c r="N83" s="31"/>
      <c r="O83" s="31"/>
      <c r="P83" t="s">
        <v>821</v>
      </c>
      <c r="Q83" s="190">
        <f>(SUMIFS('3. CD - Obra negra'!$O$4:$O$344,'3. CD - Obra negra'!$E$4:$E$344,G83))+(SUMIFS('4. CD - Obra gris'!$O$14:$O$74,'4. CD - Obra gris'!$E$14:$E$74,G83))+(SUMIFS('5, CD -Obra blanca'!$O$4:$O$151,'5, CD -Obra blanca'!$E$4:$E$151,G83))</f>
        <v>6006.8048000000008</v>
      </c>
      <c r="R83" s="194">
        <f t="shared" si="7"/>
        <v>1982245.5840000003</v>
      </c>
      <c r="T83" s="4"/>
      <c r="V83"/>
      <c r="W83"/>
      <c r="Y83"/>
      <c r="AB83"/>
    </row>
    <row r="84" spans="2:28" x14ac:dyDescent="0.25">
      <c r="B84" t="s">
        <v>1384</v>
      </c>
      <c r="C84" s="1" t="s">
        <v>335</v>
      </c>
      <c r="D84" s="1" t="s">
        <v>291</v>
      </c>
      <c r="E84" s="4">
        <v>6000</v>
      </c>
      <c r="G84" t="str">
        <f>+B84</f>
        <v>Varilla roscada zincada 1/2"</v>
      </c>
      <c r="H84" t="s">
        <v>76</v>
      </c>
      <c r="I84" s="1" t="str">
        <f>+C84</f>
        <v>ML</v>
      </c>
      <c r="J84" s="1" t="s">
        <v>838</v>
      </c>
      <c r="K84" s="1"/>
      <c r="L84" s="207">
        <v>1</v>
      </c>
      <c r="M84" s="4">
        <f>+E84</f>
        <v>6000</v>
      </c>
      <c r="N84" s="31"/>
      <c r="O84" s="31"/>
      <c r="P84" t="s">
        <v>821</v>
      </c>
      <c r="Q84" s="190">
        <f>(SUMIFS('3. CD - Obra negra'!$O$4:$O$344,'3. CD - Obra negra'!$E$4:$E$344,G84))+(SUMIFS('4. CD - Obra gris'!$O$14:$O$74,'4. CD - Obra gris'!$E$14:$E$74,G84))+(SUMIFS('5, CD -Obra blanca'!$O$4:$O$151,'5, CD -Obra blanca'!$E$4:$E$151,G84))</f>
        <v>1259.2100000000005</v>
      </c>
      <c r="R84" s="194">
        <f>+Q84*M84</f>
        <v>7555260.0000000028</v>
      </c>
      <c r="T84" s="4"/>
      <c r="V84"/>
      <c r="W84"/>
      <c r="Y84"/>
      <c r="AB84"/>
    </row>
    <row r="85" spans="2:28" x14ac:dyDescent="0.25">
      <c r="B85" t="s">
        <v>1385</v>
      </c>
      <c r="C85" s="1" t="s">
        <v>656</v>
      </c>
      <c r="D85" s="1" t="s">
        <v>291</v>
      </c>
      <c r="E85" s="4">
        <v>830</v>
      </c>
      <c r="G85" t="str">
        <f>+B85</f>
        <v>Tuerca+arandela zincada 1/2"</v>
      </c>
      <c r="H85" t="s">
        <v>76</v>
      </c>
      <c r="I85" s="1" t="str">
        <f>+C85</f>
        <v>PAR</v>
      </c>
      <c r="J85" s="1" t="s">
        <v>837</v>
      </c>
      <c r="K85" s="1"/>
      <c r="L85" s="207">
        <v>1</v>
      </c>
      <c r="M85" s="4">
        <f>+E85</f>
        <v>830</v>
      </c>
      <c r="N85" s="31"/>
      <c r="O85" s="31"/>
      <c r="P85" t="s">
        <v>821</v>
      </c>
      <c r="Q85" s="190">
        <f>(SUMIFS('3. CD - Obra negra'!$O$4:$O$344,'3. CD - Obra negra'!$E$4:$E$344,G85))+(SUMIFS('4. CD - Obra gris'!$O$14:$O$74,'4. CD - Obra gris'!$E$14:$E$74,G85))+(SUMIFS('5, CD -Obra blanca'!$O$4:$O$151,'5, CD -Obra blanca'!$E$4:$E$151,G85))</f>
        <v>10073.680000000004</v>
      </c>
      <c r="R85" s="194">
        <f>+Q85*M85</f>
        <v>8361154.4000000032</v>
      </c>
      <c r="T85" s="4"/>
      <c r="V85"/>
      <c r="W85"/>
      <c r="Y85"/>
      <c r="AB85"/>
    </row>
    <row r="86" spans="2:28" x14ac:dyDescent="0.25">
      <c r="B86" t="s">
        <v>532</v>
      </c>
      <c r="C86" s="1" t="s">
        <v>260</v>
      </c>
      <c r="D86" s="1" t="s">
        <v>273</v>
      </c>
      <c r="E86" s="4">
        <v>75000</v>
      </c>
      <c r="G86" t="str">
        <f t="shared" si="8"/>
        <v xml:space="preserve">Flanche acero corten </v>
      </c>
      <c r="H86" t="s">
        <v>76</v>
      </c>
      <c r="I86" s="1" t="str">
        <f t="shared" si="6"/>
        <v>M2</v>
      </c>
      <c r="J86" s="1" t="s">
        <v>839</v>
      </c>
      <c r="K86" s="1"/>
      <c r="L86" s="207">
        <v>1</v>
      </c>
      <c r="M86" s="4">
        <f t="shared" si="9"/>
        <v>75000</v>
      </c>
      <c r="N86" s="31"/>
      <c r="O86" s="31"/>
      <c r="P86" t="s">
        <v>821</v>
      </c>
      <c r="Q86" s="190">
        <f>(SUMIFS('3. CD - Obra negra'!$O$4:$O$344,'3. CD - Obra negra'!$E$4:$E$344,G86))+(SUMIFS('4. CD - Obra gris'!$O$14:$O$74,'4. CD - Obra gris'!$E$14:$E$74,G86))+(SUMIFS('5, CD -Obra blanca'!$O$4:$O$151,'5, CD -Obra blanca'!$E$4:$E$151,G86))</f>
        <v>0</v>
      </c>
      <c r="R86" s="194">
        <f t="shared" si="7"/>
        <v>0</v>
      </c>
      <c r="T86" s="4"/>
      <c r="V86"/>
      <c r="W86"/>
      <c r="Y86"/>
      <c r="AB86"/>
    </row>
    <row r="87" spans="2:28" x14ac:dyDescent="0.25">
      <c r="B87" t="s">
        <v>657</v>
      </c>
      <c r="C87" s="1" t="s">
        <v>335</v>
      </c>
      <c r="D87" s="1" t="s">
        <v>291</v>
      </c>
      <c r="E87" s="4">
        <v>6000</v>
      </c>
      <c r="G87" t="str">
        <f t="shared" si="8"/>
        <v>Zuncho metálico 3/4"</v>
      </c>
      <c r="H87" t="s">
        <v>76</v>
      </c>
      <c r="I87" s="1" t="str">
        <f t="shared" si="6"/>
        <v>ML</v>
      </c>
      <c r="J87" s="1" t="s">
        <v>840</v>
      </c>
      <c r="K87" s="1"/>
      <c r="L87" s="207">
        <v>1</v>
      </c>
      <c r="M87" s="4">
        <f t="shared" si="9"/>
        <v>6000</v>
      </c>
      <c r="N87" s="31"/>
      <c r="O87" s="31"/>
      <c r="P87" t="s">
        <v>821</v>
      </c>
      <c r="Q87" s="190">
        <f>(SUMIFS('3. CD - Obra negra'!$O$4:$O$344,'3. CD - Obra negra'!$E$4:$E$344,G87))+(SUMIFS('4. CD - Obra gris'!$O$14:$O$74,'4. CD - Obra gris'!$E$14:$E$74,G87))+(SUMIFS('5, CD -Obra blanca'!$O$4:$O$151,'5, CD -Obra blanca'!$E$4:$E$151,G87))</f>
        <v>0</v>
      </c>
      <c r="R87" s="194">
        <f t="shared" si="7"/>
        <v>0</v>
      </c>
      <c r="T87" s="4"/>
      <c r="V87"/>
      <c r="W87"/>
      <c r="Y87"/>
      <c r="AB87"/>
    </row>
    <row r="88" spans="2:28" x14ac:dyDescent="0.25">
      <c r="B88" t="s">
        <v>658</v>
      </c>
      <c r="C88" s="1" t="s">
        <v>126</v>
      </c>
      <c r="D88" s="1" t="s">
        <v>291</v>
      </c>
      <c r="E88" s="4">
        <v>1500</v>
      </c>
      <c r="G88" t="str">
        <f t="shared" si="8"/>
        <v>Hebilla zuncho metálico 3/4"</v>
      </c>
      <c r="H88" t="s">
        <v>76</v>
      </c>
      <c r="I88" s="1" t="str">
        <f t="shared" si="6"/>
        <v>UND</v>
      </c>
      <c r="J88" s="1" t="s">
        <v>841</v>
      </c>
      <c r="K88" s="1"/>
      <c r="L88" s="207">
        <v>1</v>
      </c>
      <c r="M88" s="4">
        <f t="shared" si="9"/>
        <v>1500</v>
      </c>
      <c r="N88" s="31"/>
      <c r="O88" s="31"/>
      <c r="P88" t="s">
        <v>821</v>
      </c>
      <c r="Q88" s="190">
        <f>(SUMIFS('3. CD - Obra negra'!$O$4:$O$344,'3. CD - Obra negra'!$E$4:$E$344,G88))+(SUMIFS('4. CD - Obra gris'!$O$14:$O$74,'4. CD - Obra gris'!$E$14:$E$74,G88))+(SUMIFS('5, CD -Obra blanca'!$O$4:$O$151,'5, CD -Obra blanca'!$E$4:$E$151,G88))</f>
        <v>0</v>
      </c>
      <c r="R88" s="194">
        <f t="shared" si="7"/>
        <v>0</v>
      </c>
      <c r="T88" s="4"/>
      <c r="V88"/>
      <c r="W88"/>
      <c r="Y88"/>
      <c r="AB88"/>
    </row>
    <row r="89" spans="2:28" x14ac:dyDescent="0.25">
      <c r="B89" t="s">
        <v>516</v>
      </c>
      <c r="C89" s="1" t="s">
        <v>126</v>
      </c>
      <c r="D89" s="1" t="s">
        <v>291</v>
      </c>
      <c r="E89" s="4">
        <v>100</v>
      </c>
      <c r="G89" t="str">
        <f t="shared" si="8"/>
        <v>Clavo con cabeza</v>
      </c>
      <c r="H89" t="s">
        <v>76</v>
      </c>
      <c r="I89" s="1" t="str">
        <f t="shared" si="6"/>
        <v>UND</v>
      </c>
      <c r="J89" s="1" t="s">
        <v>809</v>
      </c>
      <c r="K89" s="1"/>
      <c r="L89" s="207">
        <v>1</v>
      </c>
      <c r="M89" s="4">
        <f t="shared" si="9"/>
        <v>100</v>
      </c>
      <c r="N89" s="31"/>
      <c r="O89" s="31"/>
      <c r="P89" t="s">
        <v>821</v>
      </c>
      <c r="Q89" s="190">
        <f>(SUMIFS('3. CD - Obra negra'!$O$4:$O$344,'3. CD - Obra negra'!$E$4:$E$344,G89))+(SUMIFS('4. CD - Obra gris'!$O$14:$O$74,'4. CD - Obra gris'!$E$14:$E$74,G89))+(SUMIFS('5, CD -Obra blanca'!$O$4:$O$151,'5, CD -Obra blanca'!$E$4:$E$151,G89))</f>
        <v>0</v>
      </c>
      <c r="R89" s="194">
        <f t="shared" si="7"/>
        <v>0</v>
      </c>
      <c r="T89" s="4"/>
      <c r="V89"/>
      <c r="W89"/>
      <c r="Y89"/>
      <c r="AB89"/>
    </row>
    <row r="90" spans="2:28" x14ac:dyDescent="0.25">
      <c r="C90" s="1"/>
      <c r="D90" s="1"/>
      <c r="E90" s="4"/>
      <c r="I90" s="1"/>
      <c r="L90"/>
      <c r="M90" s="4"/>
      <c r="N90" s="31"/>
      <c r="O90" s="31"/>
      <c r="R90"/>
      <c r="T90" s="4"/>
      <c r="V90"/>
      <c r="W90"/>
      <c r="Y90"/>
      <c r="AB90"/>
    </row>
    <row r="91" spans="2:28" x14ac:dyDescent="0.25">
      <c r="B91" s="299" t="s">
        <v>639</v>
      </c>
      <c r="C91" s="299"/>
      <c r="D91" s="299"/>
      <c r="E91" s="299"/>
      <c r="G91" s="299" t="s">
        <v>639</v>
      </c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4"/>
      <c r="V91"/>
      <c r="W91"/>
      <c r="Y91"/>
      <c r="AB91"/>
    </row>
    <row r="92" spans="2:28" x14ac:dyDescent="0.25">
      <c r="B92" t="s">
        <v>246</v>
      </c>
      <c r="C92" s="1" t="s">
        <v>248</v>
      </c>
      <c r="D92" s="1" t="s">
        <v>261</v>
      </c>
      <c r="E92" s="4" t="s">
        <v>249</v>
      </c>
      <c r="G92" s="186" t="s">
        <v>798</v>
      </c>
      <c r="H92" s="186" t="s">
        <v>799</v>
      </c>
      <c r="I92" s="186" t="s">
        <v>800</v>
      </c>
      <c r="J92" s="186" t="s">
        <v>815</v>
      </c>
      <c r="K92" s="186" t="s">
        <v>816</v>
      </c>
      <c r="L92" s="186" t="s">
        <v>1125</v>
      </c>
      <c r="M92" s="187" t="s">
        <v>817</v>
      </c>
      <c r="N92" s="187" t="s">
        <v>818</v>
      </c>
      <c r="O92" s="187" t="s">
        <v>819</v>
      </c>
      <c r="P92" s="186" t="s">
        <v>820</v>
      </c>
      <c r="Q92" s="189" t="s">
        <v>847</v>
      </c>
      <c r="R92" s="186" t="s">
        <v>85</v>
      </c>
      <c r="S92" s="196">
        <f>+SUM(R93:R98)</f>
        <v>274085.71428571426</v>
      </c>
      <c r="T92" s="4"/>
      <c r="V92"/>
      <c r="W92"/>
      <c r="Y92"/>
      <c r="AB92"/>
    </row>
    <row r="93" spans="2:28" x14ac:dyDescent="0.25">
      <c r="B93" t="s">
        <v>640</v>
      </c>
      <c r="C93" s="1" t="s">
        <v>641</v>
      </c>
      <c r="D93" s="1" t="s">
        <v>639</v>
      </c>
      <c r="E93" s="4">
        <v>130</v>
      </c>
      <c r="G93" t="str">
        <f t="shared" ref="G93:G98" si="10">+B93</f>
        <v>Agua carrotanque</v>
      </c>
      <c r="H93" t="s">
        <v>76</v>
      </c>
      <c r="I93" s="1" t="str">
        <f t="shared" ref="I93:I98" si="11">+C93</f>
        <v>LT</v>
      </c>
      <c r="J93" s="1" t="s">
        <v>842</v>
      </c>
      <c r="K93" s="1"/>
      <c r="L93" s="207">
        <v>1</v>
      </c>
      <c r="M93" s="4">
        <f t="shared" ref="M93:M98" si="12">+E93</f>
        <v>130</v>
      </c>
      <c r="N93" s="31"/>
      <c r="O93" s="31"/>
      <c r="P93" t="s">
        <v>821</v>
      </c>
      <c r="Q93" s="190">
        <f>(SUMIFS('3. CD - Obra negra'!$O$4:$O$344,'3. CD - Obra negra'!$E$4:$E$344,G93))+(SUMIFS('4. CD - Obra gris'!$O$14:$O$74,'4. CD - Obra gris'!$E$14:$E$74,G93))+(SUMIFS('5, CD -Obra blanca'!$O$4:$O$151,'5, CD -Obra blanca'!$E$4:$E$151,G93))</f>
        <v>0</v>
      </c>
      <c r="R93" s="194">
        <f t="shared" ref="R93:R98" si="13">+Q93*M93</f>
        <v>0</v>
      </c>
      <c r="T93" s="4"/>
      <c r="V93"/>
      <c r="W93"/>
      <c r="Y93"/>
      <c r="AB93"/>
    </row>
    <row r="94" spans="2:28" x14ac:dyDescent="0.25">
      <c r="B94" t="s">
        <v>785</v>
      </c>
      <c r="C94" s="1" t="s">
        <v>564</v>
      </c>
      <c r="D94" s="1" t="s">
        <v>639</v>
      </c>
      <c r="E94" s="4">
        <v>53000</v>
      </c>
      <c r="G94" t="str">
        <f t="shared" si="10"/>
        <v>Acronal</v>
      </c>
      <c r="H94" t="s">
        <v>76</v>
      </c>
      <c r="I94" s="1" t="str">
        <f t="shared" si="11"/>
        <v>GL</v>
      </c>
      <c r="J94" s="1" t="s">
        <v>843</v>
      </c>
      <c r="K94" s="1"/>
      <c r="L94" s="207">
        <v>1</v>
      </c>
      <c r="M94" s="4">
        <f t="shared" si="12"/>
        <v>53000</v>
      </c>
      <c r="N94" s="31"/>
      <c r="O94" s="31"/>
      <c r="P94" t="s">
        <v>821</v>
      </c>
      <c r="Q94" s="190">
        <f>(SUMIFS('3. CD - Obra negra'!$O$4:$O$344,'3. CD - Obra negra'!$E$4:$E$344,G94))+(SUMIFS('4. CD - Obra gris'!$O$14:$O$74,'4. CD - Obra gris'!$E$14:$E$74,G94))+(SUMIFS('5, CD -Obra blanca'!$O$4:$O$151,'5, CD -Obra blanca'!$E$4:$E$151,G94))</f>
        <v>5.1714285714285708</v>
      </c>
      <c r="R94" s="194">
        <f t="shared" si="13"/>
        <v>274085.71428571426</v>
      </c>
      <c r="T94" s="4"/>
      <c r="V94"/>
      <c r="W94"/>
      <c r="Y94"/>
      <c r="AB94"/>
    </row>
    <row r="95" spans="2:28" x14ac:dyDescent="0.25">
      <c r="B95" t="s">
        <v>567</v>
      </c>
      <c r="C95" s="1" t="s">
        <v>126</v>
      </c>
      <c r="D95" s="1" t="s">
        <v>489</v>
      </c>
      <c r="E95" s="4">
        <v>138000</v>
      </c>
      <c r="G95" t="str">
        <f t="shared" si="10"/>
        <v>Sika 101 impermeable blanco 25kg</v>
      </c>
      <c r="H95" t="s">
        <v>76</v>
      </c>
      <c r="I95" s="1" t="str">
        <f t="shared" si="11"/>
        <v>UND</v>
      </c>
      <c r="J95" s="1" t="s">
        <v>844</v>
      </c>
      <c r="K95" s="1"/>
      <c r="L95" s="207">
        <v>1</v>
      </c>
      <c r="M95" s="4">
        <f t="shared" si="12"/>
        <v>138000</v>
      </c>
      <c r="N95" s="31"/>
      <c r="O95" s="31"/>
      <c r="P95" t="s">
        <v>821</v>
      </c>
      <c r="Q95" s="190">
        <f>(SUMIFS('3. CD - Obra negra'!$O$4:$O$344,'3. CD - Obra negra'!$E$4:$E$344,G95))+(SUMIFS('4. CD - Obra gris'!$O$14:$O$74,'4. CD - Obra gris'!$E$14:$E$74,G95))+(SUMIFS('5, CD -Obra blanca'!$O$4:$O$151,'5, CD -Obra blanca'!$E$4:$E$151,G95))</f>
        <v>0</v>
      </c>
      <c r="R95" s="194">
        <f t="shared" si="13"/>
        <v>0</v>
      </c>
      <c r="T95" s="4"/>
      <c r="V95"/>
      <c r="W95"/>
      <c r="Y95"/>
      <c r="AB95"/>
    </row>
    <row r="96" spans="2:28" x14ac:dyDescent="0.25">
      <c r="B96" t="s">
        <v>1387</v>
      </c>
      <c r="C96" s="1" t="s">
        <v>126</v>
      </c>
      <c r="D96" s="1" t="s">
        <v>639</v>
      </c>
      <c r="E96" s="4">
        <v>50000</v>
      </c>
      <c r="G96" t="str">
        <f t="shared" si="10"/>
        <v>SikaLatex xkg</v>
      </c>
      <c r="H96" t="s">
        <v>76</v>
      </c>
      <c r="I96" s="1" t="str">
        <f t="shared" si="11"/>
        <v>UND</v>
      </c>
      <c r="J96" s="1" t="s">
        <v>1388</v>
      </c>
      <c r="K96" s="1"/>
      <c r="L96" s="207">
        <v>1</v>
      </c>
      <c r="M96" s="4">
        <f t="shared" si="12"/>
        <v>50000</v>
      </c>
      <c r="N96" s="31"/>
      <c r="O96" s="31"/>
      <c r="P96" t="s">
        <v>821</v>
      </c>
      <c r="Q96" s="190">
        <f>(SUMIFS('3. CD - Obra negra'!$O$4:$O$344,'3. CD - Obra negra'!$E$4:$E$344,G96))+(SUMIFS('4. CD - Obra gris'!$O$14:$O$74,'4. CD - Obra gris'!$E$14:$E$74,G96))+(SUMIFS('5, CD -Obra blanca'!$O$4:$O$151,'5, CD -Obra blanca'!$E$4:$E$151,G96))</f>
        <v>0</v>
      </c>
      <c r="R96" s="194">
        <f t="shared" si="13"/>
        <v>0</v>
      </c>
      <c r="T96" s="4"/>
      <c r="V96"/>
      <c r="W96"/>
      <c r="Y96"/>
      <c r="AB96"/>
    </row>
    <row r="97" spans="2:28" x14ac:dyDescent="0.25">
      <c r="B97" t="s">
        <v>1386</v>
      </c>
      <c r="C97" s="1" t="s">
        <v>126</v>
      </c>
      <c r="D97" s="1" t="s">
        <v>639</v>
      </c>
      <c r="E97" s="4">
        <v>200000</v>
      </c>
      <c r="G97" t="str">
        <f t="shared" si="10"/>
        <v>Sikadur 32 xkg</v>
      </c>
      <c r="H97" t="s">
        <v>76</v>
      </c>
      <c r="I97" s="1" t="str">
        <f t="shared" si="11"/>
        <v>UND</v>
      </c>
      <c r="J97" s="1" t="s">
        <v>845</v>
      </c>
      <c r="K97" s="1"/>
      <c r="L97" s="207">
        <v>1</v>
      </c>
      <c r="M97" s="4">
        <f t="shared" si="12"/>
        <v>200000</v>
      </c>
      <c r="N97" s="31"/>
      <c r="O97" s="31"/>
      <c r="P97" t="s">
        <v>821</v>
      </c>
      <c r="Q97" s="190">
        <f>(SUMIFS('3. CD - Obra negra'!$O$4:$O$344,'3. CD - Obra negra'!$E$4:$E$344,G97))+(SUMIFS('4. CD - Obra gris'!$O$14:$O$74,'4. CD - Obra gris'!$E$14:$E$74,G97))+(SUMIFS('5, CD -Obra blanca'!$O$4:$O$151,'5, CD -Obra blanca'!$E$4:$E$151,G97))</f>
        <v>0</v>
      </c>
      <c r="R97" s="194">
        <f t="shared" si="13"/>
        <v>0</v>
      </c>
      <c r="T97" s="4"/>
      <c r="V97"/>
      <c r="W97"/>
      <c r="Y97"/>
      <c r="AB97"/>
    </row>
    <row r="98" spans="2:28" x14ac:dyDescent="0.25">
      <c r="B98" t="s">
        <v>642</v>
      </c>
      <c r="C98" s="1" t="s">
        <v>643</v>
      </c>
      <c r="D98" s="1" t="s">
        <v>639</v>
      </c>
      <c r="E98" s="4">
        <v>10000</v>
      </c>
      <c r="G98" t="str">
        <f t="shared" si="10"/>
        <v xml:space="preserve">Caja Mineral </v>
      </c>
      <c r="H98" t="s">
        <v>76</v>
      </c>
      <c r="I98" s="1" t="str">
        <f t="shared" si="11"/>
        <v>LB</v>
      </c>
      <c r="J98" s="1" t="s">
        <v>846</v>
      </c>
      <c r="K98" s="1"/>
      <c r="L98" s="207">
        <v>1</v>
      </c>
      <c r="M98" s="4">
        <f t="shared" si="12"/>
        <v>10000</v>
      </c>
      <c r="N98" s="31"/>
      <c r="O98" s="31"/>
      <c r="P98" t="s">
        <v>821</v>
      </c>
      <c r="Q98" s="190">
        <f>(SUMIFS('3. CD - Obra negra'!$O$4:$O$344,'3. CD - Obra negra'!$E$4:$E$344,G98))+(SUMIFS('4. CD - Obra gris'!$O$14:$O$74,'4. CD - Obra gris'!$E$14:$E$74,G98))+(SUMIFS('5, CD -Obra blanca'!$O$4:$O$151,'5, CD -Obra blanca'!$E$4:$E$151,G98))</f>
        <v>0</v>
      </c>
      <c r="R98" s="194">
        <f t="shared" si="13"/>
        <v>0</v>
      </c>
      <c r="T98" s="4"/>
      <c r="V98"/>
      <c r="W98"/>
      <c r="Y98"/>
      <c r="AB98"/>
    </row>
    <row r="99" spans="2:28" x14ac:dyDescent="0.25">
      <c r="C99" s="1"/>
      <c r="D99" s="1"/>
      <c r="E99" s="4"/>
      <c r="I99" s="1"/>
      <c r="L99"/>
      <c r="M99" s="4"/>
      <c r="N99" s="31"/>
      <c r="O99" s="31"/>
      <c r="R99"/>
      <c r="T99" s="4"/>
      <c r="V99"/>
      <c r="W99"/>
      <c r="Y99"/>
      <c r="AB99"/>
    </row>
    <row r="100" spans="2:28" x14ac:dyDescent="0.25">
      <c r="B100" s="299" t="s">
        <v>644</v>
      </c>
      <c r="C100" s="299"/>
      <c r="D100" s="299"/>
      <c r="E100" s="299"/>
      <c r="G100" s="299" t="s">
        <v>644</v>
      </c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4"/>
      <c r="V100"/>
      <c r="W100"/>
      <c r="Y100"/>
      <c r="AB100"/>
    </row>
    <row r="101" spans="2:28" x14ac:dyDescent="0.25">
      <c r="B101" t="s">
        <v>246</v>
      </c>
      <c r="C101" s="1" t="s">
        <v>248</v>
      </c>
      <c r="D101" s="1" t="s">
        <v>261</v>
      </c>
      <c r="E101" s="4" t="s">
        <v>249</v>
      </c>
      <c r="G101" s="186" t="s">
        <v>798</v>
      </c>
      <c r="H101" s="186" t="s">
        <v>799</v>
      </c>
      <c r="I101" s="186" t="s">
        <v>800</v>
      </c>
      <c r="J101" s="186" t="s">
        <v>815</v>
      </c>
      <c r="K101" s="186" t="s">
        <v>816</v>
      </c>
      <c r="L101" s="186" t="s">
        <v>1125</v>
      </c>
      <c r="M101" s="187" t="s">
        <v>817</v>
      </c>
      <c r="N101" s="187" t="s">
        <v>818</v>
      </c>
      <c r="O101" s="187" t="s">
        <v>819</v>
      </c>
      <c r="P101" s="186" t="s">
        <v>820</v>
      </c>
      <c r="Q101" s="189" t="s">
        <v>847</v>
      </c>
      <c r="R101" s="186" t="s">
        <v>85</v>
      </c>
      <c r="S101" s="196">
        <f>+SUM(R102:R113)</f>
        <v>3660434.9833333334</v>
      </c>
      <c r="T101" s="4"/>
      <c r="V101"/>
      <c r="W101"/>
      <c r="Y101"/>
      <c r="AB101"/>
    </row>
    <row r="102" spans="2:28" x14ac:dyDescent="0.25">
      <c r="B102" t="s">
        <v>645</v>
      </c>
      <c r="C102" s="1" t="s">
        <v>260</v>
      </c>
      <c r="D102" s="1" t="s">
        <v>273</v>
      </c>
      <c r="E102" s="4">
        <v>31000</v>
      </c>
      <c r="G102" t="str">
        <f t="shared" ref="G102:G113" si="14">+B102</f>
        <v>Frescasa + foil aluminio</v>
      </c>
      <c r="H102" t="s">
        <v>76</v>
      </c>
      <c r="I102" s="1" t="str">
        <f t="shared" ref="I102:I113" si="15">+C102</f>
        <v>M2</v>
      </c>
      <c r="J102" s="1" t="s">
        <v>849</v>
      </c>
      <c r="K102" s="1"/>
      <c r="L102" s="207">
        <v>1</v>
      </c>
      <c r="M102" s="4">
        <f t="shared" ref="M102:M113" si="16">+E102</f>
        <v>31000</v>
      </c>
      <c r="N102" s="31"/>
      <c r="O102" s="31"/>
      <c r="P102" t="s">
        <v>821</v>
      </c>
      <c r="Q102" s="190">
        <f>(SUMIFS('3. CD - Obra negra'!$O$4:$O$344,'3. CD - Obra negra'!$E$4:$E$344,G102))+(SUMIFS('4. CD - Obra gris'!$O$14:$O$74,'4. CD - Obra gris'!$E$14:$E$74,G102))+(SUMIFS('5, CD -Obra blanca'!$O$4:$O$151,'5, CD -Obra blanca'!$E$4:$E$151,G102))</f>
        <v>0</v>
      </c>
      <c r="R102" s="194">
        <f>+Q102*M102</f>
        <v>0</v>
      </c>
      <c r="T102" s="4"/>
      <c r="V102"/>
      <c r="W102"/>
      <c r="Y102"/>
      <c r="AB102"/>
    </row>
    <row r="103" spans="2:28" x14ac:dyDescent="0.25">
      <c r="B103" t="s">
        <v>646</v>
      </c>
      <c r="C103" s="1" t="s">
        <v>260</v>
      </c>
      <c r="D103" s="1" t="s">
        <v>273</v>
      </c>
      <c r="E103" s="4">
        <v>11000</v>
      </c>
      <c r="G103" t="str">
        <f t="shared" si="14"/>
        <v>Yumbolón 10mm</v>
      </c>
      <c r="H103" t="s">
        <v>76</v>
      </c>
      <c r="I103" s="1" t="str">
        <f t="shared" si="15"/>
        <v>M2</v>
      </c>
      <c r="J103" s="1" t="s">
        <v>850</v>
      </c>
      <c r="K103" s="1"/>
      <c r="L103" s="207">
        <v>1</v>
      </c>
      <c r="M103" s="4">
        <f t="shared" si="16"/>
        <v>11000</v>
      </c>
      <c r="N103" s="31"/>
      <c r="O103" s="31"/>
      <c r="P103" t="s">
        <v>821</v>
      </c>
      <c r="Q103" s="190">
        <f>(SUMIFS('3. CD - Obra negra'!$O$4:$O$344,'3. CD - Obra negra'!$E$4:$E$344,G103))+(SUMIFS('4. CD - Obra gris'!$O$14:$O$74,'4. CD - Obra gris'!$E$14:$E$74,G103))+(SUMIFS('5, CD -Obra blanca'!$O$4:$O$151,'5, CD -Obra blanca'!$E$4:$E$151,G103))</f>
        <v>0</v>
      </c>
      <c r="R103" s="194">
        <f t="shared" ref="R103:R113" si="17">+Q103*M103</f>
        <v>0</v>
      </c>
      <c r="T103" s="4"/>
      <c r="V103"/>
      <c r="W103"/>
      <c r="Y103"/>
      <c r="AB103"/>
    </row>
    <row r="104" spans="2:28" x14ac:dyDescent="0.25">
      <c r="B104" t="s">
        <v>697</v>
      </c>
      <c r="C104" s="1" t="s">
        <v>260</v>
      </c>
      <c r="D104" s="1" t="s">
        <v>273</v>
      </c>
      <c r="E104" s="4">
        <v>21000</v>
      </c>
      <c r="G104" t="str">
        <f t="shared" si="14"/>
        <v>Lona caribe</v>
      </c>
      <c r="H104" t="s">
        <v>76</v>
      </c>
      <c r="I104" s="1" t="str">
        <f t="shared" si="15"/>
        <v>M2</v>
      </c>
      <c r="J104" s="1" t="s">
        <v>851</v>
      </c>
      <c r="K104" s="1"/>
      <c r="L104" s="207">
        <v>1</v>
      </c>
      <c r="M104" s="4">
        <f t="shared" si="16"/>
        <v>21000</v>
      </c>
      <c r="N104" s="31"/>
      <c r="O104" s="31"/>
      <c r="P104" t="s">
        <v>821</v>
      </c>
      <c r="Q104" s="190">
        <f>(SUMIFS('3. CD - Obra negra'!$O$4:$O$344,'3. CD - Obra negra'!$E$4:$E$344,G104))+(SUMIFS('4. CD - Obra gris'!$O$14:$O$74,'4. CD - Obra gris'!$E$14:$E$74,G104))+(SUMIFS('5, CD -Obra blanca'!$O$4:$O$151,'5, CD -Obra blanca'!$E$4:$E$151,G104))</f>
        <v>0</v>
      </c>
      <c r="R104" s="194">
        <f t="shared" si="17"/>
        <v>0</v>
      </c>
      <c r="T104" s="4"/>
      <c r="V104"/>
      <c r="W104"/>
      <c r="Y104"/>
      <c r="AB104"/>
    </row>
    <row r="105" spans="2:28" x14ac:dyDescent="0.25">
      <c r="B105" t="s">
        <v>615</v>
      </c>
      <c r="C105" s="1" t="s">
        <v>564</v>
      </c>
      <c r="D105" s="1" t="s">
        <v>273</v>
      </c>
      <c r="E105" s="4">
        <v>350000</v>
      </c>
      <c r="G105" t="str">
        <f t="shared" si="14"/>
        <v>Profilán</v>
      </c>
      <c r="H105" t="s">
        <v>76</v>
      </c>
      <c r="I105" s="1" t="str">
        <f t="shared" si="15"/>
        <v>GL</v>
      </c>
      <c r="J105" s="1" t="s">
        <v>852</v>
      </c>
      <c r="K105" s="1"/>
      <c r="L105" s="207">
        <v>1</v>
      </c>
      <c r="M105" s="4">
        <f t="shared" si="16"/>
        <v>350000</v>
      </c>
      <c r="N105" s="31"/>
      <c r="O105" s="31"/>
      <c r="P105" t="s">
        <v>821</v>
      </c>
      <c r="Q105" s="190">
        <f>(SUMIFS('3. CD - Obra negra'!$O$4:$O$344,'3. CD - Obra negra'!$E$4:$E$344,G105))+(SUMIFS('4. CD - Obra gris'!$O$14:$O$74,'4. CD - Obra gris'!$E$14:$E$74,G105))+(SUMIFS('5, CD -Obra blanca'!$O$4:$O$151,'5, CD -Obra blanca'!$E$4:$E$151,G105))</f>
        <v>5.6774466666666665</v>
      </c>
      <c r="R105" s="194">
        <f t="shared" si="17"/>
        <v>1987106.3333333333</v>
      </c>
      <c r="T105" s="4"/>
      <c r="V105"/>
      <c r="W105"/>
      <c r="Y105"/>
      <c r="AB105"/>
    </row>
    <row r="106" spans="2:28" x14ac:dyDescent="0.25">
      <c r="B106" t="s">
        <v>700</v>
      </c>
      <c r="C106" s="1" t="s">
        <v>126</v>
      </c>
      <c r="D106" s="1" t="s">
        <v>273</v>
      </c>
      <c r="E106" s="4">
        <v>38000</v>
      </c>
      <c r="G106" t="str">
        <f t="shared" si="14"/>
        <v>Sista FT 101</v>
      </c>
      <c r="H106" t="s">
        <v>76</v>
      </c>
      <c r="I106" s="1" t="str">
        <f t="shared" si="15"/>
        <v>UND</v>
      </c>
      <c r="J106" s="1" t="s">
        <v>844</v>
      </c>
      <c r="K106" s="1"/>
      <c r="L106" s="207">
        <v>1</v>
      </c>
      <c r="M106" s="4">
        <f t="shared" si="16"/>
        <v>38000</v>
      </c>
      <c r="N106" s="31"/>
      <c r="O106" s="31"/>
      <c r="P106" t="s">
        <v>821</v>
      </c>
      <c r="Q106" s="190">
        <f>(SUMIFS('3. CD - Obra negra'!$O$4:$O$344,'3. CD - Obra negra'!$E$4:$E$344,G106))+(SUMIFS('4. CD - Obra gris'!$O$14:$O$74,'4. CD - Obra gris'!$E$14:$E$74,G106))+(SUMIFS('5, CD -Obra blanca'!$O$4:$O$151,'5, CD -Obra blanca'!$E$4:$E$151,G106))</f>
        <v>27.740800000000004</v>
      </c>
      <c r="R106" s="194">
        <f t="shared" si="17"/>
        <v>1054150.4000000001</v>
      </c>
      <c r="T106" s="4"/>
      <c r="V106"/>
      <c r="W106"/>
      <c r="Y106"/>
      <c r="AB106"/>
    </row>
    <row r="107" spans="2:28" x14ac:dyDescent="0.25">
      <c r="B107" t="s">
        <v>1157</v>
      </c>
      <c r="C107" s="1" t="s">
        <v>126</v>
      </c>
      <c r="D107" s="1" t="s">
        <v>716</v>
      </c>
      <c r="E107" s="4">
        <v>220000</v>
      </c>
      <c r="G107" t="str">
        <f t="shared" si="14"/>
        <v>SikaTop 107 impermeabilizante 20kg</v>
      </c>
      <c r="H107" t="s">
        <v>76</v>
      </c>
      <c r="I107" s="1" t="str">
        <f t="shared" si="15"/>
        <v>UND</v>
      </c>
      <c r="J107" s="1" t="s">
        <v>1154</v>
      </c>
      <c r="K107" s="1"/>
      <c r="L107" s="207">
        <v>1</v>
      </c>
      <c r="M107" s="4">
        <f t="shared" si="16"/>
        <v>220000</v>
      </c>
      <c r="N107" s="31"/>
      <c r="O107" s="31"/>
      <c r="P107" t="s">
        <v>821</v>
      </c>
      <c r="Q107" s="190">
        <f>(SUMIFS('3. CD - Obra negra'!$O$4:$O$344,'3. CD - Obra negra'!$E$4:$E$344,G107))+(SUMIFS('4. CD - Obra gris'!$O$14:$O$74,'4. CD - Obra gris'!$E$14:$E$74,G107))+(SUMIFS('5, CD -Obra blanca'!$O$4:$O$151,'5, CD -Obra blanca'!$E$4:$E$151,G107))</f>
        <v>0</v>
      </c>
      <c r="R107" s="194">
        <f>+Q107*M107</f>
        <v>0</v>
      </c>
      <c r="T107" s="4" t="s">
        <v>1166</v>
      </c>
      <c r="V107"/>
      <c r="W107"/>
      <c r="Y107"/>
      <c r="AB107"/>
    </row>
    <row r="108" spans="2:28" x14ac:dyDescent="0.25">
      <c r="B108" t="s">
        <v>715</v>
      </c>
      <c r="C108" s="1" t="s">
        <v>126</v>
      </c>
      <c r="D108" s="1" t="s">
        <v>716</v>
      </c>
      <c r="E108" s="4">
        <v>280000</v>
      </c>
      <c r="G108" t="str">
        <f t="shared" si="14"/>
        <v>Corona paraguas multipropósito 5gal</v>
      </c>
      <c r="H108" t="s">
        <v>76</v>
      </c>
      <c r="I108" s="1" t="str">
        <f t="shared" si="15"/>
        <v>UND</v>
      </c>
      <c r="J108" s="1" t="s">
        <v>853</v>
      </c>
      <c r="K108" s="1"/>
      <c r="L108" s="207">
        <v>1</v>
      </c>
      <c r="M108" s="4">
        <f t="shared" si="16"/>
        <v>280000</v>
      </c>
      <c r="N108" s="31"/>
      <c r="O108" s="31"/>
      <c r="P108" t="s">
        <v>821</v>
      </c>
      <c r="Q108" s="190">
        <f>(SUMIFS('3. CD - Obra negra'!$O$4:$O$344,'3. CD - Obra negra'!$E$4:$E$344,G108))+(SUMIFS('4. CD - Obra gris'!$O$14:$O$74,'4. CD - Obra gris'!$E$14:$E$74,G108))+(SUMIFS('5, CD -Obra blanca'!$O$4:$O$151,'5, CD -Obra blanca'!$E$4:$E$151,G108))</f>
        <v>0</v>
      </c>
      <c r="R108" s="194">
        <f t="shared" si="17"/>
        <v>0</v>
      </c>
      <c r="T108" s="4"/>
      <c r="V108"/>
      <c r="W108"/>
      <c r="Y108"/>
      <c r="AB108"/>
    </row>
    <row r="109" spans="2:28" x14ac:dyDescent="0.25">
      <c r="B109" t="s">
        <v>1159</v>
      </c>
      <c r="C109" s="1" t="s">
        <v>126</v>
      </c>
      <c r="D109" s="1" t="s">
        <v>273</v>
      </c>
      <c r="E109" s="4">
        <v>178000</v>
      </c>
      <c r="G109" t="str">
        <f t="shared" si="14"/>
        <v>Microcemento fondo 15kg</v>
      </c>
      <c r="H109" t="s">
        <v>76</v>
      </c>
      <c r="I109" s="1" t="str">
        <f t="shared" si="15"/>
        <v>UND</v>
      </c>
      <c r="J109" s="1" t="s">
        <v>1160</v>
      </c>
      <c r="K109" s="1"/>
      <c r="L109" s="207">
        <v>1</v>
      </c>
      <c r="M109" s="4">
        <f t="shared" si="16"/>
        <v>178000</v>
      </c>
      <c r="N109" s="31"/>
      <c r="O109" s="31"/>
      <c r="P109" t="s">
        <v>821</v>
      </c>
      <c r="Q109" s="190">
        <f>(SUMIFS('3. CD - Obra negra'!$O$4:$O$344,'3. CD - Obra negra'!$E$4:$E$344,G109))+(SUMIFS('4. CD - Obra gris'!$O$14:$O$74,'4. CD - Obra gris'!$E$14:$E$74,G109))+(SUMIFS('5, CD -Obra blanca'!$O$4:$O$151,'5, CD -Obra blanca'!$E$4:$E$151,G109))</f>
        <v>0</v>
      </c>
      <c r="R109" s="194">
        <f>+Q109*M109</f>
        <v>0</v>
      </c>
      <c r="T109" s="4" t="s">
        <v>1167</v>
      </c>
      <c r="U109" s="253">
        <f>15*0.4</f>
        <v>6</v>
      </c>
      <c r="V109"/>
      <c r="W109"/>
      <c r="Y109"/>
      <c r="AB109"/>
    </row>
    <row r="110" spans="2:28" x14ac:dyDescent="0.25">
      <c r="B110" t="s">
        <v>1161</v>
      </c>
      <c r="C110" s="1" t="s">
        <v>126</v>
      </c>
      <c r="D110" s="1" t="s">
        <v>273</v>
      </c>
      <c r="E110" s="4">
        <v>170000</v>
      </c>
      <c r="G110" t="str">
        <f t="shared" si="14"/>
        <v>Microcemento acabado 15kg</v>
      </c>
      <c r="H110" t="s">
        <v>76</v>
      </c>
      <c r="I110" s="1" t="str">
        <f t="shared" si="15"/>
        <v>UND</v>
      </c>
      <c r="J110" s="1" t="s">
        <v>1162</v>
      </c>
      <c r="K110" s="1"/>
      <c r="L110" s="207">
        <v>1</v>
      </c>
      <c r="M110" s="4">
        <f t="shared" si="16"/>
        <v>170000</v>
      </c>
      <c r="N110" s="31"/>
      <c r="O110" s="31"/>
      <c r="P110" t="s">
        <v>821</v>
      </c>
      <c r="Q110" s="190">
        <f>(SUMIFS('3. CD - Obra negra'!$O$4:$O$344,'3. CD - Obra negra'!$E$4:$E$344,G110))+(SUMIFS('4. CD - Obra gris'!$O$14:$O$74,'4. CD - Obra gris'!$E$14:$E$74,G110))+(SUMIFS('5, CD -Obra blanca'!$O$4:$O$151,'5, CD -Obra blanca'!$E$4:$E$151,G110))</f>
        <v>0</v>
      </c>
      <c r="R110" s="194">
        <f>+Q110*M110</f>
        <v>0</v>
      </c>
      <c r="T110" s="4" t="s">
        <v>1172</v>
      </c>
      <c r="U110" s="253">
        <f>15*0.5</f>
        <v>7.5</v>
      </c>
      <c r="V110"/>
      <c r="W110"/>
      <c r="Y110"/>
      <c r="AB110"/>
    </row>
    <row r="111" spans="2:28" x14ac:dyDescent="0.25">
      <c r="B111" t="s">
        <v>1163</v>
      </c>
      <c r="C111" s="1" t="s">
        <v>126</v>
      </c>
      <c r="D111" s="1" t="s">
        <v>273</v>
      </c>
      <c r="E111" s="4">
        <v>166000</v>
      </c>
      <c r="G111" t="str">
        <f t="shared" si="14"/>
        <v>Resina microcemento 5kg</v>
      </c>
      <c r="H111" t="s">
        <v>76</v>
      </c>
      <c r="I111" s="1" t="str">
        <f t="shared" si="15"/>
        <v>UND</v>
      </c>
      <c r="J111" s="1" t="s">
        <v>1164</v>
      </c>
      <c r="K111" s="1"/>
      <c r="L111" s="207">
        <v>1</v>
      </c>
      <c r="M111" s="4">
        <f t="shared" si="16"/>
        <v>166000</v>
      </c>
      <c r="N111" s="31"/>
      <c r="O111" s="31"/>
      <c r="P111" t="s">
        <v>821</v>
      </c>
      <c r="Q111" s="190">
        <f>(SUMIFS('3. CD - Obra negra'!$O$4:$O$344,'3. CD - Obra negra'!$E$4:$E$344,G111))+(SUMIFS('4. CD - Obra gris'!$O$14:$O$74,'4. CD - Obra gris'!$E$14:$E$74,G111))+(SUMIFS('5, CD -Obra blanca'!$O$4:$O$151,'5, CD -Obra blanca'!$E$4:$E$151,G111))</f>
        <v>0</v>
      </c>
      <c r="R111" s="194">
        <f>+Q111*M111</f>
        <v>0</v>
      </c>
      <c r="T111" s="4" t="s">
        <v>1170</v>
      </c>
      <c r="U111" s="253">
        <f>5*10</f>
        <v>50</v>
      </c>
      <c r="V111"/>
      <c r="W111"/>
      <c r="Y111"/>
      <c r="AB111"/>
    </row>
    <row r="112" spans="2:28" x14ac:dyDescent="0.25">
      <c r="B112" t="s">
        <v>1168</v>
      </c>
      <c r="C112" s="1" t="s">
        <v>126</v>
      </c>
      <c r="D112" s="1" t="s">
        <v>273</v>
      </c>
      <c r="E112" s="4">
        <v>215000</v>
      </c>
      <c r="G112" t="str">
        <f t="shared" si="14"/>
        <v>Barniz microcemento aqua 4L</v>
      </c>
      <c r="H112" t="s">
        <v>76</v>
      </c>
      <c r="I112" s="1" t="str">
        <f t="shared" si="15"/>
        <v>UND</v>
      </c>
      <c r="J112" s="1" t="s">
        <v>1165</v>
      </c>
      <c r="K112" s="1"/>
      <c r="L112" s="207">
        <v>1</v>
      </c>
      <c r="M112" s="4">
        <f t="shared" si="16"/>
        <v>215000</v>
      </c>
      <c r="N112" s="31"/>
      <c r="O112" s="31"/>
      <c r="P112" t="s">
        <v>821</v>
      </c>
      <c r="Q112" s="190">
        <f>(SUMIFS('3. CD - Obra negra'!$O$4:$O$344,'3. CD - Obra negra'!$E$4:$E$344,G112))+(SUMIFS('4. CD - Obra gris'!$O$14:$O$74,'4. CD - Obra gris'!$E$14:$E$74,G112))+(SUMIFS('5, CD -Obra blanca'!$O$4:$O$151,'5, CD -Obra blanca'!$E$4:$E$151,G112))</f>
        <v>0</v>
      </c>
      <c r="R112" s="194">
        <f>+Q112*M112</f>
        <v>0</v>
      </c>
      <c r="T112" s="4" t="s">
        <v>1171</v>
      </c>
      <c r="U112" s="253">
        <f>4*8</f>
        <v>32</v>
      </c>
      <c r="V112"/>
      <c r="W112"/>
      <c r="Y112"/>
      <c r="AB112"/>
    </row>
    <row r="113" spans="2:28" x14ac:dyDescent="0.25">
      <c r="B113" t="s">
        <v>265</v>
      </c>
      <c r="C113" s="1" t="s">
        <v>260</v>
      </c>
      <c r="D113" s="1" t="s">
        <v>273</v>
      </c>
      <c r="E113" s="4">
        <v>1700</v>
      </c>
      <c r="G113" t="str">
        <f t="shared" si="14"/>
        <v>Plástico calibre 6 polietileno</v>
      </c>
      <c r="H113" t="s">
        <v>76</v>
      </c>
      <c r="I113" s="1" t="str">
        <f t="shared" si="15"/>
        <v>M2</v>
      </c>
      <c r="J113" s="1" t="s">
        <v>854</v>
      </c>
      <c r="K113" s="1"/>
      <c r="L113" s="207">
        <v>1</v>
      </c>
      <c r="M113" s="4">
        <f t="shared" si="16"/>
        <v>1700</v>
      </c>
      <c r="N113" s="31"/>
      <c r="O113" s="31"/>
      <c r="P113" t="s">
        <v>821</v>
      </c>
      <c r="Q113" s="190">
        <f>(SUMIFS('3. CD - Obra negra'!$O$4:$O$344,'3. CD - Obra negra'!$E$4:$E$344,G113))+(SUMIFS('4. CD - Obra gris'!$O$14:$O$74,'4. CD - Obra gris'!$E$14:$E$74,G113))+(SUMIFS('5, CD -Obra blanca'!$O$4:$O$151,'5, CD -Obra blanca'!$E$4:$E$151,G113))</f>
        <v>364.22249999999997</v>
      </c>
      <c r="R113" s="194">
        <f t="shared" si="17"/>
        <v>619178.25</v>
      </c>
      <c r="T113" s="4"/>
      <c r="V113"/>
      <c r="W113"/>
      <c r="Y113"/>
      <c r="AB113"/>
    </row>
    <row r="114" spans="2:28" x14ac:dyDescent="0.25">
      <c r="C114" s="1"/>
      <c r="D114" s="1"/>
      <c r="E114" s="4"/>
      <c r="I114" s="1"/>
      <c r="L114"/>
      <c r="M114" s="4"/>
      <c r="N114" s="31"/>
      <c r="O114" s="31"/>
      <c r="R114"/>
      <c r="T114" s="253"/>
      <c r="V114"/>
      <c r="W114"/>
      <c r="Y114"/>
      <c r="AB114"/>
    </row>
    <row r="115" spans="2:28" x14ac:dyDescent="0.25">
      <c r="B115" s="299" t="s">
        <v>647</v>
      </c>
      <c r="C115" s="299"/>
      <c r="D115" s="299"/>
      <c r="E115" s="299"/>
      <c r="G115" s="299" t="s">
        <v>647</v>
      </c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53"/>
      <c r="V115"/>
      <c r="W115"/>
      <c r="Y115"/>
      <c r="AB115"/>
    </row>
    <row r="116" spans="2:28" x14ac:dyDescent="0.25">
      <c r="B116" t="s">
        <v>246</v>
      </c>
      <c r="C116" s="1" t="s">
        <v>248</v>
      </c>
      <c r="D116" s="1" t="s">
        <v>261</v>
      </c>
      <c r="E116" s="4" t="s">
        <v>249</v>
      </c>
      <c r="G116" s="186" t="s">
        <v>798</v>
      </c>
      <c r="H116" s="186" t="s">
        <v>799</v>
      </c>
      <c r="I116" s="186" t="s">
        <v>800</v>
      </c>
      <c r="J116" s="186" t="s">
        <v>815</v>
      </c>
      <c r="K116" s="186" t="s">
        <v>816</v>
      </c>
      <c r="L116" s="186" t="s">
        <v>1125</v>
      </c>
      <c r="M116" s="187" t="s">
        <v>817</v>
      </c>
      <c r="N116" s="187" t="s">
        <v>818</v>
      </c>
      <c r="O116" s="187" t="s">
        <v>819</v>
      </c>
      <c r="P116" s="186" t="s">
        <v>820</v>
      </c>
      <c r="Q116" s="189" t="s">
        <v>847</v>
      </c>
      <c r="R116" s="186" t="s">
        <v>85</v>
      </c>
      <c r="S116" s="196">
        <f>+SUM(R117:R121)</f>
        <v>0</v>
      </c>
      <c r="T116" s="253"/>
      <c r="V116"/>
      <c r="W116"/>
      <c r="Y116"/>
      <c r="AB116"/>
    </row>
    <row r="117" spans="2:28" x14ac:dyDescent="0.25">
      <c r="B117" t="s">
        <v>789</v>
      </c>
      <c r="C117" s="1" t="s">
        <v>260</v>
      </c>
      <c r="D117" s="1" t="s">
        <v>273</v>
      </c>
      <c r="E117" s="4">
        <v>3700</v>
      </c>
      <c r="G117" t="str">
        <f>+B117</f>
        <v>Geotextil tejido 1600</v>
      </c>
      <c r="H117" t="s">
        <v>76</v>
      </c>
      <c r="I117" s="1" t="str">
        <f>+C117</f>
        <v>M2</v>
      </c>
      <c r="J117" s="1" t="s">
        <v>855</v>
      </c>
      <c r="K117" s="1"/>
      <c r="L117" s="207">
        <v>1</v>
      </c>
      <c r="M117" s="4">
        <f>+E117</f>
        <v>3700</v>
      </c>
      <c r="N117" s="31"/>
      <c r="O117" s="31"/>
      <c r="P117" t="s">
        <v>821</v>
      </c>
      <c r="Q117" s="190">
        <f>(SUMIFS('3. CD - Obra negra'!$O$4:$O$344,'3. CD - Obra negra'!$E$4:$E$344,G117))+(SUMIFS('4. CD - Obra gris'!$O$14:$O$74,'4. CD - Obra gris'!$E$14:$E$74,G117))+(SUMIFS('5, CD -Obra blanca'!$O$4:$O$151,'5, CD -Obra blanca'!$E$4:$E$151,G117))</f>
        <v>0</v>
      </c>
      <c r="R117" s="194">
        <f>+Q117*M117</f>
        <v>0</v>
      </c>
      <c r="T117" s="4"/>
      <c r="V117"/>
      <c r="W117"/>
      <c r="Y117"/>
      <c r="AB117"/>
    </row>
    <row r="118" spans="2:28" x14ac:dyDescent="0.25">
      <c r="B118" t="s">
        <v>790</v>
      </c>
      <c r="C118" s="1" t="s">
        <v>260</v>
      </c>
      <c r="D118" s="1" t="s">
        <v>273</v>
      </c>
      <c r="E118" s="4">
        <v>7500</v>
      </c>
      <c r="G118" t="str">
        <f>+B118</f>
        <v>Geotextil tejido 1800</v>
      </c>
      <c r="H118" t="s">
        <v>76</v>
      </c>
      <c r="I118" s="1" t="str">
        <f>+C118</f>
        <v>M2</v>
      </c>
      <c r="J118" s="1" t="s">
        <v>856</v>
      </c>
      <c r="K118" s="1"/>
      <c r="L118" s="207">
        <v>1</v>
      </c>
      <c r="M118" s="4">
        <f>+E118</f>
        <v>7500</v>
      </c>
      <c r="N118" s="31"/>
      <c r="O118" s="31"/>
      <c r="P118" t="s">
        <v>821</v>
      </c>
      <c r="Q118" s="190">
        <f>(SUMIFS('3. CD - Obra negra'!$O$4:$O$344,'3. CD - Obra negra'!$E$4:$E$344,G118))+(SUMIFS('4. CD - Obra gris'!$O$14:$O$74,'4. CD - Obra gris'!$E$14:$E$74,G118))+(SUMIFS('5, CD -Obra blanca'!$O$4:$O$151,'5, CD -Obra blanca'!$E$4:$E$151,G118))</f>
        <v>0</v>
      </c>
      <c r="R118" s="194">
        <f>+Q118*M118</f>
        <v>0</v>
      </c>
      <c r="T118" s="4"/>
      <c r="V118"/>
      <c r="W118"/>
      <c r="Y118"/>
      <c r="AB118"/>
    </row>
    <row r="119" spans="2:28" x14ac:dyDescent="0.25">
      <c r="B119" t="s">
        <v>648</v>
      </c>
      <c r="C119" s="1" t="s">
        <v>260</v>
      </c>
      <c r="D119" s="1" t="s">
        <v>650</v>
      </c>
      <c r="E119" s="4">
        <v>2500</v>
      </c>
      <c r="G119" t="str">
        <f>+B119</f>
        <v>Polisombra</v>
      </c>
      <c r="H119" t="s">
        <v>76</v>
      </c>
      <c r="I119" s="1" t="str">
        <f>+C119</f>
        <v>M2</v>
      </c>
      <c r="J119" s="1" t="s">
        <v>857</v>
      </c>
      <c r="K119" s="1"/>
      <c r="L119" s="207">
        <v>1</v>
      </c>
      <c r="M119" s="4">
        <f>+E119</f>
        <v>2500</v>
      </c>
      <c r="N119" s="31"/>
      <c r="O119" s="31"/>
      <c r="P119" t="s">
        <v>821</v>
      </c>
      <c r="Q119" s="190">
        <f>(SUMIFS('3. CD - Obra negra'!$O$4:$O$344,'3. CD - Obra negra'!$E$4:$E$344,G119))+(SUMIFS('4. CD - Obra gris'!$O$14:$O$74,'4. CD - Obra gris'!$E$14:$E$74,G119))+(SUMIFS('5, CD -Obra blanca'!$O$4:$O$151,'5, CD -Obra blanca'!$E$4:$E$151,G119))</f>
        <v>0</v>
      </c>
      <c r="R119" s="194">
        <f>+Q119*M119</f>
        <v>0</v>
      </c>
      <c r="T119" s="4"/>
      <c r="V119"/>
      <c r="W119"/>
      <c r="Y119"/>
      <c r="AB119"/>
    </row>
    <row r="120" spans="2:28" x14ac:dyDescent="0.25">
      <c r="B120" t="s">
        <v>649</v>
      </c>
      <c r="C120" s="1" t="s">
        <v>260</v>
      </c>
      <c r="D120" s="1" t="s">
        <v>273</v>
      </c>
      <c r="E120" s="4">
        <v>28000</v>
      </c>
      <c r="G120" t="str">
        <f>+B120</f>
        <v>Geomembrana estructural</v>
      </c>
      <c r="H120" t="s">
        <v>76</v>
      </c>
      <c r="I120" s="1" t="str">
        <f>+C120</f>
        <v>M2</v>
      </c>
      <c r="J120" s="1" t="s">
        <v>858</v>
      </c>
      <c r="K120" s="1"/>
      <c r="L120" s="207">
        <v>1</v>
      </c>
      <c r="M120" s="4">
        <f>+E120</f>
        <v>28000</v>
      </c>
      <c r="N120" s="31"/>
      <c r="O120" s="31"/>
      <c r="P120" t="s">
        <v>821</v>
      </c>
      <c r="Q120" s="190">
        <f>(SUMIFS('3. CD - Obra negra'!$O$4:$O$344,'3. CD - Obra negra'!$E$4:$E$344,G120))+(SUMIFS('4. CD - Obra gris'!$O$14:$O$74,'4. CD - Obra gris'!$E$14:$E$74,G120))+(SUMIFS('5, CD -Obra blanca'!$O$4:$O$151,'5, CD -Obra blanca'!$E$4:$E$151,G120))</f>
        <v>0</v>
      </c>
      <c r="R120" s="194">
        <f>+Q120*M120</f>
        <v>0</v>
      </c>
      <c r="T120" s="4"/>
      <c r="V120"/>
      <c r="W120"/>
      <c r="Y120"/>
      <c r="AB120"/>
    </row>
    <row r="121" spans="2:28" x14ac:dyDescent="0.25">
      <c r="C121" s="1"/>
      <c r="D121" s="1"/>
      <c r="E121" s="4"/>
      <c r="G121">
        <f>+B121</f>
        <v>0</v>
      </c>
      <c r="H121" t="s">
        <v>76</v>
      </c>
      <c r="I121" s="1">
        <f>+C121</f>
        <v>0</v>
      </c>
      <c r="J121" s="1">
        <f>+D121</f>
        <v>0</v>
      </c>
      <c r="K121" s="1"/>
      <c r="L121" s="207">
        <v>1</v>
      </c>
      <c r="M121" s="4">
        <f>+E121</f>
        <v>0</v>
      </c>
      <c r="N121" s="31"/>
      <c r="O121" s="31"/>
      <c r="P121" t="s">
        <v>821</v>
      </c>
      <c r="Q121" s="190">
        <f>(SUMIFS('3. CD - Obra negra'!$O$4:$O$344,'3. CD - Obra negra'!$E$4:$E$344,G121))+(SUMIFS('4. CD - Obra gris'!$O$14:$O$74,'4. CD - Obra gris'!$E$14:$E$74,G121))+(SUMIFS('5, CD -Obra blanca'!$O$4:$O$151,'5, CD -Obra blanca'!$E$4:$E$151,G121))</f>
        <v>0</v>
      </c>
      <c r="R121" s="194">
        <f>+Q121*M121</f>
        <v>0</v>
      </c>
      <c r="T121" s="4"/>
      <c r="V121"/>
      <c r="W121"/>
      <c r="Y121"/>
      <c r="AB121"/>
    </row>
    <row r="122" spans="2:28" x14ac:dyDescent="0.25">
      <c r="C122" s="1"/>
      <c r="D122" s="1"/>
      <c r="E122" s="4"/>
      <c r="I122" s="1"/>
      <c r="L122"/>
      <c r="M122" s="4"/>
      <c r="N122" s="31"/>
      <c r="O122" s="31"/>
      <c r="R122"/>
      <c r="T122" s="4"/>
      <c r="V122"/>
      <c r="W122"/>
      <c r="Y122"/>
      <c r="AB122"/>
    </row>
    <row r="123" spans="2:28" x14ac:dyDescent="0.25">
      <c r="B123" s="299" t="s">
        <v>292</v>
      </c>
      <c r="C123" s="299"/>
      <c r="D123" s="299"/>
      <c r="E123" s="299"/>
      <c r="G123" s="299" t="s">
        <v>292</v>
      </c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4"/>
      <c r="V123"/>
      <c r="W123"/>
      <c r="Y123"/>
      <c r="AB123"/>
    </row>
    <row r="124" spans="2:28" x14ac:dyDescent="0.25">
      <c r="B124" t="s">
        <v>246</v>
      </c>
      <c r="C124" s="1" t="s">
        <v>248</v>
      </c>
      <c r="D124" s="1" t="s">
        <v>261</v>
      </c>
      <c r="E124" s="4" t="s">
        <v>249</v>
      </c>
      <c r="G124" s="186" t="s">
        <v>798</v>
      </c>
      <c r="H124" s="186" t="s">
        <v>799</v>
      </c>
      <c r="I124" s="186" t="s">
        <v>800</v>
      </c>
      <c r="J124" s="186" t="s">
        <v>815</v>
      </c>
      <c r="K124" s="186" t="s">
        <v>816</v>
      </c>
      <c r="L124" s="186" t="s">
        <v>1125</v>
      </c>
      <c r="M124" s="187" t="s">
        <v>817</v>
      </c>
      <c r="N124" s="187" t="s">
        <v>818</v>
      </c>
      <c r="O124" s="187" t="s">
        <v>819</v>
      </c>
      <c r="P124" s="186" t="s">
        <v>820</v>
      </c>
      <c r="Q124" s="189" t="s">
        <v>847</v>
      </c>
      <c r="R124" s="186" t="s">
        <v>85</v>
      </c>
      <c r="S124" s="196">
        <f>+SUM(R125:R129)</f>
        <v>3109507</v>
      </c>
      <c r="T124" s="4"/>
      <c r="V124"/>
      <c r="W124"/>
      <c r="Y124"/>
      <c r="AB124"/>
    </row>
    <row r="125" spans="2:28" x14ac:dyDescent="0.25">
      <c r="B125" t="s">
        <v>277</v>
      </c>
      <c r="C125" s="1" t="s">
        <v>260</v>
      </c>
      <c r="D125" s="1" t="s">
        <v>292</v>
      </c>
      <c r="E125" s="4">
        <v>54000</v>
      </c>
      <c r="G125" t="str">
        <f>+B125</f>
        <v>Formaleta primadera 1 uso 19mm</v>
      </c>
      <c r="H125" t="s">
        <v>76</v>
      </c>
      <c r="I125" s="1" t="str">
        <f>+C125</f>
        <v>M2</v>
      </c>
      <c r="J125" s="1" t="s">
        <v>859</v>
      </c>
      <c r="K125" s="1"/>
      <c r="L125" s="207">
        <v>1</v>
      </c>
      <c r="M125" s="4">
        <f>+E125</f>
        <v>54000</v>
      </c>
      <c r="N125" s="31"/>
      <c r="O125" s="31">
        <v>0</v>
      </c>
      <c r="P125" t="s">
        <v>821</v>
      </c>
      <c r="Q125" s="190">
        <f>(SUMIFS('3. CD - Obra negra'!$O$4:$O$344,'3. CD - Obra negra'!$E$4:$E$344,G125))+(SUMIFS('4. CD - Obra gris'!$O$14:$O$74,'4. CD - Obra gris'!$E$14:$E$74,G125))+(SUMIFS('5, CD -Obra blanca'!$O$4:$O$151,'5, CD -Obra blanca'!$E$4:$E$151,G125))</f>
        <v>0</v>
      </c>
      <c r="R125" s="194">
        <f>+Q125*M125</f>
        <v>0</v>
      </c>
      <c r="T125" s="4"/>
      <c r="V125"/>
      <c r="W125"/>
      <c r="Y125"/>
      <c r="AB125"/>
    </row>
    <row r="126" spans="2:28" x14ac:dyDescent="0.25">
      <c r="B126" t="s">
        <v>1329</v>
      </c>
      <c r="C126" s="1" t="s">
        <v>1330</v>
      </c>
      <c r="D126" s="1" t="s">
        <v>292</v>
      </c>
      <c r="E126" s="4">
        <v>25000</v>
      </c>
      <c r="G126" t="str">
        <f>+B126</f>
        <v>Alquiler formaleta columna</v>
      </c>
      <c r="H126" t="s">
        <v>76</v>
      </c>
      <c r="I126" s="1" t="str">
        <f>+C126</f>
        <v>ML/DÍA</v>
      </c>
      <c r="J126" s="1" t="s">
        <v>1331</v>
      </c>
      <c r="K126" s="1"/>
      <c r="L126" s="207">
        <v>1</v>
      </c>
      <c r="M126" s="4">
        <f>+E126</f>
        <v>25000</v>
      </c>
      <c r="N126" s="31"/>
      <c r="O126" s="31"/>
      <c r="P126" t="s">
        <v>821</v>
      </c>
      <c r="Q126" s="190">
        <f>(SUMIFS('3. CD - Obra negra'!$O$4:$O$344,'3. CD - Obra negra'!$E$4:$E$344,G126))+(SUMIFS('4. CD - Obra gris'!$O$14:$O$74,'4. CD - Obra gris'!$E$14:$E$74,G126))+(SUMIFS('5, CD -Obra blanca'!$O$4:$O$151,'5, CD -Obra blanca'!$E$4:$E$151,G126))</f>
        <v>75.974999999999994</v>
      </c>
      <c r="R126" s="194">
        <f>+Q126*M126</f>
        <v>1899374.9999999998</v>
      </c>
      <c r="T126" s="4"/>
      <c r="V126"/>
      <c r="W126"/>
      <c r="Y126"/>
      <c r="AB126"/>
    </row>
    <row r="127" spans="2:28" x14ac:dyDescent="0.25">
      <c r="B127" t="s">
        <v>1332</v>
      </c>
      <c r="C127" s="1" t="s">
        <v>1333</v>
      </c>
      <c r="D127" s="1" t="s">
        <v>292</v>
      </c>
      <c r="E127" s="4">
        <v>2500</v>
      </c>
      <c r="G127" t="str">
        <f>+B127</f>
        <v>Alquiler formaleta muro</v>
      </c>
      <c r="H127" t="s">
        <v>76</v>
      </c>
      <c r="I127" s="1" t="str">
        <f>+C127</f>
        <v>M2/DÍA</v>
      </c>
      <c r="J127" s="1" t="s">
        <v>1331</v>
      </c>
      <c r="K127" s="1"/>
      <c r="L127" s="207">
        <v>1</v>
      </c>
      <c r="M127" s="4">
        <f>+E127</f>
        <v>2500</v>
      </c>
      <c r="N127" s="31"/>
      <c r="O127" s="31"/>
      <c r="P127" t="s">
        <v>821</v>
      </c>
      <c r="Q127" s="190">
        <f>(SUMIFS('3. CD - Obra negra'!$O$4:$O$344,'3. CD - Obra negra'!$E$4:$E$344,G127))+(SUMIFS('4. CD - Obra gris'!$O$14:$O$74,'4. CD - Obra gris'!$E$14:$E$74,G127))+(SUMIFS('5, CD -Obra blanca'!$O$4:$O$151,'5, CD -Obra blanca'!$E$4:$E$151,G127))</f>
        <v>0</v>
      </c>
      <c r="R127" s="194">
        <f>+Q127*M127</f>
        <v>0</v>
      </c>
      <c r="T127" s="4"/>
      <c r="V127"/>
      <c r="W127"/>
      <c r="Y127"/>
      <c r="AB127"/>
    </row>
    <row r="128" spans="2:28" x14ac:dyDescent="0.25">
      <c r="B128" t="s">
        <v>1264</v>
      </c>
      <c r="C128" s="1" t="s">
        <v>271</v>
      </c>
      <c r="D128" s="1" t="s">
        <v>292</v>
      </c>
      <c r="E128" s="4">
        <v>10000</v>
      </c>
      <c r="G128" t="str">
        <f>+B128</f>
        <v>Paral telescópico</v>
      </c>
      <c r="H128" t="s">
        <v>76</v>
      </c>
      <c r="I128" s="1" t="str">
        <f>+C128</f>
        <v>DÍA</v>
      </c>
      <c r="J128" s="1" t="s">
        <v>1265</v>
      </c>
      <c r="K128" s="1"/>
      <c r="L128" s="207">
        <v>1</v>
      </c>
      <c r="M128" s="4">
        <f>+E128</f>
        <v>10000</v>
      </c>
      <c r="N128" s="31"/>
      <c r="O128" s="31"/>
      <c r="P128" t="s">
        <v>821</v>
      </c>
      <c r="Q128" s="190">
        <f>(SUMIFS('3. CD - Obra negra'!$O$4:$O$344,'3. CD - Obra negra'!$E$4:$E$344,G128))+(SUMIFS('4. CD - Obra gris'!$O$14:$O$74,'4. CD - Obra gris'!$E$14:$E$74,G128))+(SUMIFS('5, CD -Obra blanca'!$O$4:$O$151,'5, CD -Obra blanca'!$E$4:$E$151,G128))</f>
        <v>0</v>
      </c>
      <c r="R128" s="194">
        <f>+Q128*M128</f>
        <v>0</v>
      </c>
      <c r="T128" s="4"/>
      <c r="V128"/>
      <c r="W128"/>
      <c r="Y128"/>
      <c r="AB128"/>
    </row>
    <row r="129" spans="2:28" x14ac:dyDescent="0.25">
      <c r="B129" t="s">
        <v>289</v>
      </c>
      <c r="C129" s="1" t="s">
        <v>335</v>
      </c>
      <c r="D129" s="1" t="s">
        <v>292</v>
      </c>
      <c r="E129" s="4">
        <v>14000</v>
      </c>
      <c r="G129" t="str">
        <f>+B129</f>
        <v>Tabla burra 3m - 2 usos</v>
      </c>
      <c r="H129" t="s">
        <v>76</v>
      </c>
      <c r="I129" s="1" t="str">
        <f>+C129</f>
        <v>ML</v>
      </c>
      <c r="J129" s="1" t="s">
        <v>860</v>
      </c>
      <c r="K129" s="1"/>
      <c r="L129" s="207">
        <v>1</v>
      </c>
      <c r="M129" s="4">
        <f>+E129</f>
        <v>14000</v>
      </c>
      <c r="N129" s="31"/>
      <c r="O129" s="31"/>
      <c r="P129" t="s">
        <v>821</v>
      </c>
      <c r="Q129" s="190">
        <f>(SUMIFS('3. CD - Obra negra'!$O$4:$O$344,'3. CD - Obra negra'!$E$4:$E$344,G129))+(SUMIFS('4. CD - Obra gris'!$O$14:$O$74,'4. CD - Obra gris'!$E$14:$E$74,G129))+(SUMIFS('5, CD -Obra blanca'!$O$4:$O$151,'5, CD -Obra blanca'!$E$4:$E$151,G129))</f>
        <v>86.438000000000002</v>
      </c>
      <c r="R129" s="194">
        <f>+Q129*M129</f>
        <v>1210132</v>
      </c>
      <c r="T129" s="4"/>
      <c r="V129"/>
      <c r="W129"/>
      <c r="Y129"/>
      <c r="AB129"/>
    </row>
    <row r="130" spans="2:28" x14ac:dyDescent="0.25">
      <c r="C130" s="1"/>
      <c r="D130" s="1"/>
      <c r="E130" s="4"/>
      <c r="I130" s="1"/>
      <c r="L130"/>
      <c r="M130" s="4"/>
      <c r="N130" s="31"/>
      <c r="O130" s="31"/>
      <c r="R130"/>
      <c r="T130" s="4"/>
      <c r="V130"/>
      <c r="W130"/>
      <c r="Y130"/>
      <c r="AB130"/>
    </row>
    <row r="131" spans="2:28" x14ac:dyDescent="0.25">
      <c r="B131" s="299" t="s">
        <v>651</v>
      </c>
      <c r="C131" s="299"/>
      <c r="D131" s="299"/>
      <c r="E131" s="299"/>
      <c r="G131" s="299" t="s">
        <v>651</v>
      </c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4"/>
      <c r="V131"/>
      <c r="W131"/>
      <c r="Y131"/>
      <c r="AB131"/>
    </row>
    <row r="132" spans="2:28" x14ac:dyDescent="0.25">
      <c r="B132" t="s">
        <v>246</v>
      </c>
      <c r="C132" s="1" t="s">
        <v>248</v>
      </c>
      <c r="D132" s="1" t="s">
        <v>261</v>
      </c>
      <c r="E132" s="4" t="s">
        <v>249</v>
      </c>
      <c r="G132" s="186" t="s">
        <v>798</v>
      </c>
      <c r="H132" s="186" t="s">
        <v>799</v>
      </c>
      <c r="I132" s="186" t="s">
        <v>800</v>
      </c>
      <c r="J132" s="186" t="s">
        <v>815</v>
      </c>
      <c r="K132" s="186" t="s">
        <v>816</v>
      </c>
      <c r="L132" s="186" t="s">
        <v>1125</v>
      </c>
      <c r="M132" s="187" t="s">
        <v>817</v>
      </c>
      <c r="N132" s="187" t="s">
        <v>818</v>
      </c>
      <c r="O132" s="187" t="s">
        <v>819</v>
      </c>
      <c r="P132" s="186" t="s">
        <v>820</v>
      </c>
      <c r="Q132" s="189" t="s">
        <v>847</v>
      </c>
      <c r="R132" s="186" t="s">
        <v>85</v>
      </c>
      <c r="S132" s="196">
        <f>+SUM(R133:R145)</f>
        <v>12149000</v>
      </c>
      <c r="T132" s="4"/>
      <c r="V132"/>
      <c r="W132"/>
      <c r="Y132"/>
      <c r="AB132"/>
    </row>
    <row r="133" spans="2:28" x14ac:dyDescent="0.25">
      <c r="B133" t="s">
        <v>1291</v>
      </c>
      <c r="C133" s="1" t="s">
        <v>271</v>
      </c>
      <c r="D133" s="1" t="s">
        <v>652</v>
      </c>
      <c r="E133" s="4">
        <v>95000</v>
      </c>
      <c r="G133" t="str">
        <f>+B133</f>
        <v>Alquiler canguro</v>
      </c>
      <c r="H133" t="s">
        <v>76</v>
      </c>
      <c r="I133" s="1" t="str">
        <f>+C133</f>
        <v>DÍA</v>
      </c>
      <c r="J133" s="1" t="s">
        <v>1293</v>
      </c>
      <c r="K133" s="1"/>
      <c r="L133" s="207">
        <v>1</v>
      </c>
      <c r="N133" s="31"/>
      <c r="O133" s="4">
        <f t="shared" ref="O133:O145" si="18">+E133</f>
        <v>95000</v>
      </c>
      <c r="P133" t="s">
        <v>821</v>
      </c>
      <c r="Q133" s="190">
        <f>(SUMIFS('3. CD - Obra negra'!$O$4:$O$344,'3. CD - Obra negra'!$E$4:$E$344,G133))+(SUMIFS('4. CD - Obra gris'!$O$14:$O$74,'4. CD - Obra gris'!$E$14:$E$74,G133))+(SUMIFS('5, CD -Obra blanca'!$O$4:$O$151,'5, CD -Obra blanca'!$E$4:$E$151,G133))</f>
        <v>23</v>
      </c>
      <c r="R133" s="194">
        <f t="shared" ref="R133:R145" si="19">+Q133*O133</f>
        <v>2185000</v>
      </c>
      <c r="T133" s="4"/>
      <c r="V133"/>
      <c r="W133"/>
      <c r="Y133"/>
      <c r="AB133"/>
    </row>
    <row r="134" spans="2:28" x14ac:dyDescent="0.25">
      <c r="B134" t="s">
        <v>1292</v>
      </c>
      <c r="C134" s="1" t="s">
        <v>271</v>
      </c>
      <c r="D134" s="1" t="s">
        <v>652</v>
      </c>
      <c r="E134" s="4">
        <v>80000</v>
      </c>
      <c r="G134" t="str">
        <f>+B134</f>
        <v>Alquiler rana</v>
      </c>
      <c r="H134" t="s">
        <v>76</v>
      </c>
      <c r="I134" s="1" t="str">
        <f>+C134</f>
        <v>DÍA</v>
      </c>
      <c r="J134" s="1" t="s">
        <v>1294</v>
      </c>
      <c r="K134" s="1"/>
      <c r="L134" s="207">
        <v>1</v>
      </c>
      <c r="N134" s="31"/>
      <c r="O134" s="4">
        <f>+E134</f>
        <v>80000</v>
      </c>
      <c r="P134" t="s">
        <v>821</v>
      </c>
      <c r="Q134" s="190">
        <f>(SUMIFS('3. CD - Obra negra'!$O$4:$O$344,'3. CD - Obra negra'!$E$4:$E$344,G134))+(SUMIFS('4. CD - Obra gris'!$O$14:$O$74,'4. CD - Obra gris'!$E$14:$E$74,G134))+(SUMIFS('5, CD -Obra blanca'!$O$4:$O$151,'5, CD -Obra blanca'!$E$4:$E$151,G134))</f>
        <v>0</v>
      </c>
      <c r="R134" s="194">
        <f>+Q134*O134</f>
        <v>0</v>
      </c>
      <c r="T134" s="4"/>
      <c r="V134"/>
      <c r="W134"/>
      <c r="Y134"/>
      <c r="AB134"/>
    </row>
    <row r="135" spans="2:28" x14ac:dyDescent="0.25">
      <c r="B135" t="s">
        <v>268</v>
      </c>
      <c r="C135" s="1" t="s">
        <v>271</v>
      </c>
      <c r="D135" s="1" t="s">
        <v>652</v>
      </c>
      <c r="E135" s="279">
        <v>110000</v>
      </c>
      <c r="G135" t="str">
        <f>+B135</f>
        <v>Alquiler trompo</v>
      </c>
      <c r="H135" t="s">
        <v>76</v>
      </c>
      <c r="I135" s="1" t="str">
        <f t="shared" ref="I135:I145" si="20">+C135</f>
        <v>DÍA</v>
      </c>
      <c r="J135" s="1" t="s">
        <v>861</v>
      </c>
      <c r="K135" s="1"/>
      <c r="L135" s="207">
        <v>1</v>
      </c>
      <c r="N135" s="31"/>
      <c r="O135" s="4">
        <f t="shared" si="18"/>
        <v>110000</v>
      </c>
      <c r="P135" t="s">
        <v>821</v>
      </c>
      <c r="Q135" s="190">
        <f>(SUMIFS('3. CD - Obra negra'!$O$4:$O$344,'3. CD - Obra negra'!$E$4:$E$344,G135))+(SUMIFS('4. CD - Obra gris'!$O$14:$O$74,'4. CD - Obra gris'!$E$14:$E$74,G135))+(SUMIFS('5, CD -Obra blanca'!$O$4:$O$151,'5, CD -Obra blanca'!$E$4:$E$151,G135))</f>
        <v>0</v>
      </c>
      <c r="R135" s="194">
        <f t="shared" si="19"/>
        <v>0</v>
      </c>
      <c r="T135" s="4"/>
      <c r="V135"/>
      <c r="W135"/>
      <c r="Y135"/>
      <c r="AB135"/>
    </row>
    <row r="136" spans="2:28" x14ac:dyDescent="0.25">
      <c r="B136" t="s">
        <v>786</v>
      </c>
      <c r="C136" s="1" t="s">
        <v>271</v>
      </c>
      <c r="D136" s="1" t="s">
        <v>652</v>
      </c>
      <c r="E136" s="4">
        <v>53000</v>
      </c>
      <c r="G136" t="str">
        <f t="shared" ref="G136:G145" si="21">+B136</f>
        <v>Alquiler vibrador eléctrico</v>
      </c>
      <c r="H136" t="s">
        <v>76</v>
      </c>
      <c r="I136" s="1" t="str">
        <f t="shared" si="20"/>
        <v>DÍA</v>
      </c>
      <c r="J136" s="1" t="s">
        <v>862</v>
      </c>
      <c r="K136" s="1"/>
      <c r="L136" s="207">
        <v>1</v>
      </c>
      <c r="N136" s="31"/>
      <c r="O136" s="4">
        <f t="shared" si="18"/>
        <v>53000</v>
      </c>
      <c r="P136" t="s">
        <v>821</v>
      </c>
      <c r="Q136" s="190">
        <f>(SUMIFS('3. CD - Obra negra'!$O$4:$O$344,'3. CD - Obra negra'!$E$4:$E$344,G136))+(SUMIFS('4. CD - Obra gris'!$O$14:$O$74,'4. CD - Obra gris'!$E$14:$E$74,G136))+(SUMIFS('5, CD -Obra blanca'!$O$4:$O$151,'5, CD -Obra blanca'!$E$4:$E$151,G136))</f>
        <v>3</v>
      </c>
      <c r="R136" s="194">
        <f t="shared" si="19"/>
        <v>159000</v>
      </c>
      <c r="T136" s="4"/>
      <c r="V136"/>
      <c r="W136"/>
      <c r="Y136"/>
      <c r="AB136"/>
    </row>
    <row r="137" spans="2:28" x14ac:dyDescent="0.25">
      <c r="B137" t="s">
        <v>787</v>
      </c>
      <c r="C137" s="1" t="s">
        <v>271</v>
      </c>
      <c r="D137" s="1" t="s">
        <v>652</v>
      </c>
      <c r="E137" s="4">
        <v>25000</v>
      </c>
      <c r="G137" t="str">
        <f t="shared" si="21"/>
        <v>Alquiler vibrador a gasolina</v>
      </c>
      <c r="H137" t="s">
        <v>76</v>
      </c>
      <c r="I137" s="1" t="str">
        <f t="shared" si="20"/>
        <v>DÍA</v>
      </c>
      <c r="J137" s="1" t="s">
        <v>863</v>
      </c>
      <c r="K137" s="1"/>
      <c r="L137" s="207">
        <v>1</v>
      </c>
      <c r="N137" s="31"/>
      <c r="O137" s="4">
        <f t="shared" si="18"/>
        <v>25000</v>
      </c>
      <c r="P137" t="s">
        <v>821</v>
      </c>
      <c r="Q137" s="190">
        <f>(SUMIFS('3. CD - Obra negra'!$O$4:$O$344,'3. CD - Obra negra'!$E$4:$E$344,G137))+(SUMIFS('4. CD - Obra gris'!$O$14:$O$74,'4. CD - Obra gris'!$E$14:$E$74,G137))+(SUMIFS('5, CD -Obra blanca'!$O$4:$O$151,'5, CD -Obra blanca'!$E$4:$E$151,G137))</f>
        <v>0</v>
      </c>
      <c r="R137" s="194">
        <f t="shared" si="19"/>
        <v>0</v>
      </c>
      <c r="T137" s="4"/>
      <c r="V137"/>
      <c r="W137"/>
      <c r="Y137"/>
      <c r="AB137"/>
    </row>
    <row r="138" spans="2:28" x14ac:dyDescent="0.25">
      <c r="B138" t="s">
        <v>1808</v>
      </c>
      <c r="C138" s="1" t="s">
        <v>126</v>
      </c>
      <c r="D138" s="1" t="s">
        <v>652</v>
      </c>
      <c r="E138" s="279">
        <v>1700000</v>
      </c>
      <c r="G138" t="str">
        <f>+B138</f>
        <v>Compra trompo 1/2 bto</v>
      </c>
      <c r="H138" t="s">
        <v>76</v>
      </c>
      <c r="I138" s="1" t="str">
        <f>+C138</f>
        <v>UND</v>
      </c>
      <c r="J138" s="1" t="s">
        <v>1810</v>
      </c>
      <c r="K138" s="1"/>
      <c r="L138" s="207">
        <v>1</v>
      </c>
      <c r="N138" s="31"/>
      <c r="O138" s="4">
        <f>+E138</f>
        <v>1700000</v>
      </c>
      <c r="P138" t="s">
        <v>821</v>
      </c>
      <c r="Q138" s="190">
        <f>(SUMIFS('3. CD - Obra negra'!$O$4:$O$344,'3. CD - Obra negra'!$E$4:$E$344,G138))+(SUMIFS('4. CD - Obra gris'!$O$14:$O$74,'4. CD - Obra gris'!$E$14:$E$74,G138))+(SUMIFS('5, CD -Obra blanca'!$O$4:$O$151,'5, CD -Obra blanca'!$E$4:$E$151,G138))</f>
        <v>1</v>
      </c>
      <c r="R138" s="194">
        <f>+Q138*O138</f>
        <v>1700000</v>
      </c>
      <c r="T138" s="4"/>
      <c r="V138"/>
      <c r="W138"/>
      <c r="Y138"/>
      <c r="AB138"/>
    </row>
    <row r="139" spans="2:28" x14ac:dyDescent="0.25">
      <c r="B139" t="s">
        <v>1809</v>
      </c>
      <c r="C139" s="1" t="s">
        <v>126</v>
      </c>
      <c r="D139" s="1" t="s">
        <v>652</v>
      </c>
      <c r="E139" s="4">
        <v>2100000</v>
      </c>
      <c r="G139" t="str">
        <f>+B139</f>
        <v>Compra vibrador eléctrico 2HP</v>
      </c>
      <c r="H139" t="s">
        <v>76</v>
      </c>
      <c r="I139" s="1" t="str">
        <f>+C139</f>
        <v>UND</v>
      </c>
      <c r="J139" s="1" t="s">
        <v>1811</v>
      </c>
      <c r="K139" s="1"/>
      <c r="L139" s="207">
        <v>1</v>
      </c>
      <c r="N139" s="31"/>
      <c r="O139" s="4">
        <f>+E139</f>
        <v>2100000</v>
      </c>
      <c r="P139" t="s">
        <v>821</v>
      </c>
      <c r="Q139" s="190">
        <f>(SUMIFS('3. CD - Obra negra'!$O$4:$O$344,'3. CD - Obra negra'!$E$4:$E$344,G139))+(SUMIFS('4. CD - Obra gris'!$O$14:$O$74,'4. CD - Obra gris'!$E$14:$E$74,G139))+(SUMIFS('5, CD -Obra blanca'!$O$4:$O$151,'5, CD -Obra blanca'!$E$4:$E$151,G139))</f>
        <v>1</v>
      </c>
      <c r="R139" s="194">
        <f>+Q139*O139</f>
        <v>2100000</v>
      </c>
      <c r="T139" s="4"/>
      <c r="V139"/>
      <c r="W139"/>
      <c r="Y139"/>
      <c r="AB139"/>
    </row>
    <row r="140" spans="2:28" x14ac:dyDescent="0.25">
      <c r="B140" t="s">
        <v>1150</v>
      </c>
      <c r="C140" s="1" t="s">
        <v>1479</v>
      </c>
      <c r="D140" s="1" t="s">
        <v>652</v>
      </c>
      <c r="E140" s="4">
        <v>120000</v>
      </c>
      <c r="G140" t="str">
        <f>+B140</f>
        <v>Retroexcavadora</v>
      </c>
      <c r="H140" t="s">
        <v>76</v>
      </c>
      <c r="I140" s="1" t="str">
        <f>+C140</f>
        <v>HR</v>
      </c>
      <c r="J140" s="1" t="s">
        <v>863</v>
      </c>
      <c r="K140" s="1"/>
      <c r="L140" s="207">
        <v>1</v>
      </c>
      <c r="N140" s="31"/>
      <c r="O140" s="4">
        <f>+E140</f>
        <v>120000</v>
      </c>
      <c r="P140" t="s">
        <v>821</v>
      </c>
      <c r="Q140" s="190">
        <f>(SUMIFS('3. CD - Obra negra'!$O$4:$O$344,'3. CD - Obra negra'!$E$4:$E$344,G140))+(SUMIFS('4. CD - Obra gris'!$O$14:$O$74,'4. CD - Obra gris'!$E$14:$E$74,G140))+(SUMIFS('5, CD -Obra blanca'!$O$4:$O$151,'5, CD -Obra blanca'!$E$4:$E$151,G140))</f>
        <v>24</v>
      </c>
      <c r="R140" s="194">
        <f>+Q140*O140</f>
        <v>2880000</v>
      </c>
      <c r="T140" s="4"/>
      <c r="V140"/>
      <c r="W140"/>
      <c r="Y140"/>
      <c r="AB140"/>
    </row>
    <row r="141" spans="2:28" x14ac:dyDescent="0.25">
      <c r="B141" t="s">
        <v>653</v>
      </c>
      <c r="C141" s="1" t="s">
        <v>271</v>
      </c>
      <c r="D141" s="1" t="s">
        <v>652</v>
      </c>
      <c r="E141" s="4">
        <v>220000</v>
      </c>
      <c r="G141" t="str">
        <f t="shared" si="21"/>
        <v>Grúa hidráulica</v>
      </c>
      <c r="H141" t="s">
        <v>76</v>
      </c>
      <c r="I141" s="1" t="str">
        <f t="shared" si="20"/>
        <v>DÍA</v>
      </c>
      <c r="J141" s="1" t="s">
        <v>864</v>
      </c>
      <c r="K141" s="1"/>
      <c r="L141" s="207">
        <v>1</v>
      </c>
      <c r="N141" s="31"/>
      <c r="O141" s="4">
        <f t="shared" si="18"/>
        <v>220000</v>
      </c>
      <c r="P141" t="s">
        <v>821</v>
      </c>
      <c r="Q141" s="190">
        <f>(SUMIFS('3. CD - Obra negra'!$O$4:$O$344,'3. CD - Obra negra'!$E$4:$E$344,G141))+(SUMIFS('4. CD - Obra gris'!$O$14:$O$74,'4. CD - Obra gris'!$E$14:$E$74,G141))+(SUMIFS('5, CD -Obra blanca'!$O$4:$O$151,'5, CD -Obra blanca'!$E$4:$E$151,G141))</f>
        <v>0</v>
      </c>
      <c r="R141" s="194">
        <f t="shared" si="19"/>
        <v>0</v>
      </c>
      <c r="T141" s="4"/>
      <c r="V141"/>
      <c r="W141"/>
      <c r="Y141"/>
      <c r="AB141"/>
    </row>
    <row r="142" spans="2:28" x14ac:dyDescent="0.25">
      <c r="B142" t="s">
        <v>655</v>
      </c>
      <c r="C142" s="1" t="s">
        <v>126</v>
      </c>
      <c r="D142" s="1" t="s">
        <v>652</v>
      </c>
      <c r="E142" s="4">
        <v>700000</v>
      </c>
      <c r="G142" t="str">
        <f t="shared" si="21"/>
        <v>Planta monofásica gasolina 1,8kv</v>
      </c>
      <c r="H142" t="s">
        <v>76</v>
      </c>
      <c r="I142" s="1" t="str">
        <f t="shared" si="20"/>
        <v>UND</v>
      </c>
      <c r="J142" s="1" t="s">
        <v>865</v>
      </c>
      <c r="K142" s="1"/>
      <c r="L142" s="207">
        <v>1</v>
      </c>
      <c r="N142" s="31"/>
      <c r="O142" s="4">
        <f t="shared" si="18"/>
        <v>700000</v>
      </c>
      <c r="P142" t="s">
        <v>821</v>
      </c>
      <c r="Q142" s="190">
        <f>(SUMIFS('3. CD - Obra negra'!$O$4:$O$344,'3. CD - Obra negra'!$E$4:$E$344,G142))+(SUMIFS('4. CD - Obra gris'!$O$14:$O$74,'4. CD - Obra gris'!$E$14:$E$74,G142))+(SUMIFS('5, CD -Obra blanca'!$O$4:$O$151,'5, CD -Obra blanca'!$E$4:$E$151,G142))</f>
        <v>0</v>
      </c>
      <c r="R142" s="194">
        <f t="shared" si="19"/>
        <v>0</v>
      </c>
      <c r="T142" s="4"/>
      <c r="V142"/>
      <c r="W142"/>
      <c r="Y142"/>
      <c r="AB142"/>
    </row>
    <row r="143" spans="2:28" x14ac:dyDescent="0.25">
      <c r="B143" t="s">
        <v>1521</v>
      </c>
      <c r="C143" s="1" t="s">
        <v>271</v>
      </c>
      <c r="D143" s="1" t="s">
        <v>652</v>
      </c>
      <c r="E143" s="4">
        <v>15000</v>
      </c>
      <c r="G143" t="str">
        <f>+B143</f>
        <v>Alquiler cerchas</v>
      </c>
      <c r="H143" t="s">
        <v>76</v>
      </c>
      <c r="I143" s="1" t="str">
        <f>+C143</f>
        <v>DÍA</v>
      </c>
      <c r="J143" s="1" t="s">
        <v>866</v>
      </c>
      <c r="K143" s="1"/>
      <c r="L143" s="207">
        <v>1</v>
      </c>
      <c r="N143" s="31"/>
      <c r="O143" s="4">
        <f>+E143</f>
        <v>15000</v>
      </c>
      <c r="P143" t="s">
        <v>821</v>
      </c>
      <c r="Q143" s="190">
        <f>(SUMIFS('3. CD - Obra negra'!$O$4:$O$344,'3. CD - Obra negra'!$E$4:$E$344,G143))+(SUMIFS('4. CD - Obra gris'!$O$14:$O$74,'4. CD - Obra gris'!$E$14:$E$74,G143))+(SUMIFS('5, CD -Obra blanca'!$O$4:$O$151,'5, CD -Obra blanca'!$E$4:$E$151,G143))</f>
        <v>0</v>
      </c>
      <c r="R143" s="194">
        <f>+Q143*O143</f>
        <v>0</v>
      </c>
      <c r="T143" s="4"/>
      <c r="V143"/>
      <c r="W143"/>
      <c r="Y143"/>
      <c r="AB143"/>
    </row>
    <row r="144" spans="2:28" x14ac:dyDescent="0.25">
      <c r="B144" t="s">
        <v>1520</v>
      </c>
      <c r="C144" s="1" t="s">
        <v>271</v>
      </c>
      <c r="D144" s="1" t="s">
        <v>652</v>
      </c>
      <c r="E144" s="4">
        <v>25000</v>
      </c>
      <c r="G144" t="str">
        <f>+B144</f>
        <v>Alquiler gato</v>
      </c>
      <c r="H144" t="s">
        <v>76</v>
      </c>
      <c r="I144" s="1" t="str">
        <f>+C144</f>
        <v>DÍA</v>
      </c>
      <c r="J144" s="1" t="s">
        <v>866</v>
      </c>
      <c r="K144" s="1"/>
      <c r="L144" s="207">
        <v>1</v>
      </c>
      <c r="N144" s="31"/>
      <c r="O144" s="4">
        <f>+E144</f>
        <v>25000</v>
      </c>
      <c r="P144" t="s">
        <v>821</v>
      </c>
      <c r="Q144" s="190">
        <f>(SUMIFS('3. CD - Obra negra'!$O$4:$O$344,'3. CD - Obra negra'!$E$4:$E$344,G144))+(SUMIFS('4. CD - Obra gris'!$O$14:$O$74,'4. CD - Obra gris'!$E$14:$E$74,G144))+(SUMIFS('5, CD -Obra blanca'!$O$4:$O$151,'5, CD -Obra blanca'!$E$4:$E$151,G144))</f>
        <v>0</v>
      </c>
      <c r="R144" s="194">
        <f>+Q144*O144</f>
        <v>0</v>
      </c>
      <c r="T144" s="4"/>
      <c r="V144"/>
      <c r="W144"/>
      <c r="Y144"/>
      <c r="AB144"/>
    </row>
    <row r="145" spans="2:28" x14ac:dyDescent="0.25">
      <c r="B145" t="s">
        <v>511</v>
      </c>
      <c r="C145" s="1" t="s">
        <v>271</v>
      </c>
      <c r="D145" s="1" t="s">
        <v>652</v>
      </c>
      <c r="E145" s="4">
        <v>25000</v>
      </c>
      <c r="G145" t="str">
        <f t="shared" si="21"/>
        <v>Alquiler de andamios + planchón</v>
      </c>
      <c r="H145" t="s">
        <v>76</v>
      </c>
      <c r="I145" s="1" t="str">
        <f t="shared" si="20"/>
        <v>DÍA</v>
      </c>
      <c r="J145" s="1" t="s">
        <v>866</v>
      </c>
      <c r="K145" s="1"/>
      <c r="L145" s="207">
        <v>1</v>
      </c>
      <c r="N145" s="31"/>
      <c r="O145" s="4">
        <f t="shared" si="18"/>
        <v>25000</v>
      </c>
      <c r="P145" t="s">
        <v>821</v>
      </c>
      <c r="Q145" s="190">
        <f>(SUMIFS('3. CD - Obra negra'!$O$4:$O$344,'3. CD - Obra negra'!$E$4:$E$344,G145))+(SUMIFS('4. CD - Obra gris'!$O$14:$O$74,'4. CD - Obra gris'!$E$14:$E$74,G145))+(SUMIFS('5, CD -Obra blanca'!$O$4:$O$151,'5, CD -Obra blanca'!$E$4:$E$151,G145))</f>
        <v>125</v>
      </c>
      <c r="R145" s="194">
        <f t="shared" si="19"/>
        <v>3125000</v>
      </c>
      <c r="T145" s="4"/>
      <c r="V145"/>
      <c r="W145"/>
      <c r="Y145"/>
      <c r="AB145"/>
    </row>
    <row r="146" spans="2:28" x14ac:dyDescent="0.25">
      <c r="C146" s="1"/>
      <c r="D146" s="1"/>
      <c r="E146" s="4"/>
      <c r="I146" s="1"/>
      <c r="L146"/>
      <c r="M146" s="4"/>
      <c r="N146" s="31"/>
      <c r="O146" s="31"/>
      <c r="R146"/>
      <c r="T146" s="4"/>
      <c r="V146"/>
      <c r="W146"/>
      <c r="Y146"/>
      <c r="AB146"/>
    </row>
    <row r="147" spans="2:28" x14ac:dyDescent="0.25">
      <c r="B147" s="299" t="s">
        <v>252</v>
      </c>
      <c r="C147" s="299"/>
      <c r="D147" s="299"/>
      <c r="E147" s="299"/>
      <c r="G147" s="299" t="s">
        <v>252</v>
      </c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/>
      <c r="W147"/>
      <c r="Y147"/>
      <c r="AB147"/>
    </row>
    <row r="148" spans="2:28" x14ac:dyDescent="0.25">
      <c r="B148" s="299" t="s">
        <v>244</v>
      </c>
      <c r="C148" s="299"/>
      <c r="D148" s="299"/>
      <c r="E148" s="299"/>
      <c r="G148" s="299" t="s">
        <v>244</v>
      </c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t="s">
        <v>936</v>
      </c>
      <c r="S148" s="198" t="e">
        <f>+S149+S183</f>
        <v>#DIV/0!</v>
      </c>
      <c r="T148" t="s">
        <v>254</v>
      </c>
      <c r="U148" s="4">
        <f>+U149+U183</f>
        <v>44773908.883000001</v>
      </c>
      <c r="V148"/>
      <c r="W148"/>
      <c r="Y148"/>
      <c r="AB148"/>
    </row>
    <row r="149" spans="2:28" x14ac:dyDescent="0.25">
      <c r="B149" s="299" t="s">
        <v>1802</v>
      </c>
      <c r="C149" s="299"/>
      <c r="D149" s="299"/>
      <c r="E149" s="299"/>
      <c r="G149" s="299" t="s">
        <v>259</v>
      </c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t="s">
        <v>848</v>
      </c>
      <c r="S149" s="198" t="e">
        <f>+SUM(S151:S171)</f>
        <v>#DIV/0!</v>
      </c>
      <c r="T149" t="s">
        <v>250</v>
      </c>
      <c r="U149" s="4">
        <f>+SUM(U151:U171)</f>
        <v>43873908.883000001</v>
      </c>
      <c r="V149"/>
      <c r="W149"/>
      <c r="Y149"/>
      <c r="AB149"/>
    </row>
    <row r="150" spans="2:28" x14ac:dyDescent="0.25">
      <c r="B150" t="s">
        <v>246</v>
      </c>
      <c r="C150" s="1" t="s">
        <v>248</v>
      </c>
      <c r="D150" s="1" t="s">
        <v>261</v>
      </c>
      <c r="E150" s="4" t="s">
        <v>249</v>
      </c>
      <c r="G150" s="186" t="s">
        <v>798</v>
      </c>
      <c r="H150" s="186" t="s">
        <v>799</v>
      </c>
      <c r="I150" s="186" t="s">
        <v>800</v>
      </c>
      <c r="J150" s="186" t="s">
        <v>815</v>
      </c>
      <c r="K150" s="186" t="s">
        <v>816</v>
      </c>
      <c r="L150" s="186" t="s">
        <v>1125</v>
      </c>
      <c r="M150" s="187" t="s">
        <v>1117</v>
      </c>
      <c r="N150" s="187" t="s">
        <v>818</v>
      </c>
      <c r="O150" s="187" t="s">
        <v>819</v>
      </c>
      <c r="P150" s="186" t="s">
        <v>820</v>
      </c>
      <c r="Q150" s="189" t="s">
        <v>847</v>
      </c>
      <c r="R150" s="186" t="s">
        <v>937</v>
      </c>
      <c r="S150" s="186" t="s">
        <v>848</v>
      </c>
      <c r="T150" s="199" t="s">
        <v>994</v>
      </c>
      <c r="U150" s="199" t="s">
        <v>993</v>
      </c>
      <c r="V150"/>
      <c r="W150"/>
      <c r="Y150"/>
      <c r="AB150"/>
    </row>
    <row r="151" spans="2:28" x14ac:dyDescent="0.25">
      <c r="B151" t="s">
        <v>720</v>
      </c>
      <c r="C151" s="1" t="s">
        <v>126</v>
      </c>
      <c r="D151" s="1" t="s">
        <v>1802</v>
      </c>
      <c r="E151" s="4">
        <v>20000</v>
      </c>
      <c r="G151" t="str">
        <f t="shared" ref="G151:G156" si="22">+B151</f>
        <v>Excavación zapata</v>
      </c>
      <c r="H151" t="s">
        <v>938</v>
      </c>
      <c r="I151" s="1" t="str">
        <f>+C151</f>
        <v>UND</v>
      </c>
      <c r="J151" s="1" t="s">
        <v>867</v>
      </c>
      <c r="K151" s="1"/>
      <c r="L151" s="207">
        <v>2</v>
      </c>
      <c r="M151" s="4" t="e">
        <f>+(U151/S151)/8</f>
        <v>#DIV/0!</v>
      </c>
      <c r="N151" s="31"/>
      <c r="O151" s="31"/>
      <c r="P151" t="s">
        <v>821</v>
      </c>
      <c r="Q151" s="190">
        <f>(SUMIFS('3. CD - Obra negra'!$O$4:$O$344,'3. CD - Obra negra'!$E$4:$E$344,G151))+(SUMIFS('4. CD - Obra gris'!$O$14:$O$74,'4. CD - Obra gris'!$E$14:$E$74,G151))+(SUMIFS('5, CD -Obra blanca'!$O$4:$O$151,'5, CD -Obra blanca'!$E$4:$E$151,G151))</f>
        <v>0</v>
      </c>
      <c r="R151" s="197">
        <f>0.5*(Q151*(('3. CD - Obra negra'!F19*'3. CD - Obra negra'!F20)*'3. CD - Obra negra'!F21))</f>
        <v>0</v>
      </c>
      <c r="S151" s="42" t="e">
        <f>+Q151/R151</f>
        <v>#DIV/0!</v>
      </c>
      <c r="T151" s="4">
        <f>+E151</f>
        <v>20000</v>
      </c>
      <c r="U151" s="4">
        <f>+T151*Q151</f>
        <v>0</v>
      </c>
      <c r="V151"/>
      <c r="W151"/>
      <c r="Y151"/>
      <c r="AB151"/>
    </row>
    <row r="152" spans="2:28" x14ac:dyDescent="0.25">
      <c r="B152" t="s">
        <v>1346</v>
      </c>
      <c r="C152" s="1" t="s">
        <v>126</v>
      </c>
      <c r="D152" s="1" t="s">
        <v>1802</v>
      </c>
      <c r="E152" s="4">
        <v>80000</v>
      </c>
      <c r="G152" t="str">
        <f t="shared" si="22"/>
        <v>Fabricación zapata &lt;50x50</v>
      </c>
      <c r="H152" t="s">
        <v>938</v>
      </c>
      <c r="I152" s="1" t="str">
        <f t="shared" ref="I152:I171" si="23">+C152</f>
        <v>UND</v>
      </c>
      <c r="J152" s="1" t="s">
        <v>1347</v>
      </c>
      <c r="K152" s="1"/>
      <c r="L152" s="207">
        <f>+AVERAGE(L174:L176)</f>
        <v>2</v>
      </c>
      <c r="M152" s="4" t="e">
        <f t="shared" ref="M152:M171" si="24">+(U152/S152)/8</f>
        <v>#DIV/0!</v>
      </c>
      <c r="N152" s="31"/>
      <c r="O152" s="31"/>
      <c r="P152" t="s">
        <v>821</v>
      </c>
      <c r="Q152" s="190">
        <f>(SUMIFS('3. CD - Obra negra'!$O$4:$O$344,'3. CD - Obra negra'!$E$4:$E$344,G152))+(SUMIFS('4. CD - Obra gris'!$O$14:$O$74,'4. CD - Obra gris'!$E$14:$E$74,G152))+(SUMIFS('5, CD -Obra blanca'!$O$4:$O$151,'5, CD -Obra blanca'!$E$4:$E$151,G152))</f>
        <v>0</v>
      </c>
      <c r="R152" s="42">
        <f>+(S174+S175+S176)</f>
        <v>11.252052000000001</v>
      </c>
      <c r="S152" s="42">
        <f t="shared" ref="S152:S171" si="25">+Q152/R152</f>
        <v>0</v>
      </c>
      <c r="T152" s="4">
        <f t="shared" ref="T152:T171" si="26">+E152</f>
        <v>80000</v>
      </c>
      <c r="U152" s="4">
        <f t="shared" ref="U152:U171" si="27">+T152*Q152</f>
        <v>0</v>
      </c>
      <c r="V152"/>
      <c r="W152"/>
      <c r="Y152"/>
      <c r="AB152"/>
    </row>
    <row r="153" spans="2:28" x14ac:dyDescent="0.25">
      <c r="B153" t="s">
        <v>1345</v>
      </c>
      <c r="C153" s="1" t="s">
        <v>126</v>
      </c>
      <c r="D153" s="1" t="s">
        <v>1802</v>
      </c>
      <c r="E153" s="4">
        <v>200000</v>
      </c>
      <c r="G153" t="str">
        <f t="shared" si="22"/>
        <v>Fabricación zapata &gt;50x50</v>
      </c>
      <c r="H153" t="s">
        <v>938</v>
      </c>
      <c r="I153" s="1" t="str">
        <f>+C153</f>
        <v>UND</v>
      </c>
      <c r="J153" s="1" t="s">
        <v>1348</v>
      </c>
      <c r="K153" s="1"/>
      <c r="L153" s="207">
        <f>+AVERAGE(L175:L177)</f>
        <v>2</v>
      </c>
      <c r="M153" s="4">
        <f>+(U153/S153)/8</f>
        <v>140650.65000000002</v>
      </c>
      <c r="N153" s="31"/>
      <c r="O153" s="31"/>
      <c r="P153" t="s">
        <v>821</v>
      </c>
      <c r="Q153" s="190">
        <f>(SUMIFS('3. CD - Obra negra'!$O$4:$O$344,'3. CD - Obra negra'!$E$4:$E$344,G153))+(SUMIFS('4. CD - Obra gris'!$O$14:$O$74,'4. CD - Obra gris'!$E$14:$E$74,G153))+(SUMIFS('5, CD -Obra blanca'!$O$4:$O$151,'5, CD -Obra blanca'!$E$4:$E$151,G153))</f>
        <v>44</v>
      </c>
      <c r="R153" s="42">
        <f>+(S175+S176+S174)/2</f>
        <v>5.6260260000000004</v>
      </c>
      <c r="S153" s="42">
        <f>+Q153/R153</f>
        <v>7.8207957090848845</v>
      </c>
      <c r="T153" s="4">
        <f>+E153</f>
        <v>200000</v>
      </c>
      <c r="U153" s="4">
        <f>+T153*Q153</f>
        <v>8800000</v>
      </c>
      <c r="V153"/>
      <c r="W153"/>
      <c r="Y153"/>
      <c r="AB153"/>
    </row>
    <row r="154" spans="2:28" x14ac:dyDescent="0.25">
      <c r="B154" t="s">
        <v>721</v>
      </c>
      <c r="C154" s="1" t="s">
        <v>126</v>
      </c>
      <c r="D154" s="1" t="s">
        <v>1802</v>
      </c>
      <c r="E154" s="4">
        <v>50000</v>
      </c>
      <c r="G154" t="str">
        <f t="shared" si="22"/>
        <v>Fabricación pedestal</v>
      </c>
      <c r="H154" t="s">
        <v>938</v>
      </c>
      <c r="I154" s="1" t="str">
        <f t="shared" si="23"/>
        <v>UND</v>
      </c>
      <c r="J154" s="1" t="s">
        <v>859</v>
      </c>
      <c r="K154" s="1"/>
      <c r="L154" s="207">
        <f>+AVERAGE(L180:L181)</f>
        <v>2</v>
      </c>
      <c r="M154" s="4" t="e">
        <f t="shared" si="24"/>
        <v>#N/A</v>
      </c>
      <c r="N154" s="31"/>
      <c r="O154" s="31"/>
      <c r="P154" t="s">
        <v>821</v>
      </c>
      <c r="Q154" s="190">
        <f>(SUMIFS('3. CD - Obra negra'!$O$4:$O$344,'3. CD - Obra negra'!$E$4:$E$344,G154))+(SUMIFS('4. CD - Obra gris'!$O$14:$O$74,'4. CD - Obra gris'!$E$14:$E$74,G154))+(SUMIFS('5, CD -Obra blanca'!$O$4:$O$151,'5, CD -Obra blanca'!$E$4:$E$151,G154))</f>
        <v>62</v>
      </c>
      <c r="R154" s="42" t="e">
        <f>+S180+S181</f>
        <v>#N/A</v>
      </c>
      <c r="S154" s="42" t="e">
        <f t="shared" si="25"/>
        <v>#N/A</v>
      </c>
      <c r="T154" s="4">
        <f t="shared" si="26"/>
        <v>50000</v>
      </c>
      <c r="U154" s="4">
        <f t="shared" si="27"/>
        <v>3100000</v>
      </c>
      <c r="V154"/>
      <c r="W154"/>
      <c r="Y154"/>
      <c r="AB154"/>
    </row>
    <row r="155" spans="2:28" x14ac:dyDescent="0.25">
      <c r="B155" t="s">
        <v>1477</v>
      </c>
      <c r="C155" s="1" t="s">
        <v>126</v>
      </c>
      <c r="D155" s="1" t="s">
        <v>1802</v>
      </c>
      <c r="E155" s="4">
        <v>120000</v>
      </c>
      <c r="G155" t="str">
        <f t="shared" si="22"/>
        <v>Fabricación columna &lt;2M</v>
      </c>
      <c r="H155" t="s">
        <v>938</v>
      </c>
      <c r="I155" s="1" t="str">
        <f>+C155</f>
        <v>UND</v>
      </c>
      <c r="J155" s="1" t="s">
        <v>839</v>
      </c>
      <c r="K155" s="1"/>
      <c r="L155" s="207">
        <f>+AVERAGE(L181:L182)</f>
        <v>2</v>
      </c>
      <c r="M155" s="4">
        <f>+(U155/S155)/8</f>
        <v>45000</v>
      </c>
      <c r="N155" s="31"/>
      <c r="O155" s="31"/>
      <c r="P155" t="s">
        <v>821</v>
      </c>
      <c r="Q155" s="190">
        <f>(SUMIFS('3. CD - Obra negra'!$O$4:$O$344,'3. CD - Obra negra'!$E$4:$E$344,G155))+(SUMIFS('4. CD - Obra gris'!$O$14:$O$74,'4. CD - Obra gris'!$E$14:$E$74,G155))+(SUMIFS('5, CD -Obra blanca'!$O$4:$O$151,'5, CD -Obra blanca'!$E$4:$E$151,G155))</f>
        <v>46</v>
      </c>
      <c r="R155" s="42">
        <v>3</v>
      </c>
      <c r="S155" s="42">
        <f>+Q155/R155</f>
        <v>15.333333333333334</v>
      </c>
      <c r="T155" s="4">
        <f>+E155</f>
        <v>120000</v>
      </c>
      <c r="U155" s="4">
        <f>+T155*Q155</f>
        <v>5520000</v>
      </c>
      <c r="V155"/>
      <c r="W155"/>
      <c r="Y155"/>
      <c r="AB155"/>
    </row>
    <row r="156" spans="2:28" x14ac:dyDescent="0.25">
      <c r="B156" t="s">
        <v>1478</v>
      </c>
      <c r="C156" s="1" t="s">
        <v>126</v>
      </c>
      <c r="D156" s="1" t="s">
        <v>1802</v>
      </c>
      <c r="E156" s="4">
        <v>240000</v>
      </c>
      <c r="G156" t="str">
        <f t="shared" si="22"/>
        <v>Fabricación columna &gt;2M</v>
      </c>
      <c r="H156" t="s">
        <v>938</v>
      </c>
      <c r="I156" s="1" t="str">
        <f>+C156</f>
        <v>UND</v>
      </c>
      <c r="J156" s="1" t="s">
        <v>839</v>
      </c>
      <c r="K156" s="1"/>
      <c r="L156" s="207" t="e">
        <f>+AVERAGE(L182:L183)</f>
        <v>#DIV/0!</v>
      </c>
      <c r="M156" s="4" t="e">
        <f>+(U156/S156)/8</f>
        <v>#DIV/0!</v>
      </c>
      <c r="N156" s="31"/>
      <c r="O156" s="31"/>
      <c r="P156" t="s">
        <v>821</v>
      </c>
      <c r="Q156" s="190">
        <f>(SUMIFS('3. CD - Obra negra'!$O$4:$O$344,'3. CD - Obra negra'!$E$4:$E$344,G156))+(SUMIFS('4. CD - Obra gris'!$O$14:$O$74,'4. CD - Obra gris'!$E$14:$E$74,G156))+(SUMIFS('5, CD -Obra blanca'!$O$4:$O$151,'5, CD -Obra blanca'!$E$4:$E$151,G156))</f>
        <v>0</v>
      </c>
      <c r="R156" s="42">
        <v>3</v>
      </c>
      <c r="S156" s="42">
        <f>+Q156/R156</f>
        <v>0</v>
      </c>
      <c r="T156" s="4">
        <f>+E156</f>
        <v>240000</v>
      </c>
      <c r="U156" s="4">
        <f>+T156*Q156</f>
        <v>0</v>
      </c>
      <c r="V156"/>
      <c r="W156"/>
      <c r="Y156"/>
      <c r="AB156"/>
    </row>
    <row r="157" spans="2:28" x14ac:dyDescent="0.25">
      <c r="B157" t="s">
        <v>267</v>
      </c>
      <c r="C157" s="1" t="s">
        <v>269</v>
      </c>
      <c r="D157" s="1" t="s">
        <v>1802</v>
      </c>
      <c r="E157" s="4">
        <v>26000</v>
      </c>
      <c r="G157" t="str">
        <f t="shared" ref="G157:G171" si="28">+B157</f>
        <v>Excavación manual</v>
      </c>
      <c r="H157" t="s">
        <v>938</v>
      </c>
      <c r="I157" s="1" t="str">
        <f t="shared" si="23"/>
        <v>M3</v>
      </c>
      <c r="J157" s="1" t="s">
        <v>869</v>
      </c>
      <c r="K157" s="1"/>
      <c r="L157" s="207">
        <v>2</v>
      </c>
      <c r="M157" s="4">
        <f t="shared" si="24"/>
        <v>6500</v>
      </c>
      <c r="N157" s="31"/>
      <c r="O157" s="31"/>
      <c r="P157" t="s">
        <v>821</v>
      </c>
      <c r="Q157" s="190">
        <f>(SUMIFS('3. CD - Obra negra'!$O$4:$O$344,'3. CD - Obra negra'!$E$4:$E$344,G157))+(SUMIFS('4. CD - Obra gris'!$O$14:$O$74,'4. CD - Obra gris'!$E$14:$E$74,G157))+(SUMIFS('5, CD -Obra blanca'!$O$4:$O$151,'5, CD -Obra blanca'!$E$4:$E$151,G157))</f>
        <v>38.391840000000009</v>
      </c>
      <c r="R157">
        <v>2</v>
      </c>
      <c r="S157" s="42">
        <f t="shared" si="25"/>
        <v>19.195920000000005</v>
      </c>
      <c r="T157" s="4">
        <f t="shared" si="26"/>
        <v>26000</v>
      </c>
      <c r="U157" s="4">
        <f t="shared" si="27"/>
        <v>998187.8400000002</v>
      </c>
      <c r="V157"/>
      <c r="W157"/>
      <c r="Y157"/>
      <c r="AB157"/>
    </row>
    <row r="158" spans="2:28" x14ac:dyDescent="0.25">
      <c r="B158" t="s">
        <v>1475</v>
      </c>
      <c r="C158" s="1" t="s">
        <v>335</v>
      </c>
      <c r="D158" s="1" t="s">
        <v>1802</v>
      </c>
      <c r="E158" s="4">
        <v>75000</v>
      </c>
      <c r="G158" t="str">
        <f t="shared" si="28"/>
        <v>Fabricación viga de cimentación &lt;20X20</v>
      </c>
      <c r="H158" t="s">
        <v>938</v>
      </c>
      <c r="I158" s="1" t="str">
        <f t="shared" si="23"/>
        <v>ML</v>
      </c>
      <c r="J158" s="1" t="s">
        <v>870</v>
      </c>
      <c r="K158" s="1"/>
      <c r="L158" s="207">
        <v>2</v>
      </c>
      <c r="M158" s="4">
        <f t="shared" si="24"/>
        <v>9375</v>
      </c>
      <c r="N158" s="31"/>
      <c r="O158" s="31"/>
      <c r="P158" t="s">
        <v>821</v>
      </c>
      <c r="Q158" s="190">
        <f>(SUMIFS('3. CD - Obra negra'!$O$4:$O$344,'3. CD - Obra negra'!$E$4:$E$344,G158))+(SUMIFS('4. CD - Obra gris'!$O$14:$O$74,'4. CD - Obra gris'!$E$14:$E$74,G158))+(SUMIFS('5, CD -Obra blanca'!$O$4:$O$151,'5, CD -Obra blanca'!$E$4:$E$151,G158))</f>
        <v>19.8</v>
      </c>
      <c r="R158">
        <v>1</v>
      </c>
      <c r="S158" s="42">
        <f t="shared" si="25"/>
        <v>19.8</v>
      </c>
      <c r="T158" s="4">
        <f t="shared" si="26"/>
        <v>75000</v>
      </c>
      <c r="U158" s="4">
        <f t="shared" si="27"/>
        <v>1485000</v>
      </c>
      <c r="V158"/>
      <c r="W158"/>
      <c r="Y158"/>
      <c r="AB158"/>
    </row>
    <row r="159" spans="2:28" x14ac:dyDescent="0.25">
      <c r="B159" t="s">
        <v>1476</v>
      </c>
      <c r="C159" s="1" t="s">
        <v>335</v>
      </c>
      <c r="D159" s="1" t="s">
        <v>1802</v>
      </c>
      <c r="E159" s="4">
        <v>90000</v>
      </c>
      <c r="G159" t="str">
        <f>+B159</f>
        <v>Fabricación viga de cimentación &gt;20X20</v>
      </c>
      <c r="H159" t="s">
        <v>938</v>
      </c>
      <c r="I159" s="1" t="str">
        <f>+C159</f>
        <v>ML</v>
      </c>
      <c r="J159" s="1" t="s">
        <v>870</v>
      </c>
      <c r="K159" s="1"/>
      <c r="L159" s="207">
        <v>2</v>
      </c>
      <c r="M159" s="4">
        <f>+(U159/S159)/8</f>
        <v>11250</v>
      </c>
      <c r="N159" s="31"/>
      <c r="O159" s="31"/>
      <c r="P159" t="s">
        <v>821</v>
      </c>
      <c r="Q159" s="190">
        <f>(SUMIFS('3. CD - Obra negra'!$O$4:$O$344,'3. CD - Obra negra'!$E$4:$E$344,G159))+(SUMIFS('4. CD - Obra gris'!$O$14:$O$74,'4. CD - Obra gris'!$E$14:$E$74,G159))+(SUMIFS('5, CD -Obra blanca'!$O$4:$O$151,'5, CD -Obra blanca'!$E$4:$E$151,G159))</f>
        <v>142.73999999999998</v>
      </c>
      <c r="R159">
        <v>1</v>
      </c>
      <c r="S159" s="42">
        <f>+Q159/R159</f>
        <v>142.73999999999998</v>
      </c>
      <c r="T159" s="4">
        <f>+E159</f>
        <v>90000</v>
      </c>
      <c r="U159" s="4">
        <f>+T159*Q159</f>
        <v>12846599.999999998</v>
      </c>
      <c r="V159"/>
      <c r="W159"/>
      <c r="Y159"/>
      <c r="AB159"/>
    </row>
    <row r="160" spans="2:28" x14ac:dyDescent="0.25">
      <c r="B160" t="s">
        <v>1259</v>
      </c>
      <c r="C160" s="1" t="s">
        <v>269</v>
      </c>
      <c r="D160" s="1" t="s">
        <v>1802</v>
      </c>
      <c r="E160" s="4">
        <v>630000</v>
      </c>
      <c r="G160" t="str">
        <f>+B160</f>
        <v>Fabricación viga aerea</v>
      </c>
      <c r="H160" t="s">
        <v>938</v>
      </c>
      <c r="I160" s="1" t="str">
        <f>+C160</f>
        <v>M3</v>
      </c>
      <c r="J160" s="1" t="s">
        <v>1260</v>
      </c>
      <c r="K160" s="1"/>
      <c r="L160" s="207">
        <v>2</v>
      </c>
      <c r="M160" s="4" t="e">
        <f>+(U160/S160)/8</f>
        <v>#DIV/0!</v>
      </c>
      <c r="N160" s="31"/>
      <c r="O160" s="31"/>
      <c r="P160" t="s">
        <v>821</v>
      </c>
      <c r="Q160" s="190">
        <f>(SUMIFS('3. CD - Obra negra'!$O$4:$O$344,'3. CD - Obra negra'!$E$4:$E$344,G160))+(SUMIFS('4. CD - Obra gris'!$O$14:$O$74,'4. CD - Obra gris'!$E$14:$E$74,G160))+(SUMIFS('5, CD -Obra blanca'!$O$4:$O$151,'5, CD -Obra blanca'!$E$4:$E$151,G160))</f>
        <v>0</v>
      </c>
      <c r="R160">
        <v>1</v>
      </c>
      <c r="S160" s="42">
        <f>+Q160/R160</f>
        <v>0</v>
      </c>
      <c r="T160" s="4">
        <f>+E160</f>
        <v>630000</v>
      </c>
      <c r="U160" s="4">
        <f>+T160*Q160</f>
        <v>0</v>
      </c>
      <c r="V160"/>
      <c r="W160"/>
      <c r="Y160"/>
      <c r="AB160"/>
    </row>
    <row r="161" spans="2:28" x14ac:dyDescent="0.25">
      <c r="B161" t="s">
        <v>726</v>
      </c>
      <c r="C161" s="1" t="s">
        <v>335</v>
      </c>
      <c r="D161" s="1" t="s">
        <v>1802</v>
      </c>
      <c r="E161" s="4">
        <v>20000</v>
      </c>
      <c r="G161" t="str">
        <f t="shared" si="28"/>
        <v>Filtro perimetral</v>
      </c>
      <c r="H161" t="s">
        <v>938</v>
      </c>
      <c r="I161" s="1" t="str">
        <f t="shared" si="23"/>
        <v>ML</v>
      </c>
      <c r="J161" s="1" t="s">
        <v>871</v>
      </c>
      <c r="K161" s="1"/>
      <c r="L161" s="207">
        <v>2</v>
      </c>
      <c r="M161" s="4" t="e">
        <f t="shared" si="24"/>
        <v>#DIV/0!</v>
      </c>
      <c r="N161" s="31"/>
      <c r="O161" s="31"/>
      <c r="P161" t="s">
        <v>821</v>
      </c>
      <c r="Q161" s="190">
        <f>(SUMIFS('3. CD - Obra negra'!$O$4:$O$344,'3. CD - Obra negra'!$E$4:$E$344,G161))+(SUMIFS('4. CD - Obra gris'!$O$14:$O$74,'4. CD - Obra gris'!$E$14:$E$74,G161))+(SUMIFS('5, CD -Obra blanca'!$O$4:$O$151,'5, CD -Obra blanca'!$E$4:$E$151,G161))</f>
        <v>0</v>
      </c>
      <c r="R161">
        <v>4</v>
      </c>
      <c r="S161" s="42">
        <f t="shared" si="25"/>
        <v>0</v>
      </c>
      <c r="T161" s="4">
        <f t="shared" si="26"/>
        <v>20000</v>
      </c>
      <c r="U161" s="4">
        <f t="shared" si="27"/>
        <v>0</v>
      </c>
      <c r="V161"/>
      <c r="W161"/>
      <c r="Y161"/>
      <c r="AB161"/>
    </row>
    <row r="162" spans="2:28" x14ac:dyDescent="0.25">
      <c r="B162" t="s">
        <v>727</v>
      </c>
      <c r="C162" s="1" t="s">
        <v>335</v>
      </c>
      <c r="D162" s="1" t="s">
        <v>1802</v>
      </c>
      <c r="E162" s="4">
        <v>22000</v>
      </c>
      <c r="G162" t="str">
        <f t="shared" si="28"/>
        <v>Zócalo bloque</v>
      </c>
      <c r="H162" t="s">
        <v>938</v>
      </c>
      <c r="I162" s="1" t="str">
        <f t="shared" si="23"/>
        <v>ML</v>
      </c>
      <c r="J162" s="1" t="s">
        <v>872</v>
      </c>
      <c r="K162" s="1"/>
      <c r="L162" s="207">
        <v>1</v>
      </c>
      <c r="M162" s="4" t="e">
        <f t="shared" si="24"/>
        <v>#DIV/0!</v>
      </c>
      <c r="N162" s="31"/>
      <c r="O162" s="31"/>
      <c r="P162" t="s">
        <v>821</v>
      </c>
      <c r="Q162" s="190">
        <f>(SUMIFS('3. CD - Obra negra'!$O$4:$O$344,'3. CD - Obra negra'!$E$4:$E$344,G162))+(SUMIFS('4. CD - Obra gris'!$O$14:$O$74,'4. CD - Obra gris'!$E$14:$E$74,G162))+(SUMIFS('5, CD -Obra blanca'!$O$4:$O$151,'5, CD -Obra blanca'!$E$4:$E$151,G162))</f>
        <v>0</v>
      </c>
      <c r="R162">
        <v>20</v>
      </c>
      <c r="S162" s="42">
        <f t="shared" si="25"/>
        <v>0</v>
      </c>
      <c r="T162" s="4">
        <f t="shared" si="26"/>
        <v>22000</v>
      </c>
      <c r="U162" s="4">
        <f t="shared" si="27"/>
        <v>0</v>
      </c>
      <c r="V162"/>
      <c r="W162"/>
      <c r="Y162"/>
      <c r="AB162"/>
    </row>
    <row r="163" spans="2:28" x14ac:dyDescent="0.25">
      <c r="B163" t="s">
        <v>728</v>
      </c>
      <c r="C163" s="1" t="s">
        <v>335</v>
      </c>
      <c r="D163" s="1" t="s">
        <v>1802</v>
      </c>
      <c r="E163" s="4">
        <v>65000</v>
      </c>
      <c r="G163" t="str">
        <f t="shared" si="28"/>
        <v>Vigueta aérea</v>
      </c>
      <c r="H163" t="s">
        <v>938</v>
      </c>
      <c r="I163" s="1" t="str">
        <f t="shared" si="23"/>
        <v>ML</v>
      </c>
      <c r="J163" s="1" t="s">
        <v>873</v>
      </c>
      <c r="K163" s="1"/>
      <c r="L163" s="207">
        <v>3</v>
      </c>
      <c r="M163" s="4" t="e">
        <f t="shared" si="24"/>
        <v>#DIV/0!</v>
      </c>
      <c r="N163" s="31"/>
      <c r="O163" s="31"/>
      <c r="P163" t="s">
        <v>821</v>
      </c>
      <c r="Q163" s="190">
        <f>(SUMIFS('3. CD - Obra negra'!$O$4:$O$344,'3. CD - Obra negra'!$E$4:$E$344,G163))+(SUMIFS('4. CD - Obra gris'!$O$14:$O$74,'4. CD - Obra gris'!$E$14:$E$74,G163))+(SUMIFS('5, CD -Obra blanca'!$O$4:$O$151,'5, CD -Obra blanca'!$E$4:$E$151,G163))</f>
        <v>0</v>
      </c>
      <c r="R163">
        <v>2</v>
      </c>
      <c r="S163" s="42">
        <f t="shared" si="25"/>
        <v>0</v>
      </c>
      <c r="T163" s="4">
        <f t="shared" si="26"/>
        <v>65000</v>
      </c>
      <c r="U163" s="4">
        <f t="shared" si="27"/>
        <v>0</v>
      </c>
      <c r="V163"/>
      <c r="W163"/>
      <c r="Y163"/>
      <c r="AB163"/>
    </row>
    <row r="164" spans="2:28" x14ac:dyDescent="0.25">
      <c r="B164" t="s">
        <v>729</v>
      </c>
      <c r="C164" s="1" t="s">
        <v>270</v>
      </c>
      <c r="D164" s="1" t="s">
        <v>1802</v>
      </c>
      <c r="E164" s="4">
        <v>700</v>
      </c>
      <c r="G164" t="str">
        <f t="shared" si="28"/>
        <v>Figuración hierro</v>
      </c>
      <c r="H164" t="s">
        <v>938</v>
      </c>
      <c r="I164" s="1" t="str">
        <f t="shared" si="23"/>
        <v>KG</v>
      </c>
      <c r="J164" s="1" t="s">
        <v>874</v>
      </c>
      <c r="K164" s="1"/>
      <c r="L164" s="207">
        <v>2</v>
      </c>
      <c r="M164" s="4">
        <f t="shared" si="24"/>
        <v>6562.4999999999991</v>
      </c>
      <c r="N164" s="31"/>
      <c r="O164" s="31"/>
      <c r="P164" t="s">
        <v>821</v>
      </c>
      <c r="Q164" s="190">
        <f>(SUMIFS('3. CD - Obra negra'!$O$4:$O$344,'3. CD - Obra negra'!$E$4:$E$344,G164))+(SUMIFS('4. CD - Obra gris'!$O$14:$O$74,'4. CD - Obra gris'!$E$14:$E$74,G164))+(SUMIFS('5, CD -Obra blanca'!$O$4:$O$151,'5, CD -Obra blanca'!$E$4:$E$151,G164))</f>
        <v>3562.2452899999998</v>
      </c>
      <c r="R164">
        <v>75</v>
      </c>
      <c r="S164" s="42">
        <f t="shared" si="25"/>
        <v>47.496603866666668</v>
      </c>
      <c r="T164" s="4">
        <f t="shared" si="26"/>
        <v>700</v>
      </c>
      <c r="U164" s="4">
        <f t="shared" si="27"/>
        <v>2493571.7029999997</v>
      </c>
      <c r="V164"/>
      <c r="W164"/>
      <c r="Y164"/>
      <c r="AB164"/>
    </row>
    <row r="165" spans="2:28" x14ac:dyDescent="0.25">
      <c r="B165" t="s">
        <v>730</v>
      </c>
      <c r="C165" s="1" t="s">
        <v>126</v>
      </c>
      <c r="D165" s="1" t="s">
        <v>1802</v>
      </c>
      <c r="E165" s="4">
        <v>22500</v>
      </c>
      <c r="G165" t="str">
        <f t="shared" si="28"/>
        <v>Exvacación caja</v>
      </c>
      <c r="H165" t="s">
        <v>938</v>
      </c>
      <c r="I165" s="1" t="str">
        <f t="shared" si="23"/>
        <v>UND</v>
      </c>
      <c r="J165" s="1" t="s">
        <v>875</v>
      </c>
      <c r="K165" s="1"/>
      <c r="L165" s="207">
        <v>1</v>
      </c>
      <c r="M165" s="4">
        <f t="shared" si="24"/>
        <v>14062.5</v>
      </c>
      <c r="N165" s="31"/>
      <c r="O165" s="31"/>
      <c r="P165" t="s">
        <v>821</v>
      </c>
      <c r="Q165" s="190">
        <f>(SUMIFS('3. CD - Obra negra'!$O$4:$O$344,'3. CD - Obra negra'!$E$4:$E$344,G165))+(SUMIFS('4. CD - Obra gris'!$O$14:$O$74,'4. CD - Obra gris'!$E$14:$E$74,G165))+(SUMIFS('5, CD -Obra blanca'!$O$4:$O$151,'5, CD -Obra blanca'!$E$4:$E$151,G165))</f>
        <v>2</v>
      </c>
      <c r="R165">
        <v>5</v>
      </c>
      <c r="S165" s="42">
        <f t="shared" si="25"/>
        <v>0.4</v>
      </c>
      <c r="T165" s="4">
        <f t="shared" si="26"/>
        <v>22500</v>
      </c>
      <c r="U165" s="4">
        <f t="shared" si="27"/>
        <v>45000</v>
      </c>
      <c r="V165"/>
      <c r="W165"/>
      <c r="Y165"/>
      <c r="AB165"/>
    </row>
    <row r="166" spans="2:28" x14ac:dyDescent="0.25">
      <c r="B166" t="s">
        <v>1214</v>
      </c>
      <c r="C166" s="1" t="s">
        <v>269</v>
      </c>
      <c r="D166" s="1" t="s">
        <v>1802</v>
      </c>
      <c r="E166" s="4">
        <v>15000</v>
      </c>
      <c r="G166" t="str">
        <f>+B166</f>
        <v>Trasiego material</v>
      </c>
      <c r="H166" t="s">
        <v>938</v>
      </c>
      <c r="I166" s="1" t="str">
        <f>+C166</f>
        <v>M3</v>
      </c>
      <c r="J166" s="1" t="s">
        <v>1215</v>
      </c>
      <c r="K166" s="1"/>
      <c r="L166" s="207">
        <v>2</v>
      </c>
      <c r="M166" s="4">
        <f>+(U166/S166)/8</f>
        <v>11250</v>
      </c>
      <c r="N166" s="31"/>
      <c r="O166" s="31"/>
      <c r="P166" t="s">
        <v>821</v>
      </c>
      <c r="Q166" s="190">
        <f>(SUMIFS('3. CD - Obra negra'!$O$4:$O$344,'3. CD - Obra negra'!$E$4:$E$344,G166))+(SUMIFS('4. CD - Obra gris'!$O$14:$O$74,'4. CD - Obra gris'!$E$14:$E$74,G166))+(SUMIFS('5, CD -Obra blanca'!$O$4:$O$151,'5, CD -Obra blanca'!$E$4:$E$151,G166))</f>
        <v>30.471840000000007</v>
      </c>
      <c r="R166">
        <v>6</v>
      </c>
      <c r="S166" s="42">
        <f>+Q166/R166</f>
        <v>5.0786400000000009</v>
      </c>
      <c r="T166" s="4">
        <f>+E166</f>
        <v>15000</v>
      </c>
      <c r="U166" s="4">
        <f>+T166*Q166</f>
        <v>457077.60000000009</v>
      </c>
      <c r="V166"/>
      <c r="W166"/>
      <c r="Y166"/>
      <c r="AB166"/>
    </row>
    <row r="167" spans="2:28" x14ac:dyDescent="0.25">
      <c r="B167" t="s">
        <v>328</v>
      </c>
      <c r="C167" s="1" t="s">
        <v>269</v>
      </c>
      <c r="D167" s="1" t="s">
        <v>1802</v>
      </c>
      <c r="E167" s="4">
        <v>34000</v>
      </c>
      <c r="G167" t="str">
        <f t="shared" si="28"/>
        <v>Compactación recebo</v>
      </c>
      <c r="H167" t="s">
        <v>938</v>
      </c>
      <c r="I167" s="1" t="str">
        <f t="shared" si="23"/>
        <v>M3</v>
      </c>
      <c r="J167" s="1" t="s">
        <v>876</v>
      </c>
      <c r="K167" s="1"/>
      <c r="L167" s="207">
        <v>1</v>
      </c>
      <c r="M167" s="4">
        <f t="shared" si="24"/>
        <v>34000</v>
      </c>
      <c r="N167" s="31"/>
      <c r="O167" s="31"/>
      <c r="P167" t="s">
        <v>821</v>
      </c>
      <c r="Q167" s="190">
        <f>(SUMIFS('3. CD - Obra negra'!$O$4:$O$344,'3. CD - Obra negra'!$E$4:$E$344,G167))+(SUMIFS('4. CD - Obra gris'!$O$14:$O$74,'4. CD - Obra gris'!$E$14:$E$74,G167))+(SUMIFS('5, CD -Obra blanca'!$O$4:$O$151,'5, CD -Obra blanca'!$E$4:$E$151,G167))</f>
        <v>47.96211000000001</v>
      </c>
      <c r="R167">
        <v>8</v>
      </c>
      <c r="S167" s="42">
        <f t="shared" si="25"/>
        <v>5.9952637500000012</v>
      </c>
      <c r="T167" s="4">
        <f t="shared" si="26"/>
        <v>34000</v>
      </c>
      <c r="U167" s="4">
        <f t="shared" si="27"/>
        <v>1630711.7400000002</v>
      </c>
      <c r="V167"/>
      <c r="W167"/>
      <c r="Y167"/>
      <c r="AB167"/>
    </row>
    <row r="168" spans="2:28" x14ac:dyDescent="0.25">
      <c r="B168" t="s">
        <v>774</v>
      </c>
      <c r="C168" s="1" t="s">
        <v>260</v>
      </c>
      <c r="D168" s="1" t="s">
        <v>1802</v>
      </c>
      <c r="E168" s="4">
        <v>20000</v>
      </c>
      <c r="G168" t="str">
        <f t="shared" si="28"/>
        <v>Concreto ciclopeo</v>
      </c>
      <c r="H168" t="s">
        <v>938</v>
      </c>
      <c r="I168" s="1" t="str">
        <f t="shared" si="23"/>
        <v>M2</v>
      </c>
      <c r="J168" s="1" t="s">
        <v>809</v>
      </c>
      <c r="K168" s="1"/>
      <c r="L168" s="207">
        <v>2</v>
      </c>
      <c r="M168" s="4">
        <f t="shared" si="24"/>
        <v>5000</v>
      </c>
      <c r="N168" s="31"/>
      <c r="O168" s="31"/>
      <c r="P168" t="s">
        <v>821</v>
      </c>
      <c r="Q168" s="190">
        <f>(SUMIFS('3. CD - Obra negra'!$O$4:$O$344,'3. CD - Obra negra'!$E$4:$E$344,G168))+(SUMIFS('4. CD - Obra gris'!$O$14:$O$74,'4. CD - Obra gris'!$E$14:$E$74,G168))+(SUMIFS('5, CD -Obra blanca'!$O$4:$O$151,'5, CD -Obra blanca'!$E$4:$E$151,G168))</f>
        <v>44.387999999999998</v>
      </c>
      <c r="R168">
        <v>2</v>
      </c>
      <c r="S168" s="42">
        <f t="shared" si="25"/>
        <v>22.193999999999999</v>
      </c>
      <c r="T168" s="4">
        <f t="shared" si="26"/>
        <v>20000</v>
      </c>
      <c r="U168" s="4">
        <f t="shared" si="27"/>
        <v>887760</v>
      </c>
      <c r="V168"/>
      <c r="W168"/>
      <c r="Y168"/>
      <c r="AB168"/>
    </row>
    <row r="169" spans="2:28" x14ac:dyDescent="0.25">
      <c r="B169" t="s">
        <v>1803</v>
      </c>
      <c r="C169" s="1" t="s">
        <v>260</v>
      </c>
      <c r="D169" s="1" t="s">
        <v>1802</v>
      </c>
      <c r="E169" s="4">
        <v>45000</v>
      </c>
      <c r="G169" t="str">
        <f t="shared" si="28"/>
        <v>Mampostería estructural</v>
      </c>
      <c r="H169" t="s">
        <v>938</v>
      </c>
      <c r="I169" s="1" t="str">
        <f t="shared" si="23"/>
        <v>M2</v>
      </c>
      <c r="J169" s="1" t="s">
        <v>877</v>
      </c>
      <c r="K169" s="1"/>
      <c r="L169" s="207">
        <v>2</v>
      </c>
      <c r="M169" s="4" t="e">
        <f t="shared" si="24"/>
        <v>#DIV/0!</v>
      </c>
      <c r="N169" s="31"/>
      <c r="O169" s="31"/>
      <c r="P169" t="s">
        <v>821</v>
      </c>
      <c r="Q169" s="190">
        <f>(SUMIFS('3. CD - Obra negra'!$O$4:$O$344,'3. CD - Obra negra'!$E$4:$E$344,G169))+(SUMIFS('4. CD - Obra gris'!$O$14:$O$74,'4. CD - Obra gris'!$E$14:$E$74,G169))+(SUMIFS('5, CD -Obra blanca'!$O$4:$O$151,'5, CD -Obra blanca'!$E$4:$E$151,G169))</f>
        <v>0</v>
      </c>
      <c r="R169">
        <v>0.5</v>
      </c>
      <c r="S169" s="42">
        <f t="shared" si="25"/>
        <v>0</v>
      </c>
      <c r="T169" s="4">
        <f t="shared" si="26"/>
        <v>45000</v>
      </c>
      <c r="U169" s="4">
        <f t="shared" si="27"/>
        <v>0</v>
      </c>
      <c r="V169"/>
      <c r="W169"/>
      <c r="Y169"/>
      <c r="AB169"/>
    </row>
    <row r="170" spans="2:28" x14ac:dyDescent="0.25">
      <c r="B170" t="s">
        <v>1800</v>
      </c>
      <c r="C170" s="1" t="s">
        <v>260</v>
      </c>
      <c r="D170" s="1" t="s">
        <v>1802</v>
      </c>
      <c r="E170" s="4">
        <v>60000</v>
      </c>
      <c r="G170" t="str">
        <f>+B170</f>
        <v>Fundición muro contención</v>
      </c>
      <c r="H170" t="s">
        <v>938</v>
      </c>
      <c r="I170" s="1" t="str">
        <f>+C170</f>
        <v>M2</v>
      </c>
      <c r="J170" s="1" t="s">
        <v>877</v>
      </c>
      <c r="K170" s="1"/>
      <c r="L170" s="207">
        <v>2</v>
      </c>
      <c r="M170" s="4">
        <f>+(U170/S170)/8</f>
        <v>3750</v>
      </c>
      <c r="N170" s="31"/>
      <c r="O170" s="31"/>
      <c r="P170" t="s">
        <v>821</v>
      </c>
      <c r="Q170" s="190">
        <f>(SUMIFS('3. CD - Obra negra'!$O$4:$O$344,'3. CD - Obra negra'!$E$4:$E$344,G170))+(SUMIFS('4. CD - Obra gris'!$O$14:$O$74,'4. CD - Obra gris'!$E$14:$E$74,G170))+(SUMIFS('5, CD -Obra blanca'!$O$4:$O$151,'5, CD -Obra blanca'!$E$4:$E$151,G170))</f>
        <v>93.5</v>
      </c>
      <c r="R170">
        <v>0.5</v>
      </c>
      <c r="S170" s="42">
        <f>+Q170/R170</f>
        <v>187</v>
      </c>
      <c r="T170" s="4">
        <f>+E170</f>
        <v>60000</v>
      </c>
      <c r="U170" s="4">
        <f>+T170*Q170</f>
        <v>5610000</v>
      </c>
      <c r="V170"/>
      <c r="W170"/>
      <c r="Y170"/>
      <c r="AB170"/>
    </row>
    <row r="171" spans="2:28" x14ac:dyDescent="0.25">
      <c r="B171" t="s">
        <v>775</v>
      </c>
      <c r="C171" s="1" t="s">
        <v>269</v>
      </c>
      <c r="D171" s="1" t="s">
        <v>1802</v>
      </c>
      <c r="E171" s="4">
        <v>250000</v>
      </c>
      <c r="G171" t="str">
        <f t="shared" si="28"/>
        <v>Fundición subterránea</v>
      </c>
      <c r="H171" t="s">
        <v>938</v>
      </c>
      <c r="I171" s="1" t="str">
        <f t="shared" si="23"/>
        <v>M3</v>
      </c>
      <c r="J171" s="1" t="s">
        <v>877</v>
      </c>
      <c r="K171" s="1"/>
      <c r="L171" s="207">
        <v>2</v>
      </c>
      <c r="M171" s="4" t="e">
        <f t="shared" si="24"/>
        <v>#DIV/0!</v>
      </c>
      <c r="N171" s="31"/>
      <c r="O171" s="31"/>
      <c r="P171" t="s">
        <v>821</v>
      </c>
      <c r="Q171" s="190">
        <f>(SUMIFS('3. CD - Obra negra'!$O$4:$O$344,'3. CD - Obra negra'!$E$4:$E$344,G171))+(SUMIFS('4. CD - Obra gris'!$O$14:$O$74,'4. CD - Obra gris'!$E$14:$E$74,G171))+(SUMIFS('5, CD -Obra blanca'!$O$4:$O$151,'5, CD -Obra blanca'!$E$4:$E$151,G171))</f>
        <v>0</v>
      </c>
      <c r="R171">
        <v>0.5</v>
      </c>
      <c r="S171" s="42">
        <f t="shared" si="25"/>
        <v>0</v>
      </c>
      <c r="T171" s="4">
        <f t="shared" si="26"/>
        <v>250000</v>
      </c>
      <c r="U171" s="4">
        <f t="shared" si="27"/>
        <v>0</v>
      </c>
      <c r="V171"/>
      <c r="W171"/>
      <c r="Y171"/>
      <c r="AB171"/>
    </row>
    <row r="172" spans="2:28" x14ac:dyDescent="0.25">
      <c r="C172" s="1"/>
      <c r="D172" s="1"/>
      <c r="E172" s="4"/>
      <c r="I172" s="1"/>
      <c r="J172" s="1"/>
      <c r="K172" s="1"/>
      <c r="L172"/>
      <c r="M172" s="4"/>
      <c r="N172" s="31"/>
      <c r="O172" s="31"/>
      <c r="Q172" s="190"/>
      <c r="R172"/>
      <c r="S172" s="42"/>
      <c r="T172" s="4"/>
      <c r="V172"/>
      <c r="W172"/>
      <c r="Y172"/>
      <c r="AB172"/>
    </row>
    <row r="173" spans="2:28" x14ac:dyDescent="0.25">
      <c r="C173" s="1"/>
      <c r="D173" s="1"/>
      <c r="E173" s="4"/>
      <c r="G173" s="206" t="s">
        <v>1119</v>
      </c>
      <c r="I173" s="1"/>
      <c r="J173" s="1"/>
      <c r="K173" s="1"/>
      <c r="L173"/>
      <c r="M173" s="4"/>
      <c r="N173" s="31"/>
      <c r="O173" s="31"/>
      <c r="Q173" s="190"/>
      <c r="R173"/>
      <c r="S173" s="42"/>
      <c r="T173" s="4"/>
      <c r="V173"/>
      <c r="W173"/>
      <c r="Y173"/>
      <c r="AB173"/>
    </row>
    <row r="174" spans="2:28" x14ac:dyDescent="0.25">
      <c r="C174" s="1"/>
      <c r="D174" s="1"/>
      <c r="E174" s="4"/>
      <c r="G174" t="s">
        <v>1118</v>
      </c>
      <c r="H174" t="s">
        <v>938</v>
      </c>
      <c r="I174" s="1" t="s">
        <v>269</v>
      </c>
      <c r="J174" s="1" t="s">
        <v>868</v>
      </c>
      <c r="K174" s="1"/>
      <c r="L174" s="207">
        <v>2</v>
      </c>
      <c r="M174" s="4">
        <f>+(T174*R174)/8</f>
        <v>14000</v>
      </c>
      <c r="N174" s="31"/>
      <c r="O174" s="31"/>
      <c r="P174" t="s">
        <v>821</v>
      </c>
      <c r="Q174" s="190">
        <f>VLOOKUP($G$37,'3. CD - Obra negra'!$E$4:$O$29,11,FALSE)</f>
        <v>5.5566000000000004</v>
      </c>
      <c r="R174" s="80">
        <v>2</v>
      </c>
      <c r="S174" s="42">
        <f>+Q174/R174</f>
        <v>2.7783000000000002</v>
      </c>
      <c r="T174" s="4">
        <f>+T152*0.7</f>
        <v>56000</v>
      </c>
      <c r="U174" s="4">
        <f>+T174*$Q$152</f>
        <v>0</v>
      </c>
      <c r="V174"/>
      <c r="W174"/>
      <c r="Y174"/>
      <c r="AB174"/>
    </row>
    <row r="175" spans="2:28" x14ac:dyDescent="0.25">
      <c r="C175" s="1"/>
      <c r="D175" s="1"/>
      <c r="E175" s="4"/>
      <c r="G175" t="s">
        <v>1113</v>
      </c>
      <c r="H175" t="s">
        <v>938</v>
      </c>
      <c r="I175" s="1" t="s">
        <v>269</v>
      </c>
      <c r="J175" s="1" t="s">
        <v>1115</v>
      </c>
      <c r="K175" s="1"/>
      <c r="L175" s="207">
        <v>2</v>
      </c>
      <c r="M175" s="4">
        <f>+(T175*R175)/8</f>
        <v>5000</v>
      </c>
      <c r="N175" s="31"/>
      <c r="O175" s="31"/>
      <c r="P175" t="s">
        <v>821</v>
      </c>
      <c r="Q175" s="190">
        <f>VLOOKUP($G$37,'3. CD - Obra negra'!$E$4:$O$29,11,FALSE)</f>
        <v>5.5566000000000004</v>
      </c>
      <c r="R175" s="80">
        <v>5</v>
      </c>
      <c r="S175" s="42">
        <f>+Q175/R175</f>
        <v>1.1113200000000001</v>
      </c>
      <c r="T175" s="4">
        <f>+T152*0.1</f>
        <v>8000</v>
      </c>
      <c r="U175" s="4">
        <f>+T175*$Q$152</f>
        <v>0</v>
      </c>
      <c r="V175"/>
      <c r="W175"/>
      <c r="Y175"/>
      <c r="AB175"/>
    </row>
    <row r="176" spans="2:28" x14ac:dyDescent="0.25">
      <c r="C176" s="1"/>
      <c r="D176" s="1"/>
      <c r="E176" s="4"/>
      <c r="G176" t="s">
        <v>1114</v>
      </c>
      <c r="H176" t="s">
        <v>938</v>
      </c>
      <c r="I176" s="1" t="s">
        <v>269</v>
      </c>
      <c r="J176" s="1" t="s">
        <v>1116</v>
      </c>
      <c r="K176" s="1"/>
      <c r="L176" s="207">
        <v>2</v>
      </c>
      <c r="M176" s="4">
        <f>+(T176*R176)/8</f>
        <v>200000</v>
      </c>
      <c r="N176" s="31"/>
      <c r="O176" s="31"/>
      <c r="P176" t="s">
        <v>821</v>
      </c>
      <c r="Q176" s="190">
        <f>(VLOOKUP($G$65,'3. CD - Obra negra'!$E$4:$O$29,11,FALSE))</f>
        <v>736.24320000000012</v>
      </c>
      <c r="R176" s="80">
        <v>100</v>
      </c>
      <c r="S176" s="42">
        <f>+Q176/R176</f>
        <v>7.362432000000001</v>
      </c>
      <c r="T176" s="4">
        <f>+T152*0.2</f>
        <v>16000</v>
      </c>
      <c r="U176" s="4">
        <f>+T176*$Q$152</f>
        <v>0</v>
      </c>
      <c r="V176"/>
      <c r="W176"/>
      <c r="Y176"/>
      <c r="AB176"/>
    </row>
    <row r="177" spans="2:28" x14ac:dyDescent="0.25">
      <c r="C177" s="1"/>
      <c r="D177" s="1"/>
      <c r="E177" s="4"/>
      <c r="I177" s="1"/>
      <c r="J177" s="1"/>
      <c r="K177" s="1"/>
      <c r="L177"/>
      <c r="M177" s="4"/>
      <c r="N177" s="31"/>
      <c r="O177" s="31"/>
      <c r="Q177" s="190"/>
      <c r="R177"/>
      <c r="S177" s="42"/>
      <c r="T177" s="4"/>
      <c r="V177"/>
      <c r="W177"/>
      <c r="Y177"/>
      <c r="AB177"/>
    </row>
    <row r="178" spans="2:28" x14ac:dyDescent="0.25">
      <c r="C178" s="1"/>
      <c r="D178" s="1"/>
      <c r="E178" s="4"/>
      <c r="I178" s="1"/>
      <c r="J178" s="1"/>
      <c r="K178" s="1"/>
      <c r="L178"/>
      <c r="M178" s="4"/>
      <c r="N178" s="31"/>
      <c r="O178" s="31"/>
      <c r="Q178" s="190"/>
      <c r="R178"/>
      <c r="S178" s="42"/>
      <c r="T178" s="4"/>
      <c r="V178"/>
      <c r="W178"/>
      <c r="Y178"/>
      <c r="AB178"/>
    </row>
    <row r="179" spans="2:28" x14ac:dyDescent="0.25">
      <c r="C179" s="1"/>
      <c r="D179" s="1"/>
      <c r="E179" s="4"/>
      <c r="G179" s="206" t="s">
        <v>1120</v>
      </c>
      <c r="I179" s="1"/>
      <c r="J179" s="1"/>
      <c r="K179" s="1"/>
      <c r="L179"/>
      <c r="M179" s="4"/>
      <c r="N179" s="31"/>
      <c r="O179" s="31"/>
      <c r="Q179" s="190"/>
      <c r="R179"/>
      <c r="S179" s="42"/>
      <c r="T179" s="4"/>
      <c r="V179"/>
      <c r="W179"/>
      <c r="Y179"/>
      <c r="AB179"/>
    </row>
    <row r="180" spans="2:28" x14ac:dyDescent="0.25">
      <c r="C180" s="1"/>
      <c r="D180" s="1"/>
      <c r="E180" s="4"/>
      <c r="G180" t="s">
        <v>1121</v>
      </c>
      <c r="H180" t="s">
        <v>938</v>
      </c>
      <c r="I180" s="1" t="s">
        <v>269</v>
      </c>
      <c r="J180" s="1" t="s">
        <v>859</v>
      </c>
      <c r="K180" s="1"/>
      <c r="L180" s="207">
        <v>2</v>
      </c>
      <c r="M180" s="4">
        <f>+(T180*R180)/8</f>
        <v>5000</v>
      </c>
      <c r="N180" s="31"/>
      <c r="O180" s="31"/>
      <c r="P180" t="s">
        <v>821</v>
      </c>
      <c r="Q180" s="190" t="e">
        <f>VLOOKUP($G$37,'3. CD - Obra negra'!$E$107:$O$158,11,FALSE)</f>
        <v>#N/A</v>
      </c>
      <c r="R180" s="80">
        <v>2</v>
      </c>
      <c r="S180" s="42" t="e">
        <f>+Q180/R180</f>
        <v>#N/A</v>
      </c>
      <c r="T180" s="4">
        <f>+T154*0.4</f>
        <v>20000</v>
      </c>
      <c r="U180" s="4">
        <f>+T180*$Q$154</f>
        <v>1240000</v>
      </c>
      <c r="V180"/>
      <c r="W180"/>
      <c r="Y180"/>
      <c r="AB180"/>
    </row>
    <row r="181" spans="2:28" x14ac:dyDescent="0.25">
      <c r="C181" s="1"/>
      <c r="D181" s="1"/>
      <c r="E181" s="4"/>
      <c r="G181" t="s">
        <v>1122</v>
      </c>
      <c r="H181" t="s">
        <v>938</v>
      </c>
      <c r="I181" s="1" t="s">
        <v>269</v>
      </c>
      <c r="J181" s="1" t="s">
        <v>1123</v>
      </c>
      <c r="K181" s="1"/>
      <c r="L181" s="207">
        <v>2</v>
      </c>
      <c r="M181" s="4">
        <f>+(T181*R181)/8</f>
        <v>375000</v>
      </c>
      <c r="N181" s="31"/>
      <c r="O181" s="31"/>
      <c r="P181" t="s">
        <v>821</v>
      </c>
      <c r="Q181" s="190" t="e">
        <f>VLOOKUP($G$65,'3. CD - Obra negra'!$E$107:$O$158,11,FALSE)</f>
        <v>#N/A</v>
      </c>
      <c r="R181" s="80">
        <v>100</v>
      </c>
      <c r="S181" s="42" t="e">
        <f>+Q181/R181</f>
        <v>#N/A</v>
      </c>
      <c r="T181" s="4">
        <f>+T154*0.6</f>
        <v>30000</v>
      </c>
      <c r="U181" s="4">
        <f>+T181*$Q$154</f>
        <v>1860000</v>
      </c>
      <c r="V181"/>
      <c r="W181"/>
      <c r="Y181"/>
      <c r="AB181"/>
    </row>
    <row r="182" spans="2:28" x14ac:dyDescent="0.25">
      <c r="I182" s="1"/>
      <c r="L182"/>
      <c r="M182" s="4"/>
      <c r="N182" s="31"/>
      <c r="O182" s="31"/>
      <c r="R182"/>
      <c r="T182" s="4"/>
      <c r="V182"/>
      <c r="W182"/>
      <c r="Y182"/>
      <c r="AB182"/>
    </row>
    <row r="183" spans="2:28" x14ac:dyDescent="0.25">
      <c r="B183" s="299" t="s">
        <v>257</v>
      </c>
      <c r="C183" s="299"/>
      <c r="D183" s="299"/>
      <c r="E183" s="299"/>
      <c r="G183" s="299" t="s">
        <v>257</v>
      </c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t="s">
        <v>848</v>
      </c>
      <c r="S183" s="198">
        <f>+SUM(S185:S187)</f>
        <v>0.9</v>
      </c>
      <c r="T183" t="s">
        <v>250</v>
      </c>
      <c r="U183" s="4">
        <f>+SUM(U185:U187)</f>
        <v>900000</v>
      </c>
      <c r="V183"/>
      <c r="W183"/>
      <c r="Y183"/>
      <c r="AB183"/>
    </row>
    <row r="184" spans="2:28" x14ac:dyDescent="0.25">
      <c r="B184" t="s">
        <v>246</v>
      </c>
      <c r="C184" s="1" t="s">
        <v>248</v>
      </c>
      <c r="D184" s="1" t="s">
        <v>261</v>
      </c>
      <c r="E184" s="4" t="s">
        <v>249</v>
      </c>
      <c r="G184" s="186" t="s">
        <v>798</v>
      </c>
      <c r="H184" s="186" t="s">
        <v>799</v>
      </c>
      <c r="I184" s="186" t="s">
        <v>800</v>
      </c>
      <c r="J184" s="186" t="s">
        <v>815</v>
      </c>
      <c r="K184" s="186" t="s">
        <v>816</v>
      </c>
      <c r="L184" s="186" t="s">
        <v>1125</v>
      </c>
      <c r="M184" s="187" t="s">
        <v>817</v>
      </c>
      <c r="N184" s="187" t="s">
        <v>818</v>
      </c>
      <c r="O184" s="187" t="s">
        <v>819</v>
      </c>
      <c r="P184" s="186" t="s">
        <v>820</v>
      </c>
      <c r="Q184" s="189" t="s">
        <v>847</v>
      </c>
      <c r="R184" s="186" t="s">
        <v>937</v>
      </c>
      <c r="S184" s="186" t="s">
        <v>848</v>
      </c>
      <c r="T184" s="199" t="s">
        <v>994</v>
      </c>
      <c r="U184" s="199" t="s">
        <v>993</v>
      </c>
      <c r="V184"/>
      <c r="W184"/>
      <c r="Y184"/>
      <c r="AB184"/>
    </row>
    <row r="185" spans="2:28" x14ac:dyDescent="0.25">
      <c r="B185" t="s">
        <v>724</v>
      </c>
      <c r="C185" s="1" t="s">
        <v>260</v>
      </c>
      <c r="D185" s="1" t="s">
        <v>723</v>
      </c>
      <c r="E185" s="4">
        <v>5000</v>
      </c>
      <c r="G185" t="str">
        <f t="shared" ref="G185:G190" si="29">+B185</f>
        <v>Replanteo arquitectura</v>
      </c>
      <c r="H185" t="s">
        <v>938</v>
      </c>
      <c r="I185" s="1" t="str">
        <f t="shared" ref="I185:I190" si="30">+C185</f>
        <v>M2</v>
      </c>
      <c r="J185" s="1" t="s">
        <v>878</v>
      </c>
      <c r="K185" s="1"/>
      <c r="L185" s="207">
        <v>1</v>
      </c>
      <c r="M185" s="4">
        <f t="shared" ref="M185:M190" si="31">+(U185/S185)/8</f>
        <v>125000</v>
      </c>
      <c r="N185" s="31"/>
      <c r="O185" s="31"/>
      <c r="P185" t="s">
        <v>821</v>
      </c>
      <c r="Q185" s="190">
        <f>(SUMIFS('3. CD - Obra negra'!$O$4:$O$344,'3. CD - Obra negra'!$E$4:$E$344,G185))+(SUMIFS('4. CD - Obra gris'!$O$14:$O$74,'4. CD - Obra gris'!$E$14:$E$74,G185))+(SUMIFS('5, CD -Obra blanca'!$O$4:$O$151,'5, CD -Obra blanca'!$E$4:$E$151,G185))</f>
        <v>180</v>
      </c>
      <c r="R185">
        <v>200</v>
      </c>
      <c r="S185" s="42">
        <f t="shared" ref="S185:S190" si="32">+Q185/R185</f>
        <v>0.9</v>
      </c>
      <c r="T185" s="4">
        <f t="shared" ref="T185:T190" si="33">+E185</f>
        <v>5000</v>
      </c>
      <c r="U185" s="4">
        <f t="shared" ref="U185:U190" si="34">+T185*Q185</f>
        <v>900000</v>
      </c>
      <c r="V185"/>
      <c r="W185"/>
      <c r="Y185"/>
      <c r="AB185"/>
    </row>
    <row r="186" spans="2:28" x14ac:dyDescent="0.25">
      <c r="B186" t="s">
        <v>1363</v>
      </c>
      <c r="C186" s="1" t="s">
        <v>335</v>
      </c>
      <c r="D186" s="1" t="s">
        <v>723</v>
      </c>
      <c r="E186" s="4">
        <v>7000</v>
      </c>
      <c r="G186" t="str">
        <f t="shared" si="29"/>
        <v>Cerramiento polipropileno global</v>
      </c>
      <c r="H186" t="s">
        <v>938</v>
      </c>
      <c r="I186" s="1" t="str">
        <f t="shared" si="30"/>
        <v>ML</v>
      </c>
      <c r="J186" s="1" t="s">
        <v>1368</v>
      </c>
      <c r="K186" s="1"/>
      <c r="L186" s="207">
        <v>2</v>
      </c>
      <c r="M186" s="4" t="e">
        <f t="shared" si="31"/>
        <v>#DIV/0!</v>
      </c>
      <c r="N186" s="31"/>
      <c r="O186" s="31"/>
      <c r="P186" t="s">
        <v>821</v>
      </c>
      <c r="Q186" s="190">
        <f>(SUMIFS('3. CD - Obra negra'!$O$4:$O$344,'3. CD - Obra negra'!$E$4:$E$344,G186))+(SUMIFS('4. CD - Obra gris'!$O$14:$O$74,'4. CD - Obra gris'!$E$14:$E$74,G186))+(SUMIFS('5, CD -Obra blanca'!$O$4:$O$151,'5, CD -Obra blanca'!$E$4:$E$151,G186))</f>
        <v>0</v>
      </c>
      <c r="R186">
        <v>100</v>
      </c>
      <c r="S186" s="42">
        <f t="shared" si="32"/>
        <v>0</v>
      </c>
      <c r="T186" s="4">
        <f t="shared" si="33"/>
        <v>7000</v>
      </c>
      <c r="U186" s="4">
        <f t="shared" si="34"/>
        <v>0</v>
      </c>
      <c r="V186"/>
      <c r="W186"/>
      <c r="Y186"/>
      <c r="AB186"/>
    </row>
    <row r="187" spans="2:28" x14ac:dyDescent="0.25">
      <c r="B187" t="s">
        <v>725</v>
      </c>
      <c r="C187" s="1" t="s">
        <v>260</v>
      </c>
      <c r="D187" s="1" t="s">
        <v>723</v>
      </c>
      <c r="E187" s="4">
        <v>500</v>
      </c>
      <c r="G187" t="str">
        <f t="shared" si="29"/>
        <v>Replanteo urbano</v>
      </c>
      <c r="H187" t="s">
        <v>938</v>
      </c>
      <c r="I187" s="1" t="str">
        <f t="shared" si="30"/>
        <v>M2</v>
      </c>
      <c r="J187" s="1" t="s">
        <v>879</v>
      </c>
      <c r="K187" s="1"/>
      <c r="L187" s="207">
        <v>1</v>
      </c>
      <c r="M187" s="4" t="e">
        <f t="shared" si="31"/>
        <v>#DIV/0!</v>
      </c>
      <c r="N187" s="31"/>
      <c r="O187" s="31"/>
      <c r="P187" t="s">
        <v>821</v>
      </c>
      <c r="Q187" s="190">
        <f>(SUMIFS('3. CD - Obra negra'!$O$4:$O$344,'3. CD - Obra negra'!$E$4:$E$344,G187))+(SUMIFS('4. CD - Obra gris'!$O$14:$O$74,'4. CD - Obra gris'!$E$14:$E$74,G187))+(SUMIFS('5, CD -Obra blanca'!$O$4:$O$151,'5, CD -Obra blanca'!$E$4:$E$151,G187))</f>
        <v>0</v>
      </c>
      <c r="R187">
        <v>300</v>
      </c>
      <c r="S187" s="42">
        <f t="shared" si="32"/>
        <v>0</v>
      </c>
      <c r="T187" s="4">
        <f t="shared" si="33"/>
        <v>500</v>
      </c>
      <c r="U187" s="4">
        <f t="shared" si="34"/>
        <v>0</v>
      </c>
      <c r="V187"/>
      <c r="W187"/>
      <c r="Y187"/>
      <c r="AB187"/>
    </row>
    <row r="188" spans="2:28" x14ac:dyDescent="0.25">
      <c r="B188" t="s">
        <v>1362</v>
      </c>
      <c r="C188" s="1" t="s">
        <v>260</v>
      </c>
      <c r="D188" s="1" t="s">
        <v>723</v>
      </c>
      <c r="E188" s="4">
        <v>5000</v>
      </c>
      <c r="G188" t="str">
        <f t="shared" si="29"/>
        <v>Descapote</v>
      </c>
      <c r="H188" t="s">
        <v>938</v>
      </c>
      <c r="I188" s="1" t="str">
        <f t="shared" si="30"/>
        <v>M2</v>
      </c>
      <c r="J188" s="1" t="s">
        <v>1366</v>
      </c>
      <c r="K188" s="1"/>
      <c r="L188" s="207">
        <v>1</v>
      </c>
      <c r="M188" s="4">
        <f t="shared" si="31"/>
        <v>62500</v>
      </c>
      <c r="N188" s="31"/>
      <c r="O188" s="31"/>
      <c r="P188" t="s">
        <v>821</v>
      </c>
      <c r="Q188" s="190">
        <f>(SUMIFS('3. CD - Obra negra'!$O$4:$O$344,'3. CD - Obra negra'!$E$4:$E$344,G188))+(SUMIFS('4. CD - Obra gris'!$O$14:$O$74,'4. CD - Obra gris'!$E$14:$E$74,G188))+(SUMIFS('5, CD -Obra blanca'!$O$4:$O$151,'5, CD -Obra blanca'!$E$4:$E$151,G188))</f>
        <v>180</v>
      </c>
      <c r="R188">
        <v>100</v>
      </c>
      <c r="S188" s="42">
        <f t="shared" si="32"/>
        <v>1.8</v>
      </c>
      <c r="T188" s="4">
        <f t="shared" si="33"/>
        <v>5000</v>
      </c>
      <c r="U188" s="4">
        <f t="shared" si="34"/>
        <v>900000</v>
      </c>
      <c r="V188"/>
      <c r="W188"/>
      <c r="Y188"/>
      <c r="AB188"/>
    </row>
    <row r="189" spans="2:28" x14ac:dyDescent="0.25">
      <c r="B189" t="s">
        <v>1493</v>
      </c>
      <c r="C189" s="1" t="s">
        <v>260</v>
      </c>
      <c r="D189" s="1" t="s">
        <v>723</v>
      </c>
      <c r="E189" s="4">
        <v>45000</v>
      </c>
      <c r="G189" t="str">
        <f t="shared" si="29"/>
        <v>Demolición</v>
      </c>
      <c r="H189" t="s">
        <v>938</v>
      </c>
      <c r="I189" s="1" t="str">
        <f t="shared" si="30"/>
        <v>M2</v>
      </c>
      <c r="J189" s="1" t="s">
        <v>1494</v>
      </c>
      <c r="K189" s="1"/>
      <c r="L189" s="207">
        <v>1</v>
      </c>
      <c r="M189" s="4" t="e">
        <f t="shared" si="31"/>
        <v>#DIV/0!</v>
      </c>
      <c r="N189" s="31"/>
      <c r="O189" s="31"/>
      <c r="P189" t="s">
        <v>821</v>
      </c>
      <c r="Q189" s="190">
        <f>(SUMIFS('3. CD - Obra negra'!$O$4:$O$344,'3. CD - Obra negra'!$E$4:$E$344,G189))+(SUMIFS('4. CD - Obra gris'!$O$14:$O$74,'4. CD - Obra gris'!$E$14:$E$74,G189))+(SUMIFS('5, CD -Obra blanca'!$O$4:$O$151,'5, CD -Obra blanca'!$E$4:$E$151,G189))</f>
        <v>0</v>
      </c>
      <c r="R189">
        <v>0.5</v>
      </c>
      <c r="S189" s="42">
        <f t="shared" si="32"/>
        <v>0</v>
      </c>
      <c r="T189" s="4">
        <f t="shared" si="33"/>
        <v>45000</v>
      </c>
      <c r="U189" s="4">
        <f t="shared" si="34"/>
        <v>0</v>
      </c>
      <c r="V189"/>
      <c r="W189"/>
      <c r="Y189"/>
      <c r="AB189"/>
    </row>
    <row r="190" spans="2:28" x14ac:dyDescent="0.25">
      <c r="B190" t="s">
        <v>1364</v>
      </c>
      <c r="C190" s="1" t="s">
        <v>126</v>
      </c>
      <c r="D190" s="1" t="s">
        <v>723</v>
      </c>
      <c r="E190" s="4">
        <v>1500000</v>
      </c>
      <c r="G190" t="str">
        <f t="shared" si="29"/>
        <v>Campamento global</v>
      </c>
      <c r="H190" t="s">
        <v>938</v>
      </c>
      <c r="I190" s="1" t="str">
        <f t="shared" si="30"/>
        <v>UND</v>
      </c>
      <c r="J190" s="1" t="s">
        <v>1367</v>
      </c>
      <c r="K190" s="1"/>
      <c r="L190" s="207">
        <v>1</v>
      </c>
      <c r="M190" s="4" t="e">
        <f t="shared" si="31"/>
        <v>#DIV/0!</v>
      </c>
      <c r="N190" s="31"/>
      <c r="O190" s="31"/>
      <c r="P190" t="s">
        <v>821</v>
      </c>
      <c r="Q190" s="190">
        <f>(SUMIFS('3. CD - Obra negra'!$O$4:$O$344,'3. CD - Obra negra'!$E$4:$E$344,G190))+(SUMIFS('4. CD - Obra gris'!$O$14:$O$74,'4. CD - Obra gris'!$E$14:$E$74,G190))+(SUMIFS('5, CD -Obra blanca'!$O$4:$O$151,'5, CD -Obra blanca'!$E$4:$E$151,G190))</f>
        <v>0</v>
      </c>
      <c r="R190">
        <v>0.5</v>
      </c>
      <c r="S190" s="42">
        <f t="shared" si="32"/>
        <v>0</v>
      </c>
      <c r="T190" s="4">
        <f t="shared" si="33"/>
        <v>1500000</v>
      </c>
      <c r="U190" s="4">
        <f t="shared" si="34"/>
        <v>0</v>
      </c>
      <c r="V190"/>
      <c r="W190"/>
      <c r="Y190"/>
      <c r="AB190"/>
    </row>
    <row r="191" spans="2:28" x14ac:dyDescent="0.25">
      <c r="C191" s="1"/>
      <c r="D191" s="1"/>
      <c r="E191" s="4"/>
      <c r="I191" s="1"/>
      <c r="L191"/>
      <c r="M191" s="4"/>
      <c r="N191" s="31"/>
      <c r="O191" s="31"/>
      <c r="R191"/>
      <c r="T191" s="4"/>
      <c r="V191"/>
      <c r="W191"/>
      <c r="Y191"/>
      <c r="AB191"/>
    </row>
    <row r="192" spans="2:28" x14ac:dyDescent="0.25">
      <c r="C192" s="1"/>
      <c r="D192" s="1"/>
      <c r="E192" s="4"/>
      <c r="I192" s="1"/>
      <c r="L192"/>
      <c r="M192" s="4"/>
      <c r="N192" s="31"/>
      <c r="O192" s="31"/>
      <c r="R192"/>
      <c r="T192" s="4"/>
      <c r="V192"/>
      <c r="W192"/>
      <c r="Y192"/>
      <c r="AB192"/>
    </row>
    <row r="193" spans="2:28" x14ac:dyDescent="0.25">
      <c r="B193" s="299" t="s">
        <v>668</v>
      </c>
      <c r="C193" s="299"/>
      <c r="D193" s="299"/>
      <c r="E193" s="299"/>
      <c r="G193" s="299" t="s">
        <v>668</v>
      </c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t="s">
        <v>935</v>
      </c>
      <c r="S193" s="194">
        <f>+S195+S266+S301+S347+S357</f>
        <v>18478519.899999999</v>
      </c>
      <c r="T193" s="4"/>
      <c r="V193"/>
      <c r="W193"/>
      <c r="Y193"/>
      <c r="AB193"/>
    </row>
    <row r="194" spans="2:28" x14ac:dyDescent="0.25">
      <c r="B194" s="299" t="s">
        <v>670</v>
      </c>
      <c r="C194" s="299"/>
      <c r="D194" s="299"/>
      <c r="E194" s="299"/>
      <c r="G194" s="299" t="s">
        <v>670</v>
      </c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4"/>
      <c r="V194"/>
      <c r="W194"/>
      <c r="Y194"/>
      <c r="AB194"/>
    </row>
    <row r="195" spans="2:28" x14ac:dyDescent="0.25">
      <c r="B195" t="s">
        <v>246</v>
      </c>
      <c r="C195" t="s">
        <v>248</v>
      </c>
      <c r="D195" s="1" t="s">
        <v>261</v>
      </c>
      <c r="E195" s="4" t="s">
        <v>249</v>
      </c>
      <c r="G195" s="191" t="s">
        <v>798</v>
      </c>
      <c r="H195" s="191" t="s">
        <v>799</v>
      </c>
      <c r="I195" s="191" t="s">
        <v>800</v>
      </c>
      <c r="J195" s="191" t="s">
        <v>815</v>
      </c>
      <c r="K195" s="191"/>
      <c r="L195" s="191" t="s">
        <v>816</v>
      </c>
      <c r="M195" s="192" t="s">
        <v>817</v>
      </c>
      <c r="N195" s="192" t="s">
        <v>818</v>
      </c>
      <c r="O195" s="192" t="s">
        <v>819</v>
      </c>
      <c r="P195" s="191" t="s">
        <v>820</v>
      </c>
      <c r="Q195" s="193" t="s">
        <v>847</v>
      </c>
      <c r="R195" s="191" t="s">
        <v>85</v>
      </c>
      <c r="S195" s="195">
        <f>+SUM(R196:R263)</f>
        <v>2282060.5</v>
      </c>
      <c r="T195" s="4"/>
      <c r="V195"/>
      <c r="W195"/>
      <c r="Y195"/>
      <c r="AB195"/>
    </row>
    <row r="196" spans="2:28" x14ac:dyDescent="0.25">
      <c r="B196" t="s">
        <v>300</v>
      </c>
      <c r="C196" s="87" t="s">
        <v>335</v>
      </c>
      <c r="D196" s="1" t="s">
        <v>670</v>
      </c>
      <c r="E196" s="88">
        <v>4800</v>
      </c>
      <c r="G196" t="str">
        <f>+B196</f>
        <v>Tubería CPVC 1/2"</v>
      </c>
      <c r="H196" t="s">
        <v>76</v>
      </c>
      <c r="I196" s="1" t="str">
        <f>+C196</f>
        <v>ML</v>
      </c>
      <c r="J196" s="1" t="s">
        <v>884</v>
      </c>
      <c r="K196" s="1"/>
      <c r="L196"/>
      <c r="M196" s="4">
        <f>+E196</f>
        <v>4800</v>
      </c>
      <c r="N196" s="31"/>
      <c r="O196" s="31"/>
      <c r="P196" t="s">
        <v>821</v>
      </c>
      <c r="Q196" s="190">
        <f>(SUMIFS('3. CD - Obra negra'!$O$4:$O$344,'3. CD - Obra negra'!$E$4:$E$344,G196))+(SUMIFS('4. CD - Obra gris'!$O$14:$O$74,'4. CD - Obra gris'!$E$14:$E$74,G196))+(SUMIFS('5, CD -Obra blanca'!$O$4:$O$151,'5, CD -Obra blanca'!$E$4:$E$151,G196))</f>
        <v>50</v>
      </c>
      <c r="R196" s="194">
        <f>+Q196*M196</f>
        <v>240000</v>
      </c>
      <c r="T196" s="4"/>
      <c r="V196"/>
      <c r="W196"/>
      <c r="Y196"/>
      <c r="AB196"/>
    </row>
    <row r="197" spans="2:28" x14ac:dyDescent="0.25">
      <c r="B197" t="s">
        <v>340</v>
      </c>
      <c r="C197" s="87" t="s">
        <v>335</v>
      </c>
      <c r="D197" s="1" t="s">
        <v>670</v>
      </c>
      <c r="E197" s="88">
        <v>15400</v>
      </c>
      <c r="G197" t="str">
        <f>+B197</f>
        <v>Tubería CPVC 3/4"</v>
      </c>
      <c r="H197" t="s">
        <v>76</v>
      </c>
      <c r="I197" s="1" t="str">
        <f>+C197</f>
        <v>ML</v>
      </c>
      <c r="J197" s="1" t="s">
        <v>885</v>
      </c>
      <c r="K197" s="1"/>
      <c r="L197"/>
      <c r="M197" s="4">
        <f>+E197</f>
        <v>15400</v>
      </c>
      <c r="N197" s="31"/>
      <c r="O197" s="31"/>
      <c r="P197" t="s">
        <v>821</v>
      </c>
      <c r="Q197" s="190">
        <f>(SUMIFS('3. CD - Obra negra'!$O$4:$O$344,'3. CD - Obra negra'!$E$4:$E$344,G197))+(SUMIFS('4. CD - Obra gris'!$O$14:$O$74,'4. CD - Obra gris'!$E$14:$E$74,G197))+(SUMIFS('5, CD -Obra blanca'!$O$4:$O$151,'5, CD -Obra blanca'!$E$4:$E$151,G197))</f>
        <v>30</v>
      </c>
      <c r="R197" s="194">
        <f t="shared" ref="R197:R263" si="35">+Q197*M197</f>
        <v>462000</v>
      </c>
      <c r="T197" s="4"/>
      <c r="V197"/>
      <c r="W197"/>
      <c r="Y197"/>
      <c r="AB197"/>
    </row>
    <row r="198" spans="2:28" x14ac:dyDescent="0.25">
      <c r="B198" t="s">
        <v>301</v>
      </c>
      <c r="C198" s="87" t="s">
        <v>335</v>
      </c>
      <c r="D198" s="1" t="s">
        <v>670</v>
      </c>
      <c r="E198" s="88">
        <v>14700</v>
      </c>
      <c r="G198" t="str">
        <f>+B198</f>
        <v>Tubería CPVC 1"</v>
      </c>
      <c r="H198" t="s">
        <v>76</v>
      </c>
      <c r="I198" s="1" t="str">
        <f>+C198</f>
        <v>ML</v>
      </c>
      <c r="J198" s="1" t="s">
        <v>886</v>
      </c>
      <c r="K198" s="1"/>
      <c r="L198"/>
      <c r="M198" s="4">
        <f>+E198</f>
        <v>14700</v>
      </c>
      <c r="N198" s="31"/>
      <c r="O198" s="31"/>
      <c r="P198" t="s">
        <v>821</v>
      </c>
      <c r="Q198" s="190">
        <f>(SUMIFS('3. CD - Obra negra'!$O$4:$O$344,'3. CD - Obra negra'!$E$4:$E$344,G198))+(SUMIFS('4. CD - Obra gris'!$O$14:$O$74,'4. CD - Obra gris'!$E$14:$E$74,G198))+(SUMIFS('5, CD -Obra blanca'!$O$4:$O$151,'5, CD -Obra blanca'!$E$4:$E$151,G198))</f>
        <v>15</v>
      </c>
      <c r="R198" s="194">
        <f t="shared" si="35"/>
        <v>220500</v>
      </c>
      <c r="T198" s="4"/>
      <c r="V198"/>
      <c r="W198"/>
      <c r="Y198"/>
      <c r="AB198"/>
    </row>
    <row r="199" spans="2:28" x14ac:dyDescent="0.25">
      <c r="B199" t="s">
        <v>302</v>
      </c>
      <c r="C199" s="87" t="s">
        <v>335</v>
      </c>
      <c r="D199" s="1" t="s">
        <v>670</v>
      </c>
      <c r="E199" s="88">
        <v>1850</v>
      </c>
      <c r="G199" t="str">
        <f t="shared" ref="G199:G263" si="36">+B199</f>
        <v>Tubería PVCP 1/2"</v>
      </c>
      <c r="H199" t="s">
        <v>76</v>
      </c>
      <c r="I199" s="1" t="str">
        <f t="shared" ref="I199:I263" si="37">+C199</f>
        <v>ML</v>
      </c>
      <c r="J199" s="1" t="s">
        <v>887</v>
      </c>
      <c r="K199" s="1"/>
      <c r="L199"/>
      <c r="M199" s="4">
        <f t="shared" ref="M199:M263" si="38">+E199</f>
        <v>1850</v>
      </c>
      <c r="N199" s="31"/>
      <c r="O199" s="31"/>
      <c r="P199" t="s">
        <v>821</v>
      </c>
      <c r="Q199" s="190">
        <f>(SUMIFS('3. CD - Obra negra'!$O$4:$O$344,'3. CD - Obra negra'!$E$4:$E$344,G199))+(SUMIFS('4. CD - Obra gris'!$O$14:$O$74,'4. CD - Obra gris'!$E$14:$E$74,G199))+(SUMIFS('5, CD -Obra blanca'!$O$4:$O$151,'5, CD -Obra blanca'!$E$4:$E$151,G199))</f>
        <v>15</v>
      </c>
      <c r="R199" s="194">
        <f t="shared" si="35"/>
        <v>27750</v>
      </c>
      <c r="T199" s="4"/>
      <c r="V199"/>
      <c r="W199"/>
      <c r="Y199"/>
      <c r="AB199"/>
    </row>
    <row r="200" spans="2:28" x14ac:dyDescent="0.25">
      <c r="B200" t="s">
        <v>341</v>
      </c>
      <c r="C200" s="87" t="s">
        <v>335</v>
      </c>
      <c r="D200" s="1" t="s">
        <v>670</v>
      </c>
      <c r="E200" s="88">
        <v>3300</v>
      </c>
      <c r="G200" t="str">
        <f t="shared" si="36"/>
        <v>Tubería PVCP 3/4"</v>
      </c>
      <c r="H200" t="s">
        <v>76</v>
      </c>
      <c r="I200" s="1" t="str">
        <f t="shared" si="37"/>
        <v>ML</v>
      </c>
      <c r="J200" s="1" t="s">
        <v>888</v>
      </c>
      <c r="K200" s="1"/>
      <c r="L200"/>
      <c r="M200" s="4">
        <f t="shared" si="38"/>
        <v>3300</v>
      </c>
      <c r="N200" s="31"/>
      <c r="O200" s="31"/>
      <c r="P200" t="s">
        <v>821</v>
      </c>
      <c r="Q200" s="190">
        <f>(SUMIFS('3. CD - Obra negra'!$O$4:$O$344,'3. CD - Obra negra'!$E$4:$E$344,G200))+(SUMIFS('4. CD - Obra gris'!$O$14:$O$74,'4. CD - Obra gris'!$E$14:$E$74,G200))+(SUMIFS('5, CD -Obra blanca'!$O$4:$O$151,'5, CD -Obra blanca'!$E$4:$E$151,G200))</f>
        <v>50</v>
      </c>
      <c r="R200" s="194">
        <f t="shared" si="35"/>
        <v>165000</v>
      </c>
      <c r="T200" s="4"/>
      <c r="V200"/>
      <c r="W200"/>
      <c r="Y200"/>
      <c r="AB200"/>
    </row>
    <row r="201" spans="2:28" x14ac:dyDescent="0.25">
      <c r="B201" t="s">
        <v>303</v>
      </c>
      <c r="C201" s="87" t="s">
        <v>335</v>
      </c>
      <c r="D201" s="1" t="s">
        <v>670</v>
      </c>
      <c r="E201" s="88">
        <v>5400</v>
      </c>
      <c r="G201" t="str">
        <f t="shared" si="36"/>
        <v>Tubería PVCP 1"</v>
      </c>
      <c r="H201" t="s">
        <v>76</v>
      </c>
      <c r="I201" s="1" t="str">
        <f t="shared" si="37"/>
        <v>ML</v>
      </c>
      <c r="J201" s="1" t="s">
        <v>889</v>
      </c>
      <c r="K201" s="1"/>
      <c r="L201"/>
      <c r="M201" s="4">
        <f t="shared" si="38"/>
        <v>5400</v>
      </c>
      <c r="N201" s="31"/>
      <c r="O201" s="31"/>
      <c r="P201" t="s">
        <v>821</v>
      </c>
      <c r="Q201" s="190">
        <f>(SUMIFS('3. CD - Obra negra'!$O$4:$O$344,'3. CD - Obra negra'!$E$4:$E$344,G201))+(SUMIFS('4. CD - Obra gris'!$O$14:$O$74,'4. CD - Obra gris'!$E$14:$E$74,G201))+(SUMIFS('5, CD -Obra blanca'!$O$4:$O$151,'5, CD -Obra blanca'!$E$4:$E$151,G201))</f>
        <v>30</v>
      </c>
      <c r="R201" s="194">
        <f t="shared" si="35"/>
        <v>162000</v>
      </c>
      <c r="T201" s="4"/>
      <c r="V201"/>
      <c r="W201"/>
      <c r="Y201"/>
      <c r="AB201"/>
    </row>
    <row r="202" spans="2:28" x14ac:dyDescent="0.25">
      <c r="B202" t="s">
        <v>304</v>
      </c>
      <c r="C202" s="87" t="s">
        <v>335</v>
      </c>
      <c r="D202" s="1" t="s">
        <v>670</v>
      </c>
      <c r="E202" s="88">
        <v>18000</v>
      </c>
      <c r="G202" t="str">
        <f t="shared" si="36"/>
        <v>Tubería PVCP 2"</v>
      </c>
      <c r="H202" t="s">
        <v>76</v>
      </c>
      <c r="I202" s="1" t="str">
        <f t="shared" si="37"/>
        <v>ML</v>
      </c>
      <c r="J202" s="1" t="s">
        <v>890</v>
      </c>
      <c r="K202" s="1"/>
      <c r="L202"/>
      <c r="M202" s="4">
        <f t="shared" si="38"/>
        <v>18000</v>
      </c>
      <c r="N202" s="31"/>
      <c r="O202" s="31"/>
      <c r="P202" t="s">
        <v>821</v>
      </c>
      <c r="Q202" s="190">
        <f>(SUMIFS('3. CD - Obra negra'!$O$4:$O$344,'3. CD - Obra negra'!$E$4:$E$344,G202))+(SUMIFS('4. CD - Obra gris'!$O$14:$O$74,'4. CD - Obra gris'!$E$14:$E$74,G202))+(SUMIFS('5, CD -Obra blanca'!$O$4:$O$151,'5, CD -Obra blanca'!$E$4:$E$151,G202))</f>
        <v>0</v>
      </c>
      <c r="R202" s="194">
        <f t="shared" si="35"/>
        <v>0</v>
      </c>
      <c r="T202" s="4"/>
      <c r="V202"/>
      <c r="W202"/>
      <c r="Y202"/>
      <c r="AB202"/>
    </row>
    <row r="203" spans="2:28" x14ac:dyDescent="0.25">
      <c r="B203" t="s">
        <v>305</v>
      </c>
      <c r="C203" s="87" t="s">
        <v>335</v>
      </c>
      <c r="D203" s="1" t="s">
        <v>670</v>
      </c>
      <c r="E203" s="88">
        <v>3300</v>
      </c>
      <c r="G203" t="str">
        <f t="shared" si="36"/>
        <v>Manguera hidráulica 2"</v>
      </c>
      <c r="H203" t="s">
        <v>76</v>
      </c>
      <c r="I203" s="1" t="str">
        <f t="shared" si="37"/>
        <v>ML</v>
      </c>
      <c r="J203" s="1" t="s">
        <v>880</v>
      </c>
      <c r="K203" s="1"/>
      <c r="L203"/>
      <c r="M203" s="4">
        <f t="shared" si="38"/>
        <v>3300</v>
      </c>
      <c r="N203" s="31"/>
      <c r="O203" s="31"/>
      <c r="P203" t="s">
        <v>821</v>
      </c>
      <c r="Q203" s="190">
        <f>(SUMIFS('3. CD - Obra negra'!$O$4:$O$344,'3. CD - Obra negra'!$E$4:$E$344,G203))+(SUMIFS('4. CD - Obra gris'!$O$14:$O$74,'4. CD - Obra gris'!$E$14:$E$74,G203))+(SUMIFS('5, CD -Obra blanca'!$O$4:$O$151,'5, CD -Obra blanca'!$E$4:$E$151,G203))</f>
        <v>0</v>
      </c>
      <c r="R203" s="194">
        <f t="shared" si="35"/>
        <v>0</v>
      </c>
      <c r="T203" s="4"/>
      <c r="V203"/>
      <c r="W203"/>
      <c r="Y203"/>
      <c r="AB203"/>
    </row>
    <row r="204" spans="2:28" x14ac:dyDescent="0.25">
      <c r="B204" t="s">
        <v>306</v>
      </c>
      <c r="C204" s="87" t="s">
        <v>126</v>
      </c>
      <c r="D204" s="1" t="s">
        <v>670</v>
      </c>
      <c r="E204" s="88">
        <v>1500</v>
      </c>
      <c r="G204" t="str">
        <f t="shared" si="36"/>
        <v>Codo CPVC 90 1/2"</v>
      </c>
      <c r="H204" t="s">
        <v>76</v>
      </c>
      <c r="I204" s="1" t="str">
        <f t="shared" si="37"/>
        <v>UND</v>
      </c>
      <c r="J204" s="1" t="s">
        <v>881</v>
      </c>
      <c r="K204" s="1"/>
      <c r="L204"/>
      <c r="M204" s="4">
        <f t="shared" si="38"/>
        <v>1500</v>
      </c>
      <c r="N204" s="31"/>
      <c r="O204" s="31"/>
      <c r="P204" t="s">
        <v>821</v>
      </c>
      <c r="Q204" s="190">
        <f>(SUMIFS('3. CD - Obra negra'!$O$4:$O$344,'3. CD - Obra negra'!$E$4:$E$344,G204))+(SUMIFS('4. CD - Obra gris'!$O$14:$O$74,'4. CD - Obra gris'!$E$14:$E$74,G204))+(SUMIFS('5, CD -Obra blanca'!$O$4:$O$151,'5, CD -Obra blanca'!$E$4:$E$151,G204))</f>
        <v>25</v>
      </c>
      <c r="R204" s="194">
        <f t="shared" si="35"/>
        <v>37500</v>
      </c>
      <c r="T204" s="4"/>
      <c r="V204"/>
      <c r="W204"/>
      <c r="Y204"/>
      <c r="AB204"/>
    </row>
    <row r="205" spans="2:28" x14ac:dyDescent="0.25">
      <c r="B205" t="s">
        <v>1391</v>
      </c>
      <c r="C205" s="87" t="s">
        <v>126</v>
      </c>
      <c r="D205" s="1" t="s">
        <v>670</v>
      </c>
      <c r="E205" s="88">
        <v>2000</v>
      </c>
      <c r="G205" t="str">
        <f>+B205</f>
        <v>Codo CPVC 45 1/2"</v>
      </c>
      <c r="H205" t="s">
        <v>76</v>
      </c>
      <c r="I205" s="1" t="str">
        <f>+C205</f>
        <v>UND</v>
      </c>
      <c r="J205" s="1" t="s">
        <v>881</v>
      </c>
      <c r="K205" s="1"/>
      <c r="L205"/>
      <c r="M205" s="4">
        <f>+E205</f>
        <v>2000</v>
      </c>
      <c r="N205" s="31"/>
      <c r="O205" s="31"/>
      <c r="P205" t="s">
        <v>821</v>
      </c>
      <c r="Q205" s="190">
        <f>(SUMIFS('3. CD - Obra negra'!$O$4:$O$344,'3. CD - Obra negra'!$E$4:$E$344,G205))+(SUMIFS('4. CD - Obra gris'!$O$14:$O$74,'4. CD - Obra gris'!$E$14:$E$74,G205))+(SUMIFS('5, CD -Obra blanca'!$O$4:$O$151,'5, CD -Obra blanca'!$E$4:$E$151,G205))</f>
        <v>0</v>
      </c>
      <c r="R205" s="194">
        <f>+Q205*M205</f>
        <v>0</v>
      </c>
      <c r="T205" s="4"/>
      <c r="V205"/>
      <c r="W205"/>
      <c r="Y205"/>
      <c r="AB205"/>
    </row>
    <row r="206" spans="2:28" x14ac:dyDescent="0.25">
      <c r="B206" t="s">
        <v>342</v>
      </c>
      <c r="C206" s="87" t="s">
        <v>126</v>
      </c>
      <c r="D206" s="1" t="s">
        <v>670</v>
      </c>
      <c r="E206" s="88">
        <v>2800</v>
      </c>
      <c r="G206" t="str">
        <f t="shared" si="36"/>
        <v>Codo CPVC 90 3/4"</v>
      </c>
      <c r="H206" t="s">
        <v>76</v>
      </c>
      <c r="I206" s="1" t="str">
        <f t="shared" si="37"/>
        <v>UND</v>
      </c>
      <c r="J206" s="1" t="s">
        <v>882</v>
      </c>
      <c r="K206" s="1"/>
      <c r="L206"/>
      <c r="M206" s="4">
        <f t="shared" si="38"/>
        <v>2800</v>
      </c>
      <c r="N206" s="31"/>
      <c r="O206" s="31"/>
      <c r="P206" t="s">
        <v>821</v>
      </c>
      <c r="Q206" s="190">
        <f>(SUMIFS('3. CD - Obra negra'!$O$4:$O$344,'3. CD - Obra negra'!$E$4:$E$344,G206))+(SUMIFS('4. CD - Obra gris'!$O$14:$O$74,'4. CD - Obra gris'!$E$14:$E$74,G206))+(SUMIFS('5, CD -Obra blanca'!$O$4:$O$151,'5, CD -Obra blanca'!$E$4:$E$151,G206))</f>
        <v>15</v>
      </c>
      <c r="R206" s="194">
        <f t="shared" si="35"/>
        <v>42000</v>
      </c>
      <c r="T206" s="4"/>
      <c r="V206"/>
      <c r="W206"/>
      <c r="Y206"/>
      <c r="AB206"/>
    </row>
    <row r="207" spans="2:28" x14ac:dyDescent="0.25">
      <c r="B207" t="s">
        <v>307</v>
      </c>
      <c r="C207" s="87" t="s">
        <v>126</v>
      </c>
      <c r="D207" s="1" t="s">
        <v>670</v>
      </c>
      <c r="E207" s="88">
        <v>7800</v>
      </c>
      <c r="G207" t="str">
        <f t="shared" si="36"/>
        <v>Codo CPVC 90 1"</v>
      </c>
      <c r="H207" t="s">
        <v>76</v>
      </c>
      <c r="I207" s="1" t="str">
        <f t="shared" si="37"/>
        <v>UND</v>
      </c>
      <c r="J207" s="1" t="s">
        <v>883</v>
      </c>
      <c r="K207" s="1"/>
      <c r="L207"/>
      <c r="M207" s="4">
        <f t="shared" si="38"/>
        <v>7800</v>
      </c>
      <c r="N207" s="31"/>
      <c r="O207" s="31"/>
      <c r="P207" t="s">
        <v>821</v>
      </c>
      <c r="Q207" s="190">
        <f>(SUMIFS('3. CD - Obra negra'!$O$4:$O$344,'3. CD - Obra negra'!$E$4:$E$344,G207))+(SUMIFS('4. CD - Obra gris'!$O$14:$O$74,'4. CD - Obra gris'!$E$14:$E$74,G207))+(SUMIFS('5, CD -Obra blanca'!$O$4:$O$151,'5, CD -Obra blanca'!$E$4:$E$151,G207))</f>
        <v>5</v>
      </c>
      <c r="R207" s="194">
        <f t="shared" si="35"/>
        <v>39000</v>
      </c>
      <c r="T207" s="4"/>
      <c r="V207"/>
      <c r="W207"/>
      <c r="Y207"/>
      <c r="AB207"/>
    </row>
    <row r="208" spans="2:28" x14ac:dyDescent="0.25">
      <c r="B208" t="s">
        <v>308</v>
      </c>
      <c r="C208" s="87" t="s">
        <v>126</v>
      </c>
      <c r="D208" s="1" t="s">
        <v>670</v>
      </c>
      <c r="E208" s="88">
        <v>450</v>
      </c>
      <c r="G208" t="str">
        <f t="shared" si="36"/>
        <v>Codo PVCP 90 1/2"</v>
      </c>
      <c r="H208" t="s">
        <v>76</v>
      </c>
      <c r="I208" s="1" t="str">
        <f t="shared" si="37"/>
        <v>UND</v>
      </c>
      <c r="J208" s="1" t="s">
        <v>891</v>
      </c>
      <c r="K208" s="1"/>
      <c r="L208"/>
      <c r="M208" s="4">
        <f t="shared" si="38"/>
        <v>450</v>
      </c>
      <c r="N208" s="31"/>
      <c r="O208" s="31"/>
      <c r="P208" t="s">
        <v>821</v>
      </c>
      <c r="Q208" s="190">
        <f>(SUMIFS('3. CD - Obra negra'!$O$4:$O$344,'3. CD - Obra negra'!$E$4:$E$344,G208))+(SUMIFS('4. CD - Obra gris'!$O$14:$O$74,'4. CD - Obra gris'!$E$14:$E$74,G208))+(SUMIFS('5, CD -Obra blanca'!$O$4:$O$151,'5, CD -Obra blanca'!$E$4:$E$151,G208))</f>
        <v>25</v>
      </c>
      <c r="R208" s="194">
        <f t="shared" si="35"/>
        <v>11250</v>
      </c>
      <c r="T208" s="4"/>
      <c r="V208"/>
      <c r="W208"/>
      <c r="Y208"/>
      <c r="AB208"/>
    </row>
    <row r="209" spans="2:28" x14ac:dyDescent="0.25">
      <c r="B209" t="s">
        <v>343</v>
      </c>
      <c r="C209" s="87" t="s">
        <v>126</v>
      </c>
      <c r="D209" s="1" t="s">
        <v>670</v>
      </c>
      <c r="E209" s="88">
        <v>1300</v>
      </c>
      <c r="G209" t="str">
        <f t="shared" si="36"/>
        <v>Codo PVCP 90 3/4"</v>
      </c>
      <c r="H209" t="s">
        <v>76</v>
      </c>
      <c r="I209" s="1" t="str">
        <f t="shared" si="37"/>
        <v>UND</v>
      </c>
      <c r="J209" s="1" t="s">
        <v>892</v>
      </c>
      <c r="K209" s="1"/>
      <c r="L209"/>
      <c r="M209" s="4">
        <f t="shared" si="38"/>
        <v>1300</v>
      </c>
      <c r="N209" s="31"/>
      <c r="O209" s="31"/>
      <c r="P209" t="s">
        <v>821</v>
      </c>
      <c r="Q209" s="190">
        <f>(SUMIFS('3. CD - Obra negra'!$O$4:$O$344,'3. CD - Obra negra'!$E$4:$E$344,G209))+(SUMIFS('4. CD - Obra gris'!$O$14:$O$74,'4. CD - Obra gris'!$E$14:$E$74,G209))+(SUMIFS('5, CD -Obra blanca'!$O$4:$O$151,'5, CD -Obra blanca'!$E$4:$E$151,G209))</f>
        <v>15</v>
      </c>
      <c r="R209" s="194">
        <f t="shared" si="35"/>
        <v>19500</v>
      </c>
      <c r="T209" s="4"/>
      <c r="V209"/>
      <c r="W209"/>
      <c r="Y209"/>
      <c r="AB209"/>
    </row>
    <row r="210" spans="2:28" x14ac:dyDescent="0.25">
      <c r="B210" t="s">
        <v>1411</v>
      </c>
      <c r="C210" s="87" t="s">
        <v>126</v>
      </c>
      <c r="D210" s="1" t="s">
        <v>670</v>
      </c>
      <c r="E210" s="88">
        <v>4500</v>
      </c>
      <c r="G210" t="str">
        <f>+B210</f>
        <v>Codo PVCP 45 1"</v>
      </c>
      <c r="H210" t="s">
        <v>76</v>
      </c>
      <c r="I210" s="1" t="str">
        <f>+C210</f>
        <v>UND</v>
      </c>
      <c r="J210" s="1" t="s">
        <v>893</v>
      </c>
      <c r="K210" s="1"/>
      <c r="L210"/>
      <c r="M210" s="4">
        <f>+E210</f>
        <v>4500</v>
      </c>
      <c r="N210" s="31"/>
      <c r="O210" s="31"/>
      <c r="P210" t="s">
        <v>821</v>
      </c>
      <c r="Q210" s="190">
        <f>(SUMIFS('3. CD - Obra negra'!$O$4:$O$344,'3. CD - Obra negra'!$E$4:$E$344,G210))+(SUMIFS('4. CD - Obra gris'!$O$14:$O$74,'4. CD - Obra gris'!$E$14:$E$74,G210))+(SUMIFS('5, CD -Obra blanca'!$O$4:$O$151,'5, CD -Obra blanca'!$E$4:$E$151,G210))</f>
        <v>0</v>
      </c>
      <c r="R210" s="194">
        <f>+Q210*M210</f>
        <v>0</v>
      </c>
      <c r="T210" s="4"/>
      <c r="V210"/>
      <c r="W210"/>
      <c r="Y210"/>
      <c r="AB210"/>
    </row>
    <row r="211" spans="2:28" x14ac:dyDescent="0.25">
      <c r="B211" t="s">
        <v>309</v>
      </c>
      <c r="C211" s="87" t="s">
        <v>126</v>
      </c>
      <c r="D211" s="1" t="s">
        <v>670</v>
      </c>
      <c r="E211" s="88">
        <v>1400</v>
      </c>
      <c r="G211" t="str">
        <f t="shared" si="36"/>
        <v>Codo PVCP 90 1"</v>
      </c>
      <c r="H211" t="s">
        <v>76</v>
      </c>
      <c r="I211" s="1" t="str">
        <f t="shared" si="37"/>
        <v>UND</v>
      </c>
      <c r="J211" s="1" t="s">
        <v>893</v>
      </c>
      <c r="K211" s="1"/>
      <c r="L211"/>
      <c r="M211" s="4">
        <f t="shared" si="38"/>
        <v>1400</v>
      </c>
      <c r="N211" s="31"/>
      <c r="O211" s="31"/>
      <c r="P211" t="s">
        <v>821</v>
      </c>
      <c r="Q211" s="190">
        <f>(SUMIFS('3. CD - Obra negra'!$O$4:$O$344,'3. CD - Obra negra'!$E$4:$E$344,G211))+(SUMIFS('4. CD - Obra gris'!$O$14:$O$74,'4. CD - Obra gris'!$E$14:$E$74,G211))+(SUMIFS('5, CD -Obra blanca'!$O$4:$O$151,'5, CD -Obra blanca'!$E$4:$E$151,G211))</f>
        <v>5</v>
      </c>
      <c r="R211" s="194">
        <f t="shared" si="35"/>
        <v>7000</v>
      </c>
      <c r="T211" s="4"/>
      <c r="V211"/>
      <c r="W211"/>
      <c r="Y211"/>
      <c r="AB211"/>
    </row>
    <row r="212" spans="2:28" x14ac:dyDescent="0.25">
      <c r="B212" t="s">
        <v>310</v>
      </c>
      <c r="C212" s="87" t="s">
        <v>126</v>
      </c>
      <c r="D212" s="1" t="s">
        <v>670</v>
      </c>
      <c r="E212" s="88">
        <v>14000</v>
      </c>
      <c r="G212" t="str">
        <f t="shared" si="36"/>
        <v>Codo PVCP 90 2"</v>
      </c>
      <c r="H212" t="s">
        <v>76</v>
      </c>
      <c r="I212" s="1" t="str">
        <f t="shared" si="37"/>
        <v>UND</v>
      </c>
      <c r="J212" s="1" t="s">
        <v>894</v>
      </c>
      <c r="K212" s="1"/>
      <c r="L212"/>
      <c r="M212" s="4">
        <f t="shared" si="38"/>
        <v>14000</v>
      </c>
      <c r="N212" s="31"/>
      <c r="O212" s="31"/>
      <c r="P212" t="s">
        <v>821</v>
      </c>
      <c r="Q212" s="190">
        <f>(SUMIFS('3. CD - Obra negra'!$O$4:$O$344,'3. CD - Obra negra'!$E$4:$E$344,G212))+(SUMIFS('4. CD - Obra gris'!$O$14:$O$74,'4. CD - Obra gris'!$E$14:$E$74,G212))+(SUMIFS('5, CD -Obra blanca'!$O$4:$O$151,'5, CD -Obra blanca'!$E$4:$E$151,G212))</f>
        <v>0</v>
      </c>
      <c r="R212" s="194">
        <f t="shared" si="35"/>
        <v>0</v>
      </c>
      <c r="T212" s="4"/>
      <c r="V212"/>
      <c r="W212"/>
      <c r="Y212"/>
      <c r="AB212"/>
    </row>
    <row r="213" spans="2:28" x14ac:dyDescent="0.25">
      <c r="B213" t="s">
        <v>344</v>
      </c>
      <c r="C213" s="87" t="s">
        <v>126</v>
      </c>
      <c r="D213" s="1" t="s">
        <v>670</v>
      </c>
      <c r="E213" s="88">
        <v>2150</v>
      </c>
      <c r="G213" t="str">
        <f t="shared" si="36"/>
        <v>Buje CPVC 3/4 a 1/2"</v>
      </c>
      <c r="H213" t="s">
        <v>76</v>
      </c>
      <c r="I213" s="1" t="str">
        <f t="shared" si="37"/>
        <v>UND</v>
      </c>
      <c r="J213" s="1" t="s">
        <v>895</v>
      </c>
      <c r="K213" s="1"/>
      <c r="L213"/>
      <c r="M213" s="4">
        <f t="shared" si="38"/>
        <v>2150</v>
      </c>
      <c r="N213" s="31"/>
      <c r="O213" s="31"/>
      <c r="P213" t="s">
        <v>821</v>
      </c>
      <c r="Q213" s="190">
        <f>(SUMIFS('3. CD - Obra negra'!$O$4:$O$344,'3. CD - Obra negra'!$E$4:$E$344,G213))+(SUMIFS('4. CD - Obra gris'!$O$14:$O$74,'4. CD - Obra gris'!$E$14:$E$74,G213))+(SUMIFS('5, CD -Obra blanca'!$O$4:$O$151,'5, CD -Obra blanca'!$E$4:$E$151,G213))</f>
        <v>1</v>
      </c>
      <c r="R213" s="194">
        <f t="shared" si="35"/>
        <v>2150</v>
      </c>
      <c r="T213" s="4"/>
      <c r="V213"/>
      <c r="W213"/>
      <c r="Y213"/>
      <c r="AB213"/>
    </row>
    <row r="214" spans="2:28" x14ac:dyDescent="0.25">
      <c r="B214" t="s">
        <v>1412</v>
      </c>
      <c r="C214" s="87" t="s">
        <v>126</v>
      </c>
      <c r="D214" s="1" t="s">
        <v>670</v>
      </c>
      <c r="E214" s="88">
        <v>2000</v>
      </c>
      <c r="G214" t="str">
        <f>+B214</f>
        <v>Buje PVCP 3/4 a 1"</v>
      </c>
      <c r="H214" t="s">
        <v>76</v>
      </c>
      <c r="I214" s="1" t="str">
        <f>+C214</f>
        <v>UND</v>
      </c>
      <c r="J214" s="1" t="s">
        <v>896</v>
      </c>
      <c r="K214" s="1"/>
      <c r="L214"/>
      <c r="M214" s="4">
        <f>+E214</f>
        <v>2000</v>
      </c>
      <c r="N214" s="31"/>
      <c r="O214" s="31"/>
      <c r="P214" t="s">
        <v>821</v>
      </c>
      <c r="Q214" s="190">
        <f>(SUMIFS('3. CD - Obra negra'!$O$4:$O$344,'3. CD - Obra negra'!$E$4:$E$344,G214))+(SUMIFS('4. CD - Obra gris'!$O$14:$O$74,'4. CD - Obra gris'!$E$14:$E$74,G214))+(SUMIFS('5, CD -Obra blanca'!$O$4:$O$151,'5, CD -Obra blanca'!$E$4:$E$151,G214))</f>
        <v>2</v>
      </c>
      <c r="R214" s="194">
        <f>+Q214*M214</f>
        <v>4000</v>
      </c>
      <c r="T214" s="4"/>
      <c r="V214"/>
      <c r="W214"/>
      <c r="Y214"/>
      <c r="AB214"/>
    </row>
    <row r="215" spans="2:28" x14ac:dyDescent="0.25">
      <c r="B215" t="s">
        <v>345</v>
      </c>
      <c r="C215" s="87" t="s">
        <v>126</v>
      </c>
      <c r="D215" s="1" t="s">
        <v>670</v>
      </c>
      <c r="E215" s="88">
        <v>1000</v>
      </c>
      <c r="G215" t="str">
        <f t="shared" si="36"/>
        <v>Buje PVCP 3/4 a 1/2"</v>
      </c>
      <c r="H215" t="s">
        <v>76</v>
      </c>
      <c r="I215" s="1" t="str">
        <f t="shared" si="37"/>
        <v>UND</v>
      </c>
      <c r="J215" s="1" t="s">
        <v>896</v>
      </c>
      <c r="K215" s="1"/>
      <c r="L215"/>
      <c r="M215" s="4">
        <f t="shared" si="38"/>
        <v>1000</v>
      </c>
      <c r="N215" s="31"/>
      <c r="O215" s="31"/>
      <c r="P215" t="s">
        <v>821</v>
      </c>
      <c r="Q215" s="190">
        <f>(SUMIFS('3. CD - Obra negra'!$O$4:$O$344,'3. CD - Obra negra'!$E$4:$E$344,G215))+(SUMIFS('4. CD - Obra gris'!$O$14:$O$74,'4. CD - Obra gris'!$E$14:$E$74,G215))+(SUMIFS('5, CD -Obra blanca'!$O$4:$O$151,'5, CD -Obra blanca'!$E$4:$E$151,G215))</f>
        <v>0</v>
      </c>
      <c r="R215" s="194">
        <f t="shared" si="35"/>
        <v>0</v>
      </c>
      <c r="T215" s="4"/>
      <c r="V215"/>
      <c r="W215"/>
      <c r="Y215"/>
      <c r="AB215"/>
    </row>
    <row r="216" spans="2:28" x14ac:dyDescent="0.25">
      <c r="B216" t="s">
        <v>311</v>
      </c>
      <c r="C216" s="87" t="s">
        <v>126</v>
      </c>
      <c r="D216" s="1" t="s">
        <v>670</v>
      </c>
      <c r="E216" s="88">
        <v>17000</v>
      </c>
      <c r="G216" t="str">
        <f t="shared" si="36"/>
        <v>Tee CPVC 1"</v>
      </c>
      <c r="H216" t="s">
        <v>76</v>
      </c>
      <c r="I216" s="1" t="str">
        <f t="shared" si="37"/>
        <v>UND</v>
      </c>
      <c r="J216" s="1" t="s">
        <v>897</v>
      </c>
      <c r="K216" s="1"/>
      <c r="L216"/>
      <c r="M216" s="4">
        <f t="shared" si="38"/>
        <v>17000</v>
      </c>
      <c r="N216" s="31"/>
      <c r="O216" s="31"/>
      <c r="P216" t="s">
        <v>821</v>
      </c>
      <c r="Q216" s="190">
        <f>(SUMIFS('3. CD - Obra negra'!$O$4:$O$344,'3. CD - Obra negra'!$E$4:$E$344,G216))+(SUMIFS('4. CD - Obra gris'!$O$14:$O$74,'4. CD - Obra gris'!$E$14:$E$74,G216))+(SUMIFS('5, CD -Obra blanca'!$O$4:$O$151,'5, CD -Obra blanca'!$E$4:$E$151,G216))</f>
        <v>0</v>
      </c>
      <c r="R216" s="194">
        <f t="shared" si="35"/>
        <v>0</v>
      </c>
      <c r="T216" s="4"/>
      <c r="V216"/>
      <c r="W216"/>
      <c r="Y216"/>
      <c r="AB216"/>
    </row>
    <row r="217" spans="2:28" x14ac:dyDescent="0.25">
      <c r="B217" t="s">
        <v>312</v>
      </c>
      <c r="C217" s="87" t="s">
        <v>126</v>
      </c>
      <c r="D217" s="1" t="s">
        <v>670</v>
      </c>
      <c r="E217" s="88">
        <v>2850</v>
      </c>
      <c r="G217" t="str">
        <f t="shared" si="36"/>
        <v>Tee CPVC 1/2"</v>
      </c>
      <c r="H217" t="s">
        <v>76</v>
      </c>
      <c r="I217" s="1" t="str">
        <f t="shared" si="37"/>
        <v>UND</v>
      </c>
      <c r="J217" s="1" t="s">
        <v>898</v>
      </c>
      <c r="K217" s="1"/>
      <c r="L217"/>
      <c r="M217" s="4">
        <f t="shared" si="38"/>
        <v>2850</v>
      </c>
      <c r="N217" s="31"/>
      <c r="O217" s="31"/>
      <c r="P217" t="s">
        <v>821</v>
      </c>
      <c r="Q217" s="190">
        <f>(SUMIFS('3. CD - Obra negra'!$O$4:$O$344,'3. CD - Obra negra'!$E$4:$E$344,G217))+(SUMIFS('4. CD - Obra gris'!$O$14:$O$74,'4. CD - Obra gris'!$E$14:$E$74,G217))+(SUMIFS('5, CD -Obra blanca'!$O$4:$O$151,'5, CD -Obra blanca'!$E$4:$E$151,G217))</f>
        <v>10</v>
      </c>
      <c r="R217" s="194">
        <f t="shared" si="35"/>
        <v>28500</v>
      </c>
      <c r="T217" s="4"/>
      <c r="V217"/>
      <c r="W217"/>
      <c r="Y217"/>
      <c r="AB217"/>
    </row>
    <row r="218" spans="2:28" x14ac:dyDescent="0.25">
      <c r="B218" t="s">
        <v>346</v>
      </c>
      <c r="C218" s="87" t="s">
        <v>126</v>
      </c>
      <c r="D218" s="1" t="s">
        <v>670</v>
      </c>
      <c r="E218" s="88">
        <v>4500</v>
      </c>
      <c r="G218" t="str">
        <f t="shared" si="36"/>
        <v>Tee CPVC 3/4"</v>
      </c>
      <c r="H218" t="s">
        <v>76</v>
      </c>
      <c r="I218" s="1" t="str">
        <f t="shared" si="37"/>
        <v>UND</v>
      </c>
      <c r="J218" s="1" t="s">
        <v>899</v>
      </c>
      <c r="K218" s="1"/>
      <c r="L218"/>
      <c r="M218" s="4">
        <f t="shared" si="38"/>
        <v>4500</v>
      </c>
      <c r="N218" s="31"/>
      <c r="O218" s="31"/>
      <c r="P218" t="s">
        <v>821</v>
      </c>
      <c r="Q218" s="190">
        <f>(SUMIFS('3. CD - Obra negra'!$O$4:$O$344,'3. CD - Obra negra'!$E$4:$E$344,G218))+(SUMIFS('4. CD - Obra gris'!$O$14:$O$74,'4. CD - Obra gris'!$E$14:$E$74,G218))+(SUMIFS('5, CD -Obra blanca'!$O$4:$O$151,'5, CD -Obra blanca'!$E$4:$E$151,G218))</f>
        <v>6</v>
      </c>
      <c r="R218" s="194">
        <f t="shared" si="35"/>
        <v>27000</v>
      </c>
      <c r="T218" s="4"/>
      <c r="V218"/>
      <c r="W218"/>
      <c r="Y218"/>
      <c r="AB218"/>
    </row>
    <row r="219" spans="2:28" x14ac:dyDescent="0.25">
      <c r="B219" t="s">
        <v>348</v>
      </c>
      <c r="C219" s="87" t="s">
        <v>126</v>
      </c>
      <c r="D219" s="1" t="s">
        <v>670</v>
      </c>
      <c r="E219" s="88">
        <v>7900</v>
      </c>
      <c r="G219" t="str">
        <f t="shared" si="36"/>
        <v>Tee CPVC 1/2 a 3/4"</v>
      </c>
      <c r="H219" t="s">
        <v>76</v>
      </c>
      <c r="I219" s="1" t="str">
        <f t="shared" si="37"/>
        <v>UND</v>
      </c>
      <c r="J219" s="1" t="s">
        <v>900</v>
      </c>
      <c r="K219" s="1"/>
      <c r="L219"/>
      <c r="M219" s="4">
        <f t="shared" si="38"/>
        <v>7900</v>
      </c>
      <c r="N219" s="31"/>
      <c r="O219" s="31"/>
      <c r="P219" t="s">
        <v>821</v>
      </c>
      <c r="Q219" s="190">
        <f>(SUMIFS('3. CD - Obra negra'!$O$4:$O$344,'3. CD - Obra negra'!$E$4:$E$344,G219))+(SUMIFS('4. CD - Obra gris'!$O$14:$O$74,'4. CD - Obra gris'!$E$14:$E$74,G219))+(SUMIFS('5, CD -Obra blanca'!$O$4:$O$151,'5, CD -Obra blanca'!$E$4:$E$151,G219))</f>
        <v>0</v>
      </c>
      <c r="R219" s="194">
        <f t="shared" si="35"/>
        <v>0</v>
      </c>
      <c r="T219" s="4"/>
      <c r="V219"/>
      <c r="W219"/>
      <c r="Y219"/>
      <c r="AB219"/>
    </row>
    <row r="220" spans="2:28" x14ac:dyDescent="0.25">
      <c r="B220" t="s">
        <v>1307</v>
      </c>
      <c r="C220" s="87" t="s">
        <v>126</v>
      </c>
      <c r="D220" s="1" t="s">
        <v>670</v>
      </c>
      <c r="E220" s="88">
        <v>10000</v>
      </c>
      <c r="G220" t="str">
        <f>+B220</f>
        <v>Tee CPVC 3/4 a 1"</v>
      </c>
      <c r="H220" t="s">
        <v>76</v>
      </c>
      <c r="I220" s="1" t="str">
        <f>+C220</f>
        <v>UND</v>
      </c>
      <c r="J220" s="1" t="s">
        <v>900</v>
      </c>
      <c r="K220" s="1"/>
      <c r="L220"/>
      <c r="M220" s="4">
        <f>+E220</f>
        <v>10000</v>
      </c>
      <c r="N220" s="31"/>
      <c r="O220" s="31"/>
      <c r="P220" t="s">
        <v>821</v>
      </c>
      <c r="Q220" s="190">
        <f>(SUMIFS('3. CD - Obra negra'!$O$4:$O$344,'3. CD - Obra negra'!$E$4:$E$344,G220))+(SUMIFS('4. CD - Obra gris'!$O$14:$O$74,'4. CD - Obra gris'!$E$14:$E$74,G220))+(SUMIFS('5, CD -Obra blanca'!$O$4:$O$151,'5, CD -Obra blanca'!$E$4:$E$151,G220))</f>
        <v>0</v>
      </c>
      <c r="R220" s="194">
        <f>+Q220*M220</f>
        <v>0</v>
      </c>
      <c r="T220" s="4"/>
      <c r="V220"/>
      <c r="W220"/>
      <c r="Y220"/>
      <c r="AB220"/>
    </row>
    <row r="221" spans="2:28" x14ac:dyDescent="0.25">
      <c r="B221" t="s">
        <v>313</v>
      </c>
      <c r="C221" s="87" t="s">
        <v>126</v>
      </c>
      <c r="D221" s="1" t="s">
        <v>670</v>
      </c>
      <c r="E221" s="88">
        <v>17000</v>
      </c>
      <c r="G221" t="str">
        <f t="shared" si="36"/>
        <v>Tee PVCP 2"</v>
      </c>
      <c r="H221" t="s">
        <v>76</v>
      </c>
      <c r="I221" s="1" t="str">
        <f t="shared" si="37"/>
        <v>UND</v>
      </c>
      <c r="J221" s="1" t="s">
        <v>901</v>
      </c>
      <c r="K221" s="1"/>
      <c r="L221"/>
      <c r="M221" s="4">
        <f t="shared" si="38"/>
        <v>17000</v>
      </c>
      <c r="N221" s="31"/>
      <c r="O221" s="31"/>
      <c r="P221" t="s">
        <v>821</v>
      </c>
      <c r="Q221" s="190">
        <f>(SUMIFS('3. CD - Obra negra'!$O$4:$O$344,'3. CD - Obra negra'!$E$4:$E$344,G221))+(SUMIFS('4. CD - Obra gris'!$O$14:$O$74,'4. CD - Obra gris'!$E$14:$E$74,G221))+(SUMIFS('5, CD -Obra blanca'!$O$4:$O$151,'5, CD -Obra blanca'!$E$4:$E$151,G221))</f>
        <v>0</v>
      </c>
      <c r="R221" s="194">
        <f t="shared" si="35"/>
        <v>0</v>
      </c>
      <c r="T221" s="4"/>
      <c r="V221"/>
      <c r="W221"/>
      <c r="Y221"/>
      <c r="AB221"/>
    </row>
    <row r="222" spans="2:28" x14ac:dyDescent="0.25">
      <c r="B222" t="s">
        <v>314</v>
      </c>
      <c r="C222" s="87" t="s">
        <v>126</v>
      </c>
      <c r="D222" s="1" t="s">
        <v>670</v>
      </c>
      <c r="E222" s="88">
        <v>18000</v>
      </c>
      <c r="G222" t="str">
        <f t="shared" si="36"/>
        <v>Tee PVCP 1"</v>
      </c>
      <c r="H222" t="s">
        <v>76</v>
      </c>
      <c r="I222" s="1" t="str">
        <f t="shared" si="37"/>
        <v>UND</v>
      </c>
      <c r="J222" s="1" t="s">
        <v>902</v>
      </c>
      <c r="K222" s="1"/>
      <c r="L222"/>
      <c r="M222" s="4">
        <f t="shared" si="38"/>
        <v>18000</v>
      </c>
      <c r="N222" s="31"/>
      <c r="O222" s="31"/>
      <c r="P222" t="s">
        <v>821</v>
      </c>
      <c r="Q222" s="190">
        <f>(SUMIFS('3. CD - Obra negra'!$O$4:$O$344,'3. CD - Obra negra'!$E$4:$E$344,G222))+(SUMIFS('4. CD - Obra gris'!$O$14:$O$74,'4. CD - Obra gris'!$E$14:$E$74,G222))+(SUMIFS('5, CD -Obra blanca'!$O$4:$O$151,'5, CD -Obra blanca'!$E$4:$E$151,G222))</f>
        <v>0</v>
      </c>
      <c r="R222" s="194">
        <f t="shared" si="35"/>
        <v>0</v>
      </c>
      <c r="T222" s="4"/>
      <c r="V222"/>
      <c r="W222"/>
      <c r="Y222"/>
      <c r="AB222"/>
    </row>
    <row r="223" spans="2:28" x14ac:dyDescent="0.25">
      <c r="B223" t="s">
        <v>315</v>
      </c>
      <c r="C223" s="87" t="s">
        <v>126</v>
      </c>
      <c r="D223" s="1" t="s">
        <v>670</v>
      </c>
      <c r="E223" s="88">
        <v>600</v>
      </c>
      <c r="G223" t="str">
        <f t="shared" si="36"/>
        <v>Tee PVCP 1/2"</v>
      </c>
      <c r="H223" t="s">
        <v>76</v>
      </c>
      <c r="I223" s="1" t="str">
        <f t="shared" si="37"/>
        <v>UND</v>
      </c>
      <c r="J223" s="1" t="s">
        <v>903</v>
      </c>
      <c r="K223" s="1"/>
      <c r="L223"/>
      <c r="M223" s="4">
        <f t="shared" si="38"/>
        <v>600</v>
      </c>
      <c r="N223" s="31"/>
      <c r="O223" s="31"/>
      <c r="P223" t="s">
        <v>821</v>
      </c>
      <c r="Q223" s="190">
        <f>(SUMIFS('3. CD - Obra negra'!$O$4:$O$344,'3. CD - Obra negra'!$E$4:$E$344,G223))+(SUMIFS('4. CD - Obra gris'!$O$14:$O$74,'4. CD - Obra gris'!$E$14:$E$74,G223))+(SUMIFS('5, CD -Obra blanca'!$O$4:$O$151,'5, CD -Obra blanca'!$E$4:$E$151,G223))</f>
        <v>10</v>
      </c>
      <c r="R223" s="194">
        <f t="shared" si="35"/>
        <v>6000</v>
      </c>
      <c r="T223" s="4"/>
      <c r="V223"/>
      <c r="W223"/>
      <c r="Y223"/>
      <c r="AB223"/>
    </row>
    <row r="224" spans="2:28" x14ac:dyDescent="0.25">
      <c r="B224" t="s">
        <v>347</v>
      </c>
      <c r="C224" s="87" t="s">
        <v>126</v>
      </c>
      <c r="D224" s="1" t="s">
        <v>670</v>
      </c>
      <c r="E224" s="88">
        <v>4100</v>
      </c>
      <c r="G224" t="str">
        <f t="shared" si="36"/>
        <v>Tee PVCP 3/4"</v>
      </c>
      <c r="H224" t="s">
        <v>76</v>
      </c>
      <c r="I224" s="1" t="str">
        <f t="shared" si="37"/>
        <v>UND</v>
      </c>
      <c r="J224" s="1" t="s">
        <v>904</v>
      </c>
      <c r="K224" s="1"/>
      <c r="L224"/>
      <c r="M224" s="4">
        <f t="shared" si="38"/>
        <v>4100</v>
      </c>
      <c r="N224" s="31"/>
      <c r="O224" s="31"/>
      <c r="P224" t="s">
        <v>821</v>
      </c>
      <c r="Q224" s="190">
        <f>(SUMIFS('3. CD - Obra negra'!$O$4:$O$344,'3. CD - Obra negra'!$E$4:$E$344,G224))+(SUMIFS('4. CD - Obra gris'!$O$14:$O$74,'4. CD - Obra gris'!$E$14:$E$74,G224))+(SUMIFS('5, CD -Obra blanca'!$O$4:$O$151,'5, CD -Obra blanca'!$E$4:$E$151,G224))</f>
        <v>0</v>
      </c>
      <c r="R224" s="194">
        <f t="shared" si="35"/>
        <v>0</v>
      </c>
      <c r="T224" s="4"/>
      <c r="V224"/>
      <c r="W224"/>
      <c r="Y224"/>
      <c r="AB224"/>
    </row>
    <row r="225" spans="2:28" x14ac:dyDescent="0.25">
      <c r="B225" t="s">
        <v>349</v>
      </c>
      <c r="C225" s="87" t="s">
        <v>126</v>
      </c>
      <c r="D225" s="1" t="s">
        <v>670</v>
      </c>
      <c r="E225" s="88">
        <v>3000</v>
      </c>
      <c r="G225" t="str">
        <f t="shared" si="36"/>
        <v>Tee PVCP 1/2 a 3/4"</v>
      </c>
      <c r="H225" t="s">
        <v>76</v>
      </c>
      <c r="I225" s="1" t="str">
        <f t="shared" si="37"/>
        <v>UND</v>
      </c>
      <c r="J225" s="1" t="s">
        <v>905</v>
      </c>
      <c r="K225" s="1"/>
      <c r="L225"/>
      <c r="M225" s="4">
        <f t="shared" si="38"/>
        <v>3000</v>
      </c>
      <c r="N225" s="31"/>
      <c r="O225" s="31"/>
      <c r="P225" t="s">
        <v>821</v>
      </c>
      <c r="Q225" s="190">
        <f>(SUMIFS('3. CD - Obra negra'!$O$4:$O$344,'3. CD - Obra negra'!$E$4:$E$344,G225))+(SUMIFS('4. CD - Obra gris'!$O$14:$O$74,'4. CD - Obra gris'!$E$14:$E$74,G225))+(SUMIFS('5, CD -Obra blanca'!$O$4:$O$151,'5, CD -Obra blanca'!$E$4:$E$151,G225))</f>
        <v>0</v>
      </c>
      <c r="R225" s="194">
        <f t="shared" si="35"/>
        <v>0</v>
      </c>
      <c r="T225" s="4"/>
      <c r="V225"/>
      <c r="W225"/>
      <c r="Y225"/>
      <c r="AB225"/>
    </row>
    <row r="226" spans="2:28" x14ac:dyDescent="0.25">
      <c r="B226" t="s">
        <v>1413</v>
      </c>
      <c r="C226" s="87" t="s">
        <v>126</v>
      </c>
      <c r="D226" s="1" t="s">
        <v>670</v>
      </c>
      <c r="E226" s="88">
        <v>11900</v>
      </c>
      <c r="G226" t="str">
        <f>+B226</f>
        <v>Tee PVCP 1 a 1/2"</v>
      </c>
      <c r="H226" t="s">
        <v>76</v>
      </c>
      <c r="I226" s="1" t="str">
        <f>+C226</f>
        <v>UND</v>
      </c>
      <c r="J226" s="1" t="s">
        <v>1392</v>
      </c>
      <c r="K226" s="1"/>
      <c r="L226"/>
      <c r="M226" s="4">
        <f>+E226</f>
        <v>11900</v>
      </c>
      <c r="N226" s="31"/>
      <c r="O226" s="31"/>
      <c r="P226" t="s">
        <v>821</v>
      </c>
      <c r="Q226" s="190">
        <f>(SUMIFS('3. CD - Obra negra'!$O$4:$O$344,'3. CD - Obra negra'!$E$4:$E$344,G226))+(SUMIFS('4. CD - Obra gris'!$O$14:$O$74,'4. CD - Obra gris'!$E$14:$E$74,G226))+(SUMIFS('5, CD -Obra blanca'!$O$4:$O$151,'5, CD -Obra blanca'!$E$4:$E$151,G226))</f>
        <v>2</v>
      </c>
      <c r="R226" s="194">
        <f>+Q226*M226</f>
        <v>23800</v>
      </c>
      <c r="T226" s="4"/>
      <c r="V226"/>
      <c r="W226"/>
      <c r="Y226"/>
      <c r="AB226"/>
    </row>
    <row r="227" spans="2:28" x14ac:dyDescent="0.25">
      <c r="B227" t="s">
        <v>1305</v>
      </c>
      <c r="C227" s="87" t="s">
        <v>126</v>
      </c>
      <c r="D227" s="1" t="s">
        <v>670</v>
      </c>
      <c r="E227" s="88">
        <v>4100</v>
      </c>
      <c r="G227" t="str">
        <f>+B227</f>
        <v>Tee PVCP 3/4 a 1"</v>
      </c>
      <c r="H227" t="s">
        <v>76</v>
      </c>
      <c r="I227" s="1" t="str">
        <f>+C227</f>
        <v>UND</v>
      </c>
      <c r="J227" s="1" t="s">
        <v>1306</v>
      </c>
      <c r="K227" s="1"/>
      <c r="L227"/>
      <c r="M227" s="4">
        <f>+E227</f>
        <v>4100</v>
      </c>
      <c r="N227" s="31"/>
      <c r="O227" s="31"/>
      <c r="P227" t="s">
        <v>821</v>
      </c>
      <c r="Q227" s="190">
        <f>(SUMIFS('3. CD - Obra negra'!$O$4:$O$344,'3. CD - Obra negra'!$E$4:$E$344,G227))+(SUMIFS('4. CD - Obra gris'!$O$14:$O$74,'4. CD - Obra gris'!$E$14:$E$74,G227))+(SUMIFS('5, CD -Obra blanca'!$O$4:$O$151,'5, CD -Obra blanca'!$E$4:$E$151,G227))</f>
        <v>2</v>
      </c>
      <c r="R227" s="194">
        <f>+Q227*M227</f>
        <v>8200</v>
      </c>
      <c r="T227" s="4"/>
      <c r="V227"/>
      <c r="W227"/>
      <c r="Y227"/>
      <c r="AB227"/>
    </row>
    <row r="228" spans="2:28" x14ac:dyDescent="0.25">
      <c r="B228" t="s">
        <v>318</v>
      </c>
      <c r="C228" s="87" t="s">
        <v>126</v>
      </c>
      <c r="D228" s="1" t="s">
        <v>670</v>
      </c>
      <c r="E228" s="88">
        <v>1900</v>
      </c>
      <c r="G228" t="str">
        <f t="shared" si="36"/>
        <v>Unión CPVC 1/2"</v>
      </c>
      <c r="H228" t="s">
        <v>76</v>
      </c>
      <c r="I228" s="1" t="str">
        <f t="shared" si="37"/>
        <v>UND</v>
      </c>
      <c r="J228" s="1" t="s">
        <v>906</v>
      </c>
      <c r="K228" s="1"/>
      <c r="L228"/>
      <c r="M228" s="4">
        <f t="shared" si="38"/>
        <v>1900</v>
      </c>
      <c r="N228" s="31"/>
      <c r="O228" s="31"/>
      <c r="P228" t="s">
        <v>821</v>
      </c>
      <c r="Q228" s="190">
        <f>(SUMIFS('3. CD - Obra negra'!$O$4:$O$344,'3. CD - Obra negra'!$E$4:$E$344,G228))+(SUMIFS('4. CD - Obra gris'!$O$14:$O$74,'4. CD - Obra gris'!$E$14:$E$74,G228))+(SUMIFS('5, CD -Obra blanca'!$O$4:$O$151,'5, CD -Obra blanca'!$E$4:$E$151,G228))</f>
        <v>1.1165</v>
      </c>
      <c r="R228" s="194">
        <f t="shared" si="35"/>
        <v>2121.35</v>
      </c>
      <c r="T228" s="4"/>
      <c r="V228"/>
      <c r="W228"/>
      <c r="Y228"/>
      <c r="AB228"/>
    </row>
    <row r="229" spans="2:28" x14ac:dyDescent="0.25">
      <c r="B229" t="s">
        <v>351</v>
      </c>
      <c r="C229" s="87" t="s">
        <v>126</v>
      </c>
      <c r="D229" s="1" t="s">
        <v>670</v>
      </c>
      <c r="E229" s="88">
        <v>2100</v>
      </c>
      <c r="G229" t="str">
        <f t="shared" si="36"/>
        <v>Unión CPVC 3/4"</v>
      </c>
      <c r="H229" t="s">
        <v>76</v>
      </c>
      <c r="I229" s="1" t="str">
        <f t="shared" si="37"/>
        <v>UND</v>
      </c>
      <c r="J229" s="1" t="s">
        <v>907</v>
      </c>
      <c r="K229" s="1"/>
      <c r="L229"/>
      <c r="M229" s="4">
        <f t="shared" si="38"/>
        <v>2100</v>
      </c>
      <c r="N229" s="31"/>
      <c r="O229" s="31"/>
      <c r="P229" t="s">
        <v>821</v>
      </c>
      <c r="Q229" s="190">
        <f>(SUMIFS('3. CD - Obra negra'!$O$4:$O$344,'3. CD - Obra negra'!$E$4:$E$344,G229))+(SUMIFS('4. CD - Obra gris'!$O$14:$O$74,'4. CD - Obra gris'!$E$14:$E$74,G229))+(SUMIFS('5, CD -Obra blanca'!$O$4:$O$151,'5, CD -Obra blanca'!$E$4:$E$151,G229))</f>
        <v>0</v>
      </c>
      <c r="R229" s="194">
        <f t="shared" si="35"/>
        <v>0</v>
      </c>
      <c r="T229" s="4"/>
      <c r="V229"/>
      <c r="W229"/>
      <c r="Y229"/>
      <c r="AB229"/>
    </row>
    <row r="230" spans="2:28" x14ac:dyDescent="0.25">
      <c r="B230" t="s">
        <v>319</v>
      </c>
      <c r="C230" s="87" t="s">
        <v>126</v>
      </c>
      <c r="D230" s="1" t="s">
        <v>670</v>
      </c>
      <c r="E230" s="88">
        <v>1100</v>
      </c>
      <c r="G230" t="str">
        <f t="shared" si="36"/>
        <v>Unión CPVC 1"</v>
      </c>
      <c r="H230" t="s">
        <v>76</v>
      </c>
      <c r="I230" s="1" t="str">
        <f t="shared" si="37"/>
        <v>UND</v>
      </c>
      <c r="J230" s="1" t="s">
        <v>886</v>
      </c>
      <c r="K230" s="1"/>
      <c r="L230"/>
      <c r="M230" s="4">
        <f t="shared" si="38"/>
        <v>1100</v>
      </c>
      <c r="N230" s="31"/>
      <c r="O230" s="31"/>
      <c r="P230" t="s">
        <v>821</v>
      </c>
      <c r="Q230" s="190">
        <f>(SUMIFS('3. CD - Obra negra'!$O$4:$O$344,'3. CD - Obra negra'!$E$4:$E$344,G230))+(SUMIFS('4. CD - Obra gris'!$O$14:$O$74,'4. CD - Obra gris'!$E$14:$E$74,G230))+(SUMIFS('5, CD -Obra blanca'!$O$4:$O$151,'5, CD -Obra blanca'!$E$4:$E$151,G230))</f>
        <v>0</v>
      </c>
      <c r="R230" s="194">
        <f t="shared" si="35"/>
        <v>0</v>
      </c>
      <c r="T230" s="4"/>
      <c r="V230"/>
      <c r="W230"/>
      <c r="Y230"/>
      <c r="AB230"/>
    </row>
    <row r="231" spans="2:28" x14ac:dyDescent="0.25">
      <c r="B231" t="s">
        <v>316</v>
      </c>
      <c r="C231" s="87" t="s">
        <v>126</v>
      </c>
      <c r="D231" s="1" t="s">
        <v>670</v>
      </c>
      <c r="E231" s="88">
        <v>300</v>
      </c>
      <c r="G231" t="str">
        <f t="shared" si="36"/>
        <v>Unión PVCP 1/2"</v>
      </c>
      <c r="H231" t="s">
        <v>76</v>
      </c>
      <c r="I231" s="1" t="str">
        <f t="shared" si="37"/>
        <v>UND</v>
      </c>
      <c r="J231" s="1" t="s">
        <v>908</v>
      </c>
      <c r="K231" s="1"/>
      <c r="L231"/>
      <c r="M231" s="4">
        <f t="shared" si="38"/>
        <v>300</v>
      </c>
      <c r="N231" s="31"/>
      <c r="O231" s="31"/>
      <c r="P231" t="s">
        <v>821</v>
      </c>
      <c r="Q231" s="190">
        <f>(SUMIFS('3. CD - Obra negra'!$O$4:$O$344,'3. CD - Obra negra'!$E$4:$E$344,G231))+(SUMIFS('4. CD - Obra gris'!$O$14:$O$74,'4. CD - Obra gris'!$E$14:$E$74,G231))+(SUMIFS('5, CD -Obra blanca'!$O$4:$O$151,'5, CD -Obra blanca'!$E$4:$E$151,G231))</f>
        <v>3.1815000000000002</v>
      </c>
      <c r="R231" s="194">
        <f t="shared" si="35"/>
        <v>954.45</v>
      </c>
      <c r="T231" s="4"/>
      <c r="V231"/>
      <c r="W231"/>
      <c r="Y231"/>
      <c r="AB231"/>
    </row>
    <row r="232" spans="2:28" x14ac:dyDescent="0.25">
      <c r="B232" t="s">
        <v>350</v>
      </c>
      <c r="C232" s="87" t="s">
        <v>126</v>
      </c>
      <c r="D232" s="1" t="s">
        <v>670</v>
      </c>
      <c r="E232" s="88">
        <v>1000</v>
      </c>
      <c r="G232" t="str">
        <f t="shared" si="36"/>
        <v>Unión PVCP 3/4"</v>
      </c>
      <c r="H232" t="s">
        <v>76</v>
      </c>
      <c r="I232" s="1" t="str">
        <f t="shared" si="37"/>
        <v>UND</v>
      </c>
      <c r="J232" s="1" t="s">
        <v>909</v>
      </c>
      <c r="K232" s="1"/>
      <c r="L232"/>
      <c r="M232" s="4">
        <f t="shared" si="38"/>
        <v>1000</v>
      </c>
      <c r="N232" s="31"/>
      <c r="O232" s="31"/>
      <c r="P232" t="s">
        <v>821</v>
      </c>
      <c r="Q232" s="190">
        <f>(SUMIFS('3. CD - Obra negra'!$O$4:$O$344,'3. CD - Obra negra'!$E$4:$E$344,G232))+(SUMIFS('4. CD - Obra gris'!$O$14:$O$74,'4. CD - Obra gris'!$E$14:$E$74,G232))+(SUMIFS('5, CD -Obra blanca'!$O$4:$O$151,'5, CD -Obra blanca'!$E$4:$E$151,G232))</f>
        <v>5.5755000000000008</v>
      </c>
      <c r="R232" s="194">
        <f t="shared" si="35"/>
        <v>5575.5000000000009</v>
      </c>
      <c r="T232" s="4"/>
      <c r="V232"/>
      <c r="W232"/>
      <c r="Y232"/>
      <c r="AB232"/>
    </row>
    <row r="233" spans="2:28" x14ac:dyDescent="0.25">
      <c r="B233" t="s">
        <v>317</v>
      </c>
      <c r="C233" s="87" t="s">
        <v>126</v>
      </c>
      <c r="D233" s="1" t="s">
        <v>670</v>
      </c>
      <c r="E233" s="88">
        <v>1200</v>
      </c>
      <c r="G233" t="str">
        <f t="shared" si="36"/>
        <v>Unión PVCP 1"</v>
      </c>
      <c r="H233" t="s">
        <v>76</v>
      </c>
      <c r="I233" s="1" t="str">
        <f t="shared" si="37"/>
        <v>UND</v>
      </c>
      <c r="J233" s="1" t="s">
        <v>910</v>
      </c>
      <c r="K233" s="1"/>
      <c r="L233"/>
      <c r="M233" s="4">
        <f t="shared" si="38"/>
        <v>1200</v>
      </c>
      <c r="N233" s="31"/>
      <c r="O233" s="31"/>
      <c r="P233" t="s">
        <v>821</v>
      </c>
      <c r="Q233" s="190">
        <f>(SUMIFS('3. CD - Obra negra'!$O$4:$O$344,'3. CD - Obra negra'!$E$4:$E$344,G233))+(SUMIFS('4. CD - Obra gris'!$O$14:$O$74,'4. CD - Obra gris'!$E$14:$E$74,G233))+(SUMIFS('5, CD -Obra blanca'!$O$4:$O$151,'5, CD -Obra blanca'!$E$4:$E$151,G233))</f>
        <v>2.7159999999999997</v>
      </c>
      <c r="R233" s="194">
        <f t="shared" si="35"/>
        <v>3259.2</v>
      </c>
      <c r="T233" s="4"/>
      <c r="V233"/>
      <c r="W233"/>
      <c r="Y233"/>
      <c r="AB233"/>
    </row>
    <row r="234" spans="2:28" x14ac:dyDescent="0.25">
      <c r="B234" t="s">
        <v>320</v>
      </c>
      <c r="C234" s="87" t="s">
        <v>126</v>
      </c>
      <c r="D234" s="1" t="s">
        <v>670</v>
      </c>
      <c r="E234" s="88">
        <v>31000</v>
      </c>
      <c r="G234" t="str">
        <f t="shared" si="36"/>
        <v>Acoflex + registro</v>
      </c>
      <c r="H234" t="s">
        <v>76</v>
      </c>
      <c r="I234" s="1" t="str">
        <f t="shared" si="37"/>
        <v>UND</v>
      </c>
      <c r="J234" s="1" t="s">
        <v>823</v>
      </c>
      <c r="K234" s="1"/>
      <c r="L234"/>
      <c r="M234" s="4">
        <f t="shared" si="38"/>
        <v>31000</v>
      </c>
      <c r="N234" s="31"/>
      <c r="O234" s="31"/>
      <c r="P234" t="s">
        <v>821</v>
      </c>
      <c r="Q234" s="190">
        <f>(SUMIFS('3. CD - Obra negra'!$O$4:$O$344,'3. CD - Obra negra'!$E$4:$E$344,G234))+(SUMIFS('4. CD - Obra gris'!$O$14:$O$74,'4. CD - Obra gris'!$E$14:$E$74,G234))+(SUMIFS('5, CD -Obra blanca'!$O$4:$O$151,'5, CD -Obra blanca'!$E$4:$E$151,G234))</f>
        <v>0</v>
      </c>
      <c r="R234" s="194">
        <f t="shared" si="35"/>
        <v>0</v>
      </c>
      <c r="T234" s="4"/>
      <c r="V234"/>
      <c r="W234"/>
      <c r="Y234"/>
      <c r="AB234"/>
    </row>
    <row r="235" spans="2:28" x14ac:dyDescent="0.25">
      <c r="B235" t="s">
        <v>321</v>
      </c>
      <c r="C235" s="87" t="s">
        <v>126</v>
      </c>
      <c r="D235" s="1" t="s">
        <v>670</v>
      </c>
      <c r="E235" s="88">
        <v>7000</v>
      </c>
      <c r="G235" t="str">
        <f t="shared" si="36"/>
        <v>Válvula bola PVCP 40cm 1/2"</v>
      </c>
      <c r="H235" t="s">
        <v>76</v>
      </c>
      <c r="I235" s="1" t="str">
        <f t="shared" si="37"/>
        <v>UND</v>
      </c>
      <c r="J235" s="1" t="s">
        <v>911</v>
      </c>
      <c r="K235" s="1"/>
      <c r="L235"/>
      <c r="M235" s="4">
        <f t="shared" si="38"/>
        <v>7000</v>
      </c>
      <c r="N235" s="31"/>
      <c r="O235" s="31"/>
      <c r="P235" t="s">
        <v>821</v>
      </c>
      <c r="Q235" s="190">
        <f>(SUMIFS('3. CD - Obra negra'!$O$4:$O$344,'3. CD - Obra negra'!$E$4:$E$344,G235))+(SUMIFS('4. CD - Obra gris'!$O$14:$O$74,'4. CD - Obra gris'!$E$14:$E$74,G235))+(SUMIFS('5, CD -Obra blanca'!$O$4:$O$151,'5, CD -Obra blanca'!$E$4:$E$151,G235))</f>
        <v>4</v>
      </c>
      <c r="R235" s="194">
        <f t="shared" si="35"/>
        <v>28000</v>
      </c>
      <c r="T235" s="4"/>
      <c r="V235"/>
      <c r="W235"/>
      <c r="Y235"/>
      <c r="AB235"/>
    </row>
    <row r="236" spans="2:28" x14ac:dyDescent="0.25">
      <c r="B236" t="s">
        <v>322</v>
      </c>
      <c r="C236" s="87" t="s">
        <v>126</v>
      </c>
      <c r="D236" s="1" t="s">
        <v>670</v>
      </c>
      <c r="E236" s="88">
        <v>11000</v>
      </c>
      <c r="G236" t="str">
        <f t="shared" si="36"/>
        <v>Válvula bola PVCP 40cm 1"</v>
      </c>
      <c r="H236" t="s">
        <v>76</v>
      </c>
      <c r="I236" s="1" t="str">
        <f t="shared" si="37"/>
        <v>UND</v>
      </c>
      <c r="J236" s="1" t="s">
        <v>912</v>
      </c>
      <c r="K236" s="1"/>
      <c r="L236"/>
      <c r="M236" s="4">
        <f t="shared" si="38"/>
        <v>11000</v>
      </c>
      <c r="N236" s="31"/>
      <c r="O236" s="31"/>
      <c r="P236" t="s">
        <v>821</v>
      </c>
      <c r="Q236" s="190">
        <f>(SUMIFS('3. CD - Obra negra'!$O$4:$O$344,'3. CD - Obra negra'!$E$4:$E$344,G236))+(SUMIFS('4. CD - Obra gris'!$O$14:$O$74,'4. CD - Obra gris'!$E$14:$E$74,G236))+(SUMIFS('5, CD -Obra blanca'!$O$4:$O$151,'5, CD -Obra blanca'!$E$4:$E$151,G236))</f>
        <v>0</v>
      </c>
      <c r="R236" s="194">
        <f t="shared" si="35"/>
        <v>0</v>
      </c>
      <c r="T236" s="4"/>
      <c r="V236"/>
      <c r="W236"/>
      <c r="Y236"/>
      <c r="AB236"/>
    </row>
    <row r="237" spans="2:28" x14ac:dyDescent="0.25">
      <c r="B237" t="s">
        <v>323</v>
      </c>
      <c r="C237" s="87" t="s">
        <v>126</v>
      </c>
      <c r="D237" s="1" t="s">
        <v>670</v>
      </c>
      <c r="E237" s="88">
        <v>25000</v>
      </c>
      <c r="G237" t="str">
        <f t="shared" si="36"/>
        <v>Válvula bola PVCP 40cm 2"</v>
      </c>
      <c r="H237" t="s">
        <v>76</v>
      </c>
      <c r="I237" s="1" t="str">
        <f t="shared" si="37"/>
        <v>UND</v>
      </c>
      <c r="J237" s="1" t="s">
        <v>913</v>
      </c>
      <c r="K237" s="1"/>
      <c r="L237"/>
      <c r="M237" s="4">
        <f t="shared" si="38"/>
        <v>25000</v>
      </c>
      <c r="N237" s="31"/>
      <c r="O237" s="31"/>
      <c r="P237" t="s">
        <v>821</v>
      </c>
      <c r="Q237" s="190">
        <f>(SUMIFS('3. CD - Obra negra'!$O$4:$O$344,'3. CD - Obra negra'!$E$4:$E$344,G237))+(SUMIFS('4. CD - Obra gris'!$O$14:$O$74,'4. CD - Obra gris'!$E$14:$E$74,G237))+(SUMIFS('5, CD -Obra blanca'!$O$4:$O$151,'5, CD -Obra blanca'!$E$4:$E$151,G237))</f>
        <v>0</v>
      </c>
      <c r="R237" s="194">
        <f t="shared" si="35"/>
        <v>0</v>
      </c>
      <c r="T237" s="4"/>
      <c r="V237"/>
      <c r="W237"/>
      <c r="Y237"/>
      <c r="AB237"/>
    </row>
    <row r="238" spans="2:28" x14ac:dyDescent="0.25">
      <c r="B238" t="s">
        <v>324</v>
      </c>
      <c r="C238" s="87" t="s">
        <v>126</v>
      </c>
      <c r="D238" s="1" t="s">
        <v>670</v>
      </c>
      <c r="E238" s="88">
        <v>35000</v>
      </c>
      <c r="G238" t="str">
        <f t="shared" si="36"/>
        <v>Válvula bola CPVC 40cm 1/2"</v>
      </c>
      <c r="H238" t="s">
        <v>76</v>
      </c>
      <c r="I238" s="1" t="str">
        <f t="shared" si="37"/>
        <v>UND</v>
      </c>
      <c r="J238" s="1" t="s">
        <v>914</v>
      </c>
      <c r="K238" s="1"/>
      <c r="L238"/>
      <c r="M238" s="4">
        <f t="shared" si="38"/>
        <v>35000</v>
      </c>
      <c r="N238" s="31"/>
      <c r="O238" s="31"/>
      <c r="P238" t="s">
        <v>821</v>
      </c>
      <c r="Q238" s="190">
        <f>(SUMIFS('3. CD - Obra negra'!$O$4:$O$344,'3. CD - Obra negra'!$E$4:$E$344,G238))+(SUMIFS('4. CD - Obra gris'!$O$14:$O$74,'4. CD - Obra gris'!$E$14:$E$74,G238))+(SUMIFS('5, CD -Obra blanca'!$O$4:$O$151,'5, CD -Obra blanca'!$E$4:$E$151,G238))</f>
        <v>4</v>
      </c>
      <c r="R238" s="194">
        <f t="shared" si="35"/>
        <v>140000</v>
      </c>
      <c r="T238" s="4"/>
      <c r="V238"/>
      <c r="W238"/>
      <c r="Y238"/>
      <c r="AB238"/>
    </row>
    <row r="239" spans="2:28" x14ac:dyDescent="0.25">
      <c r="B239" t="s">
        <v>325</v>
      </c>
      <c r="C239" s="87" t="s">
        <v>126</v>
      </c>
      <c r="D239" s="1" t="s">
        <v>670</v>
      </c>
      <c r="E239" s="88">
        <v>70000</v>
      </c>
      <c r="G239" t="str">
        <f t="shared" si="36"/>
        <v>Válvula bola CPVC 40cm 1"</v>
      </c>
      <c r="H239" t="s">
        <v>76</v>
      </c>
      <c r="I239" s="1" t="str">
        <f t="shared" si="37"/>
        <v>UND</v>
      </c>
      <c r="J239" s="1" t="s">
        <v>915</v>
      </c>
      <c r="K239" s="1"/>
      <c r="L239"/>
      <c r="M239" s="4">
        <f t="shared" si="38"/>
        <v>70000</v>
      </c>
      <c r="N239" s="31"/>
      <c r="O239" s="31"/>
      <c r="P239" t="s">
        <v>821</v>
      </c>
      <c r="Q239" s="190">
        <f>(SUMIFS('3. CD - Obra negra'!$O$4:$O$344,'3. CD - Obra negra'!$E$4:$E$344,G239))+(SUMIFS('4. CD - Obra gris'!$O$14:$O$74,'4. CD - Obra gris'!$E$14:$E$74,G239))+(SUMIFS('5, CD -Obra blanca'!$O$4:$O$151,'5, CD -Obra blanca'!$E$4:$E$151,G239))</f>
        <v>0</v>
      </c>
      <c r="R239" s="194">
        <f t="shared" si="35"/>
        <v>0</v>
      </c>
      <c r="T239" s="4"/>
      <c r="V239"/>
      <c r="W239"/>
      <c r="Y239"/>
      <c r="AB239"/>
    </row>
    <row r="240" spans="2:28" x14ac:dyDescent="0.25">
      <c r="B240" t="s">
        <v>361</v>
      </c>
      <c r="C240" s="87" t="s">
        <v>126</v>
      </c>
      <c r="D240" s="1" t="s">
        <v>670</v>
      </c>
      <c r="E240" s="88">
        <v>150000</v>
      </c>
      <c r="G240" t="str">
        <f t="shared" si="36"/>
        <v>Válvula cheque cobre + filtro 1"</v>
      </c>
      <c r="H240" t="s">
        <v>76</v>
      </c>
      <c r="I240" s="1" t="str">
        <f t="shared" si="37"/>
        <v>UND</v>
      </c>
      <c r="J240" s="1" t="s">
        <v>916</v>
      </c>
      <c r="K240" s="1"/>
      <c r="L240"/>
      <c r="M240" s="4">
        <f t="shared" si="38"/>
        <v>150000</v>
      </c>
      <c r="N240" s="31"/>
      <c r="O240" s="31"/>
      <c r="P240" t="s">
        <v>821</v>
      </c>
      <c r="Q240" s="190">
        <f>(SUMIFS('3. CD - Obra negra'!$O$4:$O$344,'3. CD - Obra negra'!$E$4:$E$344,G240))+(SUMIFS('4. CD - Obra gris'!$O$14:$O$74,'4. CD - Obra gris'!$E$14:$E$74,G240))+(SUMIFS('5, CD -Obra blanca'!$O$4:$O$151,'5, CD -Obra blanca'!$E$4:$E$151,G240))</f>
        <v>1</v>
      </c>
      <c r="R240" s="194">
        <f t="shared" si="35"/>
        <v>150000</v>
      </c>
      <c r="T240" s="4"/>
      <c r="V240"/>
      <c r="W240"/>
      <c r="Y240"/>
      <c r="AB240"/>
    </row>
    <row r="241" spans="2:28" x14ac:dyDescent="0.25">
      <c r="B241" t="s">
        <v>490</v>
      </c>
      <c r="C241" s="87" t="s">
        <v>126</v>
      </c>
      <c r="D241" s="1" t="s">
        <v>273</v>
      </c>
      <c r="E241" s="88">
        <v>9000</v>
      </c>
      <c r="G241" t="str">
        <f t="shared" si="36"/>
        <v>Cinta teflón 1/2" x10m</v>
      </c>
      <c r="H241" t="s">
        <v>76</v>
      </c>
      <c r="I241" s="1" t="str">
        <f t="shared" si="37"/>
        <v>UND</v>
      </c>
      <c r="J241" s="1" t="s">
        <v>917</v>
      </c>
      <c r="K241" s="1"/>
      <c r="L241"/>
      <c r="M241" s="4">
        <f t="shared" si="38"/>
        <v>9000</v>
      </c>
      <c r="N241" s="31"/>
      <c r="O241" s="31"/>
      <c r="P241" t="s">
        <v>821</v>
      </c>
      <c r="Q241" s="190">
        <f>(SUMIFS('3. CD - Obra negra'!$O$4:$O$344,'3. CD - Obra negra'!$E$4:$E$344,G241))+(SUMIFS('4. CD - Obra gris'!$O$14:$O$74,'4. CD - Obra gris'!$E$14:$E$74,G241))+(SUMIFS('5, CD -Obra blanca'!$O$4:$O$151,'5, CD -Obra blanca'!$E$4:$E$151,G241))</f>
        <v>3</v>
      </c>
      <c r="R241" s="194">
        <f t="shared" si="35"/>
        <v>27000</v>
      </c>
      <c r="T241" s="4"/>
      <c r="V241"/>
      <c r="W241"/>
      <c r="Y241"/>
      <c r="AB241"/>
    </row>
    <row r="242" spans="2:28" x14ac:dyDescent="0.25">
      <c r="B242" t="s">
        <v>491</v>
      </c>
      <c r="C242" s="87" t="s">
        <v>126</v>
      </c>
      <c r="D242" s="1" t="s">
        <v>273</v>
      </c>
      <c r="E242" s="88">
        <v>9000</v>
      </c>
      <c r="G242" t="str">
        <f t="shared" si="36"/>
        <v>Cinta teflón 3/4" x10m</v>
      </c>
      <c r="H242" t="s">
        <v>76</v>
      </c>
      <c r="I242" s="1" t="str">
        <f t="shared" si="37"/>
        <v>UND</v>
      </c>
      <c r="J242" s="1" t="s">
        <v>918</v>
      </c>
      <c r="K242" s="1"/>
      <c r="L242"/>
      <c r="M242" s="4">
        <f t="shared" si="38"/>
        <v>9000</v>
      </c>
      <c r="N242" s="31"/>
      <c r="O242" s="31"/>
      <c r="P242" t="s">
        <v>821</v>
      </c>
      <c r="Q242" s="190">
        <f>(SUMIFS('3. CD - Obra negra'!$O$4:$O$344,'3. CD - Obra negra'!$E$4:$E$344,G242))+(SUMIFS('4. CD - Obra gris'!$O$14:$O$74,'4. CD - Obra gris'!$E$14:$E$74,G242))+(SUMIFS('5, CD -Obra blanca'!$O$4:$O$151,'5, CD -Obra blanca'!$E$4:$E$151,G242))</f>
        <v>2</v>
      </c>
      <c r="R242" s="194">
        <f t="shared" si="35"/>
        <v>18000</v>
      </c>
      <c r="T242" s="4"/>
      <c r="V242"/>
      <c r="W242"/>
      <c r="Y242"/>
      <c r="AB242"/>
    </row>
    <row r="243" spans="2:28" x14ac:dyDescent="0.25">
      <c r="B243" t="s">
        <v>492</v>
      </c>
      <c r="C243" s="87" t="s">
        <v>126</v>
      </c>
      <c r="D243" s="1" t="s">
        <v>273</v>
      </c>
      <c r="E243" s="88">
        <v>12000</v>
      </c>
      <c r="G243" t="str">
        <f t="shared" si="36"/>
        <v>Cinta teflón 1" x10m</v>
      </c>
      <c r="H243" t="s">
        <v>76</v>
      </c>
      <c r="I243" s="1" t="str">
        <f t="shared" si="37"/>
        <v>UND</v>
      </c>
      <c r="J243" s="1" t="s">
        <v>919</v>
      </c>
      <c r="K243" s="1"/>
      <c r="L243"/>
      <c r="M243" s="4">
        <f t="shared" si="38"/>
        <v>12000</v>
      </c>
      <c r="N243" s="31"/>
      <c r="O243" s="31"/>
      <c r="P243" t="s">
        <v>821</v>
      </c>
      <c r="Q243" s="190">
        <f>(SUMIFS('3. CD - Obra negra'!$O$4:$O$344,'3. CD - Obra negra'!$E$4:$E$344,G243))+(SUMIFS('4. CD - Obra gris'!$O$14:$O$74,'4. CD - Obra gris'!$E$14:$E$74,G243))+(SUMIFS('5, CD -Obra blanca'!$O$4:$O$151,'5, CD -Obra blanca'!$E$4:$E$151,G243))</f>
        <v>2</v>
      </c>
      <c r="R243" s="194">
        <f t="shared" si="35"/>
        <v>24000</v>
      </c>
      <c r="T243" s="4"/>
      <c r="V243"/>
      <c r="W243"/>
      <c r="Y243"/>
      <c r="AB243"/>
    </row>
    <row r="244" spans="2:28" x14ac:dyDescent="0.25">
      <c r="B244" t="s">
        <v>125</v>
      </c>
      <c r="C244" s="87" t="s">
        <v>126</v>
      </c>
      <c r="D244" s="1" t="s">
        <v>671</v>
      </c>
      <c r="E244" s="88">
        <f>+'[1]2.1 UNIONES PVC'!G5</f>
        <v>13000</v>
      </c>
      <c r="G244" t="str">
        <f t="shared" si="36"/>
        <v>Soldadura PVC 1/128gl</v>
      </c>
      <c r="H244" t="s">
        <v>76</v>
      </c>
      <c r="I244" s="1" t="str">
        <f t="shared" si="37"/>
        <v>UND</v>
      </c>
      <c r="J244" s="1" t="s">
        <v>920</v>
      </c>
      <c r="K244" s="1"/>
      <c r="L244"/>
      <c r="M244" s="4">
        <f t="shared" si="38"/>
        <v>13000</v>
      </c>
      <c r="N244" s="31"/>
      <c r="O244" s="31"/>
      <c r="P244" t="s">
        <v>821</v>
      </c>
      <c r="Q244" s="190">
        <f>(SUMIFS('3. CD - Obra negra'!$O$4:$O$344,'3. CD - Obra negra'!$E$4:$E$344,G244))+(SUMIFS('4. CD - Obra gris'!$O$14:$O$74,'4. CD - Obra gris'!$E$14:$E$74,G244))+(SUMIFS('5, CD -Obra blanca'!$O$4:$O$151,'5, CD -Obra blanca'!$E$4:$E$151,G244))</f>
        <v>0</v>
      </c>
      <c r="R244" s="194">
        <f t="shared" si="35"/>
        <v>0</v>
      </c>
      <c r="T244" s="4"/>
      <c r="V244"/>
      <c r="W244"/>
      <c r="Y244"/>
      <c r="AB244"/>
    </row>
    <row r="245" spans="2:28" x14ac:dyDescent="0.25">
      <c r="B245" t="s">
        <v>130</v>
      </c>
      <c r="C245" s="87" t="s">
        <v>126</v>
      </c>
      <c r="D245" s="1" t="s">
        <v>671</v>
      </c>
      <c r="E245" s="88">
        <f>+'[1]2.1 UNIONES PVC'!G6</f>
        <v>24000</v>
      </c>
      <c r="G245" t="str">
        <f t="shared" si="36"/>
        <v>Soldadura PVC 1/64gl</v>
      </c>
      <c r="H245" t="s">
        <v>76</v>
      </c>
      <c r="I245" s="1" t="str">
        <f t="shared" si="37"/>
        <v>UND</v>
      </c>
      <c r="J245" s="1" t="s">
        <v>921</v>
      </c>
      <c r="K245" s="1"/>
      <c r="L245"/>
      <c r="M245" s="4">
        <f t="shared" si="38"/>
        <v>24000</v>
      </c>
      <c r="N245" s="31"/>
      <c r="O245" s="31"/>
      <c r="P245" t="s">
        <v>821</v>
      </c>
      <c r="Q245" s="190">
        <f>(SUMIFS('3. CD - Obra negra'!$O$4:$O$344,'3. CD - Obra negra'!$E$4:$E$344,G245))+(SUMIFS('4. CD - Obra gris'!$O$14:$O$74,'4. CD - Obra gris'!$E$14:$E$74,G245))+(SUMIFS('5, CD -Obra blanca'!$O$4:$O$151,'5, CD -Obra blanca'!$E$4:$E$151,G245))</f>
        <v>2</v>
      </c>
      <c r="R245" s="194">
        <f t="shared" si="35"/>
        <v>48000</v>
      </c>
      <c r="T245" s="4"/>
      <c r="V245"/>
      <c r="W245"/>
      <c r="Y245"/>
      <c r="AB245"/>
    </row>
    <row r="246" spans="2:28" x14ac:dyDescent="0.25">
      <c r="B246" t="s">
        <v>134</v>
      </c>
      <c r="C246" s="87" t="s">
        <v>126</v>
      </c>
      <c r="D246" s="1" t="s">
        <v>671</v>
      </c>
      <c r="E246" s="88">
        <v>25000</v>
      </c>
      <c r="G246" t="str">
        <f t="shared" si="36"/>
        <v>Soldadura PVC 1/32gl</v>
      </c>
      <c r="H246" t="s">
        <v>76</v>
      </c>
      <c r="I246" s="1" t="str">
        <f t="shared" si="37"/>
        <v>UND</v>
      </c>
      <c r="J246" s="1" t="s">
        <v>922</v>
      </c>
      <c r="K246" s="1"/>
      <c r="L246"/>
      <c r="M246" s="4">
        <f t="shared" si="38"/>
        <v>25000</v>
      </c>
      <c r="N246" s="31"/>
      <c r="O246" s="31"/>
      <c r="P246" t="s">
        <v>821</v>
      </c>
      <c r="Q246" s="190">
        <f>(SUMIFS('3. CD - Obra negra'!$O$4:$O$344,'3. CD - Obra negra'!$E$4:$E$344,G246))+(SUMIFS('4. CD - Obra gris'!$O$14:$O$74,'4. CD - Obra gris'!$E$14:$E$74,G246))+(SUMIFS('5, CD -Obra blanca'!$O$4:$O$151,'5, CD -Obra blanca'!$E$4:$E$151,G246))</f>
        <v>0</v>
      </c>
      <c r="R246" s="194">
        <f t="shared" si="35"/>
        <v>0</v>
      </c>
      <c r="T246" s="4"/>
      <c r="V246"/>
      <c r="W246"/>
      <c r="Y246"/>
      <c r="AB246"/>
    </row>
    <row r="247" spans="2:28" x14ac:dyDescent="0.25">
      <c r="B247" t="s">
        <v>138</v>
      </c>
      <c r="C247" s="87" t="s">
        <v>126</v>
      </c>
      <c r="D247" s="1" t="s">
        <v>671</v>
      </c>
      <c r="E247" s="88">
        <v>38000</v>
      </c>
      <c r="G247" t="str">
        <f t="shared" si="36"/>
        <v>Soldadura PVC 1/16gl</v>
      </c>
      <c r="H247" t="s">
        <v>76</v>
      </c>
      <c r="I247" s="1" t="str">
        <f t="shared" si="37"/>
        <v>UND</v>
      </c>
      <c r="J247" s="1" t="s">
        <v>923</v>
      </c>
      <c r="K247" s="1"/>
      <c r="L247"/>
      <c r="M247" s="4">
        <f t="shared" si="38"/>
        <v>38000</v>
      </c>
      <c r="N247" s="31"/>
      <c r="O247" s="31"/>
      <c r="P247" t="s">
        <v>821</v>
      </c>
      <c r="Q247" s="190">
        <f>(SUMIFS('3. CD - Obra negra'!$O$4:$O$344,'3. CD - Obra negra'!$E$4:$E$344,G247))+(SUMIFS('4. CD - Obra gris'!$O$14:$O$74,'4. CD - Obra gris'!$E$14:$E$74,G247))+(SUMIFS('5, CD -Obra blanca'!$O$4:$O$151,'5, CD -Obra blanca'!$E$4:$E$151,G247))</f>
        <v>2</v>
      </c>
      <c r="R247" s="194">
        <f t="shared" si="35"/>
        <v>76000</v>
      </c>
      <c r="T247" s="4"/>
      <c r="V247"/>
      <c r="W247"/>
      <c r="Y247"/>
      <c r="AB247"/>
    </row>
    <row r="248" spans="2:28" x14ac:dyDescent="0.25">
      <c r="B248" t="s">
        <v>142</v>
      </c>
      <c r="C248" s="87" t="s">
        <v>126</v>
      </c>
      <c r="D248" s="1" t="s">
        <v>671</v>
      </c>
      <c r="E248" s="88">
        <v>50000</v>
      </c>
      <c r="G248" t="str">
        <f t="shared" si="36"/>
        <v>Soldadura PVC 1/8gl</v>
      </c>
      <c r="H248" t="s">
        <v>76</v>
      </c>
      <c r="I248" s="1" t="str">
        <f t="shared" si="37"/>
        <v>UND</v>
      </c>
      <c r="J248" s="1" t="s">
        <v>925</v>
      </c>
      <c r="K248" s="1"/>
      <c r="L248"/>
      <c r="M248" s="4">
        <f t="shared" si="38"/>
        <v>50000</v>
      </c>
      <c r="N248" s="31"/>
      <c r="O248" s="31"/>
      <c r="P248" t="s">
        <v>821</v>
      </c>
      <c r="Q248" s="190">
        <f>(SUMIFS('3. CD - Obra negra'!$O$4:$O$344,'3. CD - Obra negra'!$E$4:$E$344,G248))+(SUMIFS('4. CD - Obra gris'!$O$14:$O$74,'4. CD - Obra gris'!$E$14:$E$74,G248))+(SUMIFS('5, CD -Obra blanca'!$O$4:$O$151,'5, CD -Obra blanca'!$E$4:$E$151,G248))</f>
        <v>0</v>
      </c>
      <c r="R248" s="194">
        <f t="shared" si="35"/>
        <v>0</v>
      </c>
      <c r="T248" s="4"/>
      <c r="V248"/>
      <c r="W248"/>
      <c r="Y248"/>
      <c r="AB248"/>
    </row>
    <row r="249" spans="2:28" x14ac:dyDescent="0.25">
      <c r="B249" t="s">
        <v>146</v>
      </c>
      <c r="C249" s="87" t="s">
        <v>126</v>
      </c>
      <c r="D249" s="1" t="s">
        <v>671</v>
      </c>
      <c r="E249" s="88">
        <v>65000</v>
      </c>
      <c r="G249" t="str">
        <f t="shared" si="36"/>
        <v>Soldadura PVC 1/4gl</v>
      </c>
      <c r="H249" t="s">
        <v>76</v>
      </c>
      <c r="I249" s="1" t="str">
        <f t="shared" si="37"/>
        <v>UND</v>
      </c>
      <c r="J249" s="1" t="s">
        <v>924</v>
      </c>
      <c r="K249" s="1"/>
      <c r="L249"/>
      <c r="M249" s="4">
        <f t="shared" si="38"/>
        <v>65000</v>
      </c>
      <c r="N249" s="31"/>
      <c r="O249" s="31"/>
      <c r="P249" t="s">
        <v>821</v>
      </c>
      <c r="Q249" s="190">
        <f>(SUMIFS('3. CD - Obra negra'!$O$4:$O$344,'3. CD - Obra negra'!$E$4:$E$344,G249))+(SUMIFS('4. CD - Obra gris'!$O$14:$O$74,'4. CD - Obra gris'!$E$14:$E$74,G249))+(SUMIFS('5, CD -Obra blanca'!$O$4:$O$151,'5, CD -Obra blanca'!$E$4:$E$151,G249))</f>
        <v>0</v>
      </c>
      <c r="R249" s="194">
        <f t="shared" si="35"/>
        <v>0</v>
      </c>
      <c r="T249" s="4"/>
      <c r="V249"/>
      <c r="W249"/>
      <c r="Y249"/>
      <c r="AB249"/>
    </row>
    <row r="250" spans="2:28" x14ac:dyDescent="0.25">
      <c r="B250" t="s">
        <v>150</v>
      </c>
      <c r="C250" s="87" t="s">
        <v>126</v>
      </c>
      <c r="D250" s="1" t="s">
        <v>671</v>
      </c>
      <c r="E250" s="88">
        <f>+'[1]2.1 UNIONES PVC'!G11</f>
        <v>11000</v>
      </c>
      <c r="G250" t="str">
        <f t="shared" si="36"/>
        <v>Soldadura CPVC 1/128gl</v>
      </c>
      <c r="H250" t="s">
        <v>76</v>
      </c>
      <c r="I250" s="1" t="str">
        <f t="shared" si="37"/>
        <v>UND</v>
      </c>
      <c r="J250" s="1" t="s">
        <v>926</v>
      </c>
      <c r="K250" s="1"/>
      <c r="L250"/>
      <c r="M250" s="4">
        <f t="shared" si="38"/>
        <v>11000</v>
      </c>
      <c r="N250" s="31"/>
      <c r="O250" s="31"/>
      <c r="P250" t="s">
        <v>821</v>
      </c>
      <c r="Q250" s="190">
        <f>(SUMIFS('3. CD - Obra negra'!$O$4:$O$344,'3. CD - Obra negra'!$E$4:$E$344,G250))+(SUMIFS('4. CD - Obra gris'!$O$14:$O$74,'4. CD - Obra gris'!$E$14:$E$74,G250))+(SUMIFS('5, CD -Obra blanca'!$O$4:$O$151,'5, CD -Obra blanca'!$E$4:$E$151,G250))</f>
        <v>0</v>
      </c>
      <c r="R250" s="194">
        <f t="shared" si="35"/>
        <v>0</v>
      </c>
      <c r="T250" s="4"/>
      <c r="V250"/>
      <c r="W250"/>
      <c r="Y250"/>
      <c r="AB250"/>
    </row>
    <row r="251" spans="2:28" x14ac:dyDescent="0.25">
      <c r="B251" t="s">
        <v>152</v>
      </c>
      <c r="C251" s="87" t="s">
        <v>126</v>
      </c>
      <c r="D251" s="1" t="s">
        <v>671</v>
      </c>
      <c r="E251" s="88">
        <f>+'[1]2.1 UNIONES PVC'!G12</f>
        <v>29000</v>
      </c>
      <c r="G251" t="str">
        <f t="shared" si="36"/>
        <v>Soldadura CPVC 1/64gl</v>
      </c>
      <c r="H251" t="s">
        <v>76</v>
      </c>
      <c r="I251" s="1" t="str">
        <f t="shared" si="37"/>
        <v>UND</v>
      </c>
      <c r="J251" s="1" t="s">
        <v>927</v>
      </c>
      <c r="K251" s="1"/>
      <c r="L251"/>
      <c r="M251" s="4">
        <f t="shared" si="38"/>
        <v>29000</v>
      </c>
      <c r="N251" s="31"/>
      <c r="O251" s="31"/>
      <c r="P251" t="s">
        <v>821</v>
      </c>
      <c r="Q251" s="190">
        <f>(SUMIFS('3. CD - Obra negra'!$O$4:$O$344,'3. CD - Obra negra'!$E$4:$E$344,G251))+(SUMIFS('4. CD - Obra gris'!$O$14:$O$74,'4. CD - Obra gris'!$E$14:$E$74,G251))+(SUMIFS('5, CD -Obra blanca'!$O$4:$O$151,'5, CD -Obra blanca'!$E$4:$E$151,G251))</f>
        <v>0</v>
      </c>
      <c r="R251" s="194">
        <f t="shared" si="35"/>
        <v>0</v>
      </c>
      <c r="T251" s="4"/>
      <c r="V251"/>
      <c r="W251"/>
      <c r="Y251"/>
      <c r="AB251"/>
    </row>
    <row r="252" spans="2:28" x14ac:dyDescent="0.25">
      <c r="B252" t="s">
        <v>154</v>
      </c>
      <c r="C252" s="87" t="s">
        <v>126</v>
      </c>
      <c r="D252" s="1" t="s">
        <v>671</v>
      </c>
      <c r="E252" s="88">
        <v>27000</v>
      </c>
      <c r="G252" t="str">
        <f t="shared" si="36"/>
        <v>Soldadura CPVC 1/32gl</v>
      </c>
      <c r="H252" t="s">
        <v>76</v>
      </c>
      <c r="I252" s="1" t="str">
        <f t="shared" si="37"/>
        <v>UND</v>
      </c>
      <c r="J252" s="1" t="s">
        <v>928</v>
      </c>
      <c r="K252" s="1"/>
      <c r="L252"/>
      <c r="M252" s="4">
        <f t="shared" si="38"/>
        <v>27000</v>
      </c>
      <c r="N252" s="31"/>
      <c r="O252" s="31"/>
      <c r="P252" t="s">
        <v>821</v>
      </c>
      <c r="Q252" s="190">
        <f>(SUMIFS('3. CD - Obra negra'!$O$4:$O$344,'3. CD - Obra negra'!$E$4:$E$344,G252))+(SUMIFS('4. CD - Obra gris'!$O$14:$O$74,'4. CD - Obra gris'!$E$14:$E$74,G252))+(SUMIFS('5, CD -Obra blanca'!$O$4:$O$151,'5, CD -Obra blanca'!$E$4:$E$151,G252))</f>
        <v>0</v>
      </c>
      <c r="R252" s="194">
        <f t="shared" si="35"/>
        <v>0</v>
      </c>
      <c r="T252" s="4"/>
      <c r="V252"/>
      <c r="W252"/>
      <c r="Y252"/>
      <c r="AB252"/>
    </row>
    <row r="253" spans="2:28" x14ac:dyDescent="0.25">
      <c r="B253" t="s">
        <v>156</v>
      </c>
      <c r="C253" s="87" t="s">
        <v>126</v>
      </c>
      <c r="D253" s="1" t="s">
        <v>671</v>
      </c>
      <c r="E253" s="88">
        <v>51000</v>
      </c>
      <c r="G253" t="str">
        <f t="shared" si="36"/>
        <v>Soldadura CPVC 1/16gl</v>
      </c>
      <c r="H253" t="s">
        <v>76</v>
      </c>
      <c r="I253" s="1" t="str">
        <f t="shared" si="37"/>
        <v>UND</v>
      </c>
      <c r="J253" s="1" t="s">
        <v>929</v>
      </c>
      <c r="K253" s="1"/>
      <c r="L253"/>
      <c r="M253" s="4">
        <f t="shared" si="38"/>
        <v>51000</v>
      </c>
      <c r="N253" s="31"/>
      <c r="O253" s="31"/>
      <c r="P253" t="s">
        <v>821</v>
      </c>
      <c r="Q253" s="190">
        <f>(SUMIFS('3. CD - Obra negra'!$O$4:$O$344,'3. CD - Obra negra'!$E$4:$E$344,G253))+(SUMIFS('4. CD - Obra gris'!$O$14:$O$74,'4. CD - Obra gris'!$E$14:$E$74,G253))+(SUMIFS('5, CD -Obra blanca'!$O$4:$O$151,'5, CD -Obra blanca'!$E$4:$E$151,G253))</f>
        <v>2</v>
      </c>
      <c r="R253" s="194">
        <f t="shared" si="35"/>
        <v>102000</v>
      </c>
      <c r="T253" s="4"/>
      <c r="V253"/>
      <c r="W253"/>
      <c r="Y253"/>
      <c r="AB253"/>
    </row>
    <row r="254" spans="2:28" x14ac:dyDescent="0.25">
      <c r="B254" t="s">
        <v>158</v>
      </c>
      <c r="C254" s="87" t="s">
        <v>126</v>
      </c>
      <c r="D254" s="1" t="s">
        <v>671</v>
      </c>
      <c r="E254" s="88">
        <v>77000</v>
      </c>
      <c r="G254" t="str">
        <f t="shared" si="36"/>
        <v>Soldadura CPVC 1/8gl</v>
      </c>
      <c r="H254" t="s">
        <v>76</v>
      </c>
      <c r="I254" s="1" t="str">
        <f t="shared" si="37"/>
        <v>UND</v>
      </c>
      <c r="J254" s="1" t="s">
        <v>930</v>
      </c>
      <c r="K254" s="1"/>
      <c r="L254"/>
      <c r="M254" s="4">
        <f t="shared" si="38"/>
        <v>77000</v>
      </c>
      <c r="N254" s="31"/>
      <c r="O254" s="31"/>
      <c r="P254" t="s">
        <v>821</v>
      </c>
      <c r="Q254" s="190">
        <f>(SUMIFS('3. CD - Obra negra'!$O$4:$O$344,'3. CD - Obra negra'!$E$4:$E$344,G254))+(SUMIFS('4. CD - Obra gris'!$O$14:$O$74,'4. CD - Obra gris'!$E$14:$E$74,G254))+(SUMIFS('5, CD -Obra blanca'!$O$4:$O$151,'5, CD -Obra blanca'!$E$4:$E$151,G254))</f>
        <v>0</v>
      </c>
      <c r="R254" s="194">
        <f t="shared" si="35"/>
        <v>0</v>
      </c>
      <c r="T254" s="4"/>
      <c r="V254"/>
      <c r="W254"/>
      <c r="Y254"/>
      <c r="AB254"/>
    </row>
    <row r="255" spans="2:28" x14ac:dyDescent="0.25">
      <c r="B255" t="s">
        <v>160</v>
      </c>
      <c r="C255" s="87" t="s">
        <v>126</v>
      </c>
      <c r="D255" s="1" t="s">
        <v>671</v>
      </c>
      <c r="E255" s="88">
        <v>95000</v>
      </c>
      <c r="G255" t="str">
        <f t="shared" si="36"/>
        <v>Soldadura CPVC 1/4gl</v>
      </c>
      <c r="H255" t="s">
        <v>76</v>
      </c>
      <c r="I255" s="1" t="str">
        <f t="shared" si="37"/>
        <v>UND</v>
      </c>
      <c r="J255" s="1" t="s">
        <v>931</v>
      </c>
      <c r="K255" s="1"/>
      <c r="L255"/>
      <c r="M255" s="4">
        <f t="shared" si="38"/>
        <v>95000</v>
      </c>
      <c r="N255" s="31"/>
      <c r="O255" s="31"/>
      <c r="P255" t="s">
        <v>821</v>
      </c>
      <c r="Q255" s="190">
        <f>(SUMIFS('3. CD - Obra negra'!$O$4:$O$344,'3. CD - Obra negra'!$E$4:$E$344,G255))+(SUMIFS('4. CD - Obra gris'!$O$14:$O$74,'4. CD - Obra gris'!$E$14:$E$74,G255))+(SUMIFS('5, CD -Obra blanca'!$O$4:$O$151,'5, CD -Obra blanca'!$E$4:$E$151,G255))</f>
        <v>0</v>
      </c>
      <c r="R255" s="194">
        <f t="shared" si="35"/>
        <v>0</v>
      </c>
      <c r="T255" s="4"/>
      <c r="V255"/>
      <c r="W255"/>
      <c r="Y255"/>
      <c r="AB255"/>
    </row>
    <row r="256" spans="2:28" x14ac:dyDescent="0.25">
      <c r="B256" t="s">
        <v>326</v>
      </c>
      <c r="C256" s="87" t="s">
        <v>126</v>
      </c>
      <c r="D256" s="1" t="s">
        <v>337</v>
      </c>
      <c r="E256" s="88">
        <v>2500000</v>
      </c>
      <c r="G256" t="str">
        <f t="shared" si="36"/>
        <v>Calentador solar 150 lts</v>
      </c>
      <c r="H256" t="s">
        <v>76</v>
      </c>
      <c r="I256" s="1" t="str">
        <f t="shared" si="37"/>
        <v>UND</v>
      </c>
      <c r="J256" s="1" t="s">
        <v>932</v>
      </c>
      <c r="K256" s="1"/>
      <c r="L256"/>
      <c r="M256" s="4">
        <f t="shared" si="38"/>
        <v>2500000</v>
      </c>
      <c r="N256" s="31"/>
      <c r="O256" s="31"/>
      <c r="P256" t="s">
        <v>821</v>
      </c>
      <c r="Q256" s="190">
        <f>(SUMIFS('3. CD - Obra negra'!$O$4:$O$344,'3. CD - Obra negra'!$E$4:$E$344,G256))+(SUMIFS('4. CD - Obra gris'!$O$14:$O$74,'4. CD - Obra gris'!$E$14:$E$74,G256))+(SUMIFS('5, CD -Obra blanca'!$O$4:$O$151,'5, CD -Obra blanca'!$E$4:$E$151,G256))</f>
        <v>0</v>
      </c>
      <c r="R256" s="194">
        <f t="shared" si="35"/>
        <v>0</v>
      </c>
      <c r="T256" s="4"/>
      <c r="V256"/>
      <c r="W256"/>
      <c r="Y256"/>
      <c r="AB256"/>
    </row>
    <row r="257" spans="2:28" x14ac:dyDescent="0.25">
      <c r="B257" t="s">
        <v>362</v>
      </c>
      <c r="C257" s="87" t="s">
        <v>126</v>
      </c>
      <c r="D257" s="1" t="s">
        <v>337</v>
      </c>
      <c r="E257" s="88">
        <v>3530000</v>
      </c>
      <c r="G257" t="str">
        <f t="shared" si="36"/>
        <v>Tanque Eternit 5000 lts</v>
      </c>
      <c r="H257" t="s">
        <v>76</v>
      </c>
      <c r="I257" s="1" t="str">
        <f t="shared" si="37"/>
        <v>UND</v>
      </c>
      <c r="J257" s="1" t="s">
        <v>933</v>
      </c>
      <c r="K257" s="1"/>
      <c r="L257"/>
      <c r="M257" s="4">
        <f t="shared" si="38"/>
        <v>3530000</v>
      </c>
      <c r="N257" s="31"/>
      <c r="O257" s="31"/>
      <c r="P257" t="s">
        <v>821</v>
      </c>
      <c r="Q257" s="190">
        <f>(SUMIFS('3. CD - Obra negra'!$O$4:$O$344,'3. CD - Obra negra'!$E$4:$E$344,G257))+(SUMIFS('4. CD - Obra gris'!$O$14:$O$74,'4. CD - Obra gris'!$E$14:$E$74,G257))+(SUMIFS('5, CD -Obra blanca'!$O$4:$O$151,'5, CD -Obra blanca'!$E$4:$E$151,G257))</f>
        <v>0</v>
      </c>
      <c r="R257" s="194">
        <f t="shared" si="35"/>
        <v>0</v>
      </c>
      <c r="T257" s="4"/>
      <c r="V257"/>
      <c r="W257"/>
      <c r="Y257"/>
      <c r="AB257"/>
    </row>
    <row r="258" spans="2:28" x14ac:dyDescent="0.25">
      <c r="B258" t="s">
        <v>1414</v>
      </c>
      <c r="C258" s="87" t="s">
        <v>126</v>
      </c>
      <c r="D258" s="1" t="s">
        <v>337</v>
      </c>
      <c r="E258" s="250">
        <v>62000</v>
      </c>
      <c r="G258" t="str">
        <f t="shared" si="36"/>
        <v>Llave manguera 1/2"</v>
      </c>
      <c r="H258" t="s">
        <v>76</v>
      </c>
      <c r="I258" s="1" t="str">
        <f t="shared" si="37"/>
        <v>UND</v>
      </c>
      <c r="J258" s="1" t="s">
        <v>1415</v>
      </c>
      <c r="K258" s="1"/>
      <c r="L258"/>
      <c r="M258" s="4">
        <f t="shared" si="38"/>
        <v>62000</v>
      </c>
      <c r="N258" s="31"/>
      <c r="O258" s="31"/>
      <c r="P258" t="s">
        <v>821</v>
      </c>
      <c r="Q258" s="190">
        <f>(SUMIFS('3. CD - Obra negra'!$O$4:$O$344,'3. CD - Obra negra'!$E$4:$E$344,G258))+(SUMIFS('4. CD - Obra gris'!$O$14:$O$74,'4. CD - Obra gris'!$E$14:$E$74,G258))+(SUMIFS('5, CD -Obra blanca'!$O$4:$O$151,'5, CD -Obra blanca'!$E$4:$E$151,G258))</f>
        <v>2</v>
      </c>
      <c r="R258" s="194">
        <f t="shared" si="35"/>
        <v>124000</v>
      </c>
      <c r="T258" s="4"/>
      <c r="V258"/>
      <c r="W258"/>
      <c r="Y258"/>
      <c r="AB258"/>
    </row>
    <row r="259" spans="2:28" x14ac:dyDescent="0.25">
      <c r="B259" t="s">
        <v>1279</v>
      </c>
      <c r="C259" s="87" t="s">
        <v>126</v>
      </c>
      <c r="D259" s="1" t="s">
        <v>337</v>
      </c>
      <c r="E259" s="250">
        <v>20000</v>
      </c>
      <c r="G259" t="str">
        <f>+B259</f>
        <v>Boquilla de impulso piscina</v>
      </c>
      <c r="H259" t="s">
        <v>76</v>
      </c>
      <c r="I259" s="1" t="str">
        <f>+C259</f>
        <v>UND</v>
      </c>
      <c r="J259" s="1" t="s">
        <v>1416</v>
      </c>
      <c r="K259" s="1"/>
      <c r="L259"/>
      <c r="M259" s="4">
        <f>+E259</f>
        <v>20000</v>
      </c>
      <c r="N259" s="31"/>
      <c r="O259" s="31"/>
      <c r="P259" t="s">
        <v>821</v>
      </c>
      <c r="Q259" s="190">
        <f>(SUMIFS('3. CD - Obra negra'!$O$4:$O$344,'3. CD - Obra negra'!$E$4:$E$344,G259))+(SUMIFS('4. CD - Obra gris'!$O$14:$O$74,'4. CD - Obra gris'!$E$14:$E$74,G259))+(SUMIFS('5, CD -Obra blanca'!$O$4:$O$151,'5, CD -Obra blanca'!$E$4:$E$151,G259))</f>
        <v>0</v>
      </c>
      <c r="R259" s="194">
        <f>+Q259*M259</f>
        <v>0</v>
      </c>
      <c r="T259" s="4"/>
      <c r="V259"/>
      <c r="W259"/>
      <c r="Y259"/>
      <c r="AB259"/>
    </row>
    <row r="260" spans="2:28" x14ac:dyDescent="0.25">
      <c r="B260" t="s">
        <v>1278</v>
      </c>
      <c r="C260" s="87" t="s">
        <v>126</v>
      </c>
      <c r="D260" s="1" t="s">
        <v>337</v>
      </c>
      <c r="E260" s="250">
        <v>50000</v>
      </c>
      <c r="G260" t="str">
        <f>+B260</f>
        <v>Dosificador cloro</v>
      </c>
      <c r="H260" t="s">
        <v>76</v>
      </c>
      <c r="I260" s="1" t="str">
        <f>+C260</f>
        <v>UND</v>
      </c>
      <c r="J260" s="1" t="s">
        <v>1417</v>
      </c>
      <c r="K260" s="1"/>
      <c r="L260"/>
      <c r="M260" s="4">
        <f>+E260</f>
        <v>50000</v>
      </c>
      <c r="N260" s="31"/>
      <c r="O260" s="31"/>
      <c r="P260" t="s">
        <v>821</v>
      </c>
      <c r="Q260" s="190">
        <f>(SUMIFS('3. CD - Obra negra'!$O$4:$O$344,'3. CD - Obra negra'!$E$4:$E$344,G260))+(SUMIFS('4. CD - Obra gris'!$O$14:$O$74,'4. CD - Obra gris'!$E$14:$E$74,G260))+(SUMIFS('5, CD -Obra blanca'!$O$4:$O$151,'5, CD -Obra blanca'!$E$4:$E$151,G260))</f>
        <v>0</v>
      </c>
      <c r="R260" s="194">
        <f>+Q260*M260</f>
        <v>0</v>
      </c>
      <c r="T260" s="4"/>
      <c r="V260"/>
      <c r="W260"/>
      <c r="Y260"/>
      <c r="AB260"/>
    </row>
    <row r="261" spans="2:28" x14ac:dyDescent="0.25">
      <c r="B261" t="s">
        <v>1277</v>
      </c>
      <c r="C261" s="87" t="s">
        <v>126</v>
      </c>
      <c r="D261" s="1" t="s">
        <v>337</v>
      </c>
      <c r="E261" s="250">
        <v>1100000</v>
      </c>
      <c r="G261" t="str">
        <f>+B261</f>
        <v>Filtro piscina 8m3/h</v>
      </c>
      <c r="H261" t="s">
        <v>76</v>
      </c>
      <c r="I261" s="1" t="str">
        <f>+C261</f>
        <v>UND</v>
      </c>
      <c r="J261" s="1" t="s">
        <v>1418</v>
      </c>
      <c r="K261" s="1"/>
      <c r="L261"/>
      <c r="M261" s="4">
        <f>+E261</f>
        <v>1100000</v>
      </c>
      <c r="N261" s="31"/>
      <c r="O261" s="31"/>
      <c r="P261" t="s">
        <v>821</v>
      </c>
      <c r="Q261" s="190">
        <f>(SUMIFS('3. CD - Obra negra'!$O$4:$O$344,'3. CD - Obra negra'!$E$4:$E$344,G261))+(SUMIFS('4. CD - Obra gris'!$O$14:$O$74,'4. CD - Obra gris'!$E$14:$E$74,G261))+(SUMIFS('5, CD -Obra blanca'!$O$4:$O$151,'5, CD -Obra blanca'!$E$4:$E$151,G261))</f>
        <v>0</v>
      </c>
      <c r="R261" s="194">
        <f>+Q261*M261</f>
        <v>0</v>
      </c>
      <c r="T261" s="4"/>
      <c r="V261"/>
      <c r="W261"/>
      <c r="Y261"/>
      <c r="AB261"/>
    </row>
    <row r="262" spans="2:28" x14ac:dyDescent="0.25">
      <c r="B262" t="s">
        <v>1276</v>
      </c>
      <c r="C262" s="87" t="s">
        <v>126</v>
      </c>
      <c r="D262" s="1" t="s">
        <v>337</v>
      </c>
      <c r="E262" s="250">
        <v>750000</v>
      </c>
      <c r="G262" t="str">
        <f>+B262</f>
        <v>Motobomba piscina 3/4HP</v>
      </c>
      <c r="H262" t="s">
        <v>76</v>
      </c>
      <c r="I262" s="1" t="str">
        <f>+C262</f>
        <v>UND</v>
      </c>
      <c r="J262" s="1" t="s">
        <v>1419</v>
      </c>
      <c r="K262" s="1"/>
      <c r="L262"/>
      <c r="M262" s="4">
        <f>+E262</f>
        <v>750000</v>
      </c>
      <c r="N262" s="31"/>
      <c r="O262" s="31"/>
      <c r="P262" t="s">
        <v>821</v>
      </c>
      <c r="Q262" s="190">
        <f>(SUMIFS('3. CD - Obra negra'!$O$4:$O$344,'3. CD - Obra negra'!$E$4:$E$344,G262))+(SUMIFS('4. CD - Obra gris'!$O$14:$O$74,'4. CD - Obra gris'!$E$14:$E$74,G262))+(SUMIFS('5, CD -Obra blanca'!$O$4:$O$151,'5, CD -Obra blanca'!$E$4:$E$151,G262))</f>
        <v>0</v>
      </c>
      <c r="R262" s="194">
        <f>+Q262*M262</f>
        <v>0</v>
      </c>
      <c r="T262" s="4"/>
      <c r="V262"/>
      <c r="W262"/>
      <c r="Y262"/>
      <c r="AB262"/>
    </row>
    <row r="263" spans="2:28" x14ac:dyDescent="0.25">
      <c r="B263" t="s">
        <v>654</v>
      </c>
      <c r="C263" s="1" t="s">
        <v>126</v>
      </c>
      <c r="D263" s="1" t="s">
        <v>337</v>
      </c>
      <c r="E263" s="4">
        <v>650000</v>
      </c>
      <c r="G263" t="str">
        <f t="shared" si="36"/>
        <v>Motobomba 1HP</v>
      </c>
      <c r="H263" t="s">
        <v>76</v>
      </c>
      <c r="I263" s="1" t="str">
        <f t="shared" si="37"/>
        <v>UND</v>
      </c>
      <c r="J263" s="1" t="s">
        <v>934</v>
      </c>
      <c r="K263" s="1"/>
      <c r="L263"/>
      <c r="M263" s="4">
        <f t="shared" si="38"/>
        <v>650000</v>
      </c>
      <c r="N263" s="31"/>
      <c r="O263" s="31"/>
      <c r="P263" t="s">
        <v>821</v>
      </c>
      <c r="Q263" s="190">
        <f>(SUMIFS('3. CD - Obra negra'!$O$4:$O$344,'3. CD - Obra negra'!$E$4:$E$344,G263))+(SUMIFS('4. CD - Obra gris'!$O$14:$O$74,'4. CD - Obra gris'!$E$14:$E$74,G263))+(SUMIFS('5, CD -Obra blanca'!$O$4:$O$151,'5, CD -Obra blanca'!$E$4:$E$151,G263))</f>
        <v>0</v>
      </c>
      <c r="R263" s="194">
        <f t="shared" si="35"/>
        <v>0</v>
      </c>
      <c r="T263" s="4"/>
      <c r="V263"/>
      <c r="W263"/>
      <c r="Y263"/>
      <c r="AB263"/>
    </row>
    <row r="264" spans="2:28" x14ac:dyDescent="0.25">
      <c r="D264" s="1"/>
      <c r="I264" s="1"/>
      <c r="L264"/>
      <c r="M264" s="4"/>
      <c r="N264" s="31"/>
      <c r="O264" s="31"/>
      <c r="R264"/>
      <c r="T264" s="4"/>
      <c r="V264"/>
      <c r="W264"/>
      <c r="Y264"/>
      <c r="AB264"/>
    </row>
    <row r="265" spans="2:28" x14ac:dyDescent="0.25">
      <c r="B265" s="299" t="s">
        <v>669</v>
      </c>
      <c r="C265" s="299"/>
      <c r="D265" s="299"/>
      <c r="E265" s="299"/>
      <c r="G265" s="299" t="s">
        <v>669</v>
      </c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4"/>
      <c r="V265"/>
      <c r="W265"/>
      <c r="Y265"/>
      <c r="AB265"/>
    </row>
    <row r="266" spans="2:28" x14ac:dyDescent="0.25">
      <c r="B266" t="s">
        <v>246</v>
      </c>
      <c r="C266" t="s">
        <v>248</v>
      </c>
      <c r="D266" s="1" t="s">
        <v>261</v>
      </c>
      <c r="E266" s="4" t="s">
        <v>249</v>
      </c>
      <c r="G266" s="191" t="s">
        <v>798</v>
      </c>
      <c r="H266" s="191" t="s">
        <v>799</v>
      </c>
      <c r="I266" s="191" t="s">
        <v>800</v>
      </c>
      <c r="J266" s="191" t="s">
        <v>815</v>
      </c>
      <c r="K266" s="191"/>
      <c r="L266" s="191" t="s">
        <v>816</v>
      </c>
      <c r="M266" s="192" t="s">
        <v>817</v>
      </c>
      <c r="N266" s="192" t="s">
        <v>818</v>
      </c>
      <c r="O266" s="192" t="s">
        <v>819</v>
      </c>
      <c r="P266" s="191" t="s">
        <v>820</v>
      </c>
      <c r="Q266" s="193" t="s">
        <v>847</v>
      </c>
      <c r="R266" s="191" t="s">
        <v>85</v>
      </c>
      <c r="S266" s="195">
        <f>+SUM(R267:R298)</f>
        <v>3581019.4</v>
      </c>
      <c r="T266" s="4"/>
      <c r="V266"/>
      <c r="W266"/>
      <c r="Y266"/>
      <c r="AB266"/>
    </row>
    <row r="267" spans="2:28" x14ac:dyDescent="0.25">
      <c r="B267" t="s">
        <v>383</v>
      </c>
      <c r="C267" s="87" t="s">
        <v>335</v>
      </c>
      <c r="D267" s="1" t="s">
        <v>669</v>
      </c>
      <c r="E267" s="88">
        <f>48000/6</f>
        <v>8000</v>
      </c>
      <c r="G267" t="str">
        <f>+B267</f>
        <v>Tubería SAN 2"</v>
      </c>
      <c r="H267" t="s">
        <v>76</v>
      </c>
      <c r="I267" s="1" t="str">
        <f>+C267</f>
        <v>ML</v>
      </c>
      <c r="J267" s="1" t="s">
        <v>939</v>
      </c>
      <c r="K267" s="1"/>
      <c r="L267"/>
      <c r="M267" s="4">
        <f>+E267</f>
        <v>8000</v>
      </c>
      <c r="N267" s="31"/>
      <c r="O267" s="31"/>
      <c r="P267" t="s">
        <v>821</v>
      </c>
      <c r="Q267" s="190">
        <f>(SUMIFS('3. CD - Obra negra'!$O$4:$O$344,'3. CD - Obra negra'!$E$4:$E$344,G267))+(SUMIFS('4. CD - Obra gris'!$O$14:$O$74,'4. CD - Obra gris'!$E$14:$E$74,G267))+(SUMIFS('5, CD -Obra blanca'!$O$4:$O$151,'5, CD -Obra blanca'!$E$4:$E$151,G267))</f>
        <v>15</v>
      </c>
      <c r="R267" s="194">
        <f>+Q267*M267</f>
        <v>120000</v>
      </c>
      <c r="T267" s="4"/>
      <c r="V267"/>
      <c r="W267"/>
      <c r="Y267"/>
      <c r="AB267"/>
    </row>
    <row r="268" spans="2:28" x14ac:dyDescent="0.25">
      <c r="B268" t="s">
        <v>384</v>
      </c>
      <c r="C268" s="87" t="s">
        <v>335</v>
      </c>
      <c r="D268" s="1" t="s">
        <v>669</v>
      </c>
      <c r="E268" s="88">
        <v>7500</v>
      </c>
      <c r="G268" t="str">
        <f>+B268</f>
        <v>Tubería VEN 2"</v>
      </c>
      <c r="H268" t="s">
        <v>76</v>
      </c>
      <c r="I268" s="1" t="str">
        <f>+C268</f>
        <v>ML</v>
      </c>
      <c r="J268" s="1" t="s">
        <v>940</v>
      </c>
      <c r="K268" s="1"/>
      <c r="L268"/>
      <c r="M268" s="4">
        <f>+E268</f>
        <v>7500</v>
      </c>
      <c r="N268" s="31"/>
      <c r="O268" s="31"/>
      <c r="P268" t="s">
        <v>821</v>
      </c>
      <c r="Q268" s="190">
        <f>(SUMIFS('3. CD - Obra negra'!$O$4:$O$344,'3. CD - Obra negra'!$E$4:$E$344,G268))+(SUMIFS('4. CD - Obra gris'!$O$14:$O$74,'4. CD - Obra gris'!$E$14:$E$74,G268))+(SUMIFS('5, CD -Obra blanca'!$O$4:$O$151,'5, CD -Obra blanca'!$E$4:$E$151,G268))</f>
        <v>12</v>
      </c>
      <c r="R268" s="194">
        <f t="shared" ref="R268:R298" si="39">+Q268*M268</f>
        <v>90000</v>
      </c>
      <c r="T268" s="4"/>
      <c r="V268"/>
      <c r="W268"/>
      <c r="Y268"/>
      <c r="AB268"/>
    </row>
    <row r="269" spans="2:28" x14ac:dyDescent="0.25">
      <c r="B269" t="s">
        <v>385</v>
      </c>
      <c r="C269" s="87" t="s">
        <v>335</v>
      </c>
      <c r="D269" s="1" t="s">
        <v>669</v>
      </c>
      <c r="E269" s="88">
        <v>19000</v>
      </c>
      <c r="G269" t="str">
        <f t="shared" ref="G269:G298" si="40">+B269</f>
        <v>Tubería SAN 4"</v>
      </c>
      <c r="H269" t="s">
        <v>76</v>
      </c>
      <c r="I269" s="1" t="str">
        <f t="shared" ref="I269:I298" si="41">+C269</f>
        <v>ML</v>
      </c>
      <c r="J269" s="1" t="s">
        <v>941</v>
      </c>
      <c r="K269" s="1"/>
      <c r="L269"/>
      <c r="M269" s="4">
        <f t="shared" ref="M269:M298" si="42">+E269</f>
        <v>19000</v>
      </c>
      <c r="N269" s="31"/>
      <c r="O269" s="31"/>
      <c r="P269" t="s">
        <v>821</v>
      </c>
      <c r="Q269" s="190">
        <f>(SUMIFS('3. CD - Obra negra'!$O$4:$O$344,'3. CD - Obra negra'!$E$4:$E$344,G269))+(SUMIFS('4. CD - Obra gris'!$O$14:$O$74,'4. CD - Obra gris'!$E$14:$E$74,G269))+(SUMIFS('5, CD -Obra blanca'!$O$4:$O$151,'5, CD -Obra blanca'!$E$4:$E$151,G269))</f>
        <v>40</v>
      </c>
      <c r="R269" s="194">
        <f t="shared" si="39"/>
        <v>760000</v>
      </c>
      <c r="T269" s="4"/>
      <c r="V269"/>
      <c r="W269"/>
      <c r="Y269"/>
      <c r="AB269"/>
    </row>
    <row r="270" spans="2:28" x14ac:dyDescent="0.25">
      <c r="B270" t="s">
        <v>386</v>
      </c>
      <c r="C270" s="87" t="s">
        <v>335</v>
      </c>
      <c r="D270" s="1" t="s">
        <v>669</v>
      </c>
      <c r="E270" s="88">
        <v>37500</v>
      </c>
      <c r="G270" t="str">
        <f t="shared" si="40"/>
        <v>Tubería SAN 6"</v>
      </c>
      <c r="H270" t="s">
        <v>76</v>
      </c>
      <c r="I270" s="1" t="str">
        <f t="shared" si="41"/>
        <v>ML</v>
      </c>
      <c r="J270" s="1" t="s">
        <v>942</v>
      </c>
      <c r="K270" s="1"/>
      <c r="L270"/>
      <c r="M270" s="4">
        <f t="shared" si="42"/>
        <v>37500</v>
      </c>
      <c r="N270" s="31"/>
      <c r="O270" s="31"/>
      <c r="P270" t="s">
        <v>821</v>
      </c>
      <c r="Q270" s="190">
        <f>(SUMIFS('3. CD - Obra negra'!$O$4:$O$344,'3. CD - Obra negra'!$E$4:$E$344,G270))+(SUMIFS('4. CD - Obra gris'!$O$14:$O$74,'4. CD - Obra gris'!$E$14:$E$74,G270))+(SUMIFS('5, CD -Obra blanca'!$O$4:$O$151,'5, CD -Obra blanca'!$E$4:$E$151,G270))</f>
        <v>30</v>
      </c>
      <c r="R270" s="194">
        <f t="shared" si="39"/>
        <v>1125000</v>
      </c>
      <c r="T270" s="4"/>
      <c r="V270"/>
      <c r="W270"/>
      <c r="Y270"/>
      <c r="AB270"/>
    </row>
    <row r="271" spans="2:28" x14ac:dyDescent="0.25">
      <c r="B271" t="s">
        <v>387</v>
      </c>
      <c r="C271" s="87" t="s">
        <v>126</v>
      </c>
      <c r="D271" s="1" t="s">
        <v>669</v>
      </c>
      <c r="E271" s="88">
        <v>1400</v>
      </c>
      <c r="G271" t="str">
        <f t="shared" si="40"/>
        <v>Tapón SAN 2"</v>
      </c>
      <c r="H271" t="s">
        <v>76</v>
      </c>
      <c r="I271" s="1" t="str">
        <f t="shared" si="41"/>
        <v>UND</v>
      </c>
      <c r="J271" s="1" t="s">
        <v>943</v>
      </c>
      <c r="K271" s="1"/>
      <c r="L271"/>
      <c r="M271" s="4">
        <f t="shared" si="42"/>
        <v>1400</v>
      </c>
      <c r="N271" s="31"/>
      <c r="O271" s="31"/>
      <c r="P271" t="s">
        <v>821</v>
      </c>
      <c r="Q271" s="190">
        <f>(SUMIFS('3. CD - Obra negra'!$O$4:$O$344,'3. CD - Obra negra'!$E$4:$E$344,G271))+(SUMIFS('4. CD - Obra gris'!$O$14:$O$74,'4. CD - Obra gris'!$E$14:$E$74,G271))+(SUMIFS('5, CD -Obra blanca'!$O$4:$O$151,'5, CD -Obra blanca'!$E$4:$E$151,G271))</f>
        <v>0</v>
      </c>
      <c r="R271" s="194">
        <f t="shared" si="39"/>
        <v>0</v>
      </c>
      <c r="T271" s="4"/>
      <c r="V271"/>
      <c r="W271"/>
      <c r="Y271"/>
      <c r="AB271"/>
    </row>
    <row r="272" spans="2:28" x14ac:dyDescent="0.25">
      <c r="B272" t="s">
        <v>388</v>
      </c>
      <c r="C272" s="87" t="s">
        <v>126</v>
      </c>
      <c r="D272" s="1" t="s">
        <v>669</v>
      </c>
      <c r="E272" s="88">
        <v>9800</v>
      </c>
      <c r="G272" t="str">
        <f t="shared" si="40"/>
        <v>Yee SAN 2"</v>
      </c>
      <c r="H272" t="s">
        <v>76</v>
      </c>
      <c r="I272" s="1" t="str">
        <f t="shared" si="41"/>
        <v>UND</v>
      </c>
      <c r="J272" s="1" t="s">
        <v>944</v>
      </c>
      <c r="K272" s="1"/>
      <c r="L272"/>
      <c r="M272" s="4">
        <f t="shared" si="42"/>
        <v>9800</v>
      </c>
      <c r="N272" s="31"/>
      <c r="O272" s="31"/>
      <c r="P272" t="s">
        <v>821</v>
      </c>
      <c r="Q272" s="190">
        <f>(SUMIFS('3. CD - Obra negra'!$O$4:$O$344,'3. CD - Obra negra'!$E$4:$E$344,G272))+(SUMIFS('4. CD - Obra gris'!$O$14:$O$74,'4. CD - Obra gris'!$E$14:$E$74,G272))+(SUMIFS('5, CD -Obra blanca'!$O$4:$O$151,'5, CD -Obra blanca'!$E$4:$E$151,G272))</f>
        <v>10</v>
      </c>
      <c r="R272" s="194">
        <f t="shared" si="39"/>
        <v>98000</v>
      </c>
      <c r="T272" s="4"/>
      <c r="V272"/>
      <c r="W272"/>
      <c r="Y272"/>
      <c r="AB272"/>
    </row>
    <row r="273" spans="2:28" x14ac:dyDescent="0.25">
      <c r="B273" t="s">
        <v>389</v>
      </c>
      <c r="C273" s="87" t="s">
        <v>126</v>
      </c>
      <c r="D273" s="1" t="s">
        <v>669</v>
      </c>
      <c r="E273" s="88">
        <v>26000</v>
      </c>
      <c r="G273" t="str">
        <f t="shared" si="40"/>
        <v>Yee SAN 4"</v>
      </c>
      <c r="H273" t="s">
        <v>76</v>
      </c>
      <c r="I273" s="1" t="str">
        <f t="shared" si="41"/>
        <v>UND</v>
      </c>
      <c r="J273" s="1" t="s">
        <v>945</v>
      </c>
      <c r="K273" s="1"/>
      <c r="L273"/>
      <c r="M273" s="4">
        <f t="shared" si="42"/>
        <v>26000</v>
      </c>
      <c r="N273" s="31"/>
      <c r="O273" s="31"/>
      <c r="P273" t="s">
        <v>821</v>
      </c>
      <c r="Q273" s="190">
        <f>(SUMIFS('3. CD - Obra negra'!$O$4:$O$344,'3. CD - Obra negra'!$E$4:$E$344,G273))+(SUMIFS('4. CD - Obra gris'!$O$14:$O$74,'4. CD - Obra gris'!$E$14:$E$74,G273))+(SUMIFS('5, CD -Obra blanca'!$O$4:$O$151,'5, CD -Obra blanca'!$E$4:$E$151,G273))</f>
        <v>0</v>
      </c>
      <c r="R273" s="194">
        <f t="shared" si="39"/>
        <v>0</v>
      </c>
      <c r="T273" s="4"/>
      <c r="V273"/>
      <c r="W273"/>
      <c r="Y273"/>
      <c r="AB273"/>
    </row>
    <row r="274" spans="2:28" x14ac:dyDescent="0.25">
      <c r="B274" t="s">
        <v>1530</v>
      </c>
      <c r="C274" s="87" t="s">
        <v>126</v>
      </c>
      <c r="D274" s="1" t="s">
        <v>669</v>
      </c>
      <c r="E274" s="88">
        <v>185000</v>
      </c>
      <c r="G274" t="str">
        <f>+B274</f>
        <v>Yee SAN 6"</v>
      </c>
      <c r="H274" t="s">
        <v>76</v>
      </c>
      <c r="I274" s="1" t="str">
        <f>+C274</f>
        <v>UND</v>
      </c>
      <c r="J274" s="1" t="s">
        <v>1531</v>
      </c>
      <c r="K274" s="1"/>
      <c r="L274"/>
      <c r="M274" s="4">
        <f>+E274</f>
        <v>185000</v>
      </c>
      <c r="N274" s="31"/>
      <c r="O274" s="31"/>
      <c r="P274" t="s">
        <v>821</v>
      </c>
      <c r="Q274" s="190">
        <f>(SUMIFS('3. CD - Obra negra'!$O$4:$O$344,'3. CD - Obra negra'!$E$4:$E$344,G274))+(SUMIFS('4. CD - Obra gris'!$O$14:$O$74,'4. CD - Obra gris'!$E$14:$E$74,G274))+(SUMIFS('5, CD -Obra blanca'!$O$4:$O$151,'5, CD -Obra blanca'!$E$4:$E$151,G274))</f>
        <v>0</v>
      </c>
      <c r="R274" s="194">
        <f>+Q274*M274</f>
        <v>0</v>
      </c>
      <c r="T274" s="4"/>
      <c r="V274"/>
      <c r="W274"/>
      <c r="Y274"/>
      <c r="AB274"/>
    </row>
    <row r="275" spans="2:28" x14ac:dyDescent="0.25">
      <c r="B275" t="s">
        <v>390</v>
      </c>
      <c r="C275" s="87" t="s">
        <v>126</v>
      </c>
      <c r="D275" s="1" t="s">
        <v>669</v>
      </c>
      <c r="E275" s="88">
        <v>26000</v>
      </c>
      <c r="G275" t="str">
        <f t="shared" si="40"/>
        <v>Yee SAN 4 a 2"</v>
      </c>
      <c r="H275" t="s">
        <v>76</v>
      </c>
      <c r="I275" s="1" t="str">
        <f t="shared" si="41"/>
        <v>UND</v>
      </c>
      <c r="J275" s="1" t="s">
        <v>946</v>
      </c>
      <c r="K275" s="1"/>
      <c r="L275"/>
      <c r="M275" s="4">
        <f t="shared" si="42"/>
        <v>26000</v>
      </c>
      <c r="N275" s="31"/>
      <c r="O275" s="31"/>
      <c r="P275" t="s">
        <v>821</v>
      </c>
      <c r="Q275" s="190">
        <f>(SUMIFS('3. CD - Obra negra'!$O$4:$O$344,'3. CD - Obra negra'!$E$4:$E$344,G275))+(SUMIFS('4. CD - Obra gris'!$O$14:$O$74,'4. CD - Obra gris'!$E$14:$E$74,G275))+(SUMIFS('5, CD -Obra blanca'!$O$4:$O$151,'5, CD -Obra blanca'!$E$4:$E$151,G275))</f>
        <v>10</v>
      </c>
      <c r="R275" s="194">
        <f t="shared" si="39"/>
        <v>260000</v>
      </c>
      <c r="T275" s="4"/>
      <c r="V275"/>
      <c r="W275"/>
      <c r="Y275"/>
      <c r="AB275"/>
    </row>
    <row r="276" spans="2:28" x14ac:dyDescent="0.25">
      <c r="B276" t="s">
        <v>1308</v>
      </c>
      <c r="C276" s="87" t="s">
        <v>126</v>
      </c>
      <c r="D276" s="1" t="s">
        <v>669</v>
      </c>
      <c r="E276" s="88">
        <v>113000</v>
      </c>
      <c r="G276" t="str">
        <f>+B276</f>
        <v>Yee SAN 4 a 6"</v>
      </c>
      <c r="H276" t="s">
        <v>76</v>
      </c>
      <c r="I276" s="1" t="str">
        <f>+C276</f>
        <v>UND</v>
      </c>
      <c r="J276" s="1" t="s">
        <v>1309</v>
      </c>
      <c r="K276" s="1"/>
      <c r="L276"/>
      <c r="M276" s="4">
        <f>+E276</f>
        <v>113000</v>
      </c>
      <c r="N276" s="31"/>
      <c r="O276" s="31"/>
      <c r="P276" t="s">
        <v>821</v>
      </c>
      <c r="Q276" s="190">
        <f>(SUMIFS('3. CD - Obra negra'!$O$4:$O$344,'3. CD - Obra negra'!$E$4:$E$344,G276))+(SUMIFS('4. CD - Obra gris'!$O$14:$O$74,'4. CD - Obra gris'!$E$14:$E$74,G276))+(SUMIFS('5, CD -Obra blanca'!$O$4:$O$151,'5, CD -Obra blanca'!$E$4:$E$151,G276))</f>
        <v>0</v>
      </c>
      <c r="R276" s="194">
        <f>+Q276*M276</f>
        <v>0</v>
      </c>
      <c r="T276" s="4"/>
      <c r="V276"/>
      <c r="W276"/>
      <c r="Y276"/>
      <c r="AB276"/>
    </row>
    <row r="277" spans="2:28" x14ac:dyDescent="0.25">
      <c r="B277" t="s">
        <v>408</v>
      </c>
      <c r="C277" s="87" t="s">
        <v>126</v>
      </c>
      <c r="D277" s="1" t="s">
        <v>669</v>
      </c>
      <c r="E277" s="88">
        <v>9500</v>
      </c>
      <c r="G277" t="str">
        <f t="shared" si="40"/>
        <v>Buje SAN 4 a 2"</v>
      </c>
      <c r="H277" t="s">
        <v>76</v>
      </c>
      <c r="I277" s="1" t="str">
        <f t="shared" si="41"/>
        <v>UND</v>
      </c>
      <c r="J277" s="1" t="s">
        <v>947</v>
      </c>
      <c r="K277" s="1"/>
      <c r="L277"/>
      <c r="M277" s="4">
        <f t="shared" si="42"/>
        <v>9500</v>
      </c>
      <c r="N277" s="31"/>
      <c r="O277" s="31"/>
      <c r="P277" t="s">
        <v>821</v>
      </c>
      <c r="Q277" s="190">
        <f>(SUMIFS('3. CD - Obra negra'!$O$4:$O$344,'3. CD - Obra negra'!$E$4:$E$344,G277))+(SUMIFS('4. CD - Obra gris'!$O$14:$O$74,'4. CD - Obra gris'!$E$14:$E$74,G277))+(SUMIFS('5, CD -Obra blanca'!$O$4:$O$151,'5, CD -Obra blanca'!$E$4:$E$151,G277))</f>
        <v>5</v>
      </c>
      <c r="R277" s="194">
        <f t="shared" si="39"/>
        <v>47500</v>
      </c>
      <c r="T277" s="4"/>
      <c r="V277"/>
      <c r="W277"/>
      <c r="Y277"/>
      <c r="AB277"/>
    </row>
    <row r="278" spans="2:28" x14ac:dyDescent="0.25">
      <c r="B278" t="s">
        <v>1529</v>
      </c>
      <c r="C278" s="87" t="s">
        <v>126</v>
      </c>
      <c r="D278" s="1" t="s">
        <v>669</v>
      </c>
      <c r="E278" s="88">
        <v>47000</v>
      </c>
      <c r="G278" t="str">
        <f>+B278</f>
        <v>Buje SAN 4 a 6"</v>
      </c>
      <c r="H278" t="s">
        <v>76</v>
      </c>
      <c r="I278" s="1" t="str">
        <f>+C278</f>
        <v>UND</v>
      </c>
      <c r="J278" s="1" t="s">
        <v>1532</v>
      </c>
      <c r="K278" s="1"/>
      <c r="L278"/>
      <c r="M278" s="4">
        <f>+E278</f>
        <v>47000</v>
      </c>
      <c r="N278" s="31"/>
      <c r="O278" s="31"/>
      <c r="P278" t="s">
        <v>821</v>
      </c>
      <c r="Q278" s="190">
        <f>(SUMIFS('3. CD - Obra negra'!$O$4:$O$344,'3. CD - Obra negra'!$E$4:$E$344,G278))+(SUMIFS('4. CD - Obra gris'!$O$14:$O$74,'4. CD - Obra gris'!$E$14:$E$74,G278))+(SUMIFS('5, CD -Obra blanca'!$O$4:$O$151,'5, CD -Obra blanca'!$E$4:$E$151,G278))</f>
        <v>0</v>
      </c>
      <c r="R278" s="194">
        <f>+Q278*M278</f>
        <v>0</v>
      </c>
      <c r="T278" s="4"/>
      <c r="V278"/>
      <c r="W278"/>
      <c r="Y278"/>
      <c r="AB278"/>
    </row>
    <row r="279" spans="2:28" x14ac:dyDescent="0.25">
      <c r="B279" t="s">
        <v>1533</v>
      </c>
      <c r="C279" s="87" t="s">
        <v>126</v>
      </c>
      <c r="D279" s="1" t="s">
        <v>669</v>
      </c>
      <c r="E279" s="88">
        <v>135000</v>
      </c>
      <c r="G279" t="str">
        <f>+B279</f>
        <v>Codo SAN 90 6"</v>
      </c>
      <c r="H279" t="s">
        <v>76</v>
      </c>
      <c r="I279" s="1" t="str">
        <f>+C279</f>
        <v>UND</v>
      </c>
      <c r="J279" s="1" t="s">
        <v>1535</v>
      </c>
      <c r="K279" s="1"/>
      <c r="L279"/>
      <c r="M279" s="4">
        <f>+E279</f>
        <v>135000</v>
      </c>
      <c r="N279" s="31"/>
      <c r="O279" s="31"/>
      <c r="P279" t="s">
        <v>821</v>
      </c>
      <c r="Q279" s="190">
        <f>(SUMIFS('3. CD - Obra negra'!$O$4:$O$344,'3. CD - Obra negra'!$E$4:$E$344,G279))+(SUMIFS('4. CD - Obra gris'!$O$14:$O$74,'4. CD - Obra gris'!$E$14:$E$74,G279))+(SUMIFS('5, CD -Obra blanca'!$O$4:$O$151,'5, CD -Obra blanca'!$E$4:$E$151,G279))</f>
        <v>0</v>
      </c>
      <c r="R279" s="194">
        <f>+Q279*M279</f>
        <v>0</v>
      </c>
      <c r="T279" s="4"/>
      <c r="V279"/>
      <c r="W279"/>
      <c r="Y279"/>
      <c r="AB279"/>
    </row>
    <row r="280" spans="2:28" x14ac:dyDescent="0.25">
      <c r="B280" t="s">
        <v>1534</v>
      </c>
      <c r="C280" s="87" t="s">
        <v>126</v>
      </c>
      <c r="D280" s="1" t="s">
        <v>669</v>
      </c>
      <c r="E280" s="88">
        <v>59000</v>
      </c>
      <c r="G280" t="str">
        <f>+B280</f>
        <v>Codo SAN 45 6"</v>
      </c>
      <c r="H280" t="s">
        <v>76</v>
      </c>
      <c r="I280" s="1" t="str">
        <f>+C280</f>
        <v>UND</v>
      </c>
      <c r="J280" s="1" t="s">
        <v>1536</v>
      </c>
      <c r="K280" s="1"/>
      <c r="L280"/>
      <c r="M280" s="4">
        <f>+E280</f>
        <v>59000</v>
      </c>
      <c r="N280" s="31"/>
      <c r="O280" s="31"/>
      <c r="P280" t="s">
        <v>821</v>
      </c>
      <c r="Q280" s="190">
        <f>(SUMIFS('3. CD - Obra negra'!$O$4:$O$344,'3. CD - Obra negra'!$E$4:$E$344,G280))+(SUMIFS('4. CD - Obra gris'!$O$14:$O$74,'4. CD - Obra gris'!$E$14:$E$74,G280))+(SUMIFS('5, CD -Obra blanca'!$O$4:$O$151,'5, CD -Obra blanca'!$E$4:$E$151,G280))</f>
        <v>0</v>
      </c>
      <c r="R280" s="194">
        <f>+Q280*M280</f>
        <v>0</v>
      </c>
      <c r="T280" s="4"/>
      <c r="V280"/>
      <c r="W280"/>
      <c r="Y280"/>
      <c r="AB280"/>
    </row>
    <row r="281" spans="2:28" x14ac:dyDescent="0.25">
      <c r="B281" t="s">
        <v>391</v>
      </c>
      <c r="C281" s="87" t="s">
        <v>126</v>
      </c>
      <c r="D281" s="1" t="s">
        <v>669</v>
      </c>
      <c r="E281" s="88">
        <v>11000</v>
      </c>
      <c r="G281" t="str">
        <f t="shared" si="40"/>
        <v>Codo SAN 90 4"</v>
      </c>
      <c r="H281" t="s">
        <v>76</v>
      </c>
      <c r="I281" s="1" t="str">
        <f t="shared" si="41"/>
        <v>UND</v>
      </c>
      <c r="J281" s="1" t="s">
        <v>948</v>
      </c>
      <c r="K281" s="1"/>
      <c r="L281"/>
      <c r="M281" s="4">
        <f t="shared" si="42"/>
        <v>11000</v>
      </c>
      <c r="N281" s="31"/>
      <c r="O281" s="31"/>
      <c r="P281" t="s">
        <v>821</v>
      </c>
      <c r="Q281" s="190">
        <f>(SUMIFS('3. CD - Obra negra'!$O$4:$O$344,'3. CD - Obra negra'!$E$4:$E$344,G281))+(SUMIFS('4. CD - Obra gris'!$O$14:$O$74,'4. CD - Obra gris'!$E$14:$E$74,G281))+(SUMIFS('5, CD -Obra blanca'!$O$4:$O$151,'5, CD -Obra blanca'!$E$4:$E$151,G281))</f>
        <v>6</v>
      </c>
      <c r="R281" s="194">
        <f t="shared" si="39"/>
        <v>66000</v>
      </c>
      <c r="T281" s="4"/>
      <c r="V281"/>
      <c r="W281"/>
      <c r="Y281"/>
      <c r="AB281"/>
    </row>
    <row r="282" spans="2:28" x14ac:dyDescent="0.25">
      <c r="B282" t="s">
        <v>392</v>
      </c>
      <c r="C282" s="87" t="s">
        <v>126</v>
      </c>
      <c r="D282" s="1" t="s">
        <v>669</v>
      </c>
      <c r="E282" s="88">
        <v>18000</v>
      </c>
      <c r="G282" t="str">
        <f t="shared" si="40"/>
        <v>Codo SAN 45 4"</v>
      </c>
      <c r="H282" t="s">
        <v>76</v>
      </c>
      <c r="I282" s="1" t="str">
        <f t="shared" si="41"/>
        <v>UND</v>
      </c>
      <c r="J282" s="1" t="s">
        <v>949</v>
      </c>
      <c r="K282" s="1"/>
      <c r="L282"/>
      <c r="M282" s="4">
        <f t="shared" si="42"/>
        <v>18000</v>
      </c>
      <c r="N282" s="31"/>
      <c r="O282" s="31"/>
      <c r="P282" t="s">
        <v>821</v>
      </c>
      <c r="Q282" s="190">
        <f>(SUMIFS('3. CD - Obra negra'!$O$4:$O$344,'3. CD - Obra negra'!$E$4:$E$344,G282))+(SUMIFS('4. CD - Obra gris'!$O$14:$O$74,'4. CD - Obra gris'!$E$14:$E$74,G282))+(SUMIFS('5, CD -Obra blanca'!$O$4:$O$151,'5, CD -Obra blanca'!$E$4:$E$151,G282))</f>
        <v>10</v>
      </c>
      <c r="R282" s="194">
        <f t="shared" si="39"/>
        <v>180000</v>
      </c>
      <c r="T282" s="4"/>
      <c r="V282"/>
      <c r="W282"/>
      <c r="Y282"/>
      <c r="AB282"/>
    </row>
    <row r="283" spans="2:28" x14ac:dyDescent="0.25">
      <c r="B283" t="s">
        <v>393</v>
      </c>
      <c r="C283" s="87" t="s">
        <v>126</v>
      </c>
      <c r="D283" s="1" t="s">
        <v>669</v>
      </c>
      <c r="E283" s="88">
        <v>2400</v>
      </c>
      <c r="G283" t="str">
        <f t="shared" si="40"/>
        <v>Codo SAN 90 2"</v>
      </c>
      <c r="H283" t="s">
        <v>76</v>
      </c>
      <c r="I283" s="1" t="str">
        <f t="shared" si="41"/>
        <v>UND</v>
      </c>
      <c r="J283" s="1" t="s">
        <v>950</v>
      </c>
      <c r="K283" s="1"/>
      <c r="L283"/>
      <c r="M283" s="4">
        <f t="shared" si="42"/>
        <v>2400</v>
      </c>
      <c r="N283" s="31"/>
      <c r="O283" s="31"/>
      <c r="P283" t="s">
        <v>821</v>
      </c>
      <c r="Q283" s="190">
        <f>(SUMIFS('3. CD - Obra negra'!$O$4:$O$344,'3. CD - Obra negra'!$E$4:$E$344,G283))+(SUMIFS('4. CD - Obra gris'!$O$14:$O$74,'4. CD - Obra gris'!$E$14:$E$74,G283))+(SUMIFS('5, CD -Obra blanca'!$O$4:$O$151,'5, CD -Obra blanca'!$E$4:$E$151,G283))</f>
        <v>15</v>
      </c>
      <c r="R283" s="194">
        <f t="shared" si="39"/>
        <v>36000</v>
      </c>
      <c r="T283" s="4"/>
      <c r="V283"/>
      <c r="W283"/>
      <c r="Y283"/>
      <c r="AB283"/>
    </row>
    <row r="284" spans="2:28" x14ac:dyDescent="0.25">
      <c r="B284" t="s">
        <v>394</v>
      </c>
      <c r="C284" s="87" t="s">
        <v>126</v>
      </c>
      <c r="D284" s="1" t="s">
        <v>669</v>
      </c>
      <c r="E284" s="88">
        <v>4100</v>
      </c>
      <c r="G284" t="str">
        <f t="shared" si="40"/>
        <v>Codo SAN 45 2"</v>
      </c>
      <c r="H284" t="s">
        <v>76</v>
      </c>
      <c r="I284" s="1" t="str">
        <f t="shared" si="41"/>
        <v>UND</v>
      </c>
      <c r="J284" s="1" t="s">
        <v>951</v>
      </c>
      <c r="K284" s="1"/>
      <c r="L284"/>
      <c r="M284" s="4">
        <f t="shared" si="42"/>
        <v>4100</v>
      </c>
      <c r="N284" s="31"/>
      <c r="O284" s="31"/>
      <c r="P284" t="s">
        <v>821</v>
      </c>
      <c r="Q284" s="190">
        <f>(SUMIFS('3. CD - Obra negra'!$O$4:$O$344,'3. CD - Obra negra'!$E$4:$E$344,G284))+(SUMIFS('4. CD - Obra gris'!$O$14:$O$74,'4. CD - Obra gris'!$E$14:$E$74,G284))+(SUMIFS('5, CD -Obra blanca'!$O$4:$O$151,'5, CD -Obra blanca'!$E$4:$E$151,G284))</f>
        <v>25</v>
      </c>
      <c r="R284" s="194">
        <f t="shared" si="39"/>
        <v>102500</v>
      </c>
      <c r="T284" s="4"/>
      <c r="V284"/>
      <c r="W284"/>
      <c r="Y284"/>
      <c r="AB284"/>
    </row>
    <row r="285" spans="2:28" x14ac:dyDescent="0.25">
      <c r="B285" t="s">
        <v>395</v>
      </c>
      <c r="C285" s="87" t="s">
        <v>126</v>
      </c>
      <c r="D285" s="1" t="s">
        <v>669</v>
      </c>
      <c r="E285" s="88">
        <v>1800</v>
      </c>
      <c r="G285" t="str">
        <f t="shared" si="40"/>
        <v>Unión SAN 2"</v>
      </c>
      <c r="H285" t="s">
        <v>76</v>
      </c>
      <c r="I285" s="1" t="str">
        <f t="shared" si="41"/>
        <v>UND</v>
      </c>
      <c r="J285" s="1" t="s">
        <v>952</v>
      </c>
      <c r="K285" s="1"/>
      <c r="L285"/>
      <c r="M285" s="4">
        <f t="shared" si="42"/>
        <v>1800</v>
      </c>
      <c r="N285" s="31"/>
      <c r="O285" s="31"/>
      <c r="P285" t="s">
        <v>821</v>
      </c>
      <c r="Q285" s="190">
        <f>(SUMIFS('3. CD - Obra negra'!$O$4:$O$344,'3. CD - Obra negra'!$E$4:$E$344,G285))+(SUMIFS('4. CD - Obra gris'!$O$14:$O$74,'4. CD - Obra gris'!$E$14:$E$74,G285))+(SUMIFS('5, CD -Obra blanca'!$O$4:$O$151,'5, CD -Obra blanca'!$E$4:$E$151,G285))</f>
        <v>5.0609999999999991</v>
      </c>
      <c r="R285" s="194">
        <f t="shared" si="39"/>
        <v>9109.7999999999975</v>
      </c>
      <c r="T285" s="4"/>
      <c r="V285"/>
      <c r="W285"/>
      <c r="Y285"/>
      <c r="AB285"/>
    </row>
    <row r="286" spans="2:28" x14ac:dyDescent="0.25">
      <c r="B286" t="s">
        <v>396</v>
      </c>
      <c r="C286" s="87" t="s">
        <v>126</v>
      </c>
      <c r="D286" s="1" t="s">
        <v>669</v>
      </c>
      <c r="E286" s="88">
        <v>4800</v>
      </c>
      <c r="G286" t="str">
        <f t="shared" si="40"/>
        <v>Unión SAN 4"</v>
      </c>
      <c r="H286" t="s">
        <v>76</v>
      </c>
      <c r="I286" s="1" t="str">
        <f t="shared" si="41"/>
        <v>UND</v>
      </c>
      <c r="J286" s="1" t="s">
        <v>953</v>
      </c>
      <c r="K286" s="1"/>
      <c r="L286"/>
      <c r="M286" s="4">
        <f t="shared" si="42"/>
        <v>4800</v>
      </c>
      <c r="N286" s="31"/>
      <c r="O286" s="31"/>
      <c r="P286" t="s">
        <v>821</v>
      </c>
      <c r="Q286" s="190">
        <f>(SUMIFS('3. CD - Obra negra'!$O$4:$O$344,'3. CD - Obra negra'!$E$4:$E$344,G286))+(SUMIFS('4. CD - Obra gris'!$O$14:$O$74,'4. CD - Obra gris'!$E$14:$E$74,G286))+(SUMIFS('5, CD -Obra blanca'!$O$4:$O$151,'5, CD -Obra blanca'!$E$4:$E$151,G286))</f>
        <v>1.5645000000000004</v>
      </c>
      <c r="R286" s="194">
        <f t="shared" si="39"/>
        <v>7509.6000000000022</v>
      </c>
      <c r="T286" s="4"/>
      <c r="V286"/>
      <c r="W286"/>
      <c r="Y286"/>
      <c r="AB286"/>
    </row>
    <row r="287" spans="2:28" x14ac:dyDescent="0.25">
      <c r="B287" t="s">
        <v>397</v>
      </c>
      <c r="C287" s="87" t="s">
        <v>126</v>
      </c>
      <c r="D287" s="1" t="s">
        <v>669</v>
      </c>
      <c r="E287" s="88">
        <v>7400</v>
      </c>
      <c r="G287" t="str">
        <f t="shared" si="40"/>
        <v>Sifón SAN 180 2"</v>
      </c>
      <c r="H287" t="s">
        <v>76</v>
      </c>
      <c r="I287" s="1" t="str">
        <f t="shared" si="41"/>
        <v>UND</v>
      </c>
      <c r="J287" s="1" t="s">
        <v>954</v>
      </c>
      <c r="K287" s="1"/>
      <c r="L287"/>
      <c r="M287" s="4">
        <f t="shared" si="42"/>
        <v>7400</v>
      </c>
      <c r="N287" s="31"/>
      <c r="O287" s="31"/>
      <c r="P287" t="s">
        <v>821</v>
      </c>
      <c r="Q287" s="190">
        <f>(SUMIFS('3. CD - Obra negra'!$O$4:$O$344,'3. CD - Obra negra'!$E$4:$E$344,G287))+(SUMIFS('4. CD - Obra gris'!$O$14:$O$74,'4. CD - Obra gris'!$E$14:$E$74,G287))+(SUMIFS('5, CD -Obra blanca'!$O$4:$O$151,'5, CD -Obra blanca'!$E$4:$E$151,G287))</f>
        <v>6</v>
      </c>
      <c r="R287" s="194">
        <f t="shared" si="39"/>
        <v>44400</v>
      </c>
      <c r="T287" s="4"/>
      <c r="V287"/>
      <c r="W287"/>
      <c r="Y287"/>
      <c r="AB287"/>
    </row>
    <row r="288" spans="2:28" x14ac:dyDescent="0.25">
      <c r="B288" t="s">
        <v>398</v>
      </c>
      <c r="C288" s="87" t="s">
        <v>126</v>
      </c>
      <c r="D288" s="1" t="s">
        <v>669</v>
      </c>
      <c r="E288" s="88">
        <v>21000</v>
      </c>
      <c r="G288" t="str">
        <f t="shared" si="40"/>
        <v>Rejilla anticucaracha cuadrada 3x2"</v>
      </c>
      <c r="H288" t="s">
        <v>76</v>
      </c>
      <c r="I288" s="1" t="str">
        <f t="shared" si="41"/>
        <v>UND</v>
      </c>
      <c r="J288" s="1" t="s">
        <v>955</v>
      </c>
      <c r="K288" s="1"/>
      <c r="L288"/>
      <c r="M288" s="4">
        <f t="shared" si="42"/>
        <v>21000</v>
      </c>
      <c r="N288" s="31"/>
      <c r="O288" s="31"/>
      <c r="P288" t="s">
        <v>821</v>
      </c>
      <c r="Q288" s="190">
        <f>(SUMIFS('3. CD - Obra negra'!$O$4:$O$344,'3. CD - Obra negra'!$E$4:$E$344,G288))+(SUMIFS('4. CD - Obra gris'!$O$14:$O$74,'4. CD - Obra gris'!$E$14:$E$74,G288))+(SUMIFS('5, CD -Obra blanca'!$O$4:$O$151,'5, CD -Obra blanca'!$E$4:$E$151,G288))</f>
        <v>3</v>
      </c>
      <c r="R288" s="194">
        <f t="shared" si="39"/>
        <v>63000</v>
      </c>
      <c r="T288" s="4"/>
      <c r="V288"/>
      <c r="W288"/>
      <c r="Y288"/>
      <c r="AB288"/>
    </row>
    <row r="289" spans="2:28" x14ac:dyDescent="0.25">
      <c r="B289" t="s">
        <v>493</v>
      </c>
      <c r="C289" s="87" t="s">
        <v>126</v>
      </c>
      <c r="D289" s="1" t="s">
        <v>669</v>
      </c>
      <c r="E289" s="88">
        <v>170000</v>
      </c>
      <c r="G289" t="str">
        <f t="shared" si="40"/>
        <v>Sifón oculto</v>
      </c>
      <c r="H289" t="s">
        <v>76</v>
      </c>
      <c r="I289" s="1" t="str">
        <f t="shared" si="41"/>
        <v>UND</v>
      </c>
      <c r="J289" s="1" t="s">
        <v>956</v>
      </c>
      <c r="K289" s="1"/>
      <c r="L289"/>
      <c r="M289" s="4">
        <f t="shared" si="42"/>
        <v>170000</v>
      </c>
      <c r="N289" s="31"/>
      <c r="O289" s="31"/>
      <c r="P289" t="s">
        <v>821</v>
      </c>
      <c r="Q289" s="190">
        <f>(SUMIFS('3. CD - Obra negra'!$O$4:$O$344,'3. CD - Obra negra'!$E$4:$E$344,G289))+(SUMIFS('4. CD - Obra gris'!$O$14:$O$74,'4. CD - Obra gris'!$E$14:$E$74,G289))+(SUMIFS('5, CD -Obra blanca'!$O$4:$O$151,'5, CD -Obra blanca'!$E$4:$E$151,G289))</f>
        <v>0</v>
      </c>
      <c r="R289" s="194">
        <f t="shared" si="39"/>
        <v>0</v>
      </c>
      <c r="T289" s="4"/>
      <c r="V289"/>
      <c r="W289"/>
      <c r="Y289"/>
      <c r="AB289"/>
    </row>
    <row r="290" spans="2:28" x14ac:dyDescent="0.25">
      <c r="B290" t="s">
        <v>399</v>
      </c>
      <c r="C290" s="87" t="s">
        <v>126</v>
      </c>
      <c r="D290" s="1" t="s">
        <v>669</v>
      </c>
      <c r="E290" s="88">
        <v>470000</v>
      </c>
      <c r="G290" t="str">
        <f t="shared" si="40"/>
        <v>Trampa de grasas Colempaques 95 lts</v>
      </c>
      <c r="H290" t="s">
        <v>76</v>
      </c>
      <c r="I290" s="1" t="str">
        <f t="shared" si="41"/>
        <v>UND</v>
      </c>
      <c r="J290" s="1" t="s">
        <v>957</v>
      </c>
      <c r="K290" s="1"/>
      <c r="L290"/>
      <c r="M290" s="4">
        <f t="shared" si="42"/>
        <v>470000</v>
      </c>
      <c r="N290" s="31"/>
      <c r="O290" s="31"/>
      <c r="P290" t="s">
        <v>821</v>
      </c>
      <c r="Q290" s="190">
        <f>(SUMIFS('3. CD - Obra negra'!$O$4:$O$344,'3. CD - Obra negra'!$E$4:$E$344,G290))+(SUMIFS('4. CD - Obra gris'!$O$14:$O$74,'4. CD - Obra gris'!$E$14:$E$74,G290))+(SUMIFS('5, CD -Obra blanca'!$O$4:$O$151,'5, CD -Obra blanca'!$E$4:$E$151,G290))</f>
        <v>1</v>
      </c>
      <c r="R290" s="194">
        <f t="shared" si="39"/>
        <v>470000</v>
      </c>
      <c r="T290" s="4"/>
      <c r="V290"/>
      <c r="W290"/>
      <c r="Y290"/>
      <c r="AB290"/>
    </row>
    <row r="291" spans="2:28" x14ac:dyDescent="0.25">
      <c r="B291" t="s">
        <v>125</v>
      </c>
      <c r="C291" s="87" t="s">
        <v>126</v>
      </c>
      <c r="D291" s="1" t="s">
        <v>671</v>
      </c>
      <c r="E291" s="88">
        <v>7000</v>
      </c>
      <c r="G291" t="str">
        <f t="shared" si="40"/>
        <v>Soldadura PVC 1/128gl</v>
      </c>
      <c r="H291" t="s">
        <v>76</v>
      </c>
      <c r="I291" s="1" t="str">
        <f t="shared" si="41"/>
        <v>UND</v>
      </c>
      <c r="J291" s="1" t="s">
        <v>920</v>
      </c>
      <c r="K291" s="1"/>
      <c r="L291"/>
      <c r="M291" s="4">
        <f t="shared" si="42"/>
        <v>7000</v>
      </c>
      <c r="N291" s="31"/>
      <c r="O291" s="31"/>
      <c r="P291" t="s">
        <v>821</v>
      </c>
      <c r="Q291" s="190">
        <f>(SUMIFS('3. CD - Obra negra'!$O$4:$O$344,'3. CD - Obra negra'!$E$4:$E$344,G291))+(SUMIFS('4. CD - Obra gris'!$O$14:$O$74,'4. CD - Obra gris'!$E$14:$E$74,G291))+(SUMIFS('5, CD -Obra blanca'!$O$4:$O$151,'5, CD -Obra blanca'!$E$4:$E$151,G291))</f>
        <v>0</v>
      </c>
      <c r="R291" s="194">
        <f t="shared" si="39"/>
        <v>0</v>
      </c>
      <c r="T291" s="4"/>
      <c r="V291"/>
      <c r="W291"/>
      <c r="Y291"/>
      <c r="AB291"/>
    </row>
    <row r="292" spans="2:28" x14ac:dyDescent="0.25">
      <c r="B292" t="s">
        <v>130</v>
      </c>
      <c r="C292" s="87" t="s">
        <v>126</v>
      </c>
      <c r="D292" s="1" t="s">
        <v>671</v>
      </c>
      <c r="E292" s="88">
        <v>13000</v>
      </c>
      <c r="G292" t="str">
        <f t="shared" si="40"/>
        <v>Soldadura PVC 1/64gl</v>
      </c>
      <c r="H292" t="s">
        <v>76</v>
      </c>
      <c r="I292" s="1" t="str">
        <f t="shared" si="41"/>
        <v>UND</v>
      </c>
      <c r="J292" s="1" t="s">
        <v>921</v>
      </c>
      <c r="K292" s="1"/>
      <c r="L292"/>
      <c r="M292" s="4">
        <f t="shared" si="42"/>
        <v>13000</v>
      </c>
      <c r="N292" s="31"/>
      <c r="O292" s="31"/>
      <c r="P292" t="s">
        <v>821</v>
      </c>
      <c r="Q292" s="190">
        <f>(SUMIFS('3. CD - Obra negra'!$O$4:$O$344,'3. CD - Obra negra'!$E$4:$E$344,G292))+(SUMIFS('4. CD - Obra gris'!$O$14:$O$74,'4. CD - Obra gris'!$E$14:$E$74,G292))+(SUMIFS('5, CD -Obra blanca'!$O$4:$O$151,'5, CD -Obra blanca'!$E$4:$E$151,G292))</f>
        <v>2</v>
      </c>
      <c r="R292" s="194">
        <f t="shared" si="39"/>
        <v>26000</v>
      </c>
      <c r="T292" s="4"/>
      <c r="V292"/>
      <c r="W292"/>
      <c r="Y292"/>
      <c r="AB292"/>
    </row>
    <row r="293" spans="2:28" x14ac:dyDescent="0.25">
      <c r="B293" t="s">
        <v>134</v>
      </c>
      <c r="C293" s="87" t="s">
        <v>126</v>
      </c>
      <c r="D293" s="1" t="s">
        <v>671</v>
      </c>
      <c r="E293" s="88">
        <v>23000</v>
      </c>
      <c r="G293" t="str">
        <f t="shared" si="40"/>
        <v>Soldadura PVC 1/32gl</v>
      </c>
      <c r="H293" t="s">
        <v>76</v>
      </c>
      <c r="I293" s="1" t="str">
        <f t="shared" si="41"/>
        <v>UND</v>
      </c>
      <c r="J293" s="1" t="s">
        <v>922</v>
      </c>
      <c r="K293" s="1"/>
      <c r="L293"/>
      <c r="M293" s="4">
        <f t="shared" si="42"/>
        <v>23000</v>
      </c>
      <c r="N293" s="31"/>
      <c r="O293" s="31"/>
      <c r="P293" t="s">
        <v>821</v>
      </c>
      <c r="Q293" s="190">
        <f>(SUMIFS('3. CD - Obra negra'!$O$4:$O$344,'3. CD - Obra negra'!$E$4:$E$344,G293))+(SUMIFS('4. CD - Obra gris'!$O$14:$O$74,'4. CD - Obra gris'!$E$14:$E$74,G293))+(SUMIFS('5, CD -Obra blanca'!$O$4:$O$151,'5, CD -Obra blanca'!$E$4:$E$151,G293))</f>
        <v>0</v>
      </c>
      <c r="R293" s="194">
        <f t="shared" si="39"/>
        <v>0</v>
      </c>
      <c r="T293" s="4"/>
      <c r="V293"/>
      <c r="W293"/>
      <c r="Y293"/>
      <c r="AB293"/>
    </row>
    <row r="294" spans="2:28" x14ac:dyDescent="0.25">
      <c r="B294" t="s">
        <v>138</v>
      </c>
      <c r="C294" s="87" t="s">
        <v>126</v>
      </c>
      <c r="D294" s="1" t="s">
        <v>671</v>
      </c>
      <c r="E294" s="88">
        <v>38000</v>
      </c>
      <c r="G294" t="str">
        <f t="shared" si="40"/>
        <v>Soldadura PVC 1/16gl</v>
      </c>
      <c r="H294" t="s">
        <v>76</v>
      </c>
      <c r="I294" s="1" t="str">
        <f t="shared" si="41"/>
        <v>UND</v>
      </c>
      <c r="J294" s="1" t="s">
        <v>923</v>
      </c>
      <c r="K294" s="1"/>
      <c r="L294"/>
      <c r="M294" s="4">
        <f t="shared" si="42"/>
        <v>38000</v>
      </c>
      <c r="N294" s="31"/>
      <c r="O294" s="31"/>
      <c r="P294" t="s">
        <v>821</v>
      </c>
      <c r="Q294" s="190">
        <f>(SUMIFS('3. CD - Obra negra'!$O$4:$O$344,'3. CD - Obra negra'!$E$4:$E$344,G294))+(SUMIFS('4. CD - Obra gris'!$O$14:$O$74,'4. CD - Obra gris'!$E$14:$E$74,G294))+(SUMIFS('5, CD -Obra blanca'!$O$4:$O$151,'5, CD -Obra blanca'!$E$4:$E$151,G294))</f>
        <v>2</v>
      </c>
      <c r="R294" s="194">
        <f t="shared" si="39"/>
        <v>76000</v>
      </c>
      <c r="T294" s="4"/>
      <c r="V294"/>
      <c r="W294"/>
      <c r="Y294"/>
      <c r="AB294"/>
    </row>
    <row r="295" spans="2:28" x14ac:dyDescent="0.25">
      <c r="B295" t="s">
        <v>142</v>
      </c>
      <c r="C295" s="87" t="s">
        <v>126</v>
      </c>
      <c r="D295" s="1" t="s">
        <v>671</v>
      </c>
      <c r="E295" s="88">
        <v>50000</v>
      </c>
      <c r="G295" t="str">
        <f t="shared" si="40"/>
        <v>Soldadura PVC 1/8gl</v>
      </c>
      <c r="H295" t="s">
        <v>76</v>
      </c>
      <c r="I295" s="1" t="str">
        <f t="shared" si="41"/>
        <v>UND</v>
      </c>
      <c r="J295" s="1" t="s">
        <v>925</v>
      </c>
      <c r="K295" s="1"/>
      <c r="L295"/>
      <c r="M295" s="4">
        <f t="shared" si="42"/>
        <v>50000</v>
      </c>
      <c r="N295" s="31"/>
      <c r="O295" s="31"/>
      <c r="P295" t="s">
        <v>821</v>
      </c>
      <c r="Q295" s="190">
        <f>(SUMIFS('3. CD - Obra negra'!$O$4:$O$344,'3. CD - Obra negra'!$E$4:$E$344,G295))+(SUMIFS('4. CD - Obra gris'!$O$14:$O$74,'4. CD - Obra gris'!$E$14:$E$74,G295))+(SUMIFS('5, CD -Obra blanca'!$O$4:$O$151,'5, CD -Obra blanca'!$E$4:$E$151,G295))</f>
        <v>0</v>
      </c>
      <c r="R295" s="194">
        <f t="shared" si="39"/>
        <v>0</v>
      </c>
      <c r="T295" s="4"/>
      <c r="V295"/>
      <c r="W295"/>
      <c r="Y295"/>
      <c r="AB295"/>
    </row>
    <row r="296" spans="2:28" x14ac:dyDescent="0.25">
      <c r="B296" t="s">
        <v>146</v>
      </c>
      <c r="C296" s="87" t="s">
        <v>126</v>
      </c>
      <c r="D296" s="1" t="s">
        <v>671</v>
      </c>
      <c r="E296" s="88">
        <v>65000</v>
      </c>
      <c r="G296" t="str">
        <f t="shared" si="40"/>
        <v>Soldadura PVC 1/4gl</v>
      </c>
      <c r="H296" t="s">
        <v>76</v>
      </c>
      <c r="I296" s="1" t="str">
        <f t="shared" si="41"/>
        <v>UND</v>
      </c>
      <c r="J296" s="1" t="s">
        <v>924</v>
      </c>
      <c r="K296" s="1"/>
      <c r="L296"/>
      <c r="M296" s="4">
        <f t="shared" si="42"/>
        <v>65000</v>
      </c>
      <c r="N296" s="31"/>
      <c r="O296" s="31"/>
      <c r="P296" t="s">
        <v>821</v>
      </c>
      <c r="Q296" s="190">
        <f>(SUMIFS('3. CD - Obra negra'!$O$4:$O$344,'3. CD - Obra negra'!$E$4:$E$344,G296))+(SUMIFS('4. CD - Obra gris'!$O$14:$O$74,'4. CD - Obra gris'!$E$14:$E$74,G296))+(SUMIFS('5, CD -Obra blanca'!$O$4:$O$151,'5, CD -Obra blanca'!$E$4:$E$151,G296))</f>
        <v>0</v>
      </c>
      <c r="R296" s="194">
        <f t="shared" si="39"/>
        <v>0</v>
      </c>
      <c r="T296" s="4"/>
      <c r="V296"/>
      <c r="W296"/>
      <c r="Y296"/>
      <c r="AB296"/>
    </row>
    <row r="297" spans="2:28" x14ac:dyDescent="0.25">
      <c r="B297" t="s">
        <v>1281</v>
      </c>
      <c r="C297" s="87" t="s">
        <v>126</v>
      </c>
      <c r="D297" s="1" t="s">
        <v>337</v>
      </c>
      <c r="E297" s="250">
        <v>400000</v>
      </c>
      <c r="G297" t="str">
        <f t="shared" si="40"/>
        <v>Skimmer piscina</v>
      </c>
      <c r="H297" t="s">
        <v>76</v>
      </c>
      <c r="I297" s="1" t="str">
        <f t="shared" si="41"/>
        <v>UND</v>
      </c>
      <c r="J297" s="1" t="s">
        <v>933</v>
      </c>
      <c r="K297" s="1"/>
      <c r="L297"/>
      <c r="M297" s="4">
        <f t="shared" si="42"/>
        <v>400000</v>
      </c>
      <c r="N297" s="31"/>
      <c r="O297" s="31"/>
      <c r="P297" t="s">
        <v>821</v>
      </c>
      <c r="Q297" s="190">
        <f>(SUMIFS('3. CD - Obra negra'!$O$4:$O$344,'3. CD - Obra negra'!$E$4:$E$344,G297))+(SUMIFS('4. CD - Obra gris'!$O$14:$O$74,'4. CD - Obra gris'!$E$14:$E$74,G297))+(SUMIFS('5, CD -Obra blanca'!$O$4:$O$151,'5, CD -Obra blanca'!$E$4:$E$151,G297))</f>
        <v>0</v>
      </c>
      <c r="R297" s="194">
        <f t="shared" si="39"/>
        <v>0</v>
      </c>
      <c r="T297" s="4"/>
      <c r="V297"/>
      <c r="W297"/>
      <c r="Y297"/>
      <c r="AB297"/>
    </row>
    <row r="298" spans="2:28" x14ac:dyDescent="0.25">
      <c r="B298" t="s">
        <v>1280</v>
      </c>
      <c r="C298" s="87" t="s">
        <v>126</v>
      </c>
      <c r="D298" s="1" t="s">
        <v>337</v>
      </c>
      <c r="E298" s="250">
        <v>10000</v>
      </c>
      <c r="G298" t="str">
        <f t="shared" si="40"/>
        <v>Boquilla de succión piscina</v>
      </c>
      <c r="H298" t="s">
        <v>76</v>
      </c>
      <c r="I298" s="1" t="str">
        <f t="shared" si="41"/>
        <v>UND</v>
      </c>
      <c r="J298" s="1" t="s">
        <v>933</v>
      </c>
      <c r="K298" s="1"/>
      <c r="L298"/>
      <c r="M298" s="4">
        <f t="shared" si="42"/>
        <v>10000</v>
      </c>
      <c r="N298" s="31"/>
      <c r="O298" s="31"/>
      <c r="P298" t="s">
        <v>821</v>
      </c>
      <c r="Q298" s="190">
        <f>(SUMIFS('3. CD - Obra negra'!$O$4:$O$344,'3. CD - Obra negra'!$E$4:$E$344,G298))+(SUMIFS('4. CD - Obra gris'!$O$14:$O$74,'4. CD - Obra gris'!$E$14:$E$74,G298))+(SUMIFS('5, CD -Obra blanca'!$O$4:$O$151,'5, CD -Obra blanca'!$E$4:$E$151,G298))</f>
        <v>0</v>
      </c>
      <c r="R298" s="194">
        <f t="shared" si="39"/>
        <v>0</v>
      </c>
      <c r="T298" s="4"/>
      <c r="V298"/>
      <c r="W298"/>
      <c r="Y298"/>
      <c r="AB298"/>
    </row>
    <row r="299" spans="2:28" x14ac:dyDescent="0.25">
      <c r="D299" s="1"/>
      <c r="I299" s="1"/>
      <c r="L299"/>
      <c r="M299" s="4"/>
      <c r="N299" s="31"/>
      <c r="O299" s="31"/>
      <c r="R299"/>
      <c r="T299" s="4"/>
      <c r="V299"/>
      <c r="W299"/>
      <c r="Y299"/>
      <c r="AB299"/>
    </row>
    <row r="300" spans="2:28" x14ac:dyDescent="0.25">
      <c r="B300" s="299" t="s">
        <v>672</v>
      </c>
      <c r="C300" s="299"/>
      <c r="D300" s="299"/>
      <c r="E300" s="299"/>
      <c r="G300" s="299" t="s">
        <v>672</v>
      </c>
      <c r="H300" s="299"/>
      <c r="I300" s="299"/>
      <c r="J300" s="299"/>
      <c r="K300" s="299"/>
      <c r="L300" s="299"/>
      <c r="M300" s="299"/>
      <c r="N300" s="299"/>
      <c r="O300" s="299"/>
      <c r="P300" s="299"/>
      <c r="Q300" s="299"/>
      <c r="R300" s="299"/>
      <c r="S300" s="299"/>
      <c r="T300" s="4"/>
      <c r="V300"/>
      <c r="W300"/>
      <c r="Y300"/>
      <c r="AB300"/>
    </row>
    <row r="301" spans="2:28" x14ac:dyDescent="0.25">
      <c r="B301" t="s">
        <v>246</v>
      </c>
      <c r="C301" t="s">
        <v>248</v>
      </c>
      <c r="D301" s="1" t="s">
        <v>261</v>
      </c>
      <c r="E301" s="4" t="s">
        <v>249</v>
      </c>
      <c r="G301" s="191" t="s">
        <v>798</v>
      </c>
      <c r="H301" s="191" t="s">
        <v>799</v>
      </c>
      <c r="I301" s="191" t="s">
        <v>800</v>
      </c>
      <c r="J301" s="191" t="s">
        <v>815</v>
      </c>
      <c r="K301" s="191"/>
      <c r="L301" s="191" t="s">
        <v>816</v>
      </c>
      <c r="M301" s="192" t="s">
        <v>817</v>
      </c>
      <c r="N301" s="192" t="s">
        <v>818</v>
      </c>
      <c r="O301" s="192" t="s">
        <v>819</v>
      </c>
      <c r="P301" s="191" t="s">
        <v>820</v>
      </c>
      <c r="Q301" s="193" t="s">
        <v>847</v>
      </c>
      <c r="R301" s="191" t="s">
        <v>85</v>
      </c>
      <c r="S301" s="195">
        <f>+SUM(R302:R342)</f>
        <v>9370100</v>
      </c>
      <c r="T301" s="4"/>
      <c r="V301"/>
      <c r="W301"/>
      <c r="Y301"/>
      <c r="AB301"/>
    </row>
    <row r="302" spans="2:28" x14ac:dyDescent="0.25">
      <c r="B302" t="s">
        <v>425</v>
      </c>
      <c r="C302" s="87" t="s">
        <v>335</v>
      </c>
      <c r="D302" s="1" t="s">
        <v>673</v>
      </c>
      <c r="E302" s="280">
        <v>1400</v>
      </c>
      <c r="G302" t="str">
        <f t="shared" ref="G302:G308" si="43">+B302</f>
        <v>Tubo conduit 1/2"</v>
      </c>
      <c r="H302" t="s">
        <v>76</v>
      </c>
      <c r="I302" s="1" t="str">
        <f t="shared" ref="I302:I308" si="44">+C302</f>
        <v>ML</v>
      </c>
      <c r="J302" s="1" t="s">
        <v>959</v>
      </c>
      <c r="K302" s="1"/>
      <c r="L302"/>
      <c r="M302" s="4">
        <f t="shared" ref="M302:M308" si="45">+E302</f>
        <v>1400</v>
      </c>
      <c r="N302" s="31"/>
      <c r="O302" s="31"/>
      <c r="P302" t="s">
        <v>821</v>
      </c>
      <c r="Q302" s="190">
        <f>(SUMIFS('3. CD - Obra negra'!$O$4:$O$344,'3. CD - Obra negra'!$E$4:$E$344,G302))+(SUMIFS('4. CD - Obra gris'!$O$14:$O$74,'4. CD - Obra gris'!$E$14:$E$74,G302))+(SUMIFS('5, CD -Obra blanca'!$O$4:$O$151,'5, CD -Obra blanca'!$E$4:$E$151,G302))</f>
        <v>350</v>
      </c>
      <c r="R302" s="194">
        <f t="shared" ref="R302:R308" si="46">+Q302*M302</f>
        <v>490000</v>
      </c>
      <c r="T302" s="4"/>
      <c r="V302"/>
      <c r="W302"/>
      <c r="Y302"/>
      <c r="AB302"/>
    </row>
    <row r="303" spans="2:28" x14ac:dyDescent="0.25">
      <c r="B303" t="s">
        <v>1375</v>
      </c>
      <c r="C303" s="87" t="s">
        <v>335</v>
      </c>
      <c r="D303" s="1" t="s">
        <v>673</v>
      </c>
      <c r="E303" s="280">
        <v>2400</v>
      </c>
      <c r="G303" t="str">
        <f t="shared" si="43"/>
        <v>Conduflex 1/2"</v>
      </c>
      <c r="H303" t="s">
        <v>76</v>
      </c>
      <c r="I303" s="1" t="str">
        <f t="shared" si="44"/>
        <v>ML</v>
      </c>
      <c r="J303" s="1" t="s">
        <v>1376</v>
      </c>
      <c r="K303" s="1"/>
      <c r="L303"/>
      <c r="M303" s="4">
        <f t="shared" si="45"/>
        <v>2400</v>
      </c>
      <c r="N303" s="31"/>
      <c r="O303" s="31"/>
      <c r="P303" t="s">
        <v>821</v>
      </c>
      <c r="Q303" s="190">
        <f>(SUMIFS('3. CD - Obra negra'!$O$4:$O$344,'3. CD - Obra negra'!$E$4:$E$344,G303))+(SUMIFS('4. CD - Obra gris'!$O$14:$O$74,'4. CD - Obra gris'!$E$14:$E$74,G303))+(SUMIFS('5, CD -Obra blanca'!$O$4:$O$151,'5, CD -Obra blanca'!$E$4:$E$151,G303))</f>
        <v>0</v>
      </c>
      <c r="R303" s="194">
        <f t="shared" si="46"/>
        <v>0</v>
      </c>
      <c r="T303" s="4"/>
      <c r="V303"/>
      <c r="W303"/>
      <c r="Y303"/>
      <c r="AB303"/>
    </row>
    <row r="304" spans="2:28" x14ac:dyDescent="0.25">
      <c r="B304" t="s">
        <v>426</v>
      </c>
      <c r="C304" s="87" t="s">
        <v>126</v>
      </c>
      <c r="D304" s="1" t="s">
        <v>673</v>
      </c>
      <c r="E304" s="280">
        <v>2300</v>
      </c>
      <c r="G304" t="str">
        <f t="shared" si="43"/>
        <v>Cable #12</v>
      </c>
      <c r="H304" t="s">
        <v>76</v>
      </c>
      <c r="I304" s="1" t="str">
        <f t="shared" si="44"/>
        <v>UND</v>
      </c>
      <c r="J304" s="1" t="s">
        <v>960</v>
      </c>
      <c r="K304" s="1"/>
      <c r="L304"/>
      <c r="M304" s="4">
        <f t="shared" si="45"/>
        <v>2300</v>
      </c>
      <c r="N304" s="31"/>
      <c r="O304" s="31"/>
      <c r="P304" t="s">
        <v>821</v>
      </c>
      <c r="Q304" s="190">
        <f>(SUMIFS('3. CD - Obra negra'!$O$4:$O$344,'3. CD - Obra negra'!$E$4:$E$344,G304))+(SUMIFS('4. CD - Obra gris'!$O$14:$O$74,'4. CD - Obra gris'!$E$14:$E$74,G304))+(SUMIFS('5, CD -Obra blanca'!$O$4:$O$151,'5, CD -Obra blanca'!$E$4:$E$151,G304))</f>
        <v>1050</v>
      </c>
      <c r="R304" s="194">
        <f t="shared" si="46"/>
        <v>2415000</v>
      </c>
      <c r="T304" s="4"/>
      <c r="V304"/>
      <c r="W304"/>
      <c r="Y304"/>
      <c r="AB304"/>
    </row>
    <row r="305" spans="2:28" x14ac:dyDescent="0.25">
      <c r="B305" t="s">
        <v>448</v>
      </c>
      <c r="C305" s="87" t="s">
        <v>335</v>
      </c>
      <c r="D305" s="1" t="s">
        <v>673</v>
      </c>
      <c r="E305" s="280">
        <v>1800</v>
      </c>
      <c r="G305" t="str">
        <f t="shared" si="43"/>
        <v>Tubo conduit 3/4"</v>
      </c>
      <c r="H305" t="s">
        <v>76</v>
      </c>
      <c r="I305" s="1" t="str">
        <f t="shared" si="44"/>
        <v>ML</v>
      </c>
      <c r="J305" s="1" t="s">
        <v>961</v>
      </c>
      <c r="K305" s="1"/>
      <c r="L305"/>
      <c r="M305" s="4">
        <f t="shared" si="45"/>
        <v>1800</v>
      </c>
      <c r="N305" s="31"/>
      <c r="O305" s="31"/>
      <c r="P305" t="s">
        <v>821</v>
      </c>
      <c r="Q305" s="190">
        <f>(SUMIFS('3. CD - Obra negra'!$O$4:$O$344,'3. CD - Obra negra'!$E$4:$E$344,G305))+(SUMIFS('4. CD - Obra gris'!$O$14:$O$74,'4. CD - Obra gris'!$E$14:$E$74,G305))+(SUMIFS('5, CD -Obra blanca'!$O$4:$O$151,'5, CD -Obra blanca'!$E$4:$E$151,G305))</f>
        <v>150</v>
      </c>
      <c r="R305" s="194">
        <f t="shared" si="46"/>
        <v>270000</v>
      </c>
      <c r="T305" s="4"/>
      <c r="V305"/>
      <c r="W305"/>
      <c r="Y305"/>
      <c r="AB305"/>
    </row>
    <row r="306" spans="2:28" x14ac:dyDescent="0.25">
      <c r="B306" t="s">
        <v>1377</v>
      </c>
      <c r="C306" s="87" t="s">
        <v>335</v>
      </c>
      <c r="D306" s="1" t="s">
        <v>673</v>
      </c>
      <c r="E306" s="280">
        <v>3100</v>
      </c>
      <c r="G306" t="str">
        <f t="shared" si="43"/>
        <v>Conduflex 3/4"</v>
      </c>
      <c r="H306" t="s">
        <v>76</v>
      </c>
      <c r="I306" s="1" t="str">
        <f t="shared" si="44"/>
        <v>ML</v>
      </c>
      <c r="J306" s="1" t="s">
        <v>1378</v>
      </c>
      <c r="K306" s="1"/>
      <c r="L306"/>
      <c r="M306" s="4">
        <f t="shared" si="45"/>
        <v>3100</v>
      </c>
      <c r="N306" s="31"/>
      <c r="O306" s="31"/>
      <c r="P306" t="s">
        <v>821</v>
      </c>
      <c r="Q306" s="190">
        <f>(SUMIFS('3. CD - Obra negra'!$O$4:$O$344,'3. CD - Obra negra'!$E$4:$E$344,G306))+(SUMIFS('4. CD - Obra gris'!$O$14:$O$74,'4. CD - Obra gris'!$E$14:$E$74,G306))+(SUMIFS('5, CD -Obra blanca'!$O$4:$O$151,'5, CD -Obra blanca'!$E$4:$E$151,G306))</f>
        <v>0</v>
      </c>
      <c r="R306" s="194">
        <f t="shared" si="46"/>
        <v>0</v>
      </c>
      <c r="T306" s="4"/>
      <c r="V306"/>
      <c r="W306"/>
      <c r="Y306"/>
      <c r="AB306"/>
    </row>
    <row r="307" spans="2:28" x14ac:dyDescent="0.25">
      <c r="B307" t="s">
        <v>427</v>
      </c>
      <c r="C307" s="87" t="s">
        <v>335</v>
      </c>
      <c r="D307" s="1" t="s">
        <v>673</v>
      </c>
      <c r="E307" s="280">
        <v>2500</v>
      </c>
      <c r="G307" t="str">
        <f t="shared" si="43"/>
        <v>Tubo conduit 1"</v>
      </c>
      <c r="H307" t="s">
        <v>76</v>
      </c>
      <c r="I307" s="1" t="str">
        <f t="shared" si="44"/>
        <v>ML</v>
      </c>
      <c r="J307" s="1" t="s">
        <v>962</v>
      </c>
      <c r="K307" s="1"/>
      <c r="L307"/>
      <c r="M307" s="4">
        <f t="shared" si="45"/>
        <v>2500</v>
      </c>
      <c r="N307" s="31"/>
      <c r="O307" s="31"/>
      <c r="P307" t="s">
        <v>821</v>
      </c>
      <c r="Q307" s="190">
        <f>(SUMIFS('3. CD - Obra negra'!$O$4:$O$344,'3. CD - Obra negra'!$E$4:$E$344,G307))+(SUMIFS('4. CD - Obra gris'!$O$14:$O$74,'4. CD - Obra gris'!$E$14:$E$74,G307))+(SUMIFS('5, CD -Obra blanca'!$O$4:$O$151,'5, CD -Obra blanca'!$E$4:$E$151,G307))</f>
        <v>50</v>
      </c>
      <c r="R307" s="194">
        <f t="shared" si="46"/>
        <v>125000</v>
      </c>
      <c r="T307" s="4"/>
      <c r="V307"/>
      <c r="W307"/>
      <c r="Y307"/>
      <c r="AB307"/>
    </row>
    <row r="308" spans="2:28" x14ac:dyDescent="0.25">
      <c r="B308" t="s">
        <v>1379</v>
      </c>
      <c r="C308" s="87" t="s">
        <v>335</v>
      </c>
      <c r="D308" s="1" t="s">
        <v>673</v>
      </c>
      <c r="E308" s="280">
        <v>4800</v>
      </c>
      <c r="G308" t="str">
        <f t="shared" si="43"/>
        <v>Conduflex 1"</v>
      </c>
      <c r="H308" t="s">
        <v>76</v>
      </c>
      <c r="I308" s="1" t="str">
        <f t="shared" si="44"/>
        <v>ML</v>
      </c>
      <c r="J308" s="1" t="s">
        <v>1380</v>
      </c>
      <c r="K308" s="1"/>
      <c r="L308"/>
      <c r="M308" s="4">
        <f t="shared" si="45"/>
        <v>4800</v>
      </c>
      <c r="N308" s="31"/>
      <c r="O308" s="31"/>
      <c r="P308" t="s">
        <v>821</v>
      </c>
      <c r="Q308" s="190">
        <f>(SUMIFS('3. CD - Obra negra'!$O$4:$O$344,'3. CD - Obra negra'!$E$4:$E$344,G308))+(SUMIFS('4. CD - Obra gris'!$O$14:$O$74,'4. CD - Obra gris'!$E$14:$E$74,G308))+(SUMIFS('5, CD -Obra blanca'!$O$4:$O$151,'5, CD -Obra blanca'!$E$4:$E$151,G308))</f>
        <v>0</v>
      </c>
      <c r="R308" s="194">
        <f t="shared" si="46"/>
        <v>0</v>
      </c>
      <c r="T308" s="4"/>
      <c r="V308"/>
      <c r="W308"/>
      <c r="Y308"/>
      <c r="AB308"/>
    </row>
    <row r="309" spans="2:28" x14ac:dyDescent="0.25">
      <c r="B309" t="s">
        <v>428</v>
      </c>
      <c r="C309" s="87" t="s">
        <v>126</v>
      </c>
      <c r="D309" s="1" t="s">
        <v>673</v>
      </c>
      <c r="E309" s="88">
        <v>5900</v>
      </c>
      <c r="G309" t="str">
        <f t="shared" ref="G309:G344" si="47">+B309</f>
        <v>Cable #8</v>
      </c>
      <c r="H309" t="s">
        <v>76</v>
      </c>
      <c r="I309" s="1" t="str">
        <f t="shared" ref="I309:I344" si="48">+C309</f>
        <v>UND</v>
      </c>
      <c r="J309" s="1" t="s">
        <v>963</v>
      </c>
      <c r="K309" s="1"/>
      <c r="L309"/>
      <c r="M309" s="4">
        <f t="shared" ref="M309:M342" si="49">+E309</f>
        <v>5900</v>
      </c>
      <c r="N309" s="31"/>
      <c r="O309" s="31"/>
      <c r="P309" t="s">
        <v>821</v>
      </c>
      <c r="Q309" s="190">
        <f>(SUMIFS('3. CD - Obra negra'!$O$4:$O$344,'3. CD - Obra negra'!$E$4:$E$344,G309))+(SUMIFS('4. CD - Obra gris'!$O$14:$O$74,'4. CD - Obra gris'!$E$14:$E$74,G309))+(SUMIFS('5, CD -Obra blanca'!$O$4:$O$151,'5, CD -Obra blanca'!$E$4:$E$151,G309))</f>
        <v>600</v>
      </c>
      <c r="R309" s="194">
        <f t="shared" ref="R309:R344" si="50">+Q309*M309</f>
        <v>3540000</v>
      </c>
      <c r="T309" s="4"/>
      <c r="V309"/>
      <c r="W309"/>
      <c r="Y309"/>
      <c r="AB309"/>
    </row>
    <row r="310" spans="2:28" x14ac:dyDescent="0.25">
      <c r="B310" t="s">
        <v>429</v>
      </c>
      <c r="C310" s="87" t="s">
        <v>126</v>
      </c>
      <c r="D310" s="1" t="s">
        <v>673</v>
      </c>
      <c r="E310" s="88">
        <v>2500</v>
      </c>
      <c r="G310" t="str">
        <f t="shared" si="47"/>
        <v>Adaptador terminal 1"</v>
      </c>
      <c r="H310" t="s">
        <v>76</v>
      </c>
      <c r="I310" s="1" t="str">
        <f t="shared" si="48"/>
        <v>UND</v>
      </c>
      <c r="J310" s="1" t="s">
        <v>964</v>
      </c>
      <c r="K310" s="1"/>
      <c r="L310"/>
      <c r="M310" s="4">
        <f t="shared" si="49"/>
        <v>2500</v>
      </c>
      <c r="N310" s="31"/>
      <c r="O310" s="31"/>
      <c r="P310" t="s">
        <v>821</v>
      </c>
      <c r="Q310" s="190">
        <f>(SUMIFS('3. CD - Obra negra'!$O$4:$O$344,'3. CD - Obra negra'!$E$4:$E$344,G310))+(SUMIFS('4. CD - Obra gris'!$O$14:$O$74,'4. CD - Obra gris'!$E$14:$E$74,G310))+(SUMIFS('5, CD -Obra blanca'!$O$4:$O$151,'5, CD -Obra blanca'!$E$4:$E$151,G310))</f>
        <v>0</v>
      </c>
      <c r="R310" s="194">
        <f t="shared" si="50"/>
        <v>0</v>
      </c>
      <c r="T310" s="4"/>
      <c r="V310"/>
      <c r="W310"/>
      <c r="Y310"/>
      <c r="AB310"/>
    </row>
    <row r="311" spans="2:28" x14ac:dyDescent="0.25">
      <c r="B311" t="s">
        <v>449</v>
      </c>
      <c r="C311" s="87" t="s">
        <v>126</v>
      </c>
      <c r="D311" s="1" t="s">
        <v>673</v>
      </c>
      <c r="E311" s="88">
        <v>1300</v>
      </c>
      <c r="G311" t="str">
        <f t="shared" si="47"/>
        <v>Adaptador terminal 3/4"</v>
      </c>
      <c r="H311" t="s">
        <v>76</v>
      </c>
      <c r="I311" s="1" t="str">
        <f t="shared" si="48"/>
        <v>UND</v>
      </c>
      <c r="J311" s="1" t="s">
        <v>965</v>
      </c>
      <c r="K311" s="1"/>
      <c r="L311"/>
      <c r="M311" s="4">
        <f t="shared" si="49"/>
        <v>1300</v>
      </c>
      <c r="N311" s="31"/>
      <c r="O311" s="31"/>
      <c r="P311" t="s">
        <v>821</v>
      </c>
      <c r="Q311" s="190">
        <f>(SUMIFS('3. CD - Obra negra'!$O$4:$O$344,'3. CD - Obra negra'!$E$4:$E$344,G311))+(SUMIFS('4. CD - Obra gris'!$O$14:$O$74,'4. CD - Obra gris'!$E$14:$E$74,G311))+(SUMIFS('5, CD -Obra blanca'!$O$4:$O$151,'5, CD -Obra blanca'!$E$4:$E$151,G311))</f>
        <v>105</v>
      </c>
      <c r="R311" s="194">
        <f t="shared" si="50"/>
        <v>136500</v>
      </c>
      <c r="T311" s="4"/>
      <c r="V311"/>
      <c r="W311"/>
      <c r="Y311"/>
      <c r="AB311"/>
    </row>
    <row r="312" spans="2:28" x14ac:dyDescent="0.25">
      <c r="B312" t="s">
        <v>430</v>
      </c>
      <c r="C312" s="87" t="s">
        <v>126</v>
      </c>
      <c r="D312" s="1" t="s">
        <v>673</v>
      </c>
      <c r="E312" s="88">
        <v>300</v>
      </c>
      <c r="G312" t="str">
        <f t="shared" si="47"/>
        <v>Adaptador terminal 1/2"</v>
      </c>
      <c r="H312" t="s">
        <v>76</v>
      </c>
      <c r="I312" s="1" t="str">
        <f t="shared" si="48"/>
        <v>UND</v>
      </c>
      <c r="J312" s="1" t="s">
        <v>966</v>
      </c>
      <c r="K312" s="1"/>
      <c r="L312"/>
      <c r="M312" s="4">
        <f t="shared" si="49"/>
        <v>300</v>
      </c>
      <c r="N312" s="31"/>
      <c r="O312" s="31"/>
      <c r="P312" t="s">
        <v>821</v>
      </c>
      <c r="Q312" s="190">
        <f>(SUMIFS('3. CD - Obra negra'!$O$4:$O$344,'3. CD - Obra negra'!$E$4:$E$344,G312))+(SUMIFS('4. CD - Obra gris'!$O$14:$O$74,'4. CD - Obra gris'!$E$14:$E$74,G312))+(SUMIFS('5, CD -Obra blanca'!$O$4:$O$151,'5, CD -Obra blanca'!$E$4:$E$151,G312))</f>
        <v>60</v>
      </c>
      <c r="R312" s="194">
        <f t="shared" si="50"/>
        <v>18000</v>
      </c>
      <c r="T312" s="4"/>
      <c r="V312"/>
      <c r="W312"/>
      <c r="Y312"/>
      <c r="AB312"/>
    </row>
    <row r="313" spans="2:28" x14ac:dyDescent="0.25">
      <c r="B313" t="s">
        <v>434</v>
      </c>
      <c r="C313" s="87" t="s">
        <v>126</v>
      </c>
      <c r="D313" s="1" t="s">
        <v>674</v>
      </c>
      <c r="E313" s="88">
        <v>200000</v>
      </c>
      <c r="G313" t="str">
        <f t="shared" si="47"/>
        <v>Bolardo</v>
      </c>
      <c r="H313" t="s">
        <v>76</v>
      </c>
      <c r="I313" s="1" t="str">
        <f t="shared" si="48"/>
        <v>UND</v>
      </c>
      <c r="J313" s="1" t="s">
        <v>967</v>
      </c>
      <c r="K313" s="1"/>
      <c r="L313"/>
      <c r="M313" s="4">
        <f t="shared" si="49"/>
        <v>200000</v>
      </c>
      <c r="N313" s="31"/>
      <c r="O313" s="31"/>
      <c r="P313" t="s">
        <v>821</v>
      </c>
      <c r="Q313" s="190">
        <f>(SUMIFS('3. CD - Obra negra'!$O$4:$O$344,'3. CD - Obra negra'!$E$4:$E$344,G313))+(SUMIFS('4. CD - Obra gris'!$O$14:$O$74,'4. CD - Obra gris'!$E$14:$E$74,G313))+(SUMIFS('5, CD -Obra blanca'!$O$4:$O$151,'5, CD -Obra blanca'!$E$4:$E$151,G313))</f>
        <v>0</v>
      </c>
      <c r="R313" s="194">
        <f t="shared" si="50"/>
        <v>0</v>
      </c>
      <c r="T313" s="4"/>
      <c r="V313"/>
      <c r="W313"/>
      <c r="Y313"/>
      <c r="AB313"/>
    </row>
    <row r="314" spans="2:28" x14ac:dyDescent="0.25">
      <c r="B314" t="s">
        <v>494</v>
      </c>
      <c r="C314" s="87" t="s">
        <v>126</v>
      </c>
      <c r="D314" s="1" t="s">
        <v>674</v>
      </c>
      <c r="E314" s="88">
        <v>10000</v>
      </c>
      <c r="G314" t="str">
        <f t="shared" si="47"/>
        <v>Bombillo LED 20w luz cálida</v>
      </c>
      <c r="H314" t="s">
        <v>76</v>
      </c>
      <c r="I314" s="1" t="str">
        <f t="shared" si="48"/>
        <v>UND</v>
      </c>
      <c r="J314" s="1" t="s">
        <v>968</v>
      </c>
      <c r="K314" s="1"/>
      <c r="L314"/>
      <c r="M314" s="4">
        <f t="shared" si="49"/>
        <v>10000</v>
      </c>
      <c r="N314" s="31"/>
      <c r="O314" s="31"/>
      <c r="P314" t="s">
        <v>821</v>
      </c>
      <c r="Q314" s="190">
        <f>(SUMIFS('3. CD - Obra negra'!$O$4:$O$344,'3. CD - Obra negra'!$E$4:$E$344,G314))+(SUMIFS('4. CD - Obra gris'!$O$14:$O$74,'4. CD - Obra gris'!$E$14:$E$74,G314))+(SUMIFS('5, CD -Obra blanca'!$O$4:$O$151,'5, CD -Obra blanca'!$E$4:$E$151,G314))</f>
        <v>0</v>
      </c>
      <c r="R314" s="194">
        <f t="shared" si="50"/>
        <v>0</v>
      </c>
      <c r="T314" s="4"/>
      <c r="V314"/>
      <c r="W314"/>
      <c r="Y314"/>
      <c r="AB314"/>
    </row>
    <row r="315" spans="2:28" x14ac:dyDescent="0.25">
      <c r="B315" t="s">
        <v>496</v>
      </c>
      <c r="C315" s="87" t="s">
        <v>126</v>
      </c>
      <c r="D315" s="1" t="s">
        <v>674</v>
      </c>
      <c r="E315" s="88">
        <v>60000</v>
      </c>
      <c r="G315" t="str">
        <f t="shared" si="47"/>
        <v>Lámpara de pared ornamental</v>
      </c>
      <c r="H315" t="s">
        <v>76</v>
      </c>
      <c r="I315" s="1" t="str">
        <f t="shared" si="48"/>
        <v>UND</v>
      </c>
      <c r="J315" s="1" t="s">
        <v>969</v>
      </c>
      <c r="K315" s="1"/>
      <c r="L315"/>
      <c r="M315" s="4">
        <f t="shared" si="49"/>
        <v>60000</v>
      </c>
      <c r="N315" s="31"/>
      <c r="O315" s="31"/>
      <c r="P315" t="s">
        <v>821</v>
      </c>
      <c r="Q315" s="190">
        <f>(SUMIFS('3. CD - Obra negra'!$O$4:$O$344,'3. CD - Obra negra'!$E$4:$E$344,G315))+(SUMIFS('4. CD - Obra gris'!$O$14:$O$74,'4. CD - Obra gris'!$E$14:$E$74,G315))+(SUMIFS('5, CD -Obra blanca'!$O$4:$O$151,'5, CD -Obra blanca'!$E$4:$E$151,G315))</f>
        <v>0</v>
      </c>
      <c r="R315" s="194">
        <f t="shared" si="50"/>
        <v>0</v>
      </c>
      <c r="T315" s="4"/>
      <c r="V315"/>
      <c r="W315"/>
      <c r="Y315"/>
      <c r="AB315"/>
    </row>
    <row r="316" spans="2:28" x14ac:dyDescent="0.25">
      <c r="B316" t="s">
        <v>495</v>
      </c>
      <c r="C316" s="87" t="s">
        <v>126</v>
      </c>
      <c r="D316" s="1" t="s">
        <v>674</v>
      </c>
      <c r="E316" s="88">
        <v>15000</v>
      </c>
      <c r="G316" t="str">
        <f t="shared" si="47"/>
        <v>Tubo LED 16w</v>
      </c>
      <c r="H316" t="s">
        <v>76</v>
      </c>
      <c r="I316" s="1" t="str">
        <f t="shared" si="48"/>
        <v>UND</v>
      </c>
      <c r="J316" s="1" t="s">
        <v>970</v>
      </c>
      <c r="K316" s="1"/>
      <c r="L316"/>
      <c r="M316" s="4">
        <f t="shared" si="49"/>
        <v>15000</v>
      </c>
      <c r="N316" s="31"/>
      <c r="O316" s="31"/>
      <c r="P316" t="s">
        <v>821</v>
      </c>
      <c r="Q316" s="190">
        <f>(SUMIFS('3. CD - Obra negra'!$O$4:$O$344,'3. CD - Obra negra'!$E$4:$E$344,G316))+(SUMIFS('4. CD - Obra gris'!$O$14:$O$74,'4. CD - Obra gris'!$E$14:$E$74,G316))+(SUMIFS('5, CD -Obra blanca'!$O$4:$O$151,'5, CD -Obra blanca'!$E$4:$E$151,G316))</f>
        <v>0</v>
      </c>
      <c r="R316" s="194">
        <f t="shared" si="50"/>
        <v>0</v>
      </c>
      <c r="T316" s="4"/>
      <c r="V316"/>
      <c r="W316"/>
      <c r="Y316"/>
      <c r="AB316"/>
    </row>
    <row r="317" spans="2:28" x14ac:dyDescent="0.25">
      <c r="B317" t="s">
        <v>497</v>
      </c>
      <c r="C317" s="87" t="s">
        <v>126</v>
      </c>
      <c r="D317" s="1" t="s">
        <v>674</v>
      </c>
      <c r="E317" s="88">
        <v>16000</v>
      </c>
      <c r="G317" t="str">
        <f t="shared" si="47"/>
        <v>Spot dirigible</v>
      </c>
      <c r="H317" t="s">
        <v>76</v>
      </c>
      <c r="I317" s="1" t="str">
        <f t="shared" si="48"/>
        <v>UND</v>
      </c>
      <c r="J317" s="1" t="s">
        <v>971</v>
      </c>
      <c r="K317" s="1"/>
      <c r="L317"/>
      <c r="M317" s="4">
        <f t="shared" si="49"/>
        <v>16000</v>
      </c>
      <c r="N317" s="31"/>
      <c r="O317" s="31"/>
      <c r="P317" t="s">
        <v>821</v>
      </c>
      <c r="Q317" s="190">
        <f>(SUMIFS('3. CD - Obra negra'!$O$4:$O$344,'3. CD - Obra negra'!$E$4:$E$344,G317))+(SUMIFS('4. CD - Obra gris'!$O$14:$O$74,'4. CD - Obra gris'!$E$14:$E$74,G317))+(SUMIFS('5, CD -Obra blanca'!$O$4:$O$151,'5, CD -Obra blanca'!$E$4:$E$151,G317))</f>
        <v>0</v>
      </c>
      <c r="R317" s="194">
        <f t="shared" si="50"/>
        <v>0</v>
      </c>
      <c r="T317" s="4"/>
      <c r="V317"/>
      <c r="W317"/>
      <c r="Y317"/>
      <c r="AB317"/>
    </row>
    <row r="318" spans="2:28" x14ac:dyDescent="0.25">
      <c r="B318" t="s">
        <v>452</v>
      </c>
      <c r="C318" s="87" t="s">
        <v>126</v>
      </c>
      <c r="D318" s="1" t="s">
        <v>674</v>
      </c>
      <c r="E318" s="88">
        <v>60000</v>
      </c>
      <c r="G318" t="str">
        <f t="shared" si="47"/>
        <v>Lámpara de techo</v>
      </c>
      <c r="H318" t="s">
        <v>76</v>
      </c>
      <c r="I318" s="1" t="str">
        <f t="shared" si="48"/>
        <v>UND</v>
      </c>
      <c r="J318" s="1" t="s">
        <v>641</v>
      </c>
      <c r="K318" s="1"/>
      <c r="L318"/>
      <c r="M318" s="4">
        <f t="shared" si="49"/>
        <v>60000</v>
      </c>
      <c r="N318" s="31"/>
      <c r="O318" s="31"/>
      <c r="P318" t="s">
        <v>821</v>
      </c>
      <c r="Q318" s="190">
        <f>(SUMIFS('3. CD - Obra negra'!$O$4:$O$344,'3. CD - Obra negra'!$E$4:$E$344,G318))+(SUMIFS('4. CD - Obra gris'!$O$14:$O$74,'4. CD - Obra gris'!$E$14:$E$74,G318))+(SUMIFS('5, CD -Obra blanca'!$O$4:$O$151,'5, CD -Obra blanca'!$E$4:$E$151,G318))</f>
        <v>0</v>
      </c>
      <c r="R318" s="194">
        <f t="shared" si="50"/>
        <v>0</v>
      </c>
      <c r="T318" s="4"/>
      <c r="V318"/>
      <c r="W318"/>
      <c r="Y318"/>
      <c r="AB318"/>
    </row>
    <row r="319" spans="2:28" x14ac:dyDescent="0.25">
      <c r="B319" t="s">
        <v>451</v>
      </c>
      <c r="C319" s="87" t="s">
        <v>126</v>
      </c>
      <c r="D319" s="1" t="s">
        <v>674</v>
      </c>
      <c r="E319" s="88">
        <v>70000</v>
      </c>
      <c r="G319" t="str">
        <f t="shared" si="47"/>
        <v>Lámpara de muro</v>
      </c>
      <c r="H319" t="s">
        <v>76</v>
      </c>
      <c r="I319" s="1" t="str">
        <f t="shared" si="48"/>
        <v>UND</v>
      </c>
      <c r="J319" s="1" t="s">
        <v>972</v>
      </c>
      <c r="K319" s="1"/>
      <c r="L319"/>
      <c r="M319" s="4">
        <f t="shared" si="49"/>
        <v>70000</v>
      </c>
      <c r="N319" s="31"/>
      <c r="O319" s="31"/>
      <c r="P319" t="s">
        <v>821</v>
      </c>
      <c r="Q319" s="190">
        <f>(SUMIFS('3. CD - Obra negra'!$O$4:$O$344,'3. CD - Obra negra'!$E$4:$E$344,G319))+(SUMIFS('4. CD - Obra gris'!$O$14:$O$74,'4. CD - Obra gris'!$E$14:$E$74,G319))+(SUMIFS('5, CD -Obra blanca'!$O$4:$O$151,'5, CD -Obra blanca'!$E$4:$E$151,G319))</f>
        <v>7</v>
      </c>
      <c r="R319" s="194">
        <f t="shared" si="50"/>
        <v>490000</v>
      </c>
      <c r="T319" s="4"/>
      <c r="V319"/>
      <c r="W319"/>
      <c r="Y319"/>
      <c r="AB319"/>
    </row>
    <row r="320" spans="2:28" x14ac:dyDescent="0.25">
      <c r="B320" t="s">
        <v>1312</v>
      </c>
      <c r="C320" s="87" t="s">
        <v>126</v>
      </c>
      <c r="D320" s="1" t="s">
        <v>674</v>
      </c>
      <c r="E320" s="88">
        <v>78000</v>
      </c>
      <c r="G320" t="str">
        <f>+B320</f>
        <v>Luz de piso exterior</v>
      </c>
      <c r="H320" t="s">
        <v>76</v>
      </c>
      <c r="I320" s="1" t="str">
        <f>+C320</f>
        <v>UND</v>
      </c>
      <c r="J320" s="1" t="s">
        <v>1313</v>
      </c>
      <c r="K320" s="1"/>
      <c r="L320"/>
      <c r="M320" s="4">
        <f>+E320</f>
        <v>78000</v>
      </c>
      <c r="N320" s="31"/>
      <c r="O320" s="31"/>
      <c r="P320" t="s">
        <v>821</v>
      </c>
      <c r="Q320" s="190">
        <f>(SUMIFS('3. CD - Obra negra'!$O$4:$O$344,'3. CD - Obra negra'!$E$4:$E$344,G320))+(SUMIFS('4. CD - Obra gris'!$O$14:$O$74,'4. CD - Obra gris'!$E$14:$E$74,G320))+(SUMIFS('5, CD -Obra blanca'!$O$4:$O$151,'5, CD -Obra blanca'!$E$4:$E$151,G320))</f>
        <v>0</v>
      </c>
      <c r="R320" s="194">
        <f>+Q320*M320</f>
        <v>0</v>
      </c>
      <c r="T320" s="4"/>
      <c r="V320"/>
      <c r="W320"/>
      <c r="Y320"/>
      <c r="AB320"/>
    </row>
    <row r="321" spans="2:28" x14ac:dyDescent="0.25">
      <c r="B321" t="s">
        <v>1316</v>
      </c>
      <c r="C321" s="87" t="s">
        <v>126</v>
      </c>
      <c r="D321" s="1" t="s">
        <v>674</v>
      </c>
      <c r="E321" s="88">
        <v>400000</v>
      </c>
      <c r="G321" t="str">
        <f>+B321</f>
        <v>Luz de piscina</v>
      </c>
      <c r="H321" t="s">
        <v>76</v>
      </c>
      <c r="I321" s="1" t="str">
        <f>+C321</f>
        <v>UND</v>
      </c>
      <c r="J321" s="1" t="s">
        <v>1317</v>
      </c>
      <c r="K321" s="1"/>
      <c r="L321"/>
      <c r="M321" s="4">
        <f>+E321</f>
        <v>400000</v>
      </c>
      <c r="N321" s="31"/>
      <c r="O321" s="31"/>
      <c r="P321" t="s">
        <v>821</v>
      </c>
      <c r="Q321" s="190">
        <f>(SUMIFS('3. CD - Obra negra'!$O$4:$O$344,'3. CD - Obra negra'!$E$4:$E$344,G321))+(SUMIFS('4. CD - Obra gris'!$O$14:$O$74,'4. CD - Obra gris'!$E$14:$E$74,G321))+(SUMIFS('5, CD -Obra blanca'!$O$4:$O$151,'5, CD -Obra blanca'!$E$4:$E$151,G321))</f>
        <v>0</v>
      </c>
      <c r="R321" s="194">
        <f>+Q321*M321</f>
        <v>0</v>
      </c>
      <c r="T321" s="4"/>
      <c r="V321"/>
      <c r="W321"/>
      <c r="Y321"/>
      <c r="AB321"/>
    </row>
    <row r="322" spans="2:28" x14ac:dyDescent="0.25">
      <c r="B322" t="s">
        <v>435</v>
      </c>
      <c r="C322" s="87" t="s">
        <v>126</v>
      </c>
      <c r="D322" s="1" t="s">
        <v>337</v>
      </c>
      <c r="E322" s="88">
        <v>18000</v>
      </c>
      <c r="G322" t="str">
        <f t="shared" si="47"/>
        <v xml:space="preserve">Interruptor doble </v>
      </c>
      <c r="H322" t="s">
        <v>76</v>
      </c>
      <c r="I322" s="1" t="str">
        <f t="shared" si="48"/>
        <v>UND</v>
      </c>
      <c r="J322" s="1" t="s">
        <v>973</v>
      </c>
      <c r="K322" s="1"/>
      <c r="L322"/>
      <c r="M322" s="4">
        <f t="shared" si="49"/>
        <v>18000</v>
      </c>
      <c r="N322" s="31"/>
      <c r="O322" s="31"/>
      <c r="P322" t="s">
        <v>821</v>
      </c>
      <c r="Q322" s="190">
        <f>(SUMIFS('3. CD - Obra negra'!$O$4:$O$344,'3. CD - Obra negra'!$E$4:$E$344,G322))+(SUMIFS('4. CD - Obra gris'!$O$14:$O$74,'4. CD - Obra gris'!$E$14:$E$74,G322))+(SUMIFS('5, CD -Obra blanca'!$O$4:$O$151,'5, CD -Obra blanca'!$E$4:$E$151,G322))</f>
        <v>0</v>
      </c>
      <c r="R322" s="194">
        <f t="shared" si="50"/>
        <v>0</v>
      </c>
      <c r="T322" s="4"/>
      <c r="V322"/>
      <c r="W322"/>
      <c r="Y322"/>
      <c r="AB322"/>
    </row>
    <row r="323" spans="2:28" x14ac:dyDescent="0.25">
      <c r="B323" t="s">
        <v>436</v>
      </c>
      <c r="C323" s="87" t="s">
        <v>126</v>
      </c>
      <c r="D323" s="1" t="s">
        <v>337</v>
      </c>
      <c r="E323" s="88">
        <v>21000</v>
      </c>
      <c r="G323" t="str">
        <f t="shared" si="47"/>
        <v>Interruptor doble conmutable</v>
      </c>
      <c r="H323" t="s">
        <v>76</v>
      </c>
      <c r="I323" s="1" t="str">
        <f t="shared" si="48"/>
        <v>UND</v>
      </c>
      <c r="J323" s="1" t="s">
        <v>974</v>
      </c>
      <c r="K323" s="1"/>
      <c r="L323"/>
      <c r="M323" s="4">
        <f t="shared" si="49"/>
        <v>21000</v>
      </c>
      <c r="N323" s="31"/>
      <c r="O323" s="31"/>
      <c r="P323" t="s">
        <v>821</v>
      </c>
      <c r="Q323" s="190">
        <f>(SUMIFS('3. CD - Obra negra'!$O$4:$O$344,'3. CD - Obra negra'!$E$4:$E$344,G323))+(SUMIFS('4. CD - Obra gris'!$O$14:$O$74,'4. CD - Obra gris'!$E$14:$E$74,G323))+(SUMIFS('5, CD -Obra blanca'!$O$4:$O$151,'5, CD -Obra blanca'!$E$4:$E$151,G323))</f>
        <v>0</v>
      </c>
      <c r="R323" s="194">
        <f t="shared" si="50"/>
        <v>0</v>
      </c>
      <c r="T323" s="4"/>
      <c r="V323"/>
      <c r="W323"/>
      <c r="Y323"/>
      <c r="AB323"/>
    </row>
    <row r="324" spans="2:28" x14ac:dyDescent="0.25">
      <c r="B324" t="s">
        <v>437</v>
      </c>
      <c r="C324" s="87" t="s">
        <v>126</v>
      </c>
      <c r="D324" s="1" t="s">
        <v>337</v>
      </c>
      <c r="E324" s="88">
        <v>12000</v>
      </c>
      <c r="G324" t="str">
        <f t="shared" si="47"/>
        <v>Interruptor sencillo</v>
      </c>
      <c r="H324" t="s">
        <v>76</v>
      </c>
      <c r="I324" s="1" t="str">
        <f t="shared" si="48"/>
        <v>UND</v>
      </c>
      <c r="J324" s="1" t="s">
        <v>975</v>
      </c>
      <c r="K324" s="1"/>
      <c r="L324"/>
      <c r="M324" s="4">
        <f t="shared" si="49"/>
        <v>12000</v>
      </c>
      <c r="N324" s="31"/>
      <c r="O324" s="31"/>
      <c r="P324" t="s">
        <v>821</v>
      </c>
      <c r="Q324" s="190">
        <f>(SUMIFS('3. CD - Obra negra'!$O$4:$O$344,'3. CD - Obra negra'!$E$4:$E$344,G324))+(SUMIFS('4. CD - Obra gris'!$O$14:$O$74,'4. CD - Obra gris'!$E$14:$E$74,G324))+(SUMIFS('5, CD -Obra blanca'!$O$4:$O$151,'5, CD -Obra blanca'!$E$4:$E$151,G324))</f>
        <v>4</v>
      </c>
      <c r="R324" s="194">
        <f t="shared" si="50"/>
        <v>48000</v>
      </c>
      <c r="T324" s="4"/>
      <c r="V324"/>
      <c r="W324"/>
      <c r="Y324"/>
      <c r="AB324"/>
    </row>
    <row r="325" spans="2:28" x14ac:dyDescent="0.25">
      <c r="B325" t="s">
        <v>438</v>
      </c>
      <c r="C325" s="87" t="s">
        <v>126</v>
      </c>
      <c r="D325" s="1" t="s">
        <v>337</v>
      </c>
      <c r="E325" s="88">
        <v>15000</v>
      </c>
      <c r="G325" t="str">
        <f t="shared" si="47"/>
        <v>Interruptor sencillo conmutable</v>
      </c>
      <c r="H325" t="s">
        <v>76</v>
      </c>
      <c r="I325" s="1" t="str">
        <f t="shared" si="48"/>
        <v>UND</v>
      </c>
      <c r="J325" s="1" t="s">
        <v>976</v>
      </c>
      <c r="K325" s="1"/>
      <c r="L325"/>
      <c r="M325" s="4">
        <f t="shared" si="49"/>
        <v>15000</v>
      </c>
      <c r="N325" s="31"/>
      <c r="O325" s="31"/>
      <c r="P325" t="s">
        <v>821</v>
      </c>
      <c r="Q325" s="190">
        <f>(SUMIFS('3. CD - Obra negra'!$O$4:$O$344,'3. CD - Obra negra'!$E$4:$E$344,G325))+(SUMIFS('4. CD - Obra gris'!$O$14:$O$74,'4. CD - Obra gris'!$E$14:$E$74,G325))+(SUMIFS('5, CD -Obra blanca'!$O$4:$O$151,'5, CD -Obra blanca'!$E$4:$E$151,G325))</f>
        <v>0</v>
      </c>
      <c r="R325" s="194">
        <f t="shared" si="50"/>
        <v>0</v>
      </c>
      <c r="T325" s="4"/>
      <c r="V325"/>
      <c r="W325"/>
      <c r="Y325"/>
      <c r="AB325"/>
    </row>
    <row r="326" spans="2:28" x14ac:dyDescent="0.25">
      <c r="B326" t="s">
        <v>439</v>
      </c>
      <c r="C326" s="87" t="s">
        <v>126</v>
      </c>
      <c r="D326" s="1" t="s">
        <v>337</v>
      </c>
      <c r="E326" s="88">
        <v>30000</v>
      </c>
      <c r="G326" t="str">
        <f t="shared" si="47"/>
        <v xml:space="preserve">Interruptor triple </v>
      </c>
      <c r="H326" t="s">
        <v>76</v>
      </c>
      <c r="I326" s="1" t="str">
        <f t="shared" si="48"/>
        <v>UND</v>
      </c>
      <c r="J326" s="1" t="s">
        <v>977</v>
      </c>
      <c r="K326" s="1"/>
      <c r="L326"/>
      <c r="M326" s="4">
        <f t="shared" si="49"/>
        <v>30000</v>
      </c>
      <c r="N326" s="31"/>
      <c r="O326" s="31"/>
      <c r="P326" t="s">
        <v>821</v>
      </c>
      <c r="Q326" s="190">
        <f>(SUMIFS('3. CD - Obra negra'!$O$4:$O$344,'3. CD - Obra negra'!$E$4:$E$344,G326))+(SUMIFS('4. CD - Obra gris'!$O$14:$O$74,'4. CD - Obra gris'!$E$14:$E$74,G326))+(SUMIFS('5, CD -Obra blanca'!$O$4:$O$151,'5, CD -Obra blanca'!$E$4:$E$151,G326))</f>
        <v>0</v>
      </c>
      <c r="R326" s="194">
        <f t="shared" si="50"/>
        <v>0</v>
      </c>
      <c r="T326" s="4"/>
      <c r="V326"/>
      <c r="W326"/>
      <c r="Y326"/>
      <c r="AB326"/>
    </row>
    <row r="327" spans="2:28" x14ac:dyDescent="0.25">
      <c r="B327" t="s">
        <v>440</v>
      </c>
      <c r="C327" s="87" t="s">
        <v>126</v>
      </c>
      <c r="D327" s="1" t="s">
        <v>337</v>
      </c>
      <c r="E327" s="88">
        <v>34000</v>
      </c>
      <c r="G327" t="str">
        <f t="shared" si="47"/>
        <v>Interruptor triple conmutable</v>
      </c>
      <c r="H327" t="s">
        <v>76</v>
      </c>
      <c r="I327" s="1" t="str">
        <f t="shared" si="48"/>
        <v>UND</v>
      </c>
      <c r="J327" s="1" t="s">
        <v>978</v>
      </c>
      <c r="K327" s="1"/>
      <c r="L327"/>
      <c r="M327" s="4">
        <f t="shared" si="49"/>
        <v>34000</v>
      </c>
      <c r="N327" s="31"/>
      <c r="O327" s="31"/>
      <c r="P327" t="s">
        <v>821</v>
      </c>
      <c r="Q327" s="190">
        <f>(SUMIFS('3. CD - Obra negra'!$O$4:$O$344,'3. CD - Obra negra'!$E$4:$E$344,G327))+(SUMIFS('4. CD - Obra gris'!$O$14:$O$74,'4. CD - Obra gris'!$E$14:$E$74,G327))+(SUMIFS('5, CD -Obra blanca'!$O$4:$O$151,'5, CD -Obra blanca'!$E$4:$E$151,G327))</f>
        <v>2</v>
      </c>
      <c r="R327" s="194">
        <f t="shared" si="50"/>
        <v>68000</v>
      </c>
      <c r="T327" s="4"/>
      <c r="V327"/>
      <c r="W327"/>
      <c r="Y327"/>
      <c r="AB327"/>
    </row>
    <row r="328" spans="2:28" x14ac:dyDescent="0.25">
      <c r="B328" t="s">
        <v>441</v>
      </c>
      <c r="C328" s="87" t="s">
        <v>126</v>
      </c>
      <c r="D328" s="1" t="s">
        <v>337</v>
      </c>
      <c r="E328" s="88">
        <v>2500</v>
      </c>
      <c r="G328" t="str">
        <f t="shared" si="47"/>
        <v>Caja octagonal</v>
      </c>
      <c r="H328" t="s">
        <v>76</v>
      </c>
      <c r="I328" s="1" t="str">
        <f t="shared" si="48"/>
        <v>UND</v>
      </c>
      <c r="J328" s="1" t="s">
        <v>979</v>
      </c>
      <c r="K328" s="1"/>
      <c r="L328"/>
      <c r="M328" s="4">
        <f t="shared" si="49"/>
        <v>2500</v>
      </c>
      <c r="N328" s="31"/>
      <c r="O328" s="31"/>
      <c r="P328" t="s">
        <v>821</v>
      </c>
      <c r="Q328" s="190">
        <f>(SUMIFS('3. CD - Obra negra'!$O$4:$O$344,'3. CD - Obra negra'!$E$4:$E$344,G328))+(SUMIFS('4. CD - Obra gris'!$O$14:$O$74,'4. CD - Obra gris'!$E$14:$E$74,G328))+(SUMIFS('5, CD -Obra blanca'!$O$4:$O$151,'5, CD -Obra blanca'!$E$4:$E$151,G328))</f>
        <v>25</v>
      </c>
      <c r="R328" s="194">
        <f t="shared" si="50"/>
        <v>62500</v>
      </c>
      <c r="T328" s="4"/>
      <c r="V328"/>
      <c r="W328"/>
      <c r="Y328"/>
      <c r="AB328"/>
    </row>
    <row r="329" spans="2:28" x14ac:dyDescent="0.25">
      <c r="B329" t="s">
        <v>442</v>
      </c>
      <c r="C329" s="87" t="s">
        <v>126</v>
      </c>
      <c r="D329" s="1" t="s">
        <v>337</v>
      </c>
      <c r="E329" s="88">
        <v>2100</v>
      </c>
      <c r="G329" t="str">
        <f t="shared" si="47"/>
        <v>Caja 5800 PVC</v>
      </c>
      <c r="H329" t="s">
        <v>76</v>
      </c>
      <c r="I329" s="1" t="str">
        <f t="shared" si="48"/>
        <v>UND</v>
      </c>
      <c r="J329" s="1" t="s">
        <v>980</v>
      </c>
      <c r="K329" s="1"/>
      <c r="L329"/>
      <c r="M329" s="4">
        <f t="shared" si="49"/>
        <v>2100</v>
      </c>
      <c r="N329" s="31"/>
      <c r="O329" s="31"/>
      <c r="P329" t="s">
        <v>821</v>
      </c>
      <c r="Q329" s="190">
        <f>(SUMIFS('3. CD - Obra negra'!$O$4:$O$344,'3. CD - Obra negra'!$E$4:$E$344,G329))+(SUMIFS('4. CD - Obra gris'!$O$14:$O$74,'4. CD - Obra gris'!$E$14:$E$74,G329))+(SUMIFS('5, CD -Obra blanca'!$O$4:$O$151,'5, CD -Obra blanca'!$E$4:$E$151,G329))</f>
        <v>41</v>
      </c>
      <c r="R329" s="194">
        <f t="shared" si="50"/>
        <v>86100</v>
      </c>
      <c r="T329" s="4"/>
      <c r="V329"/>
      <c r="W329"/>
      <c r="Y329"/>
      <c r="AB329"/>
    </row>
    <row r="330" spans="2:28" x14ac:dyDescent="0.25">
      <c r="B330" t="s">
        <v>443</v>
      </c>
      <c r="C330" s="87" t="s">
        <v>126</v>
      </c>
      <c r="D330" s="1" t="s">
        <v>337</v>
      </c>
      <c r="E330" s="88">
        <v>8000</v>
      </c>
      <c r="G330" t="str">
        <f t="shared" si="47"/>
        <v>Toma doble</v>
      </c>
      <c r="H330" t="s">
        <v>76</v>
      </c>
      <c r="I330" s="1" t="str">
        <f t="shared" si="48"/>
        <v>UND</v>
      </c>
      <c r="J330" s="1" t="s">
        <v>836</v>
      </c>
      <c r="K330" s="1"/>
      <c r="L330"/>
      <c r="M330" s="4">
        <f t="shared" si="49"/>
        <v>8000</v>
      </c>
      <c r="N330" s="31"/>
      <c r="O330" s="31"/>
      <c r="P330" t="s">
        <v>821</v>
      </c>
      <c r="Q330" s="190">
        <f>(SUMIFS('3. CD - Obra negra'!$O$4:$O$344,'3. CD - Obra negra'!$E$4:$E$344,G330))+(SUMIFS('4. CD - Obra gris'!$O$14:$O$74,'4. CD - Obra gris'!$E$14:$E$74,G330))+(SUMIFS('5, CD -Obra blanca'!$O$4:$O$151,'5, CD -Obra blanca'!$E$4:$E$151,G330))</f>
        <v>24</v>
      </c>
      <c r="R330" s="194">
        <f t="shared" si="50"/>
        <v>192000</v>
      </c>
      <c r="T330" s="4"/>
      <c r="V330"/>
      <c r="W330"/>
      <c r="Y330"/>
      <c r="AB330"/>
    </row>
    <row r="331" spans="2:28" x14ac:dyDescent="0.25">
      <c r="B331" t="s">
        <v>444</v>
      </c>
      <c r="C331" s="87" t="s">
        <v>126</v>
      </c>
      <c r="D331" s="1" t="s">
        <v>337</v>
      </c>
      <c r="E331" s="88">
        <v>55000</v>
      </c>
      <c r="G331" t="str">
        <f t="shared" si="47"/>
        <v>Toma doble autoprotegida GFCI</v>
      </c>
      <c r="H331" t="s">
        <v>76</v>
      </c>
      <c r="I331" s="1" t="str">
        <f t="shared" si="48"/>
        <v>UND</v>
      </c>
      <c r="J331" s="1" t="s">
        <v>981</v>
      </c>
      <c r="K331" s="1"/>
      <c r="L331"/>
      <c r="M331" s="4">
        <f t="shared" si="49"/>
        <v>55000</v>
      </c>
      <c r="N331" s="31"/>
      <c r="O331" s="31"/>
      <c r="P331" t="s">
        <v>821</v>
      </c>
      <c r="Q331" s="190">
        <f>(SUMIFS('3. CD - Obra negra'!$O$4:$O$344,'3. CD - Obra negra'!$E$4:$E$344,G331))+(SUMIFS('4. CD - Obra gris'!$O$14:$O$74,'4. CD - Obra gris'!$E$14:$E$74,G331))+(SUMIFS('5, CD -Obra blanca'!$O$4:$O$151,'5, CD -Obra blanca'!$E$4:$E$151,G331))</f>
        <v>16</v>
      </c>
      <c r="R331" s="194">
        <f t="shared" si="50"/>
        <v>880000</v>
      </c>
      <c r="T331" s="4"/>
      <c r="V331"/>
      <c r="W331"/>
      <c r="Y331"/>
      <c r="AB331"/>
    </row>
    <row r="332" spans="2:28" x14ac:dyDescent="0.25">
      <c r="B332" t="s">
        <v>1152</v>
      </c>
      <c r="C332" s="87" t="s">
        <v>126</v>
      </c>
      <c r="D332" s="1" t="s">
        <v>337</v>
      </c>
      <c r="E332" s="88">
        <v>40000</v>
      </c>
      <c r="G332" t="str">
        <f t="shared" si="47"/>
        <v>Salida Rj45 Ethernet</v>
      </c>
      <c r="H332" t="s">
        <v>76</v>
      </c>
      <c r="I332" s="1" t="str">
        <f t="shared" si="48"/>
        <v>UND</v>
      </c>
      <c r="J332" s="1" t="s">
        <v>1155</v>
      </c>
      <c r="K332" s="1"/>
      <c r="L332"/>
      <c r="M332" s="4">
        <f t="shared" si="49"/>
        <v>40000</v>
      </c>
      <c r="N332" s="31"/>
      <c r="O332" s="31"/>
      <c r="P332" t="s">
        <v>821</v>
      </c>
      <c r="Q332" s="190">
        <f>(SUMIFS('3. CD - Obra negra'!$O$4:$O$344,'3. CD - Obra negra'!$E$4:$E$344,G332))+(SUMIFS('4. CD - Obra gris'!$O$14:$O$74,'4. CD - Obra gris'!$E$14:$E$74,G332))+(SUMIFS('5, CD -Obra blanca'!$O$4:$O$151,'5, CD -Obra blanca'!$E$4:$E$151,G332))</f>
        <v>1</v>
      </c>
      <c r="R332" s="194">
        <f t="shared" si="50"/>
        <v>40000</v>
      </c>
      <c r="T332" s="4"/>
      <c r="V332"/>
      <c r="W332"/>
      <c r="Y332"/>
      <c r="AB332"/>
    </row>
    <row r="333" spans="2:28" x14ac:dyDescent="0.25">
      <c r="B333" t="s">
        <v>1151</v>
      </c>
      <c r="C333" s="87" t="s">
        <v>126</v>
      </c>
      <c r="D333" s="1" t="s">
        <v>337</v>
      </c>
      <c r="E333" s="88">
        <v>33000</v>
      </c>
      <c r="G333" t="str">
        <f>+B333</f>
        <v>Dimmer 400w</v>
      </c>
      <c r="H333" t="s">
        <v>76</v>
      </c>
      <c r="I333" s="1" t="str">
        <f>+C333</f>
        <v>UND</v>
      </c>
      <c r="J333" s="1" t="s">
        <v>1156</v>
      </c>
      <c r="K333" s="1"/>
      <c r="L333"/>
      <c r="M333" s="4">
        <f>+E333</f>
        <v>33000</v>
      </c>
      <c r="N333" s="31"/>
      <c r="O333" s="31"/>
      <c r="P333" t="s">
        <v>821</v>
      </c>
      <c r="Q333" s="190">
        <f>(SUMIFS('3. CD - Obra negra'!$O$4:$O$344,'3. CD - Obra negra'!$E$4:$E$344,G333))+(SUMIFS('4. CD - Obra gris'!$O$14:$O$74,'4. CD - Obra gris'!$E$14:$E$74,G333))+(SUMIFS('5, CD -Obra blanca'!$O$4:$O$151,'5, CD -Obra blanca'!$E$4:$E$151,G333))</f>
        <v>0</v>
      </c>
      <c r="R333" s="194">
        <f>+Q333*M333</f>
        <v>0</v>
      </c>
      <c r="T333" s="4"/>
      <c r="V333"/>
      <c r="W333"/>
      <c r="Y333"/>
      <c r="AB333"/>
    </row>
    <row r="334" spans="2:28" x14ac:dyDescent="0.25">
      <c r="B334" t="s">
        <v>1314</v>
      </c>
      <c r="C334" s="87" t="s">
        <v>126</v>
      </c>
      <c r="D334" s="1" t="s">
        <v>337</v>
      </c>
      <c r="E334" s="88">
        <v>67000</v>
      </c>
      <c r="G334" t="str">
        <f>+B334</f>
        <v>Sensor 6 metros</v>
      </c>
      <c r="H334" t="s">
        <v>76</v>
      </c>
      <c r="I334" s="1" t="str">
        <f>+C334</f>
        <v>UND</v>
      </c>
      <c r="J334" s="1" t="s">
        <v>1315</v>
      </c>
      <c r="K334" s="1"/>
      <c r="L334"/>
      <c r="M334" s="4">
        <f>+E334</f>
        <v>67000</v>
      </c>
      <c r="N334" s="31"/>
      <c r="O334" s="31"/>
      <c r="P334" t="s">
        <v>821</v>
      </c>
      <c r="Q334" s="190">
        <f>(SUMIFS('3. CD - Obra negra'!$O$4:$O$344,'3. CD - Obra negra'!$E$4:$E$344,G334))+(SUMIFS('4. CD - Obra gris'!$O$14:$O$74,'4. CD - Obra gris'!$E$14:$E$74,G334))+(SUMIFS('5, CD -Obra blanca'!$O$4:$O$151,'5, CD -Obra blanca'!$E$4:$E$151,G334))</f>
        <v>0</v>
      </c>
      <c r="R334" s="194">
        <f>+Q334*M334</f>
        <v>0</v>
      </c>
      <c r="T334" s="4"/>
      <c r="V334"/>
      <c r="W334"/>
      <c r="Y334"/>
      <c r="AB334"/>
    </row>
    <row r="335" spans="2:28" x14ac:dyDescent="0.25">
      <c r="B335" t="s">
        <v>1320</v>
      </c>
      <c r="C335" s="87" t="s">
        <v>126</v>
      </c>
      <c r="D335" s="1" t="s">
        <v>337</v>
      </c>
      <c r="E335" s="88">
        <v>1000000</v>
      </c>
      <c r="G335" t="str">
        <f>+B335</f>
        <v>Calentador eléctrico de paso</v>
      </c>
      <c r="H335" t="s">
        <v>76</v>
      </c>
      <c r="I335" s="1" t="str">
        <f>+C335</f>
        <v>UND</v>
      </c>
      <c r="J335" s="1" t="s">
        <v>1321</v>
      </c>
      <c r="K335" s="1"/>
      <c r="L335"/>
      <c r="M335" s="4">
        <f>+E335</f>
        <v>1000000</v>
      </c>
      <c r="N335" s="31"/>
      <c r="O335" s="31"/>
      <c r="P335" t="s">
        <v>821</v>
      </c>
      <c r="Q335" s="190">
        <f>(SUMIFS('3. CD - Obra negra'!$O$4:$O$344,'3. CD - Obra negra'!$E$4:$E$344,G335))+(SUMIFS('4. CD - Obra gris'!$O$14:$O$74,'4. CD - Obra gris'!$E$14:$E$74,G335))+(SUMIFS('5, CD -Obra blanca'!$O$4:$O$151,'5, CD -Obra blanca'!$E$4:$E$151,G335))</f>
        <v>0</v>
      </c>
      <c r="R335" s="194">
        <f>+Q335*M335</f>
        <v>0</v>
      </c>
      <c r="T335" s="4"/>
      <c r="V335"/>
      <c r="W335"/>
      <c r="Y335"/>
      <c r="AB335"/>
    </row>
    <row r="336" spans="2:28" x14ac:dyDescent="0.25">
      <c r="B336" t="s">
        <v>431</v>
      </c>
      <c r="C336" s="87" t="s">
        <v>126</v>
      </c>
      <c r="D336" s="1" t="s">
        <v>337</v>
      </c>
      <c r="E336" s="88">
        <v>275000</v>
      </c>
      <c r="G336" t="str">
        <f t="shared" si="47"/>
        <v>Tablero trifásico 18 circuitos con puerta</v>
      </c>
      <c r="H336" t="s">
        <v>76</v>
      </c>
      <c r="I336" s="1" t="str">
        <f t="shared" si="48"/>
        <v>UND</v>
      </c>
      <c r="J336" s="1" t="s">
        <v>982</v>
      </c>
      <c r="K336" s="1"/>
      <c r="L336"/>
      <c r="M336" s="4">
        <f t="shared" si="49"/>
        <v>275000</v>
      </c>
      <c r="N336" s="31"/>
      <c r="O336" s="31"/>
      <c r="P336" t="s">
        <v>821</v>
      </c>
      <c r="Q336" s="190">
        <f>(SUMIFS('3. CD - Obra negra'!$O$4:$O$344,'3. CD - Obra negra'!$E$4:$E$344,G336))+(SUMIFS('4. CD - Obra gris'!$O$14:$O$74,'4. CD - Obra gris'!$E$14:$E$74,G336))+(SUMIFS('5, CD -Obra blanca'!$O$4:$O$151,'5, CD -Obra blanca'!$E$4:$E$151,G336))</f>
        <v>1</v>
      </c>
      <c r="R336" s="194">
        <f t="shared" si="50"/>
        <v>275000</v>
      </c>
      <c r="T336" s="4"/>
      <c r="V336"/>
      <c r="W336"/>
      <c r="Y336"/>
      <c r="AB336"/>
    </row>
    <row r="337" spans="2:28" x14ac:dyDescent="0.25">
      <c r="B337" t="s">
        <v>1310</v>
      </c>
      <c r="C337" s="87" t="s">
        <v>126</v>
      </c>
      <c r="D337" s="1" t="s">
        <v>337</v>
      </c>
      <c r="E337" s="88">
        <v>194000</v>
      </c>
      <c r="G337" t="str">
        <f>+B337</f>
        <v>Tablero trifásico 12 circuitos con puerta</v>
      </c>
      <c r="H337" t="s">
        <v>76</v>
      </c>
      <c r="I337" s="1" t="str">
        <f>+C337</f>
        <v>UND</v>
      </c>
      <c r="J337" s="1" t="s">
        <v>1311</v>
      </c>
      <c r="K337" s="1"/>
      <c r="L337"/>
      <c r="M337" s="4">
        <f>+E337</f>
        <v>194000</v>
      </c>
      <c r="N337" s="31"/>
      <c r="O337" s="31"/>
      <c r="P337" t="s">
        <v>821</v>
      </c>
      <c r="Q337" s="190">
        <f>(SUMIFS('3. CD - Obra negra'!$O$4:$O$344,'3. CD - Obra negra'!$E$4:$E$344,G337))+(SUMIFS('4. CD - Obra gris'!$O$14:$O$74,'4. CD - Obra gris'!$E$14:$E$74,G337))+(SUMIFS('5, CD -Obra blanca'!$O$4:$O$151,'5, CD -Obra blanca'!$E$4:$E$151,G337))</f>
        <v>0</v>
      </c>
      <c r="R337" s="194">
        <f>+Q337*M337</f>
        <v>0</v>
      </c>
      <c r="T337" s="4"/>
      <c r="V337"/>
      <c r="W337"/>
      <c r="Y337"/>
      <c r="AB337"/>
    </row>
    <row r="338" spans="2:28" x14ac:dyDescent="0.25">
      <c r="B338" t="s">
        <v>1395</v>
      </c>
      <c r="C338" s="87" t="s">
        <v>126</v>
      </c>
      <c r="D338" s="1" t="s">
        <v>337</v>
      </c>
      <c r="E338" s="88">
        <v>135000</v>
      </c>
      <c r="G338" t="str">
        <f>+B338</f>
        <v>Tablero monofásico 8 circuitos con puerta</v>
      </c>
      <c r="H338" t="s">
        <v>76</v>
      </c>
      <c r="I338" s="1" t="str">
        <f>+C338</f>
        <v>UND</v>
      </c>
      <c r="J338" s="1" t="s">
        <v>1396</v>
      </c>
      <c r="K338" s="1"/>
      <c r="L338"/>
      <c r="M338" s="4">
        <f>+E338</f>
        <v>135000</v>
      </c>
      <c r="N338" s="31"/>
      <c r="O338" s="31"/>
      <c r="P338" t="s">
        <v>821</v>
      </c>
      <c r="Q338" s="190">
        <f>(SUMIFS('3. CD - Obra negra'!$O$4:$O$344,'3. CD - Obra negra'!$E$4:$E$344,G338))+(SUMIFS('4. CD - Obra gris'!$O$14:$O$74,'4. CD - Obra gris'!$E$14:$E$74,G338))+(SUMIFS('5, CD -Obra blanca'!$O$4:$O$151,'5, CD -Obra blanca'!$E$4:$E$151,G338))</f>
        <v>0</v>
      </c>
      <c r="R338" s="194">
        <f>+Q338*M338</f>
        <v>0</v>
      </c>
      <c r="T338" s="4"/>
      <c r="V338"/>
      <c r="W338"/>
      <c r="Y338"/>
      <c r="AB338"/>
    </row>
    <row r="339" spans="2:28" x14ac:dyDescent="0.25">
      <c r="B339" t="s">
        <v>432</v>
      </c>
      <c r="C339" s="87" t="s">
        <v>126</v>
      </c>
      <c r="D339" s="1" t="s">
        <v>337</v>
      </c>
      <c r="E339" s="88">
        <v>50000</v>
      </c>
      <c r="G339" t="str">
        <f t="shared" si="47"/>
        <v>Tablero trifásico 4 circuitos con puerta</v>
      </c>
      <c r="H339" t="s">
        <v>76</v>
      </c>
      <c r="I339" s="1" t="str">
        <f t="shared" si="48"/>
        <v>UND</v>
      </c>
      <c r="J339" s="1" t="s">
        <v>983</v>
      </c>
      <c r="K339" s="1"/>
      <c r="L339"/>
      <c r="M339" s="4">
        <f t="shared" si="49"/>
        <v>50000</v>
      </c>
      <c r="N339" s="31"/>
      <c r="O339" s="31"/>
      <c r="P339" t="s">
        <v>821</v>
      </c>
      <c r="Q339" s="190">
        <f>(SUMIFS('3. CD - Obra negra'!$O$4:$O$344,'3. CD - Obra negra'!$E$4:$E$344,G339))+(SUMIFS('4. CD - Obra gris'!$O$14:$O$74,'4. CD - Obra gris'!$E$14:$E$74,G339))+(SUMIFS('5, CD -Obra blanca'!$O$4:$O$151,'5, CD -Obra blanca'!$E$4:$E$151,G339))</f>
        <v>0</v>
      </c>
      <c r="R339" s="194">
        <f t="shared" si="50"/>
        <v>0</v>
      </c>
      <c r="T339" s="4"/>
      <c r="V339"/>
      <c r="W339"/>
      <c r="Y339"/>
      <c r="AB339"/>
    </row>
    <row r="340" spans="2:28" x14ac:dyDescent="0.25">
      <c r="B340" t="s">
        <v>1153</v>
      </c>
      <c r="C340" s="87" t="s">
        <v>126</v>
      </c>
      <c r="D340" s="1" t="s">
        <v>337</v>
      </c>
      <c r="E340" s="88">
        <v>23000</v>
      </c>
      <c r="G340" t="str">
        <f>+B340</f>
        <v>Caja 1 circuito</v>
      </c>
      <c r="H340" t="s">
        <v>76</v>
      </c>
      <c r="I340" s="1" t="str">
        <f>+C340</f>
        <v>UND</v>
      </c>
      <c r="J340" s="1" t="s">
        <v>983</v>
      </c>
      <c r="K340" s="1"/>
      <c r="L340"/>
      <c r="M340" s="4">
        <f>+E340</f>
        <v>23000</v>
      </c>
      <c r="N340" s="31"/>
      <c r="O340" s="31"/>
      <c r="P340" t="s">
        <v>821</v>
      </c>
      <c r="Q340" s="190">
        <f>(SUMIFS('3. CD - Obra negra'!$O$4:$O$344,'3. CD - Obra negra'!$E$4:$E$344,G340))+(SUMIFS('4. CD - Obra gris'!$O$14:$O$74,'4. CD - Obra gris'!$E$14:$E$74,G340))+(SUMIFS('5, CD -Obra blanca'!$O$4:$O$151,'5, CD -Obra blanca'!$E$4:$E$151,G340))</f>
        <v>0</v>
      </c>
      <c r="R340" s="194">
        <f>+Q340*M340</f>
        <v>0</v>
      </c>
      <c r="T340" s="4"/>
      <c r="V340"/>
      <c r="W340"/>
      <c r="Y340"/>
      <c r="AB340"/>
    </row>
    <row r="341" spans="2:28" x14ac:dyDescent="0.25">
      <c r="B341" t="s">
        <v>433</v>
      </c>
      <c r="C341" s="87" t="s">
        <v>126</v>
      </c>
      <c r="D341" s="1" t="s">
        <v>337</v>
      </c>
      <c r="E341" s="88">
        <v>13000</v>
      </c>
      <c r="G341" t="str">
        <f t="shared" si="47"/>
        <v>Breaker 20A</v>
      </c>
      <c r="H341" t="s">
        <v>76</v>
      </c>
      <c r="I341" s="1" t="str">
        <f t="shared" si="48"/>
        <v>UND</v>
      </c>
      <c r="J341" s="1" t="s">
        <v>984</v>
      </c>
      <c r="K341" s="1"/>
      <c r="L341"/>
      <c r="M341" s="4">
        <f t="shared" si="49"/>
        <v>13000</v>
      </c>
      <c r="N341" s="31"/>
      <c r="O341" s="31"/>
      <c r="P341" t="s">
        <v>821</v>
      </c>
      <c r="Q341" s="190">
        <f>(SUMIFS('3. CD - Obra negra'!$O$4:$O$344,'3. CD - Obra negra'!$E$4:$E$344,G341))+(SUMIFS('4. CD - Obra gris'!$O$14:$O$74,'4. CD - Obra gris'!$E$14:$E$74,G341))+(SUMIFS('5, CD -Obra blanca'!$O$4:$O$151,'5, CD -Obra blanca'!$E$4:$E$151,G341))</f>
        <v>18</v>
      </c>
      <c r="R341" s="194">
        <f t="shared" si="50"/>
        <v>234000</v>
      </c>
      <c r="T341" s="4"/>
      <c r="V341"/>
      <c r="W341"/>
      <c r="Y341"/>
      <c r="AB341"/>
    </row>
    <row r="342" spans="2:28" x14ac:dyDescent="0.25">
      <c r="B342" t="s">
        <v>1334</v>
      </c>
      <c r="C342" s="87" t="s">
        <v>126</v>
      </c>
      <c r="D342" s="1" t="s">
        <v>337</v>
      </c>
      <c r="E342" s="88">
        <v>350000</v>
      </c>
      <c r="G342" t="str">
        <f t="shared" si="47"/>
        <v>Ventilador con luz</v>
      </c>
      <c r="H342" t="s">
        <v>76</v>
      </c>
      <c r="I342" s="1" t="str">
        <f t="shared" si="48"/>
        <v>UND</v>
      </c>
      <c r="J342" s="1" t="s">
        <v>1335</v>
      </c>
      <c r="K342" s="1"/>
      <c r="L342"/>
      <c r="M342" s="4">
        <f t="shared" si="49"/>
        <v>350000</v>
      </c>
      <c r="N342" s="31"/>
      <c r="O342" s="31"/>
      <c r="P342" t="s">
        <v>821</v>
      </c>
      <c r="Q342" s="190">
        <f>(SUMIFS('3. CD - Obra negra'!$O$4:$O$344,'3. CD - Obra negra'!$E$4:$E$344,G342))+(SUMIFS('4. CD - Obra gris'!$O$14:$O$74,'4. CD - Obra gris'!$E$14:$E$74,G342))+(SUMIFS('5, CD -Obra blanca'!$O$4:$O$151,'5, CD -Obra blanca'!$E$4:$E$151,G342))</f>
        <v>0</v>
      </c>
      <c r="R342" s="194">
        <f t="shared" si="50"/>
        <v>0</v>
      </c>
      <c r="T342" s="4"/>
      <c r="V342"/>
      <c r="W342"/>
      <c r="Y342"/>
      <c r="AB342"/>
    </row>
    <row r="343" spans="2:28" x14ac:dyDescent="0.25">
      <c r="B343" t="s">
        <v>1356</v>
      </c>
      <c r="C343" s="87" t="s">
        <v>126</v>
      </c>
      <c r="D343" s="1" t="s">
        <v>673</v>
      </c>
      <c r="E343" s="280">
        <v>900</v>
      </c>
      <c r="F343" s="39"/>
      <c r="G343" s="39" t="str">
        <f t="shared" si="47"/>
        <v>curvas cortas pvc 1/2"</v>
      </c>
      <c r="H343" s="39" t="s">
        <v>76</v>
      </c>
      <c r="I343" s="172" t="str">
        <f t="shared" si="48"/>
        <v>UND</v>
      </c>
      <c r="J343" s="172"/>
      <c r="K343" s="172"/>
      <c r="L343" s="39"/>
      <c r="M343" s="281" t="e">
        <f>+[2]!Tabla727482838185[[#This Row],[V. UNITARIO]]</f>
        <v>#REF!</v>
      </c>
      <c r="N343" s="282"/>
      <c r="O343" s="282"/>
      <c r="P343" s="39" t="s">
        <v>821</v>
      </c>
      <c r="Q343" s="190">
        <f>(SUMIFS('3. CD - Obra negra'!$O$4:$O$344,'3. CD - Obra negra'!$E$4:$E$344,G343))+(SUMIFS('4. CD - Obra gris'!$O$14:$O$74,'4. CD - Obra gris'!$E$14:$E$74,G343))+(SUMIFS('5, CD -Obra blanca'!$O$4:$O$151,'5, CD -Obra blanca'!$E$4:$E$151,G343))</f>
        <v>230</v>
      </c>
      <c r="R343" s="283" t="e">
        <f t="shared" si="50"/>
        <v>#REF!</v>
      </c>
      <c r="T343" s="4"/>
      <c r="V343"/>
      <c r="W343"/>
      <c r="Y343"/>
      <c r="AB343"/>
    </row>
    <row r="344" spans="2:28" x14ac:dyDescent="0.25">
      <c r="B344" t="s">
        <v>1517</v>
      </c>
      <c r="C344" s="87" t="s">
        <v>126</v>
      </c>
      <c r="D344" s="1" t="s">
        <v>673</v>
      </c>
      <c r="E344" s="280">
        <v>3700</v>
      </c>
      <c r="G344" t="str">
        <f t="shared" si="47"/>
        <v>curvas cortas pvc 3/4"</v>
      </c>
      <c r="H344" t="s">
        <v>76</v>
      </c>
      <c r="I344" s="1" t="str">
        <f t="shared" si="48"/>
        <v>UND</v>
      </c>
      <c r="J344" s="1" t="s">
        <v>885</v>
      </c>
      <c r="K344" s="1"/>
      <c r="L344"/>
      <c r="M344" s="279" t="e">
        <f>+[1]!Tabla727482838185[[#This Row],[V. UNITARIO]]</f>
        <v>#REF!</v>
      </c>
      <c r="N344" s="284"/>
      <c r="O344" s="284"/>
      <c r="P344" t="s">
        <v>821</v>
      </c>
      <c r="Q344" s="190">
        <f>(SUMIFS('3. CD - Obra negra'!$O$4:$O$344,'3. CD - Obra negra'!$E$4:$E$344,G344))+(SUMIFS('4. CD - Obra gris'!$O$14:$O$74,'4. CD - Obra gris'!$E$14:$E$74,G344))+(SUMIFS('5, CD -Obra blanca'!$O$4:$O$151,'5, CD -Obra blanca'!$E$4:$E$151,G344))</f>
        <v>0</v>
      </c>
      <c r="R344" s="194" t="e">
        <f t="shared" si="50"/>
        <v>#REF!</v>
      </c>
      <c r="T344" s="285"/>
      <c r="U344" s="285"/>
      <c r="V344"/>
      <c r="W344"/>
      <c r="Y344"/>
      <c r="AB344"/>
    </row>
    <row r="345" spans="2:28" x14ac:dyDescent="0.25">
      <c r="D345" s="1"/>
      <c r="I345" s="1"/>
      <c r="L345"/>
      <c r="M345" s="4"/>
      <c r="N345" s="31"/>
      <c r="O345" s="31"/>
      <c r="R345"/>
      <c r="T345" s="4"/>
      <c r="V345"/>
      <c r="W345"/>
      <c r="Y345"/>
      <c r="AB345"/>
    </row>
    <row r="346" spans="2:28" x14ac:dyDescent="0.25">
      <c r="B346" s="299" t="s">
        <v>722</v>
      </c>
      <c r="C346" s="299"/>
      <c r="D346" s="299"/>
      <c r="E346" s="299"/>
      <c r="G346" s="299" t="s">
        <v>722</v>
      </c>
      <c r="H346" s="299"/>
      <c r="I346" s="299"/>
      <c r="J346" s="299"/>
      <c r="K346" s="299"/>
      <c r="L346" s="299"/>
      <c r="M346" s="299"/>
      <c r="N346" s="299"/>
      <c r="O346" s="299"/>
      <c r="P346" s="299"/>
      <c r="Q346" s="299"/>
      <c r="R346" s="299"/>
      <c r="S346" s="299"/>
      <c r="T346" s="4"/>
      <c r="V346"/>
      <c r="W346"/>
      <c r="Y346"/>
      <c r="AB346"/>
    </row>
    <row r="347" spans="2:28" x14ac:dyDescent="0.25">
      <c r="B347" t="s">
        <v>246</v>
      </c>
      <c r="C347" t="s">
        <v>248</v>
      </c>
      <c r="D347" s="1" t="s">
        <v>261</v>
      </c>
      <c r="E347" s="4" t="s">
        <v>249</v>
      </c>
      <c r="G347" s="191" t="s">
        <v>798</v>
      </c>
      <c r="H347" s="191" t="s">
        <v>799</v>
      </c>
      <c r="I347" s="191" t="s">
        <v>800</v>
      </c>
      <c r="J347" s="191" t="s">
        <v>815</v>
      </c>
      <c r="K347" s="191"/>
      <c r="L347" s="191" t="s">
        <v>816</v>
      </c>
      <c r="M347" s="192" t="s">
        <v>817</v>
      </c>
      <c r="N347" s="192" t="s">
        <v>818</v>
      </c>
      <c r="O347" s="192" t="s">
        <v>819</v>
      </c>
      <c r="P347" s="191" t="s">
        <v>820</v>
      </c>
      <c r="Q347" s="193" t="s">
        <v>847</v>
      </c>
      <c r="R347" s="191" t="s">
        <v>85</v>
      </c>
      <c r="S347" s="195">
        <f>+SUM(R348:R351)</f>
        <v>3245340</v>
      </c>
      <c r="T347" s="4"/>
      <c r="V347"/>
      <c r="W347"/>
      <c r="Y347"/>
      <c r="AB347"/>
    </row>
    <row r="348" spans="2:28" x14ac:dyDescent="0.25">
      <c r="B348" t="s">
        <v>414</v>
      </c>
      <c r="C348" s="77" t="s">
        <v>335</v>
      </c>
      <c r="D348" s="1" t="s">
        <v>722</v>
      </c>
      <c r="E348" s="78">
        <v>25000</v>
      </c>
      <c r="G348" t="str">
        <f>+B348</f>
        <v>Viga canal amazonas</v>
      </c>
      <c r="H348" t="s">
        <v>76</v>
      </c>
      <c r="I348" s="1" t="str">
        <f>+C348</f>
        <v>ML</v>
      </c>
      <c r="J348" s="1" t="s">
        <v>985</v>
      </c>
      <c r="K348" s="1"/>
      <c r="L348"/>
      <c r="M348" s="4">
        <f>+E348</f>
        <v>25000</v>
      </c>
      <c r="N348" s="31"/>
      <c r="O348" s="31"/>
      <c r="P348" t="s">
        <v>821</v>
      </c>
      <c r="Q348" s="190">
        <f>(SUMIFS('3. CD - Obra negra'!$O$4:$O$344,'3. CD - Obra negra'!$E$4:$E$344,G348))+(SUMIFS('4. CD - Obra gris'!$O$14:$O$74,'4. CD - Obra gris'!$E$14:$E$74,G348))+(SUMIFS('5, CD -Obra blanca'!$O$4:$O$151,'5, CD -Obra blanca'!$E$4:$E$151,G348))</f>
        <v>60.984000000000002</v>
      </c>
      <c r="R348" s="194">
        <f>+Q348*M348</f>
        <v>1524600</v>
      </c>
      <c r="T348" s="4"/>
      <c r="V348"/>
      <c r="W348"/>
      <c r="Y348"/>
      <c r="AB348"/>
    </row>
    <row r="349" spans="2:28" x14ac:dyDescent="0.25">
      <c r="B349" t="s">
        <v>415</v>
      </c>
      <c r="C349" s="77" t="s">
        <v>126</v>
      </c>
      <c r="D349" s="1" t="s">
        <v>722</v>
      </c>
      <c r="E349" s="78">
        <v>20000</v>
      </c>
      <c r="G349" t="str">
        <f>+B349</f>
        <v>Unión bajante amazonas</v>
      </c>
      <c r="H349" t="s">
        <v>76</v>
      </c>
      <c r="I349" s="1" t="str">
        <f>+C349</f>
        <v>UND</v>
      </c>
      <c r="J349" s="1" t="s">
        <v>986</v>
      </c>
      <c r="K349" s="1"/>
      <c r="L349"/>
      <c r="M349" s="4">
        <f>+E349</f>
        <v>20000</v>
      </c>
      <c r="N349" s="31"/>
      <c r="O349" s="31"/>
      <c r="P349" t="s">
        <v>821</v>
      </c>
      <c r="Q349" s="190">
        <f>(SUMIFS('3. CD - Obra negra'!$O$4:$O$344,'3. CD - Obra negra'!$E$4:$E$344,G349))+(SUMIFS('4. CD - Obra gris'!$O$14:$O$74,'4. CD - Obra gris'!$E$14:$E$74,G349))+(SUMIFS('5, CD -Obra blanca'!$O$4:$O$151,'5, CD -Obra blanca'!$E$4:$E$151,G349))</f>
        <v>20.327999999999999</v>
      </c>
      <c r="R349" s="194">
        <f>+Q349*M349</f>
        <v>406560</v>
      </c>
      <c r="T349" s="4"/>
      <c r="V349"/>
      <c r="W349"/>
      <c r="Y349"/>
      <c r="AB349"/>
    </row>
    <row r="350" spans="2:28" x14ac:dyDescent="0.25">
      <c r="B350" t="s">
        <v>416</v>
      </c>
      <c r="C350" s="77" t="s">
        <v>126</v>
      </c>
      <c r="D350" s="1" t="s">
        <v>722</v>
      </c>
      <c r="E350" s="78">
        <v>10000</v>
      </c>
      <c r="G350" t="str">
        <f>+B350</f>
        <v>Soporte canal amazonas</v>
      </c>
      <c r="H350" t="s">
        <v>76</v>
      </c>
      <c r="I350" s="1" t="str">
        <f>+C350</f>
        <v>UND</v>
      </c>
      <c r="J350" s="1" t="s">
        <v>987</v>
      </c>
      <c r="K350" s="1"/>
      <c r="L350"/>
      <c r="M350" s="4">
        <f>+E350</f>
        <v>10000</v>
      </c>
      <c r="N350" s="31"/>
      <c r="O350" s="31"/>
      <c r="P350" t="s">
        <v>821</v>
      </c>
      <c r="Q350" s="190">
        <f>(SUMIFS('3. CD - Obra negra'!$O$4:$O$344,'3. CD - Obra negra'!$E$4:$E$344,G350))+(SUMIFS('4. CD - Obra gris'!$O$14:$O$74,'4. CD - Obra gris'!$E$14:$E$74,G350))+(SUMIFS('5, CD -Obra blanca'!$O$4:$O$151,'5, CD -Obra blanca'!$E$4:$E$151,G350))</f>
        <v>121.968</v>
      </c>
      <c r="R350" s="194">
        <f>+Q350*M350</f>
        <v>1219680</v>
      </c>
      <c r="T350" s="4"/>
      <c r="V350"/>
      <c r="W350"/>
      <c r="Y350"/>
      <c r="AB350"/>
    </row>
    <row r="351" spans="2:28" x14ac:dyDescent="0.25">
      <c r="B351" t="s">
        <v>417</v>
      </c>
      <c r="C351" s="77" t="s">
        <v>335</v>
      </c>
      <c r="D351" s="1" t="s">
        <v>722</v>
      </c>
      <c r="E351" s="78">
        <v>9000</v>
      </c>
      <c r="G351" t="str">
        <f>+B351</f>
        <v>Cadena plástica bajante</v>
      </c>
      <c r="H351" t="s">
        <v>76</v>
      </c>
      <c r="I351" s="1" t="str">
        <f>+C351</f>
        <v>ML</v>
      </c>
      <c r="J351" s="1" t="s">
        <v>988</v>
      </c>
      <c r="K351" s="1"/>
      <c r="L351"/>
      <c r="M351" s="4">
        <f>+E351</f>
        <v>9000</v>
      </c>
      <c r="N351" s="31"/>
      <c r="O351" s="31"/>
      <c r="P351" t="s">
        <v>821</v>
      </c>
      <c r="Q351" s="190">
        <f>(SUMIFS('3. CD - Obra negra'!$O$4:$O$344,'3. CD - Obra negra'!$E$4:$E$344,G351))+(SUMIFS('4. CD - Obra gris'!$O$14:$O$74,'4. CD - Obra gris'!$E$14:$E$74,G351))+(SUMIFS('5, CD -Obra blanca'!$O$4:$O$151,'5, CD -Obra blanca'!$E$4:$E$151,G351))</f>
        <v>10.5</v>
      </c>
      <c r="R351" s="194">
        <f>+Q351*M351</f>
        <v>94500</v>
      </c>
      <c r="T351" s="4"/>
      <c r="V351"/>
      <c r="W351"/>
      <c r="Y351"/>
      <c r="AB351"/>
    </row>
    <row r="352" spans="2:28" x14ac:dyDescent="0.25">
      <c r="B352" t="s">
        <v>1318</v>
      </c>
      <c r="C352" s="87" t="s">
        <v>335</v>
      </c>
      <c r="D352" s="1" t="s">
        <v>722</v>
      </c>
      <c r="E352" s="88">
        <f>180000/2.4</f>
        <v>75000</v>
      </c>
      <c r="G352" t="str">
        <f>+B352</f>
        <v>Lámina galvanizada cal. 18</v>
      </c>
      <c r="H352" t="s">
        <v>76</v>
      </c>
      <c r="I352" s="1" t="str">
        <f>+C352</f>
        <v>ML</v>
      </c>
      <c r="J352" s="1" t="s">
        <v>1319</v>
      </c>
      <c r="K352" s="1"/>
      <c r="L352"/>
      <c r="M352" s="4">
        <f>+E352</f>
        <v>75000</v>
      </c>
      <c r="N352" s="31"/>
      <c r="O352" s="31"/>
      <c r="P352" t="s">
        <v>821</v>
      </c>
      <c r="Q352" s="190">
        <f>(SUMIFS('3. CD - Obra negra'!$O$4:$O$344,'3. CD - Obra negra'!$E$4:$E$344,G352))+(SUMIFS('4. CD - Obra gris'!$O$14:$O$74,'4. CD - Obra gris'!$E$14:$E$74,G352))+(SUMIFS('5, CD -Obra blanca'!$O$4:$O$151,'5, CD -Obra blanca'!$E$4:$E$151,G352))</f>
        <v>0</v>
      </c>
      <c r="R352" s="194">
        <f>+Q352*M352</f>
        <v>0</v>
      </c>
      <c r="T352" s="4"/>
      <c r="V352"/>
      <c r="W352"/>
      <c r="Y352"/>
      <c r="AB352"/>
    </row>
    <row r="353" spans="2:28" x14ac:dyDescent="0.25">
      <c r="C353" s="87"/>
      <c r="D353" s="1"/>
      <c r="E353" s="88"/>
      <c r="I353" s="1"/>
      <c r="L353"/>
      <c r="M353" s="4"/>
      <c r="N353" s="31"/>
      <c r="O353" s="31"/>
      <c r="R353"/>
      <c r="T353" s="4"/>
      <c r="V353"/>
      <c r="W353"/>
      <c r="Y353"/>
      <c r="AB353"/>
    </row>
    <row r="354" spans="2:28" x14ac:dyDescent="0.25">
      <c r="C354" s="87"/>
      <c r="D354" s="1"/>
      <c r="E354" s="88"/>
      <c r="I354" s="1"/>
      <c r="L354"/>
      <c r="M354" s="4"/>
      <c r="N354" s="31"/>
      <c r="O354" s="31"/>
      <c r="R354"/>
      <c r="T354" s="4"/>
      <c r="V354"/>
      <c r="W354"/>
      <c r="Y354"/>
      <c r="AB354"/>
    </row>
    <row r="355" spans="2:28" x14ac:dyDescent="0.25">
      <c r="D355" s="1"/>
      <c r="I355" s="1"/>
      <c r="L355"/>
      <c r="M355" s="4"/>
      <c r="N355" s="31"/>
      <c r="O355" s="31"/>
      <c r="R355"/>
      <c r="T355" s="4"/>
      <c r="V355"/>
      <c r="W355"/>
      <c r="Y355"/>
      <c r="AB355"/>
    </row>
    <row r="356" spans="2:28" x14ac:dyDescent="0.25">
      <c r="B356" s="299" t="s">
        <v>744</v>
      </c>
      <c r="C356" s="299"/>
      <c r="D356" s="299"/>
      <c r="E356" s="299"/>
      <c r="G356" s="299" t="s">
        <v>744</v>
      </c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4"/>
      <c r="V356"/>
      <c r="W356"/>
      <c r="Y356"/>
      <c r="AB356"/>
    </row>
    <row r="357" spans="2:28" x14ac:dyDescent="0.25">
      <c r="B357" t="s">
        <v>246</v>
      </c>
      <c r="C357" t="s">
        <v>248</v>
      </c>
      <c r="D357" s="1" t="s">
        <v>261</v>
      </c>
      <c r="E357" s="4" t="s">
        <v>249</v>
      </c>
      <c r="G357" s="191" t="s">
        <v>798</v>
      </c>
      <c r="H357" s="191" t="s">
        <v>799</v>
      </c>
      <c r="I357" s="191" t="s">
        <v>800</v>
      </c>
      <c r="J357" s="191" t="s">
        <v>815</v>
      </c>
      <c r="K357" s="191"/>
      <c r="L357" s="191" t="s">
        <v>816</v>
      </c>
      <c r="M357" s="192" t="s">
        <v>817</v>
      </c>
      <c r="N357" s="192" t="s">
        <v>818</v>
      </c>
      <c r="O357" s="192" t="s">
        <v>819</v>
      </c>
      <c r="P357" s="191" t="s">
        <v>820</v>
      </c>
      <c r="Q357" s="193" t="s">
        <v>847</v>
      </c>
      <c r="R357" s="191" t="s">
        <v>85</v>
      </c>
      <c r="S357" s="195">
        <f>+SUM(R358:R362)</f>
        <v>0</v>
      </c>
      <c r="T357" s="4"/>
      <c r="V357"/>
      <c r="W357"/>
      <c r="Y357"/>
      <c r="AB357"/>
    </row>
    <row r="358" spans="2:28" x14ac:dyDescent="0.25">
      <c r="B358" t="s">
        <v>782</v>
      </c>
      <c r="C358" s="77" t="s">
        <v>335</v>
      </c>
      <c r="D358" s="1" t="s">
        <v>744</v>
      </c>
      <c r="E358" s="78">
        <v>10000</v>
      </c>
      <c r="G358" t="str">
        <f>+B358</f>
        <v>Manguera gas</v>
      </c>
      <c r="H358" t="s">
        <v>76</v>
      </c>
      <c r="I358" s="1" t="str">
        <f>+C358</f>
        <v>ML</v>
      </c>
      <c r="J358" s="1" t="s">
        <v>832</v>
      </c>
      <c r="K358" s="1"/>
      <c r="L358"/>
      <c r="M358" s="4">
        <f>+E358</f>
        <v>10000</v>
      </c>
      <c r="N358" s="31"/>
      <c r="O358" s="31"/>
      <c r="P358" t="s">
        <v>821</v>
      </c>
      <c r="Q358" s="190">
        <f>(SUMIFS('3. CD - Obra negra'!$O$4:$O$344,'3. CD - Obra negra'!$E$4:$E$344,G358))+(SUMIFS('4. CD - Obra gris'!$O$14:$O$74,'4. CD - Obra gris'!$E$14:$E$74,G358))+(SUMIFS('5, CD -Obra blanca'!$O$4:$O$151,'5, CD -Obra blanca'!$E$4:$E$151,G358))</f>
        <v>0</v>
      </c>
      <c r="R358" s="194">
        <f>+Q358*M358</f>
        <v>0</v>
      </c>
      <c r="T358" s="4"/>
      <c r="V358"/>
      <c r="W358"/>
      <c r="Y358"/>
      <c r="AB358"/>
    </row>
    <row r="359" spans="2:28" x14ac:dyDescent="0.25">
      <c r="B359" t="s">
        <v>473</v>
      </c>
      <c r="C359" s="77" t="s">
        <v>126</v>
      </c>
      <c r="D359" s="1" t="s">
        <v>744</v>
      </c>
      <c r="E359" s="88">
        <v>150000</v>
      </c>
      <c r="G359" t="str">
        <f>+B359</f>
        <v>Cilindro gas propano 20lb</v>
      </c>
      <c r="H359" t="s">
        <v>76</v>
      </c>
      <c r="I359" s="1" t="str">
        <f>+C359</f>
        <v>UND</v>
      </c>
      <c r="J359" s="1" t="s">
        <v>989</v>
      </c>
      <c r="K359" s="1"/>
      <c r="L359"/>
      <c r="M359" s="4">
        <f>+E359</f>
        <v>150000</v>
      </c>
      <c r="N359" s="31"/>
      <c r="O359" s="31"/>
      <c r="P359" t="s">
        <v>821</v>
      </c>
      <c r="Q359" s="190">
        <f>(SUMIFS('3. CD - Obra negra'!$O$4:$O$344,'3. CD - Obra negra'!$E$4:$E$344,G359))+(SUMIFS('4. CD - Obra gris'!$O$14:$O$74,'4. CD - Obra gris'!$E$14:$E$74,G359))+(SUMIFS('5, CD -Obra blanca'!$O$4:$O$151,'5, CD -Obra blanca'!$E$4:$E$151,G359))</f>
        <v>0</v>
      </c>
      <c r="R359" s="194">
        <f>+Q359*M359</f>
        <v>0</v>
      </c>
      <c r="T359" s="4"/>
      <c r="V359"/>
      <c r="W359"/>
      <c r="Y359"/>
      <c r="AB359"/>
    </row>
    <row r="360" spans="2:28" x14ac:dyDescent="0.25">
      <c r="B360" t="s">
        <v>474</v>
      </c>
      <c r="C360" s="77" t="s">
        <v>126</v>
      </c>
      <c r="D360" s="1" t="s">
        <v>744</v>
      </c>
      <c r="E360" s="88">
        <v>600000</v>
      </c>
      <c r="G360" t="str">
        <f>+B360</f>
        <v>Calentador paso a gas 6lt</v>
      </c>
      <c r="H360" t="s">
        <v>76</v>
      </c>
      <c r="I360" s="1" t="str">
        <f>+C360</f>
        <v>UND</v>
      </c>
      <c r="J360" s="1" t="s">
        <v>990</v>
      </c>
      <c r="K360" s="1"/>
      <c r="L360"/>
      <c r="M360" s="4">
        <f>+E360</f>
        <v>600000</v>
      </c>
      <c r="N360" s="31"/>
      <c r="O360" s="31"/>
      <c r="P360" t="s">
        <v>821</v>
      </c>
      <c r="Q360" s="190">
        <f>(SUMIFS('3. CD - Obra negra'!$O$4:$O$344,'3. CD - Obra negra'!$E$4:$E$344,G360))+(SUMIFS('4. CD - Obra gris'!$O$14:$O$74,'4. CD - Obra gris'!$E$14:$E$74,G360))+(SUMIFS('5, CD -Obra blanca'!$O$4:$O$151,'5, CD -Obra blanca'!$E$4:$E$151,G360))</f>
        <v>0</v>
      </c>
      <c r="R360" s="194">
        <f>+Q360*M360</f>
        <v>0</v>
      </c>
      <c r="T360" s="4"/>
      <c r="V360"/>
      <c r="W360"/>
      <c r="Y360"/>
      <c r="AB360"/>
    </row>
    <row r="361" spans="2:28" x14ac:dyDescent="0.25">
      <c r="B361" t="s">
        <v>475</v>
      </c>
      <c r="C361" s="77" t="s">
        <v>126</v>
      </c>
      <c r="D361" s="1" t="s">
        <v>744</v>
      </c>
      <c r="E361" s="88">
        <v>55000</v>
      </c>
      <c r="G361" t="str">
        <f>+B361</f>
        <v>Conector flexometálico para gas 1,5m</v>
      </c>
      <c r="H361" t="s">
        <v>76</v>
      </c>
      <c r="I361" s="1" t="str">
        <f>+C361</f>
        <v>UND</v>
      </c>
      <c r="J361" s="1" t="s">
        <v>991</v>
      </c>
      <c r="K361" s="1"/>
      <c r="L361"/>
      <c r="M361" s="4">
        <f>+E361</f>
        <v>55000</v>
      </c>
      <c r="N361" s="31"/>
      <c r="O361" s="31"/>
      <c r="P361" t="s">
        <v>821</v>
      </c>
      <c r="Q361" s="190">
        <f>(SUMIFS('3. CD - Obra negra'!$O$4:$O$344,'3. CD - Obra negra'!$E$4:$E$344,G361))+(SUMIFS('4. CD - Obra gris'!$O$14:$O$74,'4. CD - Obra gris'!$E$14:$E$74,G361))+(SUMIFS('5, CD -Obra blanca'!$O$4:$O$151,'5, CD -Obra blanca'!$E$4:$E$151,G361))</f>
        <v>0</v>
      </c>
      <c r="R361" s="194">
        <f>+Q361*M361</f>
        <v>0</v>
      </c>
      <c r="T361" s="4"/>
      <c r="V361"/>
      <c r="W361"/>
      <c r="Y361"/>
      <c r="AB361"/>
    </row>
    <row r="362" spans="2:28" x14ac:dyDescent="0.25">
      <c r="B362" t="s">
        <v>476</v>
      </c>
      <c r="C362" s="77" t="s">
        <v>126</v>
      </c>
      <c r="D362" s="1" t="s">
        <v>744</v>
      </c>
      <c r="E362" s="88">
        <v>35000</v>
      </c>
      <c r="G362" t="str">
        <f>+B362</f>
        <v>Regulador gas válvula para manguera</v>
      </c>
      <c r="H362" t="s">
        <v>76</v>
      </c>
      <c r="I362" s="1" t="str">
        <f>+C362</f>
        <v>UND</v>
      </c>
      <c r="J362" s="1" t="s">
        <v>992</v>
      </c>
      <c r="K362" s="1"/>
      <c r="L362"/>
      <c r="M362" s="4">
        <f>+E362</f>
        <v>35000</v>
      </c>
      <c r="N362" s="31"/>
      <c r="O362" s="31"/>
      <c r="P362" t="s">
        <v>821</v>
      </c>
      <c r="Q362" s="190">
        <f>(SUMIFS('3. CD - Obra negra'!$O$4:$O$344,'3. CD - Obra negra'!$E$4:$E$344,G362))+(SUMIFS('4. CD - Obra gris'!$O$14:$O$74,'4. CD - Obra gris'!$E$14:$E$74,G362))+(SUMIFS('5, CD -Obra blanca'!$O$4:$O$151,'5, CD -Obra blanca'!$E$4:$E$151,G362))</f>
        <v>0</v>
      </c>
      <c r="R362" s="194">
        <f>+Q362*M362</f>
        <v>0</v>
      </c>
      <c r="T362" s="4"/>
      <c r="V362"/>
      <c r="W362"/>
      <c r="Y362"/>
      <c r="AB362"/>
    </row>
    <row r="363" spans="2:28" x14ac:dyDescent="0.25">
      <c r="C363" s="87"/>
      <c r="D363" s="1"/>
      <c r="E363" s="88"/>
      <c r="I363" s="1"/>
      <c r="L363"/>
      <c r="M363" s="4"/>
      <c r="N363" s="31"/>
      <c r="O363" s="31"/>
      <c r="R363"/>
      <c r="T363" s="4"/>
      <c r="V363"/>
      <c r="W363"/>
      <c r="Y363"/>
      <c r="AB363"/>
    </row>
    <row r="364" spans="2:28" x14ac:dyDescent="0.25">
      <c r="C364" s="87"/>
      <c r="D364" s="1"/>
      <c r="E364" s="88"/>
      <c r="I364" s="1"/>
      <c r="L364"/>
      <c r="M364" s="4"/>
      <c r="N364" s="31"/>
      <c r="O364" s="31"/>
      <c r="R364"/>
      <c r="T364" s="4"/>
      <c r="V364"/>
      <c r="W364"/>
      <c r="Y364"/>
      <c r="AB364"/>
    </row>
    <row r="365" spans="2:28" x14ac:dyDescent="0.25">
      <c r="D365" s="1"/>
      <c r="I365" s="1"/>
      <c r="L365"/>
      <c r="M365" s="4"/>
      <c r="N365" s="31"/>
      <c r="O365" s="31"/>
      <c r="R365"/>
      <c r="T365" s="4"/>
      <c r="V365"/>
      <c r="W365"/>
      <c r="Y365"/>
      <c r="AB365"/>
    </row>
    <row r="366" spans="2:28" x14ac:dyDescent="0.25">
      <c r="D366" s="1"/>
      <c r="I366" s="1"/>
      <c r="L366"/>
      <c r="M366" s="4"/>
      <c r="N366" s="31"/>
      <c r="O366" s="31"/>
      <c r="R366"/>
      <c r="T366" s="4"/>
      <c r="V366"/>
      <c r="W366"/>
      <c r="Y366"/>
      <c r="AB366"/>
    </row>
    <row r="367" spans="2:28" x14ac:dyDescent="0.25">
      <c r="B367" s="299" t="s">
        <v>252</v>
      </c>
      <c r="C367" s="299"/>
      <c r="D367" s="299"/>
      <c r="E367" s="299"/>
      <c r="G367" s="299" t="s">
        <v>252</v>
      </c>
      <c r="H367" s="299"/>
      <c r="I367" s="299"/>
      <c r="J367" s="299"/>
      <c r="K367" s="299"/>
      <c r="L367" s="299"/>
      <c r="M367" s="299"/>
      <c r="N367" s="299"/>
      <c r="O367" s="299"/>
      <c r="P367" s="299"/>
      <c r="Q367" s="299"/>
      <c r="R367" s="299"/>
      <c r="S367" s="299"/>
      <c r="T367" s="299"/>
      <c r="V367"/>
      <c r="W367"/>
      <c r="Y367"/>
      <c r="AB367"/>
    </row>
    <row r="368" spans="2:28" x14ac:dyDescent="0.25">
      <c r="B368" s="299" t="s">
        <v>668</v>
      </c>
      <c r="C368" s="299"/>
      <c r="D368" s="299"/>
      <c r="E368" s="299"/>
      <c r="G368" s="299" t="s">
        <v>668</v>
      </c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t="s">
        <v>936</v>
      </c>
      <c r="S368" s="198">
        <f>+S369+S381+S389+S404</f>
        <v>39.205333333333336</v>
      </c>
      <c r="T368" t="s">
        <v>254</v>
      </c>
      <c r="U368" s="4">
        <f>+U369+U381+U389+U404</f>
        <v>9466600</v>
      </c>
      <c r="V368"/>
      <c r="W368"/>
      <c r="Y368"/>
      <c r="AB368"/>
    </row>
    <row r="369" spans="2:28" x14ac:dyDescent="0.25">
      <c r="B369" s="299" t="s">
        <v>739</v>
      </c>
      <c r="C369" s="299"/>
      <c r="D369" s="299"/>
      <c r="E369" s="299"/>
      <c r="G369" s="299" t="s">
        <v>739</v>
      </c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t="s">
        <v>848</v>
      </c>
      <c r="S369" s="198">
        <f>+SUM(S371:S376)</f>
        <v>12.5</v>
      </c>
      <c r="T369" t="s">
        <v>250</v>
      </c>
      <c r="U369" s="4">
        <f>+SUM(U371:U376)</f>
        <v>2340000</v>
      </c>
      <c r="V369"/>
      <c r="W369"/>
      <c r="Y369"/>
      <c r="AB369"/>
    </row>
    <row r="370" spans="2:28" x14ac:dyDescent="0.25">
      <c r="B370" t="s">
        <v>246</v>
      </c>
      <c r="C370" s="1" t="s">
        <v>248</v>
      </c>
      <c r="D370" s="1" t="s">
        <v>261</v>
      </c>
      <c r="E370" s="4" t="s">
        <v>249</v>
      </c>
      <c r="G370" s="191" t="s">
        <v>798</v>
      </c>
      <c r="H370" s="191" t="s">
        <v>799</v>
      </c>
      <c r="I370" s="191" t="s">
        <v>800</v>
      </c>
      <c r="J370" s="191" t="s">
        <v>815</v>
      </c>
      <c r="K370" s="191"/>
      <c r="L370" s="191" t="s">
        <v>816</v>
      </c>
      <c r="M370" s="192" t="s">
        <v>817</v>
      </c>
      <c r="N370" s="192" t="s">
        <v>818</v>
      </c>
      <c r="O370" s="192" t="s">
        <v>819</v>
      </c>
      <c r="P370" s="191" t="s">
        <v>820</v>
      </c>
      <c r="Q370" s="193" t="s">
        <v>847</v>
      </c>
      <c r="R370" s="191" t="s">
        <v>937</v>
      </c>
      <c r="S370" s="191" t="s">
        <v>848</v>
      </c>
      <c r="T370" s="200" t="s">
        <v>994</v>
      </c>
      <c r="U370" s="200" t="s">
        <v>250</v>
      </c>
      <c r="V370"/>
      <c r="W370"/>
      <c r="Y370"/>
      <c r="AB370"/>
    </row>
    <row r="371" spans="2:28" x14ac:dyDescent="0.25">
      <c r="B371" t="s">
        <v>329</v>
      </c>
      <c r="C371" s="1" t="s">
        <v>336</v>
      </c>
      <c r="D371" s="1" t="s">
        <v>670</v>
      </c>
      <c r="E371" s="4">
        <v>55000</v>
      </c>
      <c r="G371" t="str">
        <f t="shared" ref="G371:G376" si="51">+B371</f>
        <v>Punto hidráulico</v>
      </c>
      <c r="H371" t="s">
        <v>938</v>
      </c>
      <c r="I371" s="1" t="str">
        <f t="shared" ref="I371:I376" si="52">+C371</f>
        <v>PTO</v>
      </c>
      <c r="J371" s="1" t="s">
        <v>995</v>
      </c>
      <c r="K371" s="1"/>
      <c r="L371"/>
      <c r="M371" s="4">
        <f t="shared" ref="M371:M376" si="53">+(U371/S371)/8</f>
        <v>27500</v>
      </c>
      <c r="N371" s="31"/>
      <c r="O371" s="31"/>
      <c r="P371" t="s">
        <v>821</v>
      </c>
      <c r="Q371" s="190">
        <f>(SUMIFS('3. CD - Obra negra'!$O$4:$O$344,'3. CD - Obra negra'!$E$4:$E$344,G371))+(SUMIFS('4. CD - Obra gris'!$O$14:$O$74,'4. CD - Obra gris'!$E$14:$E$74,G371))+(SUMIFS('5, CD -Obra blanca'!$O$4:$O$151,'5, CD -Obra blanca'!$E$4:$E$151,G371))</f>
        <v>23</v>
      </c>
      <c r="R371">
        <v>4</v>
      </c>
      <c r="S371" s="42">
        <f t="shared" ref="S371:S376" si="54">+Q371/R371</f>
        <v>5.75</v>
      </c>
      <c r="T371" s="4">
        <f t="shared" ref="T371:T376" si="55">+E371</f>
        <v>55000</v>
      </c>
      <c r="U371" s="4">
        <f t="shared" ref="U371:U376" si="56">+T371*Q371</f>
        <v>1265000</v>
      </c>
      <c r="V371"/>
      <c r="W371"/>
      <c r="Y371"/>
      <c r="AB371"/>
    </row>
    <row r="372" spans="2:28" x14ac:dyDescent="0.25">
      <c r="B372" t="s">
        <v>731</v>
      </c>
      <c r="C372" s="1" t="s">
        <v>335</v>
      </c>
      <c r="D372" s="1" t="s">
        <v>670</v>
      </c>
      <c r="E372" s="4">
        <v>15000</v>
      </c>
      <c r="G372" t="str">
        <f t="shared" si="51"/>
        <v>Acometida potable</v>
      </c>
      <c r="H372" t="s">
        <v>938</v>
      </c>
      <c r="I372" s="1" t="str">
        <f t="shared" si="52"/>
        <v>ML</v>
      </c>
      <c r="J372" s="1" t="s">
        <v>996</v>
      </c>
      <c r="K372" s="1"/>
      <c r="L372"/>
      <c r="M372" s="4">
        <f t="shared" si="53"/>
        <v>28125</v>
      </c>
      <c r="N372" s="31"/>
      <c r="O372" s="31"/>
      <c r="P372" t="s">
        <v>821</v>
      </c>
      <c r="Q372" s="190">
        <f>(SUMIFS('3. CD - Obra negra'!$O$4:$O$344,'3. CD - Obra negra'!$E$4:$E$344,G372))+(SUMIFS('4. CD - Obra gris'!$O$14:$O$74,'4. CD - Obra gris'!$E$14:$E$74,G372))+(SUMIFS('5, CD -Obra blanca'!$O$4:$O$151,'5, CD -Obra blanca'!$E$4:$E$151,G372))</f>
        <v>15</v>
      </c>
      <c r="R372">
        <v>15</v>
      </c>
      <c r="S372" s="42">
        <f t="shared" si="54"/>
        <v>1</v>
      </c>
      <c r="T372" s="4">
        <f t="shared" si="55"/>
        <v>15000</v>
      </c>
      <c r="U372" s="4">
        <f t="shared" si="56"/>
        <v>225000</v>
      </c>
      <c r="V372"/>
      <c r="W372"/>
      <c r="Y372"/>
      <c r="AB372"/>
    </row>
    <row r="373" spans="2:28" x14ac:dyDescent="0.25">
      <c r="B373" t="s">
        <v>732</v>
      </c>
      <c r="C373" s="1" t="s">
        <v>126</v>
      </c>
      <c r="D373" s="1" t="s">
        <v>670</v>
      </c>
      <c r="E373" s="4">
        <v>35000</v>
      </c>
      <c r="G373" t="str">
        <f t="shared" si="51"/>
        <v>Instalación aparato</v>
      </c>
      <c r="H373" t="s">
        <v>938</v>
      </c>
      <c r="I373" s="1" t="str">
        <f t="shared" si="52"/>
        <v>UND</v>
      </c>
      <c r="J373" s="1" t="s">
        <v>997</v>
      </c>
      <c r="K373" s="1"/>
      <c r="L373"/>
      <c r="M373" s="4">
        <f t="shared" si="53"/>
        <v>17500</v>
      </c>
      <c r="N373" s="31"/>
      <c r="O373" s="31"/>
      <c r="P373" t="s">
        <v>821</v>
      </c>
      <c r="Q373" s="190">
        <f>(SUMIFS('3. CD - Obra negra'!$O$4:$O$344,'3. CD - Obra negra'!$E$4:$E$344,G373))+(SUMIFS('4. CD - Obra gris'!$O$14:$O$74,'4. CD - Obra gris'!$E$14:$E$74,G373))+(SUMIFS('5, CD -Obra blanca'!$O$4:$O$151,'5, CD -Obra blanca'!$E$4:$E$151,G373))</f>
        <v>20</v>
      </c>
      <c r="R373">
        <v>4</v>
      </c>
      <c r="S373" s="42">
        <f t="shared" si="54"/>
        <v>5</v>
      </c>
      <c r="T373" s="4">
        <f t="shared" si="55"/>
        <v>35000</v>
      </c>
      <c r="U373" s="4">
        <f t="shared" si="56"/>
        <v>700000</v>
      </c>
      <c r="V373"/>
      <c r="W373"/>
      <c r="Y373"/>
      <c r="AB373"/>
    </row>
    <row r="374" spans="2:28" x14ac:dyDescent="0.25">
      <c r="B374" t="s">
        <v>736</v>
      </c>
      <c r="C374" s="1" t="s">
        <v>336</v>
      </c>
      <c r="D374" s="1" t="s">
        <v>670</v>
      </c>
      <c r="E374" s="4">
        <v>150000</v>
      </c>
      <c r="G374" t="str">
        <f t="shared" si="51"/>
        <v>Conexión tanque</v>
      </c>
      <c r="H374" t="s">
        <v>938</v>
      </c>
      <c r="I374" s="1" t="str">
        <f t="shared" si="52"/>
        <v>PTO</v>
      </c>
      <c r="J374" s="1" t="s">
        <v>1009</v>
      </c>
      <c r="K374" s="1"/>
      <c r="L374"/>
      <c r="M374" s="4" t="e">
        <f t="shared" si="53"/>
        <v>#DIV/0!</v>
      </c>
      <c r="N374" s="31"/>
      <c r="O374" s="31"/>
      <c r="P374" t="s">
        <v>821</v>
      </c>
      <c r="Q374" s="190">
        <f>(SUMIFS('3. CD - Obra negra'!$O$4:$O$344,'3. CD - Obra negra'!$E$4:$E$344,G374))+(SUMIFS('4. CD - Obra gris'!$O$14:$O$74,'4. CD - Obra gris'!$E$14:$E$74,G374))+(SUMIFS('5, CD -Obra blanca'!$O$4:$O$151,'5, CD -Obra blanca'!$E$4:$E$151,G374))</f>
        <v>0</v>
      </c>
      <c r="R374">
        <v>5</v>
      </c>
      <c r="S374" s="42">
        <f t="shared" si="54"/>
        <v>0</v>
      </c>
      <c r="T374" s="4">
        <f t="shared" si="55"/>
        <v>150000</v>
      </c>
      <c r="U374" s="4">
        <f t="shared" si="56"/>
        <v>0</v>
      </c>
      <c r="V374"/>
      <c r="W374"/>
      <c r="Y374"/>
      <c r="AB374"/>
    </row>
    <row r="375" spans="2:28" x14ac:dyDescent="0.25">
      <c r="B375" t="s">
        <v>737</v>
      </c>
      <c r="C375" s="1" t="s">
        <v>126</v>
      </c>
      <c r="D375" s="1" t="s">
        <v>670</v>
      </c>
      <c r="E375" s="4">
        <v>30000</v>
      </c>
      <c r="G375" t="str">
        <f t="shared" si="51"/>
        <v>Medidor agua</v>
      </c>
      <c r="H375" t="s">
        <v>938</v>
      </c>
      <c r="I375" s="1" t="str">
        <f t="shared" si="52"/>
        <v>UND</v>
      </c>
      <c r="J375" s="1" t="s">
        <v>998</v>
      </c>
      <c r="K375" s="1"/>
      <c r="L375"/>
      <c r="M375" s="4" t="e">
        <f t="shared" si="53"/>
        <v>#DIV/0!</v>
      </c>
      <c r="N375" s="31"/>
      <c r="O375" s="31"/>
      <c r="P375" t="s">
        <v>821</v>
      </c>
      <c r="Q375" s="190">
        <f>(SUMIFS('3. CD - Obra negra'!$O$4:$O$344,'3. CD - Obra negra'!$E$4:$E$344,G375))+(SUMIFS('4. CD - Obra gris'!$O$14:$O$74,'4. CD - Obra gris'!$E$14:$E$74,G375))+(SUMIFS('5, CD -Obra blanca'!$O$4:$O$151,'5, CD -Obra blanca'!$E$4:$E$151,G375))</f>
        <v>0</v>
      </c>
      <c r="R375">
        <v>5</v>
      </c>
      <c r="S375" s="42">
        <f t="shared" si="54"/>
        <v>0</v>
      </c>
      <c r="T375" s="4">
        <f t="shared" si="55"/>
        <v>30000</v>
      </c>
      <c r="U375" s="4">
        <f t="shared" si="56"/>
        <v>0</v>
      </c>
      <c r="V375"/>
      <c r="W375"/>
      <c r="Y375"/>
      <c r="AB375"/>
    </row>
    <row r="376" spans="2:28" x14ac:dyDescent="0.25">
      <c r="B376" t="s">
        <v>327</v>
      </c>
      <c r="C376" s="1" t="s">
        <v>335</v>
      </c>
      <c r="D376" s="1" t="s">
        <v>670</v>
      </c>
      <c r="E376" s="4">
        <v>10000</v>
      </c>
      <c r="G376" t="str">
        <f t="shared" si="51"/>
        <v>Excavación manual manguera</v>
      </c>
      <c r="H376" t="s">
        <v>938</v>
      </c>
      <c r="I376" s="1" t="str">
        <f t="shared" si="52"/>
        <v>ML</v>
      </c>
      <c r="J376" s="1" t="s">
        <v>999</v>
      </c>
      <c r="K376" s="1"/>
      <c r="L376"/>
      <c r="M376" s="4">
        <f t="shared" si="53"/>
        <v>25000</v>
      </c>
      <c r="N376" s="31"/>
      <c r="O376" s="31"/>
      <c r="P376" t="s">
        <v>821</v>
      </c>
      <c r="Q376" s="190">
        <f>(SUMIFS('3. CD - Obra negra'!$O$4:$O$344,'3. CD - Obra negra'!$E$4:$E$344,G376))+(SUMIFS('4. CD - Obra gris'!$O$14:$O$74,'4. CD - Obra gris'!$E$14:$E$74,G376))+(SUMIFS('5, CD -Obra blanca'!$O$4:$O$151,'5, CD -Obra blanca'!$E$4:$E$151,G376))</f>
        <v>15</v>
      </c>
      <c r="R376">
        <v>20</v>
      </c>
      <c r="S376" s="42">
        <f t="shared" si="54"/>
        <v>0.75</v>
      </c>
      <c r="T376" s="4">
        <f t="shared" si="55"/>
        <v>10000</v>
      </c>
      <c r="U376" s="4">
        <f t="shared" si="56"/>
        <v>150000</v>
      </c>
      <c r="V376"/>
      <c r="W376"/>
      <c r="Y376"/>
      <c r="AB376"/>
    </row>
    <row r="377" spans="2:28" x14ac:dyDescent="0.25">
      <c r="C377" s="1"/>
      <c r="D377" s="1"/>
      <c r="E377" s="4"/>
      <c r="I377" s="1"/>
      <c r="L377"/>
      <c r="M377" s="4"/>
      <c r="N377" s="31"/>
      <c r="O377" s="31"/>
      <c r="R377"/>
      <c r="T377" s="4"/>
      <c r="V377"/>
      <c r="W377"/>
      <c r="Y377"/>
      <c r="AB377"/>
    </row>
    <row r="378" spans="2:28" x14ac:dyDescent="0.25">
      <c r="C378" s="1"/>
      <c r="D378" s="1"/>
      <c r="E378" s="4"/>
      <c r="I378" s="1"/>
      <c r="L378"/>
      <c r="M378" s="4"/>
      <c r="N378" s="31"/>
      <c r="O378" s="31"/>
      <c r="R378"/>
      <c r="T378" s="4"/>
      <c r="V378"/>
      <c r="W378"/>
      <c r="Y378"/>
      <c r="AB378"/>
    </row>
    <row r="379" spans="2:28" x14ac:dyDescent="0.25">
      <c r="C379" s="1"/>
      <c r="D379" s="1"/>
      <c r="E379" s="4"/>
      <c r="I379" s="1"/>
      <c r="L379"/>
      <c r="M379" s="4"/>
      <c r="N379" s="31"/>
      <c r="O379" s="31"/>
      <c r="R379"/>
      <c r="T379" s="4"/>
      <c r="V379"/>
      <c r="W379"/>
      <c r="Y379"/>
      <c r="AB379"/>
    </row>
    <row r="380" spans="2:28" x14ac:dyDescent="0.25">
      <c r="I380" s="1"/>
      <c r="L380"/>
      <c r="M380" s="4"/>
      <c r="N380" s="31"/>
      <c r="O380" s="31"/>
      <c r="R380"/>
      <c r="T380" s="4"/>
      <c r="V380"/>
      <c r="W380"/>
      <c r="Y380"/>
      <c r="AB380"/>
    </row>
    <row r="381" spans="2:28" x14ac:dyDescent="0.25">
      <c r="B381" s="299" t="s">
        <v>740</v>
      </c>
      <c r="C381" s="299"/>
      <c r="D381" s="299"/>
      <c r="E381" s="299"/>
      <c r="G381" s="299" t="s">
        <v>740</v>
      </c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t="s">
        <v>848</v>
      </c>
      <c r="S381" s="198">
        <f>+SUM(S383:S386)</f>
        <v>8.9386666666666663</v>
      </c>
      <c r="T381" t="s">
        <v>250</v>
      </c>
      <c r="U381" s="4">
        <f>+SUM(U383:U387)</f>
        <v>1861600</v>
      </c>
      <c r="V381"/>
      <c r="W381"/>
      <c r="Y381"/>
      <c r="AB381"/>
    </row>
    <row r="382" spans="2:28" x14ac:dyDescent="0.25">
      <c r="B382" t="s">
        <v>246</v>
      </c>
      <c r="C382" s="1" t="s">
        <v>248</v>
      </c>
      <c r="D382" s="1" t="s">
        <v>261</v>
      </c>
      <c r="E382" s="4" t="s">
        <v>249</v>
      </c>
      <c r="G382" s="191" t="s">
        <v>798</v>
      </c>
      <c r="H382" s="191" t="s">
        <v>799</v>
      </c>
      <c r="I382" s="191" t="s">
        <v>800</v>
      </c>
      <c r="J382" s="191" t="s">
        <v>815</v>
      </c>
      <c r="K382" s="191"/>
      <c r="L382" s="191" t="s">
        <v>816</v>
      </c>
      <c r="M382" s="192" t="s">
        <v>817</v>
      </c>
      <c r="N382" s="192" t="s">
        <v>818</v>
      </c>
      <c r="O382" s="192" t="s">
        <v>819</v>
      </c>
      <c r="P382" s="191" t="s">
        <v>820</v>
      </c>
      <c r="Q382" s="193" t="s">
        <v>847</v>
      </c>
      <c r="R382" s="191" t="s">
        <v>937</v>
      </c>
      <c r="S382" s="191" t="s">
        <v>848</v>
      </c>
      <c r="T382" s="200" t="s">
        <v>994</v>
      </c>
      <c r="U382" s="200" t="s">
        <v>250</v>
      </c>
      <c r="V382"/>
      <c r="W382"/>
      <c r="Y382"/>
      <c r="AB382"/>
    </row>
    <row r="383" spans="2:28" x14ac:dyDescent="0.25">
      <c r="B383" t="s">
        <v>401</v>
      </c>
      <c r="C383" s="1" t="s">
        <v>336</v>
      </c>
      <c r="D383" s="1" t="s">
        <v>669</v>
      </c>
      <c r="E383" s="4">
        <v>55000</v>
      </c>
      <c r="G383" t="str">
        <f>+B383</f>
        <v>Punto sanitario</v>
      </c>
      <c r="H383" t="s">
        <v>938</v>
      </c>
      <c r="I383" s="1" t="str">
        <f>+C383</f>
        <v>PTO</v>
      </c>
      <c r="J383" s="1" t="s">
        <v>857</v>
      </c>
      <c r="K383" s="1"/>
      <c r="L383"/>
      <c r="M383" s="4">
        <f>+(U383/S383)/8</f>
        <v>20625</v>
      </c>
      <c r="N383" s="31"/>
      <c r="O383" s="31"/>
      <c r="P383" t="s">
        <v>821</v>
      </c>
      <c r="Q383" s="190">
        <f>(SUMIFS('3. CD - Obra negra'!$O$4:$O$344,'3. CD - Obra negra'!$E$4:$E$344,G383))+(SUMIFS('4. CD - Obra gris'!$O$14:$O$74,'4. CD - Obra gris'!$E$14:$E$74,G383))+(SUMIFS('5, CD -Obra blanca'!$O$4:$O$151,'5, CD -Obra blanca'!$E$4:$E$151,G383))</f>
        <v>16</v>
      </c>
      <c r="R383">
        <v>3</v>
      </c>
      <c r="S383" s="42">
        <f>+Q383/R383</f>
        <v>5.333333333333333</v>
      </c>
      <c r="T383" s="4">
        <f>+E383</f>
        <v>55000</v>
      </c>
      <c r="U383" s="4">
        <f>+T383*Q383</f>
        <v>880000</v>
      </c>
      <c r="V383"/>
      <c r="W383"/>
      <c r="Y383"/>
      <c r="AB383"/>
    </row>
    <row r="384" spans="2:28" x14ac:dyDescent="0.25">
      <c r="B384" t="s">
        <v>400</v>
      </c>
      <c r="C384" s="1" t="s">
        <v>335</v>
      </c>
      <c r="D384" s="1" t="s">
        <v>669</v>
      </c>
      <c r="E384" s="4">
        <v>15000</v>
      </c>
      <c r="G384" t="str">
        <f>+B384</f>
        <v>Acometida sanitaria</v>
      </c>
      <c r="H384" t="s">
        <v>938</v>
      </c>
      <c r="I384" s="1" t="str">
        <f>+C384</f>
        <v>ML</v>
      </c>
      <c r="J384" s="1" t="s">
        <v>1000</v>
      </c>
      <c r="K384" s="1"/>
      <c r="L384"/>
      <c r="M384" s="4">
        <f>+(U384/S384)/8</f>
        <v>22500</v>
      </c>
      <c r="N384" s="31"/>
      <c r="O384" s="31"/>
      <c r="P384" t="s">
        <v>821</v>
      </c>
      <c r="Q384" s="190">
        <f>(SUMIFS('3. CD - Obra negra'!$O$4:$O$344,'3. CD - Obra negra'!$E$4:$E$344,G384))+(SUMIFS('4. CD - Obra gris'!$O$14:$O$74,'4. CD - Obra gris'!$E$14:$E$74,G384))+(SUMIFS('5, CD -Obra blanca'!$O$4:$O$151,'5, CD -Obra blanca'!$E$4:$E$151,G384))</f>
        <v>10</v>
      </c>
      <c r="R384">
        <v>12</v>
      </c>
      <c r="S384" s="42">
        <f>+Q384/R384</f>
        <v>0.83333333333333337</v>
      </c>
      <c r="T384" s="4">
        <f>+E384</f>
        <v>15000</v>
      </c>
      <c r="U384" s="4">
        <f>+T384*Q384</f>
        <v>150000</v>
      </c>
      <c r="V384"/>
      <c r="W384"/>
      <c r="Y384"/>
      <c r="AB384"/>
    </row>
    <row r="385" spans="2:28" x14ac:dyDescent="0.25">
      <c r="B385" t="s">
        <v>779</v>
      </c>
      <c r="C385" s="1" t="s">
        <v>335</v>
      </c>
      <c r="D385" s="1" t="s">
        <v>669</v>
      </c>
      <c r="E385" s="4">
        <v>15000</v>
      </c>
      <c r="G385" t="str">
        <f>+B385</f>
        <v>Excavación manual tubería</v>
      </c>
      <c r="H385" t="s">
        <v>938</v>
      </c>
      <c r="I385" s="1" t="str">
        <f>+C385</f>
        <v>ML</v>
      </c>
      <c r="J385" s="1" t="s">
        <v>1001</v>
      </c>
      <c r="K385" s="1"/>
      <c r="L385"/>
      <c r="M385" s="4" t="e">
        <f>+(U385/S385)/8</f>
        <v>#DIV/0!</v>
      </c>
      <c r="N385" s="31"/>
      <c r="O385" s="31"/>
      <c r="P385" t="s">
        <v>821</v>
      </c>
      <c r="Q385" s="190">
        <f>(SUMIFS('3. CD - Obra negra'!$O$4:$O$344,'3. CD - Obra negra'!$E$4:$E$344,G385))+(SUMIFS('4. CD - Obra gris'!$O$14:$O$74,'4. CD - Obra gris'!$E$14:$E$74,G385))+(SUMIFS('5, CD -Obra blanca'!$O$4:$O$151,'5, CD -Obra blanca'!$E$4:$E$151,G385))</f>
        <v>0</v>
      </c>
      <c r="R385">
        <v>10</v>
      </c>
      <c r="S385" s="42">
        <f>+Q385/R385</f>
        <v>0</v>
      </c>
      <c r="T385" s="4">
        <f>+E385</f>
        <v>15000</v>
      </c>
      <c r="U385" s="4">
        <f>+T385*Q385</f>
        <v>0</v>
      </c>
      <c r="V385"/>
      <c r="W385"/>
      <c r="Y385"/>
      <c r="AB385"/>
    </row>
    <row r="386" spans="2:28" x14ac:dyDescent="0.25">
      <c r="B386" t="s">
        <v>781</v>
      </c>
      <c r="C386" s="1" t="s">
        <v>335</v>
      </c>
      <c r="D386" s="1" t="s">
        <v>669</v>
      </c>
      <c r="E386" s="4">
        <v>15000</v>
      </c>
      <c r="G386" t="str">
        <f>+B386</f>
        <v>Instalación viga canal</v>
      </c>
      <c r="H386" t="s">
        <v>938</v>
      </c>
      <c r="I386" s="1" t="str">
        <f>+C386</f>
        <v>ML</v>
      </c>
      <c r="J386" s="1" t="s">
        <v>1002</v>
      </c>
      <c r="K386" s="1"/>
      <c r="L386"/>
      <c r="M386" s="4">
        <f>+(U386/S386)/8</f>
        <v>37500</v>
      </c>
      <c r="N386" s="31"/>
      <c r="O386" s="31"/>
      <c r="P386" t="s">
        <v>821</v>
      </c>
      <c r="Q386" s="190">
        <f>(SUMIFS('3. CD - Obra negra'!$O$4:$O$344,'3. CD - Obra negra'!$E$4:$E$344,G386))+(SUMIFS('4. CD - Obra gris'!$O$14:$O$74,'4. CD - Obra gris'!$E$14:$E$74,G386))+(SUMIFS('5, CD -Obra blanca'!$O$4:$O$151,'5, CD -Obra blanca'!$E$4:$E$151,G386))</f>
        <v>55.44</v>
      </c>
      <c r="R386">
        <v>20</v>
      </c>
      <c r="S386" s="42">
        <f>+Q386/R386</f>
        <v>2.7719999999999998</v>
      </c>
      <c r="T386" s="4">
        <f>+E386</f>
        <v>15000</v>
      </c>
      <c r="U386" s="4">
        <f>+T386*Q386</f>
        <v>831600</v>
      </c>
      <c r="V386"/>
      <c r="W386"/>
      <c r="Y386"/>
      <c r="AB386"/>
    </row>
    <row r="387" spans="2:28" x14ac:dyDescent="0.25">
      <c r="I387" s="1"/>
      <c r="J387" s="1"/>
      <c r="K387" s="1"/>
      <c r="L387"/>
      <c r="M387" s="4"/>
      <c r="N387" s="31"/>
      <c r="O387" s="31"/>
      <c r="Q387" s="190"/>
      <c r="R387"/>
      <c r="S387" s="42"/>
      <c r="T387" s="4">
        <f>+E387</f>
        <v>0</v>
      </c>
      <c r="V387"/>
      <c r="W387"/>
      <c r="Y387"/>
      <c r="AB387"/>
    </row>
    <row r="388" spans="2:28" x14ac:dyDescent="0.25">
      <c r="I388" s="1"/>
      <c r="L388"/>
      <c r="M388" s="4"/>
      <c r="N388" s="31"/>
      <c r="O388" s="31"/>
      <c r="R388"/>
      <c r="T388" s="4"/>
      <c r="V388"/>
      <c r="W388"/>
      <c r="Y388"/>
      <c r="AB388"/>
    </row>
    <row r="389" spans="2:28" x14ac:dyDescent="0.25">
      <c r="B389" s="299" t="s">
        <v>741</v>
      </c>
      <c r="C389" s="299"/>
      <c r="D389" s="299"/>
      <c r="E389" s="299"/>
      <c r="G389" s="299" t="s">
        <v>741</v>
      </c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t="s">
        <v>848</v>
      </c>
      <c r="S389" s="198">
        <f>+SUM(S391:S398)</f>
        <v>17.766666666666669</v>
      </c>
      <c r="T389" t="s">
        <v>250</v>
      </c>
      <c r="U389" s="4">
        <f>+SUM(U391:U398)</f>
        <v>5265000</v>
      </c>
      <c r="V389"/>
      <c r="W389"/>
      <c r="Y389"/>
      <c r="AB389"/>
    </row>
    <row r="390" spans="2:28" x14ac:dyDescent="0.25">
      <c r="B390" t="s">
        <v>246</v>
      </c>
      <c r="C390" s="1" t="s">
        <v>248</v>
      </c>
      <c r="D390" s="1" t="s">
        <v>261</v>
      </c>
      <c r="E390" s="4" t="s">
        <v>249</v>
      </c>
      <c r="G390" s="191" t="s">
        <v>798</v>
      </c>
      <c r="H390" s="191" t="s">
        <v>799</v>
      </c>
      <c r="I390" s="191" t="s">
        <v>800</v>
      </c>
      <c r="J390" s="191" t="s">
        <v>815</v>
      </c>
      <c r="K390" s="191"/>
      <c r="L390" s="191" t="s">
        <v>816</v>
      </c>
      <c r="M390" s="192" t="s">
        <v>817</v>
      </c>
      <c r="N390" s="192" t="s">
        <v>818</v>
      </c>
      <c r="O390" s="192" t="s">
        <v>819</v>
      </c>
      <c r="P390" s="191" t="s">
        <v>820</v>
      </c>
      <c r="Q390" s="193" t="s">
        <v>847</v>
      </c>
      <c r="R390" s="191" t="s">
        <v>937</v>
      </c>
      <c r="S390" s="191" t="s">
        <v>848</v>
      </c>
      <c r="T390" s="200" t="s">
        <v>994</v>
      </c>
      <c r="U390" s="200" t="s">
        <v>250</v>
      </c>
      <c r="V390"/>
      <c r="W390"/>
      <c r="Y390"/>
      <c r="AB390"/>
    </row>
    <row r="391" spans="2:28" x14ac:dyDescent="0.25">
      <c r="B391" t="s">
        <v>447</v>
      </c>
      <c r="C391" s="1" t="s">
        <v>336</v>
      </c>
      <c r="D391" s="1" t="s">
        <v>672</v>
      </c>
      <c r="E391" s="4">
        <v>55000</v>
      </c>
      <c r="G391" t="str">
        <f t="shared" ref="G391:G398" si="57">+B391</f>
        <v>Punto eléctrico</v>
      </c>
      <c r="H391" t="s">
        <v>938</v>
      </c>
      <c r="I391" s="1" t="str">
        <f t="shared" ref="I391:I398" si="58">+C391</f>
        <v>PTO</v>
      </c>
      <c r="J391" s="1" t="s">
        <v>1003</v>
      </c>
      <c r="K391" s="1"/>
      <c r="L391"/>
      <c r="M391" s="4">
        <f>+(U391/S391)/8</f>
        <v>34375</v>
      </c>
      <c r="N391" s="31"/>
      <c r="O391" s="31"/>
      <c r="P391" t="s">
        <v>821</v>
      </c>
      <c r="Q391" s="190">
        <f>(SUMIFS('3. CD - Obra negra'!$O$4:$O$344,'3. CD - Obra negra'!$E$4:$E$344,G391))+(SUMIFS('4. CD - Obra gris'!$O$14:$O$74,'4. CD - Obra gris'!$E$14:$E$74,G391))+(SUMIFS('5, CD -Obra blanca'!$O$4:$O$151,'5, CD -Obra blanca'!$E$4:$E$151,G391))</f>
        <v>84</v>
      </c>
      <c r="R391">
        <v>5</v>
      </c>
      <c r="S391" s="42">
        <f t="shared" ref="S391:S398" si="59">+Q391/R391</f>
        <v>16.8</v>
      </c>
      <c r="T391" s="4">
        <f t="shared" ref="T391:T398" si="60">+E391</f>
        <v>55000</v>
      </c>
      <c r="U391" s="4">
        <f>+T391*Q391</f>
        <v>4620000</v>
      </c>
      <c r="V391"/>
      <c r="W391"/>
      <c r="Y391"/>
      <c r="AB391"/>
    </row>
    <row r="392" spans="2:28" x14ac:dyDescent="0.25">
      <c r="B392" t="s">
        <v>445</v>
      </c>
      <c r="C392" s="1" t="s">
        <v>335</v>
      </c>
      <c r="D392" s="1" t="s">
        <v>672</v>
      </c>
      <c r="E392" s="4">
        <v>15000</v>
      </c>
      <c r="G392" t="str">
        <f t="shared" si="57"/>
        <v>Acometida eléctrica</v>
      </c>
      <c r="H392" t="s">
        <v>938</v>
      </c>
      <c r="I392" s="1" t="str">
        <f t="shared" si="58"/>
        <v>ML</v>
      </c>
      <c r="J392" s="1" t="s">
        <v>1004</v>
      </c>
      <c r="K392" s="1"/>
      <c r="L392"/>
      <c r="M392" s="4">
        <f t="shared" ref="M392:M398" si="61">+(U392/S392)/8</f>
        <v>28125</v>
      </c>
      <c r="N392" s="31"/>
      <c r="O392" s="31"/>
      <c r="P392" t="s">
        <v>821</v>
      </c>
      <c r="Q392" s="190">
        <f>(SUMIFS('3. CD - Obra negra'!$O$4:$O$344,'3. CD - Obra negra'!$E$4:$E$344,G392))+(SUMIFS('4. CD - Obra gris'!$O$14:$O$74,'4. CD - Obra gris'!$E$14:$E$74,G392))+(SUMIFS('5, CD -Obra blanca'!$O$4:$O$151,'5, CD -Obra blanca'!$E$4:$E$151,G392))</f>
        <v>10</v>
      </c>
      <c r="R392">
        <v>15</v>
      </c>
      <c r="S392" s="42">
        <f t="shared" si="59"/>
        <v>0.66666666666666663</v>
      </c>
      <c r="T392" s="4">
        <f t="shared" si="60"/>
        <v>15000</v>
      </c>
      <c r="U392" s="4">
        <f t="shared" ref="U392:U398" si="62">+T392*Q392</f>
        <v>150000</v>
      </c>
      <c r="V392"/>
      <c r="W392"/>
      <c r="Y392"/>
      <c r="AB392"/>
    </row>
    <row r="393" spans="2:28" x14ac:dyDescent="0.25">
      <c r="B393" t="s">
        <v>733</v>
      </c>
      <c r="C393" s="1" t="s">
        <v>336</v>
      </c>
      <c r="D393" s="1" t="s">
        <v>672</v>
      </c>
      <c r="E393" s="279">
        <f>+E391*12</f>
        <v>660000</v>
      </c>
      <c r="G393" t="str">
        <f t="shared" si="57"/>
        <v>Instalación tablero 12 circuitos</v>
      </c>
      <c r="H393" t="s">
        <v>938</v>
      </c>
      <c r="I393" s="1" t="str">
        <f t="shared" si="58"/>
        <v>PTO</v>
      </c>
      <c r="J393" s="1" t="s">
        <v>1005</v>
      </c>
      <c r="K393" s="1"/>
      <c r="L393"/>
      <c r="M393" s="4" t="e">
        <f t="shared" si="61"/>
        <v>#DIV/0!</v>
      </c>
      <c r="N393" s="31"/>
      <c r="O393" s="31"/>
      <c r="P393" t="s">
        <v>821</v>
      </c>
      <c r="Q393" s="190">
        <f>(SUMIFS('3. CD - Obra negra'!$O$4:$O$344,'3. CD - Obra negra'!$E$4:$E$344,G393))+(SUMIFS('4. CD - Obra gris'!$O$14:$O$74,'4. CD - Obra gris'!$E$14:$E$74,G393))+(SUMIFS('5, CD -Obra blanca'!$O$4:$O$151,'5, CD -Obra blanca'!$E$4:$E$151,G393))</f>
        <v>0</v>
      </c>
      <c r="R393">
        <v>4</v>
      </c>
      <c r="S393" s="42">
        <f t="shared" si="59"/>
        <v>0</v>
      </c>
      <c r="T393" s="4">
        <f t="shared" si="60"/>
        <v>660000</v>
      </c>
      <c r="U393" s="4">
        <f t="shared" si="62"/>
        <v>0</v>
      </c>
      <c r="V393"/>
      <c r="W393"/>
      <c r="Y393"/>
      <c r="AB393"/>
    </row>
    <row r="394" spans="2:28" x14ac:dyDescent="0.25">
      <c r="B394" t="s">
        <v>734</v>
      </c>
      <c r="C394" s="1" t="s">
        <v>336</v>
      </c>
      <c r="D394" s="1" t="s">
        <v>672</v>
      </c>
      <c r="E394" s="279">
        <f>+E391*14</f>
        <v>770000</v>
      </c>
      <c r="G394" t="str">
        <f t="shared" si="57"/>
        <v>Instalación tablero 14 circuitos</v>
      </c>
      <c r="H394" t="s">
        <v>938</v>
      </c>
      <c r="I394" s="1" t="str">
        <f t="shared" si="58"/>
        <v>PTO</v>
      </c>
      <c r="J394" s="1" t="s">
        <v>1006</v>
      </c>
      <c r="K394" s="1"/>
      <c r="L394"/>
      <c r="M394" s="4" t="e">
        <f t="shared" si="61"/>
        <v>#DIV/0!</v>
      </c>
      <c r="N394" s="31"/>
      <c r="O394" s="31"/>
      <c r="P394" t="s">
        <v>821</v>
      </c>
      <c r="Q394" s="190">
        <f>(SUMIFS('3. CD - Obra negra'!$O$4:$O$344,'3. CD - Obra negra'!$E$4:$E$344,G394))+(SUMIFS('4. CD - Obra gris'!$O$14:$O$74,'4. CD - Obra gris'!$E$14:$E$74,G394))+(SUMIFS('5, CD -Obra blanca'!$O$4:$O$151,'5, CD -Obra blanca'!$E$4:$E$151,G394))</f>
        <v>0</v>
      </c>
      <c r="R394">
        <v>3</v>
      </c>
      <c r="S394" s="42">
        <f t="shared" si="59"/>
        <v>0</v>
      </c>
      <c r="T394" s="4">
        <f t="shared" si="60"/>
        <v>770000</v>
      </c>
      <c r="U394" s="4">
        <f t="shared" si="62"/>
        <v>0</v>
      </c>
      <c r="V394"/>
      <c r="W394"/>
      <c r="Y394"/>
      <c r="AB394"/>
    </row>
    <row r="395" spans="2:28" x14ac:dyDescent="0.25">
      <c r="B395" t="s">
        <v>446</v>
      </c>
      <c r="C395" s="1" t="s">
        <v>336</v>
      </c>
      <c r="D395" s="1" t="s">
        <v>672</v>
      </c>
      <c r="E395" s="279">
        <f>+E391*18</f>
        <v>990000</v>
      </c>
      <c r="G395" t="str">
        <f t="shared" si="57"/>
        <v>Instalación tablero 18 circuitos</v>
      </c>
      <c r="H395" t="s">
        <v>938</v>
      </c>
      <c r="I395" s="1" t="str">
        <f t="shared" si="58"/>
        <v>PTO</v>
      </c>
      <c r="J395" s="1" t="s">
        <v>1007</v>
      </c>
      <c r="K395" s="1"/>
      <c r="L395"/>
      <c r="M395" s="4" t="e">
        <f t="shared" si="61"/>
        <v>#DIV/0!</v>
      </c>
      <c r="N395" s="31"/>
      <c r="O395" s="31"/>
      <c r="P395" t="s">
        <v>821</v>
      </c>
      <c r="Q395" s="190">
        <f>(SUMIFS('3. CD - Obra negra'!$O$4:$O$344,'3. CD - Obra negra'!$E$4:$E$344,G395))+(SUMIFS('4. CD - Obra gris'!$O$14:$O$74,'4. CD - Obra gris'!$E$14:$E$74,G395))+(SUMIFS('5, CD -Obra blanca'!$O$4:$O$151,'5, CD -Obra blanca'!$E$4:$E$151,G395))</f>
        <v>0</v>
      </c>
      <c r="R395">
        <v>2</v>
      </c>
      <c r="S395" s="42">
        <f t="shared" si="59"/>
        <v>0</v>
      </c>
      <c r="T395" s="4">
        <f t="shared" si="60"/>
        <v>990000</v>
      </c>
      <c r="U395" s="4">
        <f t="shared" si="62"/>
        <v>0</v>
      </c>
      <c r="V395"/>
      <c r="W395"/>
      <c r="Y395"/>
      <c r="AB395"/>
    </row>
    <row r="396" spans="2:28" x14ac:dyDescent="0.25">
      <c r="B396" t="s">
        <v>735</v>
      </c>
      <c r="C396" s="1" t="s">
        <v>336</v>
      </c>
      <c r="D396" s="1" t="s">
        <v>672</v>
      </c>
      <c r="E396" s="279">
        <f>+E391*6</f>
        <v>330000</v>
      </c>
      <c r="G396" t="str">
        <f t="shared" si="57"/>
        <v>Instalación tablero 6 circuitos</v>
      </c>
      <c r="H396" t="s">
        <v>938</v>
      </c>
      <c r="I396" s="1" t="str">
        <f t="shared" si="58"/>
        <v>PTO</v>
      </c>
      <c r="J396" s="1" t="s">
        <v>1008</v>
      </c>
      <c r="K396" s="1"/>
      <c r="L396"/>
      <c r="M396" s="4">
        <f t="shared" si="61"/>
        <v>206250</v>
      </c>
      <c r="N396" s="31"/>
      <c r="O396" s="31"/>
      <c r="P396" t="s">
        <v>821</v>
      </c>
      <c r="Q396" s="190">
        <f>(SUMIFS('3. CD - Obra negra'!$O$4:$O$344,'3. CD - Obra negra'!$E$4:$E$344,G396))+(SUMIFS('4. CD - Obra gris'!$O$14:$O$74,'4. CD - Obra gris'!$E$14:$E$74,G396))+(SUMIFS('5, CD -Obra blanca'!$O$4:$O$151,'5, CD -Obra blanca'!$E$4:$E$151,G396))</f>
        <v>1.5</v>
      </c>
      <c r="R396">
        <v>5</v>
      </c>
      <c r="S396" s="42">
        <f t="shared" si="59"/>
        <v>0.3</v>
      </c>
      <c r="T396" s="4">
        <f t="shared" si="60"/>
        <v>330000</v>
      </c>
      <c r="U396" s="4">
        <f t="shared" si="62"/>
        <v>495000</v>
      </c>
      <c r="V396"/>
      <c r="W396"/>
      <c r="Y396"/>
      <c r="AB396"/>
    </row>
    <row r="397" spans="2:28" x14ac:dyDescent="0.25">
      <c r="B397" t="s">
        <v>738</v>
      </c>
      <c r="C397" s="1" t="s">
        <v>126</v>
      </c>
      <c r="D397" s="1" t="s">
        <v>672</v>
      </c>
      <c r="E397" s="279">
        <v>150000</v>
      </c>
      <c r="G397" t="str">
        <f t="shared" si="57"/>
        <v>Medidor eléctrico</v>
      </c>
      <c r="H397" t="s">
        <v>938</v>
      </c>
      <c r="I397" s="1" t="str">
        <f t="shared" si="58"/>
        <v>UND</v>
      </c>
      <c r="J397" s="1" t="s">
        <v>1010</v>
      </c>
      <c r="K397" s="1"/>
      <c r="L397"/>
      <c r="M397" s="4" t="e">
        <f t="shared" si="61"/>
        <v>#DIV/0!</v>
      </c>
      <c r="N397" s="31"/>
      <c r="O397" s="31"/>
      <c r="P397" t="s">
        <v>821</v>
      </c>
      <c r="Q397" s="190">
        <f>(SUMIFS('3. CD - Obra negra'!$O$4:$O$344,'3. CD - Obra negra'!$E$4:$E$344,G397))+(SUMIFS('4. CD - Obra gris'!$O$14:$O$74,'4. CD - Obra gris'!$E$14:$E$74,G397))+(SUMIFS('5, CD -Obra blanca'!$O$4:$O$151,'5, CD -Obra blanca'!$E$4:$E$151,G397))</f>
        <v>0</v>
      </c>
      <c r="R397">
        <v>3</v>
      </c>
      <c r="S397" s="42">
        <f t="shared" si="59"/>
        <v>0</v>
      </c>
      <c r="T397" s="4">
        <f t="shared" si="60"/>
        <v>150000</v>
      </c>
      <c r="U397" s="4">
        <f t="shared" si="62"/>
        <v>0</v>
      </c>
      <c r="V397"/>
      <c r="W397"/>
      <c r="Y397"/>
      <c r="AB397"/>
    </row>
    <row r="398" spans="2:28" x14ac:dyDescent="0.25">
      <c r="B398" t="s">
        <v>779</v>
      </c>
      <c r="C398" s="1" t="s">
        <v>335</v>
      </c>
      <c r="D398" s="1" t="s">
        <v>672</v>
      </c>
      <c r="E398" s="4">
        <v>10000</v>
      </c>
      <c r="G398" t="str">
        <f t="shared" si="57"/>
        <v>Excavación manual tubería</v>
      </c>
      <c r="H398" t="s">
        <v>938</v>
      </c>
      <c r="I398" s="1" t="str">
        <f t="shared" si="58"/>
        <v>ML</v>
      </c>
      <c r="J398" s="1" t="s">
        <v>1001</v>
      </c>
      <c r="K398" s="1"/>
      <c r="L398"/>
      <c r="M398" s="4" t="e">
        <f t="shared" si="61"/>
        <v>#DIV/0!</v>
      </c>
      <c r="N398" s="31"/>
      <c r="O398" s="31"/>
      <c r="P398" t="s">
        <v>821</v>
      </c>
      <c r="Q398" s="190">
        <f>(SUMIFS('3. CD - Obra negra'!$O$4:$O$344,'3. CD - Obra negra'!$E$4:$E$344,G398))+(SUMIFS('4. CD - Obra gris'!$O$14:$O$74,'4. CD - Obra gris'!$E$14:$E$74,G398))+(SUMIFS('5, CD -Obra blanca'!$O$4:$O$151,'5, CD -Obra blanca'!$E$4:$E$151,G398))</f>
        <v>0</v>
      </c>
      <c r="R398">
        <v>10</v>
      </c>
      <c r="S398" s="42">
        <f t="shared" si="59"/>
        <v>0</v>
      </c>
      <c r="T398" s="4">
        <f t="shared" si="60"/>
        <v>10000</v>
      </c>
      <c r="U398" s="4">
        <f t="shared" si="62"/>
        <v>0</v>
      </c>
      <c r="V398"/>
      <c r="W398"/>
      <c r="Y398"/>
      <c r="AB398"/>
    </row>
    <row r="399" spans="2:28" x14ac:dyDescent="0.25">
      <c r="I399" s="1"/>
      <c r="L399"/>
      <c r="M399" s="4"/>
      <c r="N399" s="31"/>
      <c r="O399" s="31"/>
      <c r="R399"/>
      <c r="T399" s="4"/>
      <c r="V399"/>
      <c r="W399"/>
      <c r="Y399"/>
      <c r="AB399"/>
    </row>
    <row r="400" spans="2:28" x14ac:dyDescent="0.25">
      <c r="G400" s="208" t="s">
        <v>1126</v>
      </c>
      <c r="I400" s="1"/>
      <c r="L400"/>
      <c r="M400" s="4"/>
      <c r="N400" s="31"/>
      <c r="O400" s="31"/>
      <c r="R400"/>
      <c r="T400" s="4"/>
      <c r="V400"/>
      <c r="W400"/>
      <c r="Y400"/>
      <c r="AB400"/>
    </row>
    <row r="401" spans="2:28" x14ac:dyDescent="0.25">
      <c r="G401" t="s">
        <v>1127</v>
      </c>
      <c r="H401" t="s">
        <v>938</v>
      </c>
      <c r="I401" s="1" t="s">
        <v>335</v>
      </c>
      <c r="J401" s="1" t="s">
        <v>1004</v>
      </c>
      <c r="K401" s="1"/>
      <c r="L401" s="207">
        <v>2</v>
      </c>
      <c r="M401" s="4">
        <f>+(U401/S401)/8</f>
        <v>68750.000000000015</v>
      </c>
      <c r="N401" s="31"/>
      <c r="O401" s="31"/>
      <c r="P401" t="s">
        <v>821</v>
      </c>
      <c r="Q401" s="190">
        <f>+'1. GENERAL'!$C$7</f>
        <v>340.64679999999998</v>
      </c>
      <c r="R401" s="80">
        <v>20</v>
      </c>
      <c r="S401" s="42">
        <f>+Q401/R401</f>
        <v>17.032339999999998</v>
      </c>
      <c r="T401" s="4">
        <f>+T391*0.5</f>
        <v>27500</v>
      </c>
      <c r="U401" s="4">
        <f>+T401*Q401</f>
        <v>9367787</v>
      </c>
      <c r="V401"/>
      <c r="W401"/>
      <c r="Y401"/>
      <c r="AB401"/>
    </row>
    <row r="402" spans="2:28" x14ac:dyDescent="0.25">
      <c r="G402" t="s">
        <v>1128</v>
      </c>
      <c r="H402" t="s">
        <v>938</v>
      </c>
      <c r="I402" s="1" t="s">
        <v>335</v>
      </c>
      <c r="J402" s="1" t="s">
        <v>1129</v>
      </c>
      <c r="K402" s="1"/>
      <c r="L402" s="207">
        <v>2</v>
      </c>
      <c r="M402" s="4">
        <f>+(U402/S402)/8</f>
        <v>103125</v>
      </c>
      <c r="N402" s="31"/>
      <c r="O402" s="31"/>
      <c r="P402" t="s">
        <v>821</v>
      </c>
      <c r="Q402" s="190">
        <f>+Q401</f>
        <v>340.64679999999998</v>
      </c>
      <c r="R402" s="80">
        <v>30</v>
      </c>
      <c r="S402" s="42">
        <f>+Q402/R402</f>
        <v>11.354893333333333</v>
      </c>
      <c r="T402" s="4">
        <f>+T401</f>
        <v>27500</v>
      </c>
      <c r="U402" s="4">
        <f>+T402*Q402</f>
        <v>9367787</v>
      </c>
      <c r="V402"/>
      <c r="W402"/>
      <c r="Y402"/>
      <c r="AB402"/>
    </row>
    <row r="403" spans="2:28" x14ac:dyDescent="0.25">
      <c r="I403" s="1"/>
      <c r="L403"/>
      <c r="M403" s="4"/>
      <c r="N403" s="31"/>
      <c r="O403" s="31"/>
      <c r="R403"/>
      <c r="T403" s="4"/>
      <c r="V403"/>
      <c r="W403"/>
      <c r="Y403"/>
      <c r="AB403"/>
    </row>
    <row r="404" spans="2:28" x14ac:dyDescent="0.25">
      <c r="B404" s="299" t="s">
        <v>742</v>
      </c>
      <c r="C404" s="299"/>
      <c r="D404" s="299"/>
      <c r="E404" s="299"/>
      <c r="G404" s="299" t="s">
        <v>742</v>
      </c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t="s">
        <v>848</v>
      </c>
      <c r="S404" s="198">
        <f>+SUM(S406:S408)</f>
        <v>0</v>
      </c>
      <c r="T404" t="s">
        <v>250</v>
      </c>
      <c r="U404" s="4">
        <f>+SUM(U406:U408)</f>
        <v>0</v>
      </c>
      <c r="V404"/>
      <c r="W404"/>
      <c r="Y404"/>
      <c r="AB404"/>
    </row>
    <row r="405" spans="2:28" x14ac:dyDescent="0.25">
      <c r="B405" t="s">
        <v>246</v>
      </c>
      <c r="C405" s="1" t="s">
        <v>248</v>
      </c>
      <c r="D405" s="1" t="s">
        <v>261</v>
      </c>
      <c r="E405" s="4" t="s">
        <v>249</v>
      </c>
      <c r="G405" s="191" t="s">
        <v>798</v>
      </c>
      <c r="H405" s="191" t="s">
        <v>799</v>
      </c>
      <c r="I405" s="191" t="s">
        <v>800</v>
      </c>
      <c r="J405" s="191" t="s">
        <v>815</v>
      </c>
      <c r="K405" s="191"/>
      <c r="L405" s="191" t="s">
        <v>816</v>
      </c>
      <c r="M405" s="192" t="s">
        <v>817</v>
      </c>
      <c r="N405" s="192" t="s">
        <v>818</v>
      </c>
      <c r="O405" s="192" t="s">
        <v>819</v>
      </c>
      <c r="P405" s="191" t="s">
        <v>820</v>
      </c>
      <c r="Q405" s="193" t="s">
        <v>847</v>
      </c>
      <c r="R405" s="191" t="s">
        <v>937</v>
      </c>
      <c r="S405" s="191" t="s">
        <v>848</v>
      </c>
      <c r="T405" s="200" t="s">
        <v>994</v>
      </c>
      <c r="U405" s="200" t="s">
        <v>250</v>
      </c>
      <c r="V405"/>
      <c r="W405"/>
      <c r="Y405"/>
      <c r="AB405"/>
    </row>
    <row r="406" spans="2:28" x14ac:dyDescent="0.25">
      <c r="B406" t="s">
        <v>477</v>
      </c>
      <c r="C406" s="1" t="s">
        <v>336</v>
      </c>
      <c r="D406" s="1" t="s">
        <v>744</v>
      </c>
      <c r="E406" s="279">
        <v>55000</v>
      </c>
      <c r="G406" t="str">
        <f>+B406</f>
        <v>Punto gas</v>
      </c>
      <c r="H406" t="s">
        <v>938</v>
      </c>
      <c r="I406" s="1" t="str">
        <f>+C406</f>
        <v>PTO</v>
      </c>
      <c r="J406" s="1" t="s">
        <v>1011</v>
      </c>
      <c r="K406" s="1"/>
      <c r="L406"/>
      <c r="M406" s="4" t="e">
        <f>+(U406/S406)/8</f>
        <v>#DIV/0!</v>
      </c>
      <c r="N406" s="31"/>
      <c r="O406" s="31"/>
      <c r="P406" t="s">
        <v>821</v>
      </c>
      <c r="Q406" s="190">
        <f>(SUMIFS('3. CD - Obra negra'!$O$4:$O$344,'3. CD - Obra negra'!$E$4:$E$344,G406))+(SUMIFS('4. CD - Obra gris'!$O$14:$O$74,'4. CD - Obra gris'!$E$14:$E$74,G406))+(SUMIFS('5, CD -Obra blanca'!$O$4:$O$151,'5, CD -Obra blanca'!$E$4:$E$151,G406))</f>
        <v>0</v>
      </c>
      <c r="R406">
        <v>10</v>
      </c>
      <c r="S406" s="42">
        <f>+Q406/R406</f>
        <v>0</v>
      </c>
      <c r="T406" s="4">
        <f>+E406</f>
        <v>55000</v>
      </c>
      <c r="U406" s="4">
        <f>+T406*Q406</f>
        <v>0</v>
      </c>
      <c r="V406"/>
      <c r="W406"/>
      <c r="Y406"/>
      <c r="AB406"/>
    </row>
    <row r="407" spans="2:28" x14ac:dyDescent="0.25">
      <c r="B407" t="s">
        <v>743</v>
      </c>
      <c r="C407" s="1" t="s">
        <v>335</v>
      </c>
      <c r="D407" s="1" t="s">
        <v>744</v>
      </c>
      <c r="E407" s="4">
        <v>15000</v>
      </c>
      <c r="G407" t="str">
        <f>+B407</f>
        <v>Acometida gas</v>
      </c>
      <c r="H407" t="s">
        <v>938</v>
      </c>
      <c r="I407" s="1" t="str">
        <f>+C407</f>
        <v>ML</v>
      </c>
      <c r="J407" s="1" t="s">
        <v>1012</v>
      </c>
      <c r="K407" s="1"/>
      <c r="L407"/>
      <c r="M407" s="4" t="e">
        <f>+(U407/S407)/8</f>
        <v>#DIV/0!</v>
      </c>
      <c r="N407" s="31"/>
      <c r="O407" s="31"/>
      <c r="P407" t="s">
        <v>821</v>
      </c>
      <c r="Q407" s="190">
        <f>(SUMIFS('3. CD - Obra negra'!$O$4:$O$344,'3. CD - Obra negra'!$E$4:$E$344,G407))+(SUMIFS('4. CD - Obra gris'!$O$14:$O$74,'4. CD - Obra gris'!$E$14:$E$74,G407))+(SUMIFS('5, CD -Obra blanca'!$O$4:$O$151,'5, CD -Obra blanca'!$E$4:$E$151,G407))</f>
        <v>0</v>
      </c>
      <c r="R407">
        <v>15</v>
      </c>
      <c r="S407" s="42">
        <f>+Q407/R407</f>
        <v>0</v>
      </c>
      <c r="T407" s="4">
        <f>+E407</f>
        <v>15000</v>
      </c>
      <c r="U407" s="4">
        <f>+T407*Q407</f>
        <v>0</v>
      </c>
      <c r="V407"/>
      <c r="W407"/>
      <c r="Y407"/>
      <c r="AB407"/>
    </row>
    <row r="408" spans="2:28" x14ac:dyDescent="0.25">
      <c r="B408" t="s">
        <v>745</v>
      </c>
      <c r="C408" s="1" t="s">
        <v>126</v>
      </c>
      <c r="D408" s="1" t="s">
        <v>744</v>
      </c>
      <c r="E408" s="4">
        <v>30000</v>
      </c>
      <c r="G408" t="str">
        <f>+B408</f>
        <v>Medidor gas</v>
      </c>
      <c r="H408" t="s">
        <v>938</v>
      </c>
      <c r="I408" s="1" t="str">
        <f>+C408</f>
        <v>UND</v>
      </c>
      <c r="J408" s="1" t="s">
        <v>832</v>
      </c>
      <c r="K408" s="1"/>
      <c r="L408"/>
      <c r="M408" s="4" t="e">
        <f>+(U408/S408)/8</f>
        <v>#DIV/0!</v>
      </c>
      <c r="N408" s="31"/>
      <c r="O408" s="31"/>
      <c r="P408" t="s">
        <v>821</v>
      </c>
      <c r="Q408" s="190">
        <f>(SUMIFS('3. CD - Obra negra'!$O$4:$O$344,'3. CD - Obra negra'!$E$4:$E$344,G408))+(SUMIFS('4. CD - Obra gris'!$O$14:$O$74,'4. CD - Obra gris'!$E$14:$E$74,G408))+(SUMIFS('5, CD -Obra blanca'!$O$4:$O$151,'5, CD -Obra blanca'!$E$4:$E$151,G408))</f>
        <v>0</v>
      </c>
      <c r="R408">
        <v>4</v>
      </c>
      <c r="S408" s="42">
        <f>+Q408/R408</f>
        <v>0</v>
      </c>
      <c r="T408" s="4">
        <f>+E408</f>
        <v>30000</v>
      </c>
      <c r="U408" s="4">
        <f>+T408*Q408</f>
        <v>0</v>
      </c>
      <c r="V408"/>
      <c r="W408"/>
      <c r="Y408"/>
      <c r="AB408"/>
    </row>
    <row r="409" spans="2:28" x14ac:dyDescent="0.25">
      <c r="C409" s="1"/>
      <c r="D409" s="1"/>
      <c r="E409" s="4"/>
      <c r="I409" s="1"/>
      <c r="L409"/>
      <c r="M409" s="4"/>
      <c r="N409" s="31"/>
      <c r="O409" s="31"/>
      <c r="R409"/>
      <c r="T409" s="4"/>
      <c r="V409"/>
      <c r="W409"/>
      <c r="Y409"/>
      <c r="AB409"/>
    </row>
    <row r="410" spans="2:28" x14ac:dyDescent="0.25">
      <c r="C410" s="1"/>
      <c r="D410" s="1"/>
      <c r="E410" s="4"/>
      <c r="I410" s="1"/>
      <c r="L410"/>
      <c r="M410" s="4"/>
      <c r="N410" s="31"/>
      <c r="O410" s="31"/>
      <c r="R410"/>
      <c r="T410" s="4"/>
      <c r="V410"/>
      <c r="W410"/>
      <c r="Y410"/>
      <c r="AB410"/>
    </row>
    <row r="411" spans="2:28" x14ac:dyDescent="0.25">
      <c r="B411" s="299" t="s">
        <v>14</v>
      </c>
      <c r="C411" s="299"/>
      <c r="D411" s="299"/>
      <c r="E411" s="299"/>
      <c r="G411" s="299" t="s">
        <v>14</v>
      </c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t="s">
        <v>935</v>
      </c>
      <c r="S411" s="194">
        <f>+S413+S424+S443+S456+S472+S482+S496+S505+S521+S540</f>
        <v>105316778.02000001</v>
      </c>
      <c r="T411" s="4"/>
      <c r="V411"/>
      <c r="W411"/>
      <c r="Y411"/>
      <c r="AB411"/>
    </row>
    <row r="412" spans="2:28" x14ac:dyDescent="0.25">
      <c r="B412" s="299" t="s">
        <v>508</v>
      </c>
      <c r="C412" s="299"/>
      <c r="D412" s="299"/>
      <c r="E412" s="299"/>
      <c r="G412" s="299" t="s">
        <v>508</v>
      </c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4"/>
      <c r="V412"/>
      <c r="W412"/>
      <c r="Y412"/>
      <c r="AB412"/>
    </row>
    <row r="413" spans="2:28" x14ac:dyDescent="0.25">
      <c r="B413" t="s">
        <v>246</v>
      </c>
      <c r="C413" s="1" t="s">
        <v>248</v>
      </c>
      <c r="D413" s="1" t="s">
        <v>261</v>
      </c>
      <c r="E413" s="4" t="s">
        <v>249</v>
      </c>
      <c r="G413" s="201" t="s">
        <v>798</v>
      </c>
      <c r="H413" s="201" t="s">
        <v>799</v>
      </c>
      <c r="I413" s="201" t="s">
        <v>800</v>
      </c>
      <c r="J413" s="201" t="s">
        <v>815</v>
      </c>
      <c r="K413" s="201"/>
      <c r="L413" s="201" t="s">
        <v>816</v>
      </c>
      <c r="M413" s="202" t="s">
        <v>817</v>
      </c>
      <c r="N413" s="202" t="s">
        <v>818</v>
      </c>
      <c r="O413" s="202" t="s">
        <v>819</v>
      </c>
      <c r="P413" s="201" t="s">
        <v>820</v>
      </c>
      <c r="Q413" s="203" t="s">
        <v>847</v>
      </c>
      <c r="R413" s="201" t="s">
        <v>85</v>
      </c>
      <c r="S413" s="204">
        <f>+SUM(R414:R421)</f>
        <v>48692352.75</v>
      </c>
      <c r="T413" s="4"/>
      <c r="V413"/>
      <c r="W413"/>
      <c r="Y413"/>
      <c r="AB413"/>
    </row>
    <row r="414" spans="2:28" x14ac:dyDescent="0.25">
      <c r="B414" t="s">
        <v>506</v>
      </c>
      <c r="C414" s="1" t="s">
        <v>335</v>
      </c>
      <c r="D414" s="1" t="s">
        <v>508</v>
      </c>
      <c r="E414" s="4">
        <v>4500</v>
      </c>
      <c r="G414" t="str">
        <f t="shared" ref="G414:G421" si="63">+B414</f>
        <v>Guadua 12cm limpia e inmunizada</v>
      </c>
      <c r="H414" t="s">
        <v>76</v>
      </c>
      <c r="I414" s="1" t="str">
        <f t="shared" ref="I414:I421" si="64">+C414</f>
        <v>ML</v>
      </c>
      <c r="J414" s="1" t="s">
        <v>1013</v>
      </c>
      <c r="K414" s="1"/>
      <c r="L414"/>
      <c r="M414" s="4">
        <f>+Tabla727482[[#This Row],[V. UNITARIO]]</f>
        <v>4500</v>
      </c>
      <c r="N414" s="31"/>
      <c r="O414" s="31"/>
      <c r="P414" t="s">
        <v>821</v>
      </c>
      <c r="Q414" s="190">
        <f>(SUMIFS('3. CD - Obra negra'!$O$4:$O$344,'3. CD - Obra negra'!$E$4:$E$344,G414))+(SUMIFS('4. CD - Obra gris'!$O$14:$O$74,'4. CD - Obra gris'!$E$14:$E$74,G414))+(SUMIFS('5, CD -Obra blanca'!$O$4:$O$151,'5, CD -Obra blanca'!$E$4:$E$151,G414))</f>
        <v>4432.0319999999992</v>
      </c>
      <c r="R414" s="194">
        <f t="shared" ref="R414:R421" si="65">+Q414*M414</f>
        <v>19944143.999999996</v>
      </c>
      <c r="T414" s="4"/>
      <c r="V414"/>
      <c r="W414"/>
      <c r="Y414"/>
      <c r="AB414"/>
    </row>
    <row r="415" spans="2:28" x14ac:dyDescent="0.25">
      <c r="B415" t="s">
        <v>1398</v>
      </c>
      <c r="C415" s="1" t="s">
        <v>335</v>
      </c>
      <c r="D415" s="1" t="s">
        <v>508</v>
      </c>
      <c r="E415" s="4">
        <v>4500</v>
      </c>
      <c r="G415" t="str">
        <f t="shared" si="63"/>
        <v>Guadua 8cm limpia e inmunizada</v>
      </c>
      <c r="H415" t="s">
        <v>76</v>
      </c>
      <c r="I415" s="1" t="str">
        <f t="shared" si="64"/>
        <v>ML</v>
      </c>
      <c r="J415" s="1" t="s">
        <v>1399</v>
      </c>
      <c r="K415" s="1"/>
      <c r="L415"/>
      <c r="M415" s="4">
        <f>+Tabla727482[[#This Row],[V. UNITARIO]]</f>
        <v>4500</v>
      </c>
      <c r="N415" s="31"/>
      <c r="O415" s="31"/>
      <c r="P415" t="s">
        <v>821</v>
      </c>
      <c r="Q415" s="190">
        <f>(SUMIFS('3. CD - Obra negra'!$O$4:$O$344,'3. CD - Obra negra'!$E$4:$E$344,G415))+(SUMIFS('4. CD - Obra gris'!$O$14:$O$74,'4. CD - Obra gris'!$E$14:$E$74,G415))+(SUMIFS('5, CD -Obra blanca'!$O$4:$O$151,'5, CD -Obra blanca'!$E$4:$E$151,G415))</f>
        <v>299.17650000000003</v>
      </c>
      <c r="R415" s="194">
        <f t="shared" si="65"/>
        <v>1346294.2500000002</v>
      </c>
      <c r="T415" s="4"/>
      <c r="V415"/>
      <c r="W415"/>
      <c r="Y415"/>
      <c r="AB415"/>
    </row>
    <row r="416" spans="2:28" x14ac:dyDescent="0.25">
      <c r="B416" t="s">
        <v>515</v>
      </c>
      <c r="C416" s="1" t="s">
        <v>488</v>
      </c>
      <c r="D416" s="1" t="s">
        <v>508</v>
      </c>
      <c r="E416" s="4">
        <v>18000</v>
      </c>
      <c r="G416" t="str">
        <f t="shared" si="63"/>
        <v>Esterilla x4m limpia e inmunizada</v>
      </c>
      <c r="H416" t="s">
        <v>76</v>
      </c>
      <c r="I416" s="1" t="str">
        <f t="shared" si="64"/>
        <v>BTO</v>
      </c>
      <c r="J416" s="1" t="s">
        <v>1014</v>
      </c>
      <c r="K416" s="1"/>
      <c r="L416"/>
      <c r="M416" s="4">
        <f>+Tabla727482[[#This Row],[V. UNITARIO]]</f>
        <v>18000</v>
      </c>
      <c r="N416" s="31"/>
      <c r="O416" s="31"/>
      <c r="P416" t="s">
        <v>821</v>
      </c>
      <c r="Q416" s="190">
        <f>(SUMIFS('3. CD - Obra negra'!$O$4:$O$344,'3. CD - Obra negra'!$E$4:$E$344,G416))+(SUMIFS('4. CD - Obra gris'!$O$14:$O$74,'4. CD - Obra gris'!$E$14:$E$74,G416))+(SUMIFS('5, CD -Obra blanca'!$O$4:$O$151,'5, CD -Obra blanca'!$E$4:$E$151,G416))</f>
        <v>703.08525000000009</v>
      </c>
      <c r="R416" s="194">
        <f t="shared" si="65"/>
        <v>12655534.500000002</v>
      </c>
      <c r="T416" s="4"/>
      <c r="V416"/>
      <c r="W416"/>
      <c r="Y416"/>
      <c r="AB416"/>
    </row>
    <row r="417" spans="2:28" x14ac:dyDescent="0.25">
      <c r="B417" t="s">
        <v>1421</v>
      </c>
      <c r="C417" s="1" t="s">
        <v>335</v>
      </c>
      <c r="D417" s="1" t="s">
        <v>508</v>
      </c>
      <c r="E417" s="4">
        <v>5000</v>
      </c>
      <c r="G417" t="str">
        <f t="shared" si="63"/>
        <v>Bolillo guadua</v>
      </c>
      <c r="H417" t="s">
        <v>76</v>
      </c>
      <c r="I417" s="1" t="str">
        <f t="shared" si="64"/>
        <v>ML</v>
      </c>
      <c r="J417" s="1" t="s">
        <v>1422</v>
      </c>
      <c r="K417" s="1"/>
      <c r="L417"/>
      <c r="M417" s="4">
        <f>+Tabla727482[[#This Row],[V. UNITARIO]]</f>
        <v>5000</v>
      </c>
      <c r="N417" s="31"/>
      <c r="O417" s="31"/>
      <c r="P417" t="s">
        <v>821</v>
      </c>
      <c r="Q417" s="190">
        <f>(SUMIFS('3. CD - Obra negra'!$O$4:$O$344,'3. CD - Obra negra'!$E$4:$E$344,G417))+(SUMIFS('4. CD - Obra gris'!$O$14:$O$74,'4. CD - Obra gris'!$E$14:$E$74,G417))+(SUMIFS('5, CD -Obra blanca'!$O$4:$O$151,'5, CD -Obra blanca'!$E$4:$E$151,G417))</f>
        <v>0</v>
      </c>
      <c r="R417" s="194">
        <f t="shared" si="65"/>
        <v>0</v>
      </c>
      <c r="T417" s="4"/>
      <c r="V417"/>
      <c r="W417"/>
      <c r="Y417"/>
      <c r="AB417"/>
    </row>
    <row r="418" spans="2:28" x14ac:dyDescent="0.25">
      <c r="B418" t="s">
        <v>659</v>
      </c>
      <c r="C418" s="1" t="s">
        <v>335</v>
      </c>
      <c r="D418" s="1" t="s">
        <v>508</v>
      </c>
      <c r="E418" s="4">
        <v>2000</v>
      </c>
      <c r="G418" t="str">
        <f t="shared" si="63"/>
        <v>Lata de guadua limpia e inmunizada</v>
      </c>
      <c r="H418" t="s">
        <v>76</v>
      </c>
      <c r="I418" s="1" t="str">
        <f t="shared" si="64"/>
        <v>ML</v>
      </c>
      <c r="J418" s="1" t="s">
        <v>1015</v>
      </c>
      <c r="K418" s="1"/>
      <c r="L418"/>
      <c r="M418" s="4">
        <f>+Tabla727482[[#This Row],[V. UNITARIO]]</f>
        <v>2000</v>
      </c>
      <c r="N418" s="31"/>
      <c r="O418" s="31"/>
      <c r="P418" t="s">
        <v>821</v>
      </c>
      <c r="Q418" s="190">
        <f>(SUMIFS('3. CD - Obra negra'!$O$4:$O$344,'3. CD - Obra negra'!$E$4:$E$344,G418))+(SUMIFS('4. CD - Obra gris'!$O$14:$O$74,'4. CD - Obra gris'!$E$14:$E$74,G418))+(SUMIFS('5, CD -Obra blanca'!$O$4:$O$151,'5, CD -Obra blanca'!$E$4:$E$151,G418))</f>
        <v>1089.69</v>
      </c>
      <c r="R418" s="194">
        <f t="shared" si="65"/>
        <v>2179380</v>
      </c>
      <c r="T418" s="4"/>
      <c r="V418"/>
      <c r="W418"/>
      <c r="Y418"/>
      <c r="AB418"/>
    </row>
    <row r="419" spans="2:28" x14ac:dyDescent="0.25">
      <c r="B419" t="s">
        <v>660</v>
      </c>
      <c r="C419" s="1" t="s">
        <v>335</v>
      </c>
      <c r="D419" s="1" t="s">
        <v>508</v>
      </c>
      <c r="E419" s="4">
        <v>3500</v>
      </c>
      <c r="G419" t="str">
        <f t="shared" si="63"/>
        <v>Bambú sopleteado</v>
      </c>
      <c r="H419" t="s">
        <v>76</v>
      </c>
      <c r="I419" s="1" t="str">
        <f t="shared" si="64"/>
        <v>ML</v>
      </c>
      <c r="J419" s="1" t="s">
        <v>1016</v>
      </c>
      <c r="K419" s="1"/>
      <c r="L419"/>
      <c r="M419" s="4">
        <f>+Tabla727482[[#This Row],[V. UNITARIO]]</f>
        <v>3500</v>
      </c>
      <c r="N419" s="31"/>
      <c r="O419" s="31"/>
      <c r="P419" t="s">
        <v>821</v>
      </c>
      <c r="Q419" s="190">
        <f>(SUMIFS('3. CD - Obra negra'!$O$4:$O$344,'3. CD - Obra negra'!$E$4:$E$344,G419))+(SUMIFS('4. CD - Obra gris'!$O$14:$O$74,'4. CD - Obra gris'!$E$14:$E$74,G419))+(SUMIFS('5, CD -Obra blanca'!$O$4:$O$151,'5, CD -Obra blanca'!$E$4:$E$151,G419))</f>
        <v>0</v>
      </c>
      <c r="R419" s="194">
        <f t="shared" si="65"/>
        <v>0</v>
      </c>
      <c r="T419" s="4"/>
      <c r="V419"/>
      <c r="W419"/>
      <c r="Y419"/>
      <c r="AB419"/>
    </row>
    <row r="420" spans="2:28" x14ac:dyDescent="0.25">
      <c r="B420" t="s">
        <v>1734</v>
      </c>
      <c r="C420" s="1" t="s">
        <v>260</v>
      </c>
      <c r="D420" s="1" t="s">
        <v>595</v>
      </c>
      <c r="E420" s="279">
        <v>250000</v>
      </c>
      <c r="G420" t="str">
        <f>+B420</f>
        <v>Puerta ventana en guadua</v>
      </c>
      <c r="H420" t="s">
        <v>76</v>
      </c>
      <c r="I420" s="1" t="str">
        <f>+C420</f>
        <v>M2</v>
      </c>
      <c r="J420" s="1" t="s">
        <v>1733</v>
      </c>
      <c r="K420" s="1"/>
      <c r="L420"/>
      <c r="M420" s="4">
        <f>+E420</f>
        <v>250000</v>
      </c>
      <c r="N420" s="31"/>
      <c r="O420" s="31"/>
      <c r="P420" t="s">
        <v>821</v>
      </c>
      <c r="Q420" s="190">
        <f>(SUMIFS('3. CD - Obra negra'!$O$4:$O$344,'3. CD - Obra negra'!$E$4:$E$344,G420))+(SUMIFS('4. CD - Obra gris'!$O$14:$O$74,'4. CD - Obra gris'!$E$14:$E$74,G420))+(SUMIFS('5, CD -Obra blanca'!$O$4:$O$151,'5, CD -Obra blanca'!$E$4:$E$151,G420))</f>
        <v>32.055</v>
      </c>
      <c r="R420" s="194">
        <f t="shared" si="65"/>
        <v>8013750</v>
      </c>
      <c r="T420" s="4"/>
      <c r="V420"/>
      <c r="W420"/>
      <c r="Y420"/>
      <c r="AB420"/>
    </row>
    <row r="421" spans="2:28" x14ac:dyDescent="0.25">
      <c r="B421" t="s">
        <v>1732</v>
      </c>
      <c r="C421" s="1" t="s">
        <v>260</v>
      </c>
      <c r="D421" s="1" t="s">
        <v>595</v>
      </c>
      <c r="E421" s="279">
        <v>150000</v>
      </c>
      <c r="G421" t="str">
        <f t="shared" si="63"/>
        <v>Ventanería en guadua</v>
      </c>
      <c r="H421" t="s">
        <v>76</v>
      </c>
      <c r="I421" s="1" t="str">
        <f t="shared" si="64"/>
        <v>M2</v>
      </c>
      <c r="J421" s="1" t="s">
        <v>1733</v>
      </c>
      <c r="K421" s="1"/>
      <c r="L421"/>
      <c r="M421" s="4">
        <f>+E421</f>
        <v>150000</v>
      </c>
      <c r="N421" s="31"/>
      <c r="O421" s="31"/>
      <c r="P421" t="s">
        <v>821</v>
      </c>
      <c r="Q421" s="190">
        <f>(SUMIFS('3. CD - Obra negra'!$O$4:$O$344,'3. CD - Obra negra'!$E$4:$E$344,G421))+(SUMIFS('4. CD - Obra gris'!$O$14:$O$74,'4. CD - Obra gris'!$E$14:$E$74,G421))+(SUMIFS('5, CD -Obra blanca'!$O$4:$O$151,'5, CD -Obra blanca'!$E$4:$E$151,G421))</f>
        <v>30.355</v>
      </c>
      <c r="R421" s="194">
        <f t="shared" si="65"/>
        <v>4553250</v>
      </c>
      <c r="T421" s="4"/>
      <c r="V421"/>
      <c r="W421"/>
      <c r="Y421"/>
      <c r="AB421"/>
    </row>
    <row r="422" spans="2:28" x14ac:dyDescent="0.25">
      <c r="C422" s="1"/>
      <c r="D422" s="1"/>
      <c r="I422" s="1"/>
      <c r="L422"/>
      <c r="M422" s="4"/>
      <c r="N422" s="31"/>
      <c r="O422" s="31"/>
      <c r="R422"/>
      <c r="T422" s="4"/>
      <c r="V422"/>
      <c r="W422"/>
      <c r="Y422"/>
      <c r="AB422"/>
    </row>
    <row r="423" spans="2:28" x14ac:dyDescent="0.25">
      <c r="B423" s="299" t="s">
        <v>586</v>
      </c>
      <c r="C423" s="299"/>
      <c r="D423" s="299"/>
      <c r="E423" s="299"/>
      <c r="G423" s="299" t="s">
        <v>586</v>
      </c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4"/>
      <c r="V423"/>
      <c r="W423"/>
      <c r="Y423"/>
      <c r="AB423"/>
    </row>
    <row r="424" spans="2:28" x14ac:dyDescent="0.25">
      <c r="B424" t="s">
        <v>246</v>
      </c>
      <c r="C424" s="1" t="s">
        <v>248</v>
      </c>
      <c r="D424" s="1" t="s">
        <v>261</v>
      </c>
      <c r="E424" s="4" t="s">
        <v>249</v>
      </c>
      <c r="G424" s="201" t="s">
        <v>798</v>
      </c>
      <c r="H424" s="201" t="s">
        <v>799</v>
      </c>
      <c r="I424" s="201" t="s">
        <v>800</v>
      </c>
      <c r="J424" s="201" t="s">
        <v>815</v>
      </c>
      <c r="K424" s="201"/>
      <c r="L424" s="201" t="s">
        <v>816</v>
      </c>
      <c r="M424" s="202" t="s">
        <v>817</v>
      </c>
      <c r="N424" s="202" t="s">
        <v>818</v>
      </c>
      <c r="O424" s="202" t="s">
        <v>819</v>
      </c>
      <c r="P424" s="201" t="s">
        <v>820</v>
      </c>
      <c r="Q424" s="203" t="s">
        <v>847</v>
      </c>
      <c r="R424" s="201" t="s">
        <v>85</v>
      </c>
      <c r="S424" s="204">
        <f>+SUM(R425:R440)</f>
        <v>10396281</v>
      </c>
      <c r="T424" s="4"/>
      <c r="V424"/>
      <c r="W424"/>
      <c r="Y424"/>
      <c r="AB424"/>
    </row>
    <row r="425" spans="2:28" x14ac:dyDescent="0.25">
      <c r="B425" t="s">
        <v>587</v>
      </c>
      <c r="C425" s="1" t="s">
        <v>335</v>
      </c>
      <c r="D425" s="1" t="s">
        <v>586</v>
      </c>
      <c r="E425" s="4">
        <v>7000</v>
      </c>
      <c r="G425" t="str">
        <f t="shared" ref="G425:G440" si="66">+B425</f>
        <v>Alistado de piso en amarillo</v>
      </c>
      <c r="H425" t="s">
        <v>76</v>
      </c>
      <c r="I425" s="1" t="str">
        <f t="shared" ref="I425:I440" si="67">+C425</f>
        <v>ML</v>
      </c>
      <c r="J425" s="1" t="s">
        <v>866</v>
      </c>
      <c r="K425" s="1"/>
      <c r="L425"/>
      <c r="M425" s="4">
        <f t="shared" ref="M425:M440" si="68">+E425</f>
        <v>7000</v>
      </c>
      <c r="N425" s="31"/>
      <c r="O425" s="31"/>
      <c r="P425" t="s">
        <v>821</v>
      </c>
      <c r="Q425" s="190">
        <f>(SUMIFS('3. CD - Obra negra'!$O$4:$O$344,'3. CD - Obra negra'!$E$4:$E$344,G425))+(SUMIFS('4. CD - Obra gris'!$O$14:$O$74,'4. CD - Obra gris'!$E$14:$E$74,G425))+(SUMIFS('5, CD -Obra blanca'!$O$4:$O$151,'5, CD -Obra blanca'!$E$4:$E$151,G425))</f>
        <v>223.125</v>
      </c>
      <c r="R425" s="194">
        <f t="shared" ref="R425:R430" si="69">+Q425*M425</f>
        <v>1561875</v>
      </c>
      <c r="T425" s="4"/>
      <c r="V425"/>
      <c r="W425"/>
      <c r="Y425"/>
      <c r="AB425"/>
    </row>
    <row r="426" spans="2:28" x14ac:dyDescent="0.25">
      <c r="B426" t="s">
        <v>1755</v>
      </c>
      <c r="C426" s="1" t="s">
        <v>335</v>
      </c>
      <c r="D426" s="1" t="s">
        <v>586</v>
      </c>
      <c r="E426" s="4">
        <v>1500</v>
      </c>
      <c r="G426" t="str">
        <f>+B426</f>
        <v>Vara de madera in situ</v>
      </c>
      <c r="H426" t="s">
        <v>76</v>
      </c>
      <c r="I426" s="1" t="str">
        <f>+C426</f>
        <v>ML</v>
      </c>
      <c r="J426" s="1" t="s">
        <v>1756</v>
      </c>
      <c r="K426" s="1"/>
      <c r="L426"/>
      <c r="M426" s="4">
        <f>+E426</f>
        <v>1500</v>
      </c>
      <c r="N426" s="31"/>
      <c r="O426" s="31"/>
      <c r="P426" t="s">
        <v>821</v>
      </c>
      <c r="Q426" s="190">
        <f>(SUMIFS('3. CD - Obra negra'!$O$4:$O$344,'3. CD - Obra negra'!$E$4:$E$344,G426))+(SUMIFS('4. CD - Obra gris'!$O$14:$O$74,'4. CD - Obra gris'!$E$14:$E$74,G426))+(SUMIFS('5, CD -Obra blanca'!$O$4:$O$151,'5, CD -Obra blanca'!$E$4:$E$151,G426))</f>
        <v>589.93200000000013</v>
      </c>
      <c r="R426" s="194">
        <f t="shared" si="69"/>
        <v>884898.00000000023</v>
      </c>
      <c r="T426" s="4"/>
      <c r="V426"/>
      <c r="W426"/>
      <c r="Y426"/>
      <c r="AB426"/>
    </row>
    <row r="427" spans="2:28" x14ac:dyDescent="0.25">
      <c r="B427" t="s">
        <v>1771</v>
      </c>
      <c r="C427" s="1" t="s">
        <v>335</v>
      </c>
      <c r="D427" s="1" t="s">
        <v>586</v>
      </c>
      <c r="E427" s="4">
        <v>3000</v>
      </c>
      <c r="G427" t="str">
        <f>+B427</f>
        <v>Madera rolliza in situ</v>
      </c>
      <c r="H427" t="s">
        <v>76</v>
      </c>
      <c r="I427" s="1" t="str">
        <f>+C427</f>
        <v>ML</v>
      </c>
      <c r="J427" s="1" t="s">
        <v>1772</v>
      </c>
      <c r="K427" s="1"/>
      <c r="L427"/>
      <c r="M427" s="4">
        <f>+E427</f>
        <v>3000</v>
      </c>
      <c r="N427" s="31"/>
      <c r="O427" s="31"/>
      <c r="P427" t="s">
        <v>821</v>
      </c>
      <c r="Q427" s="190">
        <f>(SUMIFS('3. CD - Obra negra'!$O$4:$O$344,'3. CD - Obra negra'!$E$4:$E$344,G427))+(SUMIFS('4. CD - Obra gris'!$O$14:$O$74,'4. CD - Obra gris'!$E$14:$E$74,G427))+(SUMIFS('5, CD -Obra blanca'!$O$4:$O$151,'5, CD -Obra blanca'!$E$4:$E$151,G427))</f>
        <v>183.393</v>
      </c>
      <c r="R427" s="194">
        <f t="shared" si="69"/>
        <v>550179</v>
      </c>
      <c r="T427" s="4"/>
      <c r="V427"/>
      <c r="W427"/>
      <c r="Y427"/>
      <c r="AB427"/>
    </row>
    <row r="428" spans="2:28" x14ac:dyDescent="0.25">
      <c r="B428" t="s">
        <v>1273</v>
      </c>
      <c r="C428" s="1" t="s">
        <v>335</v>
      </c>
      <c r="D428" s="1" t="s">
        <v>586</v>
      </c>
      <c r="E428" s="4">
        <v>105000</v>
      </c>
      <c r="G428" t="str">
        <f t="shared" si="66"/>
        <v>Viga granadillo a medida</v>
      </c>
      <c r="H428" t="s">
        <v>76</v>
      </c>
      <c r="I428" s="1" t="str">
        <f t="shared" si="67"/>
        <v>ML</v>
      </c>
      <c r="J428" s="1" t="s">
        <v>1274</v>
      </c>
      <c r="K428" s="1"/>
      <c r="L428"/>
      <c r="M428" s="4">
        <f t="shared" si="68"/>
        <v>105000</v>
      </c>
      <c r="N428" s="31"/>
      <c r="O428" s="31"/>
      <c r="P428" t="s">
        <v>821</v>
      </c>
      <c r="Q428" s="190">
        <f>(SUMIFS('3. CD - Obra negra'!$O$4:$O$344,'3. CD - Obra negra'!$E$4:$E$344,G428))+(SUMIFS('4. CD - Obra gris'!$O$14:$O$74,'4. CD - Obra gris'!$E$14:$E$74,G428))+(SUMIFS('5, CD -Obra blanca'!$O$4:$O$151,'5, CD -Obra blanca'!$E$4:$E$151,G428))</f>
        <v>0</v>
      </c>
      <c r="R428" s="194">
        <f t="shared" si="69"/>
        <v>0</v>
      </c>
      <c r="T428" s="4"/>
      <c r="V428"/>
      <c r="W428"/>
      <c r="Y428"/>
      <c r="AB428"/>
    </row>
    <row r="429" spans="2:28" x14ac:dyDescent="0.25">
      <c r="B429" t="s">
        <v>1327</v>
      </c>
      <c r="C429" s="1" t="s">
        <v>335</v>
      </c>
      <c r="D429" s="1" t="s">
        <v>586</v>
      </c>
      <c r="E429" s="4">
        <v>40000</v>
      </c>
      <c r="G429" t="str">
        <f t="shared" si="66"/>
        <v>Viga abarco a medida</v>
      </c>
      <c r="H429" t="s">
        <v>76</v>
      </c>
      <c r="I429" s="1" t="str">
        <f t="shared" si="67"/>
        <v>ML</v>
      </c>
      <c r="J429" s="1" t="s">
        <v>1274</v>
      </c>
      <c r="K429" s="1"/>
      <c r="L429"/>
      <c r="M429" s="4">
        <f t="shared" si="68"/>
        <v>40000</v>
      </c>
      <c r="N429" s="31"/>
      <c r="O429" s="31"/>
      <c r="P429" t="s">
        <v>821</v>
      </c>
      <c r="Q429" s="190">
        <f>(SUMIFS('3. CD - Obra negra'!$O$4:$O$344,'3. CD - Obra negra'!$E$4:$E$344,G429))+(SUMIFS('4. CD - Obra gris'!$O$14:$O$74,'4. CD - Obra gris'!$E$14:$E$74,G429))+(SUMIFS('5, CD -Obra blanca'!$O$4:$O$151,'5, CD -Obra blanca'!$E$4:$E$151,G429))</f>
        <v>0</v>
      </c>
      <c r="R429" s="194">
        <f t="shared" si="69"/>
        <v>0</v>
      </c>
      <c r="T429" s="4"/>
      <c r="V429"/>
      <c r="W429"/>
      <c r="Y429"/>
      <c r="AB429"/>
    </row>
    <row r="430" spans="2:28" x14ac:dyDescent="0.25">
      <c r="B430" t="s">
        <v>661</v>
      </c>
      <c r="C430" s="1" t="s">
        <v>260</v>
      </c>
      <c r="D430" s="1" t="s">
        <v>586</v>
      </c>
      <c r="E430" s="4">
        <v>65000</v>
      </c>
      <c r="G430" t="str">
        <f t="shared" si="66"/>
        <v>Piso achapo</v>
      </c>
      <c r="H430" t="s">
        <v>76</v>
      </c>
      <c r="I430" s="1" t="str">
        <f t="shared" si="67"/>
        <v>M2</v>
      </c>
      <c r="J430" s="1" t="s">
        <v>1017</v>
      </c>
      <c r="K430" s="1"/>
      <c r="L430"/>
      <c r="M430" s="4">
        <f t="shared" si="68"/>
        <v>65000</v>
      </c>
      <c r="N430" s="31"/>
      <c r="O430" s="31"/>
      <c r="P430" t="s">
        <v>821</v>
      </c>
      <c r="Q430" s="190">
        <f>(SUMIFS('3. CD - Obra negra'!$O$4:$O$344,'3. CD - Obra negra'!$E$4:$E$344,G430))+(SUMIFS('4. CD - Obra gris'!$O$14:$O$74,'4. CD - Obra gris'!$E$14:$E$74,G430))+(SUMIFS('5, CD -Obra blanca'!$O$4:$O$151,'5, CD -Obra blanca'!$E$4:$E$151,G430))</f>
        <v>0</v>
      </c>
      <c r="R430" s="194">
        <f t="shared" si="69"/>
        <v>0</v>
      </c>
      <c r="T430" s="4"/>
      <c r="V430"/>
      <c r="W430"/>
      <c r="Y430"/>
      <c r="AB430"/>
    </row>
    <row r="431" spans="2:28" x14ac:dyDescent="0.25">
      <c r="B431" t="s">
        <v>662</v>
      </c>
      <c r="C431" s="1" t="s">
        <v>260</v>
      </c>
      <c r="D431" s="1" t="s">
        <v>586</v>
      </c>
      <c r="E431" s="4">
        <v>95000</v>
      </c>
      <c r="G431" t="str">
        <f t="shared" si="66"/>
        <v>Piso granadillo</v>
      </c>
      <c r="H431" t="s">
        <v>76</v>
      </c>
      <c r="I431" s="1" t="str">
        <f t="shared" si="67"/>
        <v>M2</v>
      </c>
      <c r="J431" s="1" t="s">
        <v>1018</v>
      </c>
      <c r="K431" s="1"/>
      <c r="L431"/>
      <c r="M431" s="4">
        <f t="shared" si="68"/>
        <v>95000</v>
      </c>
      <c r="N431" s="31"/>
      <c r="O431" s="31"/>
      <c r="P431" t="s">
        <v>821</v>
      </c>
      <c r="Q431" s="190">
        <f>(SUMIFS('3. CD - Obra negra'!$O$4:$O$344,'3. CD - Obra negra'!$E$4:$E$344,G431))+(SUMIFS('4. CD - Obra gris'!$O$14:$O$74,'4. CD - Obra gris'!$E$14:$E$74,G431))+(SUMIFS('5, CD -Obra blanca'!$O$4:$O$151,'5, CD -Obra blanca'!$E$4:$E$151,G431))</f>
        <v>0</v>
      </c>
      <c r="R431" s="194">
        <f t="shared" ref="R431:R440" si="70">+Q431*M431</f>
        <v>0</v>
      </c>
      <c r="T431" s="4"/>
      <c r="V431"/>
      <c r="W431"/>
      <c r="Y431"/>
      <c r="AB431"/>
    </row>
    <row r="432" spans="2:28" x14ac:dyDescent="0.25">
      <c r="B432" t="s">
        <v>663</v>
      </c>
      <c r="C432" s="1" t="s">
        <v>260</v>
      </c>
      <c r="D432" s="1" t="s">
        <v>586</v>
      </c>
      <c r="E432" s="4">
        <v>92000</v>
      </c>
      <c r="G432" t="str">
        <f t="shared" si="66"/>
        <v>Piso guaymaro</v>
      </c>
      <c r="H432" t="s">
        <v>76</v>
      </c>
      <c r="I432" s="1" t="str">
        <f t="shared" si="67"/>
        <v>M2</v>
      </c>
      <c r="J432" s="1" t="s">
        <v>1019</v>
      </c>
      <c r="K432" s="1"/>
      <c r="L432"/>
      <c r="M432" s="4">
        <f t="shared" si="68"/>
        <v>92000</v>
      </c>
      <c r="N432" s="31"/>
      <c r="O432" s="31"/>
      <c r="P432" t="s">
        <v>821</v>
      </c>
      <c r="Q432" s="190">
        <f>(SUMIFS('3. CD - Obra negra'!$O$4:$O$344,'3. CD - Obra negra'!$E$4:$E$344,G432))+(SUMIFS('4. CD - Obra gris'!$O$14:$O$74,'4. CD - Obra gris'!$E$14:$E$74,G432))+(SUMIFS('5, CD -Obra blanca'!$O$4:$O$151,'5, CD -Obra blanca'!$E$4:$E$151,G432))</f>
        <v>0</v>
      </c>
      <c r="R432" s="194">
        <f t="shared" si="70"/>
        <v>0</v>
      </c>
      <c r="T432" s="4"/>
      <c r="V432"/>
      <c r="W432"/>
      <c r="Y432"/>
      <c r="AB432"/>
    </row>
    <row r="433" spans="2:28" x14ac:dyDescent="0.25">
      <c r="B433" t="s">
        <v>588</v>
      </c>
      <c r="C433" s="1" t="s">
        <v>260</v>
      </c>
      <c r="D433" s="1" t="s">
        <v>586</v>
      </c>
      <c r="E433" s="4">
        <v>100000</v>
      </c>
      <c r="G433" t="str">
        <f t="shared" si="66"/>
        <v>Piso teca</v>
      </c>
      <c r="H433" t="s">
        <v>76</v>
      </c>
      <c r="I433" s="1" t="str">
        <f t="shared" si="67"/>
        <v>M2</v>
      </c>
      <c r="J433" s="1" t="s">
        <v>1020</v>
      </c>
      <c r="K433" s="1"/>
      <c r="L433"/>
      <c r="M433" s="4">
        <f t="shared" si="68"/>
        <v>100000</v>
      </c>
      <c r="N433" s="31"/>
      <c r="O433" s="31"/>
      <c r="P433" t="s">
        <v>821</v>
      </c>
      <c r="Q433" s="190">
        <f>(SUMIFS('3. CD - Obra negra'!$O$4:$O$344,'3. CD - Obra negra'!$E$4:$E$344,G433))+(SUMIFS('4. CD - Obra gris'!$O$14:$O$74,'4. CD - Obra gris'!$E$14:$E$74,G433))+(SUMIFS('5, CD -Obra blanca'!$O$4:$O$151,'5, CD -Obra blanca'!$E$4:$E$151,G433))</f>
        <v>0</v>
      </c>
      <c r="R433" s="194">
        <f t="shared" si="70"/>
        <v>0</v>
      </c>
      <c r="T433" s="4"/>
      <c r="V433"/>
      <c r="W433"/>
      <c r="Y433"/>
      <c r="AB433"/>
    </row>
    <row r="434" spans="2:28" x14ac:dyDescent="0.25">
      <c r="B434" t="s">
        <v>664</v>
      </c>
      <c r="C434" s="1" t="s">
        <v>260</v>
      </c>
      <c r="D434" s="1" t="s">
        <v>586</v>
      </c>
      <c r="E434" s="4">
        <v>100000</v>
      </c>
      <c r="G434" t="str">
        <f t="shared" si="66"/>
        <v>Piso sapán</v>
      </c>
      <c r="H434" t="s">
        <v>76</v>
      </c>
      <c r="I434" s="1" t="str">
        <f t="shared" si="67"/>
        <v>M2</v>
      </c>
      <c r="J434" s="1" t="s">
        <v>1021</v>
      </c>
      <c r="K434" s="1"/>
      <c r="L434"/>
      <c r="M434" s="4">
        <f t="shared" si="68"/>
        <v>100000</v>
      </c>
      <c r="N434" s="31"/>
      <c r="O434" s="31"/>
      <c r="P434" t="s">
        <v>821</v>
      </c>
      <c r="Q434" s="190">
        <f>(SUMIFS('3. CD - Obra negra'!$O$4:$O$344,'3. CD - Obra negra'!$E$4:$E$344,G434))+(SUMIFS('4. CD - Obra gris'!$O$14:$O$74,'4. CD - Obra gris'!$E$14:$E$74,G434))+(SUMIFS('5, CD -Obra blanca'!$O$4:$O$151,'5, CD -Obra blanca'!$E$4:$E$151,G434))</f>
        <v>0</v>
      </c>
      <c r="R434" s="194">
        <f t="shared" si="70"/>
        <v>0</v>
      </c>
      <c r="T434" s="4"/>
      <c r="V434"/>
      <c r="W434"/>
      <c r="Y434"/>
      <c r="AB434"/>
    </row>
    <row r="435" spans="2:28" x14ac:dyDescent="0.25">
      <c r="B435" t="s">
        <v>585</v>
      </c>
      <c r="C435" s="1" t="s">
        <v>260</v>
      </c>
      <c r="D435" s="1" t="s">
        <v>586</v>
      </c>
      <c r="E435" s="4">
        <v>295000</v>
      </c>
      <c r="G435" t="str">
        <f t="shared" si="66"/>
        <v>Piso madera plástica</v>
      </c>
      <c r="H435" t="s">
        <v>76</v>
      </c>
      <c r="I435" s="1" t="str">
        <f t="shared" si="67"/>
        <v>M2</v>
      </c>
      <c r="J435" s="1" t="s">
        <v>1022</v>
      </c>
      <c r="K435" s="1"/>
      <c r="L435"/>
      <c r="M435" s="4">
        <f t="shared" si="68"/>
        <v>295000</v>
      </c>
      <c r="N435" s="31"/>
      <c r="O435" s="31"/>
      <c r="P435" t="s">
        <v>821</v>
      </c>
      <c r="Q435" s="190">
        <f>(SUMIFS('3. CD - Obra negra'!$O$4:$O$344,'3. CD - Obra negra'!$E$4:$E$344,G435))+(SUMIFS('4. CD - Obra gris'!$O$14:$O$74,'4. CD - Obra gris'!$E$14:$E$74,G435))+(SUMIFS('5, CD -Obra blanca'!$O$4:$O$151,'5, CD -Obra blanca'!$E$4:$E$151,G435))</f>
        <v>0</v>
      </c>
      <c r="R435" s="194">
        <f t="shared" si="70"/>
        <v>0</v>
      </c>
      <c r="T435" s="4"/>
      <c r="V435"/>
      <c r="W435"/>
      <c r="Y435"/>
      <c r="AB435"/>
    </row>
    <row r="436" spans="2:28" x14ac:dyDescent="0.25">
      <c r="B436" t="s">
        <v>665</v>
      </c>
      <c r="C436" s="1" t="s">
        <v>260</v>
      </c>
      <c r="D436" s="1" t="s">
        <v>586</v>
      </c>
      <c r="E436" s="4">
        <v>45000</v>
      </c>
      <c r="G436" t="str">
        <f t="shared" si="66"/>
        <v>Piso estiba reciclada</v>
      </c>
      <c r="H436" t="s">
        <v>76</v>
      </c>
      <c r="I436" s="1" t="str">
        <f t="shared" si="67"/>
        <v>M2</v>
      </c>
      <c r="J436" s="1" t="s">
        <v>1023</v>
      </c>
      <c r="K436" s="1"/>
      <c r="L436"/>
      <c r="M436" s="4">
        <f t="shared" si="68"/>
        <v>45000</v>
      </c>
      <c r="N436" s="31"/>
      <c r="O436" s="31"/>
      <c r="P436" t="s">
        <v>821</v>
      </c>
      <c r="Q436" s="190">
        <f>(SUMIFS('3. CD - Obra negra'!$O$4:$O$344,'3. CD - Obra negra'!$E$4:$E$344,G436))+(SUMIFS('4. CD - Obra gris'!$O$14:$O$74,'4. CD - Obra gris'!$E$14:$E$74,G436))+(SUMIFS('5, CD -Obra blanca'!$O$4:$O$151,'5, CD -Obra blanca'!$E$4:$E$151,G436))</f>
        <v>154.91700000000003</v>
      </c>
      <c r="R436" s="194">
        <f t="shared" si="70"/>
        <v>6971265.0000000009</v>
      </c>
      <c r="T436" s="4"/>
      <c r="V436"/>
      <c r="W436"/>
      <c r="Y436"/>
      <c r="AB436"/>
    </row>
    <row r="437" spans="2:28" x14ac:dyDescent="0.25">
      <c r="B437" t="s">
        <v>666</v>
      </c>
      <c r="C437" s="1" t="s">
        <v>260</v>
      </c>
      <c r="D437" s="1" t="s">
        <v>586</v>
      </c>
      <c r="E437" s="4">
        <v>60000</v>
      </c>
      <c r="G437" t="str">
        <f t="shared" si="66"/>
        <v>Piso pino</v>
      </c>
      <c r="H437" t="s">
        <v>76</v>
      </c>
      <c r="I437" s="1" t="str">
        <f t="shared" si="67"/>
        <v>M2</v>
      </c>
      <c r="J437" s="1" t="s">
        <v>1024</v>
      </c>
      <c r="K437" s="1"/>
      <c r="L437"/>
      <c r="M437" s="4">
        <f t="shared" si="68"/>
        <v>60000</v>
      </c>
      <c r="N437" s="31"/>
      <c r="O437" s="31"/>
      <c r="P437" t="s">
        <v>821</v>
      </c>
      <c r="Q437" s="190">
        <f>(SUMIFS('3. CD - Obra negra'!$O$4:$O$344,'3. CD - Obra negra'!$E$4:$E$344,G437))+(SUMIFS('4. CD - Obra gris'!$O$14:$O$74,'4. CD - Obra gris'!$E$14:$E$74,G437))+(SUMIFS('5, CD -Obra blanca'!$O$4:$O$151,'5, CD -Obra blanca'!$E$4:$E$151,G437))</f>
        <v>0</v>
      </c>
      <c r="R437" s="194">
        <f t="shared" si="70"/>
        <v>0</v>
      </c>
      <c r="T437" s="4"/>
      <c r="V437"/>
      <c r="W437"/>
      <c r="Y437"/>
      <c r="AB437"/>
    </row>
    <row r="438" spans="2:28" x14ac:dyDescent="0.25">
      <c r="B438" t="s">
        <v>1674</v>
      </c>
      <c r="C438" s="1" t="s">
        <v>260</v>
      </c>
      <c r="D438" s="1" t="s">
        <v>586</v>
      </c>
      <c r="E438" s="4">
        <v>26500</v>
      </c>
      <c r="G438" t="str">
        <f t="shared" si="66"/>
        <v>Panel OSB 9,5mm</v>
      </c>
      <c r="H438" t="s">
        <v>76</v>
      </c>
      <c r="I438" s="1" t="str">
        <f t="shared" si="67"/>
        <v>M2</v>
      </c>
      <c r="J438" s="1" t="s">
        <v>1673</v>
      </c>
      <c r="K438" s="1"/>
      <c r="L438"/>
      <c r="M438" s="4">
        <f t="shared" si="68"/>
        <v>26500</v>
      </c>
      <c r="N438" s="31"/>
      <c r="O438" s="31"/>
      <c r="P438" t="s">
        <v>821</v>
      </c>
      <c r="Q438" s="190">
        <f>(SUMIFS('3. CD - Obra negra'!$O$4:$O$344,'3. CD - Obra negra'!$E$4:$E$344,G438))+(SUMIFS('4. CD - Obra gris'!$O$14:$O$74,'4. CD - Obra gris'!$E$14:$E$74,G438))+(SUMIFS('5, CD -Obra blanca'!$O$4:$O$151,'5, CD -Obra blanca'!$E$4:$E$151,G438))</f>
        <v>0</v>
      </c>
      <c r="R438" s="194">
        <f t="shared" si="70"/>
        <v>0</v>
      </c>
      <c r="T438" s="4"/>
      <c r="V438"/>
      <c r="W438"/>
      <c r="Y438"/>
      <c r="AB438"/>
    </row>
    <row r="439" spans="2:28" x14ac:dyDescent="0.25">
      <c r="B439" t="s">
        <v>1295</v>
      </c>
      <c r="C439" s="1" t="s">
        <v>260</v>
      </c>
      <c r="D439" s="1" t="s">
        <v>586</v>
      </c>
      <c r="E439" s="4">
        <v>56000</v>
      </c>
      <c r="G439" t="str">
        <f t="shared" si="66"/>
        <v>Panel RH 15mm</v>
      </c>
      <c r="H439" t="s">
        <v>76</v>
      </c>
      <c r="I439" s="1" t="str">
        <f t="shared" si="67"/>
        <v>M2</v>
      </c>
      <c r="J439" s="1" t="s">
        <v>1296</v>
      </c>
      <c r="K439" s="1"/>
      <c r="L439"/>
      <c r="M439" s="4">
        <f t="shared" si="68"/>
        <v>56000</v>
      </c>
      <c r="N439" s="31"/>
      <c r="O439" s="31"/>
      <c r="P439" t="s">
        <v>821</v>
      </c>
      <c r="Q439" s="190">
        <f>(SUMIFS('3. CD - Obra negra'!$O$4:$O$344,'3. CD - Obra negra'!$E$4:$E$344,G439))+(SUMIFS('4. CD - Obra gris'!$O$14:$O$74,'4. CD - Obra gris'!$E$14:$E$74,G439))+(SUMIFS('5, CD -Obra blanca'!$O$4:$O$151,'5, CD -Obra blanca'!$E$4:$E$151,G439))</f>
        <v>7.644000000000001</v>
      </c>
      <c r="R439" s="194">
        <f>+Q439*M439</f>
        <v>428064.00000000006</v>
      </c>
      <c r="T439" s="4"/>
      <c r="V439"/>
      <c r="W439"/>
      <c r="Y439"/>
      <c r="AB439"/>
    </row>
    <row r="440" spans="2:28" x14ac:dyDescent="0.25">
      <c r="B440" t="s">
        <v>667</v>
      </c>
      <c r="C440" s="1" t="s">
        <v>260</v>
      </c>
      <c r="D440" s="1" t="s">
        <v>586</v>
      </c>
      <c r="E440" s="4">
        <v>120000</v>
      </c>
      <c r="G440" t="str">
        <f t="shared" si="66"/>
        <v>Panel pino 18mm</v>
      </c>
      <c r="H440" t="s">
        <v>76</v>
      </c>
      <c r="I440" s="1" t="str">
        <f t="shared" si="67"/>
        <v>M2</v>
      </c>
      <c r="J440" s="1" t="s">
        <v>1025</v>
      </c>
      <c r="K440" s="1"/>
      <c r="L440"/>
      <c r="M440" s="4">
        <f t="shared" si="68"/>
        <v>120000</v>
      </c>
      <c r="N440" s="31"/>
      <c r="O440" s="31"/>
      <c r="P440" t="s">
        <v>821</v>
      </c>
      <c r="Q440" s="190">
        <f>(SUMIFS('3. CD - Obra negra'!$O$4:$O$344,'3. CD - Obra negra'!$E$4:$E$344,G440))+(SUMIFS('4. CD - Obra gris'!$O$14:$O$74,'4. CD - Obra gris'!$E$14:$E$74,G440))+(SUMIFS('5, CD -Obra blanca'!$O$4:$O$151,'5, CD -Obra blanca'!$E$4:$E$151,G440))</f>
        <v>0</v>
      </c>
      <c r="R440" s="194">
        <f t="shared" si="70"/>
        <v>0</v>
      </c>
      <c r="T440" s="4"/>
      <c r="V440"/>
      <c r="W440"/>
      <c r="Y440"/>
      <c r="AB440"/>
    </row>
    <row r="441" spans="2:28" x14ac:dyDescent="0.25">
      <c r="C441" s="1"/>
      <c r="D441" s="1"/>
      <c r="I441" s="1"/>
      <c r="L441"/>
      <c r="M441" s="4"/>
      <c r="N441" s="31"/>
      <c r="O441" s="31"/>
      <c r="R441"/>
      <c r="T441" s="4"/>
      <c r="V441"/>
      <c r="W441"/>
      <c r="Y441"/>
      <c r="AB441"/>
    </row>
    <row r="442" spans="2:28" x14ac:dyDescent="0.25">
      <c r="B442" s="299" t="s">
        <v>675</v>
      </c>
      <c r="C442" s="299"/>
      <c r="D442" s="299"/>
      <c r="E442" s="299"/>
      <c r="G442" s="299" t="s">
        <v>675</v>
      </c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4"/>
      <c r="V442"/>
      <c r="W442"/>
      <c r="Y442"/>
      <c r="AB442"/>
    </row>
    <row r="443" spans="2:28" x14ac:dyDescent="0.25">
      <c r="B443" t="s">
        <v>246</v>
      </c>
      <c r="C443" s="1" t="s">
        <v>248</v>
      </c>
      <c r="D443" s="1" t="s">
        <v>261</v>
      </c>
      <c r="E443" s="4" t="s">
        <v>249</v>
      </c>
      <c r="G443" s="201" t="s">
        <v>798</v>
      </c>
      <c r="H443" s="201" t="s">
        <v>799</v>
      </c>
      <c r="I443" s="201" t="s">
        <v>800</v>
      </c>
      <c r="J443" s="201" t="s">
        <v>815</v>
      </c>
      <c r="K443" s="201"/>
      <c r="L443" s="201" t="s">
        <v>816</v>
      </c>
      <c r="M443" s="202" t="s">
        <v>817</v>
      </c>
      <c r="N443" s="202" t="s">
        <v>818</v>
      </c>
      <c r="O443" s="202" t="s">
        <v>819</v>
      </c>
      <c r="P443" s="201" t="s">
        <v>820</v>
      </c>
      <c r="Q443" s="203" t="s">
        <v>847</v>
      </c>
      <c r="R443" s="201" t="s">
        <v>85</v>
      </c>
      <c r="S443" s="204">
        <f>+SUM(R444:R453)</f>
        <v>7934016</v>
      </c>
      <c r="T443" s="4"/>
      <c r="V443"/>
      <c r="W443"/>
      <c r="Y443"/>
      <c r="AB443"/>
    </row>
    <row r="444" spans="2:28" x14ac:dyDescent="0.25">
      <c r="B444" t="s">
        <v>676</v>
      </c>
      <c r="C444" s="1" t="s">
        <v>126</v>
      </c>
      <c r="D444" s="1" t="s">
        <v>376</v>
      </c>
      <c r="E444" s="4">
        <v>1400</v>
      </c>
      <c r="G444" t="str">
        <f t="shared" ref="G444:G452" si="71">+B444</f>
        <v>Bloque #4</v>
      </c>
      <c r="H444" t="s">
        <v>76</v>
      </c>
      <c r="I444" s="1" t="str">
        <f t="shared" ref="I444:I452" si="72">+C444</f>
        <v>UND</v>
      </c>
      <c r="J444" s="1" t="s">
        <v>1026</v>
      </c>
      <c r="K444" s="1"/>
      <c r="L444"/>
      <c r="M444" s="4">
        <f t="shared" ref="M444:M452" si="73">+E444</f>
        <v>1400</v>
      </c>
      <c r="N444" s="31"/>
      <c r="O444" s="31"/>
      <c r="P444" t="s">
        <v>821</v>
      </c>
      <c r="Q444" s="190">
        <f>(SUMIFS('3. CD - Obra negra'!$O$4:$O$344,'3. CD - Obra negra'!$E$4:$E$344,G444))+(SUMIFS('4. CD - Obra gris'!$O$14:$O$74,'4. CD - Obra gris'!$E$14:$E$74,G444))+(SUMIFS('5, CD -Obra blanca'!$O$4:$O$151,'5, CD -Obra blanca'!$E$4:$E$151,G444))</f>
        <v>0</v>
      </c>
      <c r="R444" s="194">
        <f>+Q444*M444</f>
        <v>0</v>
      </c>
      <c r="T444" s="4"/>
      <c r="V444"/>
      <c r="W444"/>
      <c r="Y444"/>
      <c r="AB444"/>
    </row>
    <row r="445" spans="2:28" x14ac:dyDescent="0.25">
      <c r="B445" t="s">
        <v>677</v>
      </c>
      <c r="C445" s="1" t="s">
        <v>126</v>
      </c>
      <c r="D445" s="1" t="s">
        <v>376</v>
      </c>
      <c r="E445" s="4">
        <v>1500</v>
      </c>
      <c r="G445" t="str">
        <f t="shared" si="71"/>
        <v>Bloque #5</v>
      </c>
      <c r="H445" t="s">
        <v>76</v>
      </c>
      <c r="I445" s="1" t="str">
        <f t="shared" si="72"/>
        <v>UND</v>
      </c>
      <c r="J445" s="1" t="s">
        <v>1027</v>
      </c>
      <c r="K445" s="1"/>
      <c r="L445"/>
      <c r="M445" s="4">
        <f t="shared" si="73"/>
        <v>1500</v>
      </c>
      <c r="N445" s="31"/>
      <c r="O445" s="31"/>
      <c r="P445" t="s">
        <v>821</v>
      </c>
      <c r="Q445" s="190">
        <f>(SUMIFS('3. CD - Obra negra'!$O$4:$O$344,'3. CD - Obra negra'!$E$4:$E$344,G445))+(SUMIFS('4. CD - Obra gris'!$O$14:$O$74,'4. CD - Obra gris'!$E$14:$E$74,G445))+(SUMIFS('5, CD -Obra blanca'!$O$4:$O$151,'5, CD -Obra blanca'!$E$4:$E$151,G445))</f>
        <v>0</v>
      </c>
      <c r="R445" s="194">
        <f t="shared" ref="R445:R452" si="74">+Q445*M445</f>
        <v>0</v>
      </c>
      <c r="T445" s="4"/>
      <c r="V445"/>
      <c r="W445"/>
      <c r="Y445"/>
      <c r="AB445"/>
    </row>
    <row r="446" spans="2:28" x14ac:dyDescent="0.25">
      <c r="B446" t="s">
        <v>572</v>
      </c>
      <c r="C446" s="1" t="s">
        <v>126</v>
      </c>
      <c r="D446" s="1" t="s">
        <v>376</v>
      </c>
      <c r="E446" s="4">
        <v>5700</v>
      </c>
      <c r="G446" t="str">
        <f t="shared" si="71"/>
        <v>BTC 4/4</v>
      </c>
      <c r="H446" t="s">
        <v>76</v>
      </c>
      <c r="I446" s="1" t="str">
        <f t="shared" si="72"/>
        <v>UND</v>
      </c>
      <c r="J446" s="1" t="s">
        <v>1028</v>
      </c>
      <c r="K446" s="1"/>
      <c r="L446"/>
      <c r="M446" s="4">
        <f t="shared" si="73"/>
        <v>5700</v>
      </c>
      <c r="N446" s="31"/>
      <c r="O446" s="31"/>
      <c r="P446" t="s">
        <v>821</v>
      </c>
      <c r="Q446" s="190">
        <f>(SUMIFS('3. CD - Obra negra'!$O$4:$O$344,'3. CD - Obra negra'!$E$4:$E$344,G446))+(SUMIFS('4. CD - Obra gris'!$O$14:$O$74,'4. CD - Obra gris'!$E$14:$E$74,G446))+(SUMIFS('5, CD -Obra blanca'!$O$4:$O$151,'5, CD -Obra blanca'!$E$4:$E$151,G446))</f>
        <v>0</v>
      </c>
      <c r="R446" s="194">
        <f t="shared" si="74"/>
        <v>0</v>
      </c>
      <c r="T446" s="4"/>
      <c r="V446"/>
      <c r="W446"/>
      <c r="Y446"/>
      <c r="AB446"/>
    </row>
    <row r="447" spans="2:28" x14ac:dyDescent="0.25">
      <c r="B447" t="s">
        <v>573</v>
      </c>
      <c r="C447" s="1" t="s">
        <v>126</v>
      </c>
      <c r="D447" s="1" t="s">
        <v>376</v>
      </c>
      <c r="E447" s="279">
        <f>1250+650</f>
        <v>1900</v>
      </c>
      <c r="G447" t="str">
        <f t="shared" si="71"/>
        <v>BTC Fachaleta</v>
      </c>
      <c r="H447" t="s">
        <v>76</v>
      </c>
      <c r="I447" s="1" t="str">
        <f t="shared" si="72"/>
        <v>UND</v>
      </c>
      <c r="J447" s="1" t="s">
        <v>1029</v>
      </c>
      <c r="K447" s="1"/>
      <c r="L447"/>
      <c r="M447" s="4">
        <f t="shared" si="73"/>
        <v>1900</v>
      </c>
      <c r="N447" s="31"/>
      <c r="O447" s="31"/>
      <c r="P447" t="s">
        <v>821</v>
      </c>
      <c r="Q447" s="190">
        <f>(SUMIFS('3. CD - Obra negra'!$O$4:$O$344,'3. CD - Obra negra'!$E$4:$E$344,G447))+(SUMIFS('4. CD - Obra gris'!$O$14:$O$74,'4. CD - Obra gris'!$E$14:$E$74,G447))+(SUMIFS('5, CD -Obra blanca'!$O$4:$O$151,'5, CD -Obra blanca'!$E$4:$E$151,G447))</f>
        <v>0</v>
      </c>
      <c r="R447" s="194">
        <f t="shared" si="74"/>
        <v>0</v>
      </c>
      <c r="T447" s="4"/>
      <c r="V447"/>
      <c r="W447"/>
      <c r="Y447"/>
      <c r="AB447"/>
    </row>
    <row r="448" spans="2:28" x14ac:dyDescent="0.25">
      <c r="B448" t="s">
        <v>678</v>
      </c>
      <c r="C448" s="1" t="s">
        <v>126</v>
      </c>
      <c r="D448" s="1" t="s">
        <v>376</v>
      </c>
      <c r="E448" s="4">
        <v>1200</v>
      </c>
      <c r="G448" t="str">
        <f t="shared" si="71"/>
        <v>Ladrillo estructural</v>
      </c>
      <c r="H448" t="s">
        <v>76</v>
      </c>
      <c r="I448" s="1" t="str">
        <f t="shared" si="72"/>
        <v>UND</v>
      </c>
      <c r="J448" s="1" t="s">
        <v>1030</v>
      </c>
      <c r="K448" s="1"/>
      <c r="L448"/>
      <c r="M448" s="4">
        <f t="shared" si="73"/>
        <v>1200</v>
      </c>
      <c r="N448" s="31"/>
      <c r="O448" s="31"/>
      <c r="P448" t="s">
        <v>821</v>
      </c>
      <c r="Q448" s="190">
        <f>(SUMIFS('3. CD - Obra negra'!$O$4:$O$344,'3. CD - Obra negra'!$E$4:$E$344,G448))+(SUMIFS('4. CD - Obra gris'!$O$14:$O$74,'4. CD - Obra gris'!$E$14:$E$74,G448))+(SUMIFS('5, CD -Obra blanca'!$O$4:$O$151,'5, CD -Obra blanca'!$E$4:$E$151,G448))</f>
        <v>5236</v>
      </c>
      <c r="R448" s="194">
        <f t="shared" si="74"/>
        <v>6283200</v>
      </c>
      <c r="T448" s="4"/>
      <c r="V448"/>
      <c r="W448"/>
      <c r="Y448"/>
      <c r="AB448"/>
    </row>
    <row r="449" spans="2:28" x14ac:dyDescent="0.25">
      <c r="B449" t="s">
        <v>374</v>
      </c>
      <c r="C449" s="1" t="s">
        <v>126</v>
      </c>
      <c r="D449" s="1" t="s">
        <v>376</v>
      </c>
      <c r="E449" s="4">
        <v>800</v>
      </c>
      <c r="G449" t="str">
        <f t="shared" si="71"/>
        <v>Ladrillo tolete</v>
      </c>
      <c r="H449" t="s">
        <v>76</v>
      </c>
      <c r="I449" s="1" t="str">
        <f t="shared" si="72"/>
        <v>UND</v>
      </c>
      <c r="J449" s="1" t="s">
        <v>641</v>
      </c>
      <c r="K449" s="1"/>
      <c r="L449"/>
      <c r="M449" s="4">
        <f t="shared" si="73"/>
        <v>800</v>
      </c>
      <c r="N449" s="31"/>
      <c r="O449" s="31"/>
      <c r="P449" t="s">
        <v>821</v>
      </c>
      <c r="Q449" s="190">
        <f>(SUMIFS('3. CD - Obra negra'!$O$4:$O$344,'3. CD - Obra negra'!$E$4:$E$344,G449))+(SUMIFS('4. CD - Obra gris'!$O$14:$O$74,'4. CD - Obra gris'!$E$14:$E$74,G449))+(SUMIFS('5, CD -Obra blanca'!$O$4:$O$151,'5, CD -Obra blanca'!$E$4:$E$151,G449))</f>
        <v>2063.52</v>
      </c>
      <c r="R449" s="194">
        <f t="shared" si="74"/>
        <v>1650816</v>
      </c>
      <c r="T449" s="4"/>
      <c r="V449"/>
      <c r="W449"/>
      <c r="Y449"/>
      <c r="AB449"/>
    </row>
    <row r="450" spans="2:28" x14ac:dyDescent="0.25">
      <c r="B450" t="s">
        <v>679</v>
      </c>
      <c r="C450" s="1" t="s">
        <v>126</v>
      </c>
      <c r="D450" s="1" t="s">
        <v>376</v>
      </c>
      <c r="E450" s="4">
        <v>1000</v>
      </c>
      <c r="G450" t="str">
        <f t="shared" si="71"/>
        <v>Ladrillo rejilla</v>
      </c>
      <c r="H450" t="s">
        <v>76</v>
      </c>
      <c r="I450" s="1" t="str">
        <f t="shared" si="72"/>
        <v>UND</v>
      </c>
      <c r="J450" s="1" t="s">
        <v>1031</v>
      </c>
      <c r="K450" s="1"/>
      <c r="L450"/>
      <c r="M450" s="4">
        <f t="shared" si="73"/>
        <v>1000</v>
      </c>
      <c r="N450" s="31"/>
      <c r="O450" s="31"/>
      <c r="P450" t="s">
        <v>821</v>
      </c>
      <c r="Q450" s="190">
        <f>(SUMIFS('3. CD - Obra negra'!$O$4:$O$344,'3. CD - Obra negra'!$E$4:$E$344,G450))+(SUMIFS('4. CD - Obra gris'!$O$14:$O$74,'4. CD - Obra gris'!$E$14:$E$74,G450))+(SUMIFS('5, CD -Obra blanca'!$O$4:$O$151,'5, CD -Obra blanca'!$E$4:$E$151,G450))</f>
        <v>0</v>
      </c>
      <c r="R450" s="194">
        <f t="shared" si="74"/>
        <v>0</v>
      </c>
      <c r="T450" s="4"/>
      <c r="V450"/>
      <c r="W450"/>
      <c r="Y450"/>
      <c r="AB450"/>
    </row>
    <row r="451" spans="2:28" x14ac:dyDescent="0.25">
      <c r="B451" t="s">
        <v>680</v>
      </c>
      <c r="C451" s="1" t="s">
        <v>126</v>
      </c>
      <c r="D451" s="1" t="s">
        <v>376</v>
      </c>
      <c r="E451" s="4">
        <v>3000</v>
      </c>
      <c r="G451" t="str">
        <f t="shared" si="71"/>
        <v>Ladrillo refractario</v>
      </c>
      <c r="H451" t="s">
        <v>76</v>
      </c>
      <c r="I451" s="1" t="str">
        <f t="shared" si="72"/>
        <v>UND</v>
      </c>
      <c r="J451" s="1" t="s">
        <v>1032</v>
      </c>
      <c r="K451" s="1"/>
      <c r="L451"/>
      <c r="M451" s="4">
        <f t="shared" si="73"/>
        <v>3000</v>
      </c>
      <c r="N451" s="31"/>
      <c r="O451" s="31"/>
      <c r="P451" t="s">
        <v>821</v>
      </c>
      <c r="Q451" s="190">
        <f>(SUMIFS('3. CD - Obra negra'!$O$4:$O$344,'3. CD - Obra negra'!$E$4:$E$344,G451))+(SUMIFS('4. CD - Obra gris'!$O$14:$O$74,'4. CD - Obra gris'!$E$14:$E$74,G451))+(SUMIFS('5, CD -Obra blanca'!$O$4:$O$151,'5, CD -Obra blanca'!$E$4:$E$151,G451))</f>
        <v>0</v>
      </c>
      <c r="R451" s="194">
        <f t="shared" si="74"/>
        <v>0</v>
      </c>
      <c r="T451" s="4"/>
      <c r="V451"/>
      <c r="W451"/>
      <c r="Y451"/>
      <c r="AB451"/>
    </row>
    <row r="452" spans="2:28" x14ac:dyDescent="0.25">
      <c r="B452" t="s">
        <v>791</v>
      </c>
      <c r="C452" s="1" t="s">
        <v>126</v>
      </c>
      <c r="D452" s="1" t="s">
        <v>376</v>
      </c>
      <c r="E452" s="4">
        <v>400</v>
      </c>
      <c r="G452" t="str">
        <f t="shared" si="71"/>
        <v>Ladrillo fachaleta</v>
      </c>
      <c r="H452" t="s">
        <v>76</v>
      </c>
      <c r="I452" s="1" t="str">
        <f t="shared" si="72"/>
        <v>UND</v>
      </c>
      <c r="J452" s="1" t="s">
        <v>1033</v>
      </c>
      <c r="K452" s="1"/>
      <c r="L452"/>
      <c r="M452" s="4">
        <f t="shared" si="73"/>
        <v>400</v>
      </c>
      <c r="N452" s="31"/>
      <c r="O452" s="31"/>
      <c r="P452" t="s">
        <v>821</v>
      </c>
      <c r="Q452" s="190">
        <f>(SUMIFS('3. CD - Obra negra'!$O$4:$O$344,'3. CD - Obra negra'!$E$4:$E$344,G452))+(SUMIFS('4. CD - Obra gris'!$O$14:$O$74,'4. CD - Obra gris'!$E$14:$E$74,G452))+(SUMIFS('5, CD -Obra blanca'!$O$4:$O$151,'5, CD -Obra blanca'!$E$4:$E$151,G452))</f>
        <v>0</v>
      </c>
      <c r="R452" s="194">
        <f t="shared" si="74"/>
        <v>0</v>
      </c>
      <c r="T452" s="4"/>
      <c r="V452"/>
      <c r="W452"/>
      <c r="Y452"/>
      <c r="AB452"/>
    </row>
    <row r="453" spans="2:28" x14ac:dyDescent="0.25">
      <c r="C453" s="1"/>
      <c r="D453" s="1"/>
      <c r="E453" s="4"/>
      <c r="I453" s="1"/>
      <c r="J453" s="1"/>
      <c r="K453" s="1"/>
      <c r="L453"/>
      <c r="M453" s="4"/>
      <c r="N453" s="31"/>
      <c r="O453" s="31"/>
      <c r="Q453" s="190"/>
      <c r="R453" s="194"/>
      <c r="T453" s="4"/>
      <c r="V453"/>
      <c r="W453"/>
      <c r="Y453"/>
      <c r="AB453"/>
    </row>
    <row r="454" spans="2:28" x14ac:dyDescent="0.25">
      <c r="C454" s="1"/>
      <c r="D454" s="1"/>
      <c r="I454" s="1"/>
      <c r="L454"/>
      <c r="M454" s="4"/>
      <c r="N454" s="31"/>
      <c r="O454" s="31"/>
      <c r="R454"/>
      <c r="T454" s="4"/>
      <c r="V454"/>
      <c r="W454"/>
      <c r="Y454"/>
      <c r="AB454"/>
    </row>
    <row r="455" spans="2:28" x14ac:dyDescent="0.25">
      <c r="B455" s="299" t="s">
        <v>685</v>
      </c>
      <c r="C455" s="299"/>
      <c r="D455" s="299"/>
      <c r="E455" s="299"/>
      <c r="G455" s="299" t="s">
        <v>595</v>
      </c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4"/>
      <c r="V455"/>
      <c r="W455"/>
      <c r="Y455"/>
      <c r="AB455"/>
    </row>
    <row r="456" spans="2:28" x14ac:dyDescent="0.25">
      <c r="B456" t="s">
        <v>246</v>
      </c>
      <c r="C456" s="1" t="s">
        <v>248</v>
      </c>
      <c r="D456" s="1" t="s">
        <v>261</v>
      </c>
      <c r="E456" s="4" t="s">
        <v>249</v>
      </c>
      <c r="G456" s="201" t="s">
        <v>798</v>
      </c>
      <c r="H456" s="201" t="s">
        <v>799</v>
      </c>
      <c r="I456" s="201" t="s">
        <v>800</v>
      </c>
      <c r="J456" s="201" t="s">
        <v>815</v>
      </c>
      <c r="K456" s="201"/>
      <c r="L456" s="201" t="s">
        <v>816</v>
      </c>
      <c r="M456" s="202" t="s">
        <v>817</v>
      </c>
      <c r="N456" s="202" t="s">
        <v>818</v>
      </c>
      <c r="O456" s="202" t="s">
        <v>819</v>
      </c>
      <c r="P456" s="201" t="s">
        <v>820</v>
      </c>
      <c r="Q456" s="203" t="s">
        <v>847</v>
      </c>
      <c r="R456" s="201" t="s">
        <v>85</v>
      </c>
      <c r="S456" s="204">
        <f>+SUM(R457:R469)</f>
        <v>6750000</v>
      </c>
      <c r="T456" s="4"/>
      <c r="V456"/>
      <c r="W456"/>
      <c r="Y456"/>
      <c r="AB456"/>
    </row>
    <row r="457" spans="2:28" x14ac:dyDescent="0.25">
      <c r="B457" t="s">
        <v>681</v>
      </c>
      <c r="C457" s="1" t="s">
        <v>260</v>
      </c>
      <c r="D457" s="1" t="s">
        <v>595</v>
      </c>
      <c r="E457" s="4">
        <v>100000</v>
      </c>
      <c r="G457" t="str">
        <f t="shared" ref="G457:G469" si="75">+B457</f>
        <v>Ventanería en aluminio</v>
      </c>
      <c r="H457" t="s">
        <v>76</v>
      </c>
      <c r="I457" s="1" t="str">
        <f t="shared" ref="I457:I469" si="76">+C457</f>
        <v>M2</v>
      </c>
      <c r="J457" s="1" t="s">
        <v>873</v>
      </c>
      <c r="K457" s="1"/>
      <c r="L457"/>
      <c r="M457" s="4">
        <f t="shared" ref="M457:M469" si="77">+E457</f>
        <v>100000</v>
      </c>
      <c r="N457" s="31"/>
      <c r="O457" s="31"/>
      <c r="P457" t="s">
        <v>821</v>
      </c>
      <c r="Q457" s="190">
        <f>(SUMIFS('3. CD - Obra negra'!$O$4:$O$344,'3. CD - Obra negra'!$E$4:$E$344,G457))+(SUMIFS('4. CD - Obra gris'!$O$14:$O$74,'4. CD - Obra gris'!$E$14:$E$74,G457))+(SUMIFS('5, CD -Obra blanca'!$O$4:$O$151,'5, CD -Obra blanca'!$E$4:$E$151,G457))</f>
        <v>0</v>
      </c>
      <c r="R457" s="194">
        <f>+Q457*M457</f>
        <v>0</v>
      </c>
      <c r="T457" s="4"/>
      <c r="V457"/>
      <c r="W457"/>
      <c r="Y457"/>
      <c r="AB457"/>
    </row>
    <row r="458" spans="2:28" x14ac:dyDescent="0.25">
      <c r="B458" t="s">
        <v>682</v>
      </c>
      <c r="C458" s="1" t="s">
        <v>260</v>
      </c>
      <c r="D458" s="1" t="s">
        <v>595</v>
      </c>
      <c r="E458" s="4">
        <v>80000</v>
      </c>
      <c r="G458" t="str">
        <f t="shared" si="75"/>
        <v>Ventanería en aluminio VIS</v>
      </c>
      <c r="H458" t="s">
        <v>76</v>
      </c>
      <c r="I458" s="1" t="str">
        <f t="shared" si="76"/>
        <v>M2</v>
      </c>
      <c r="J458" s="1" t="s">
        <v>1034</v>
      </c>
      <c r="K458" s="1"/>
      <c r="L458"/>
      <c r="M458" s="4">
        <f t="shared" si="77"/>
        <v>80000</v>
      </c>
      <c r="N458" s="31"/>
      <c r="O458" s="31"/>
      <c r="P458" t="s">
        <v>821</v>
      </c>
      <c r="Q458" s="190">
        <f>(SUMIFS('3. CD - Obra negra'!$O$4:$O$344,'3. CD - Obra negra'!$E$4:$E$344,G458))+(SUMIFS('4. CD - Obra gris'!$O$14:$O$74,'4. CD - Obra gris'!$E$14:$E$74,G458))+(SUMIFS('5, CD -Obra blanca'!$O$4:$O$151,'5, CD -Obra blanca'!$E$4:$E$151,G458))</f>
        <v>0</v>
      </c>
      <c r="R458" s="194">
        <f>+Q458*M458</f>
        <v>0</v>
      </c>
      <c r="T458" s="4"/>
      <c r="V458"/>
      <c r="W458"/>
      <c r="Y458"/>
      <c r="AB458"/>
    </row>
    <row r="459" spans="2:28" x14ac:dyDescent="0.25">
      <c r="B459" t="s">
        <v>683</v>
      </c>
      <c r="C459" s="1" t="s">
        <v>260</v>
      </c>
      <c r="D459" s="1" t="s">
        <v>595</v>
      </c>
      <c r="E459" s="4">
        <v>120000</v>
      </c>
      <c r="G459" t="str">
        <f t="shared" si="75"/>
        <v>Ventanería en acero</v>
      </c>
      <c r="H459" t="s">
        <v>76</v>
      </c>
      <c r="I459" s="1" t="str">
        <f t="shared" si="76"/>
        <v>M2</v>
      </c>
      <c r="J459" s="1" t="s">
        <v>1035</v>
      </c>
      <c r="K459" s="1"/>
      <c r="L459"/>
      <c r="M459" s="4">
        <f t="shared" si="77"/>
        <v>120000</v>
      </c>
      <c r="N459" s="31"/>
      <c r="O459" s="31"/>
      <c r="P459" t="s">
        <v>821</v>
      </c>
      <c r="Q459" s="190">
        <f>(SUMIFS('3. CD - Obra negra'!$O$4:$O$344,'3. CD - Obra negra'!$E$4:$E$344,G459))+(SUMIFS('4. CD - Obra gris'!$O$14:$O$74,'4. CD - Obra gris'!$E$14:$E$74,G459))+(SUMIFS('5, CD -Obra blanca'!$O$4:$O$151,'5, CD -Obra blanca'!$E$4:$E$151,G459))</f>
        <v>0</v>
      </c>
      <c r="R459" s="194">
        <f t="shared" ref="R459:R469" si="78">+Q459*M459</f>
        <v>0</v>
      </c>
      <c r="T459" s="4"/>
      <c r="V459"/>
      <c r="W459"/>
      <c r="Y459"/>
      <c r="AB459"/>
    </row>
    <row r="460" spans="2:28" x14ac:dyDescent="0.25">
      <c r="B460" t="s">
        <v>684</v>
      </c>
      <c r="C460" s="1" t="s">
        <v>260</v>
      </c>
      <c r="D460" s="1" t="s">
        <v>595</v>
      </c>
      <c r="E460" s="279">
        <v>400000</v>
      </c>
      <c r="G460" t="str">
        <f t="shared" si="75"/>
        <v>Ventanería en madera</v>
      </c>
      <c r="H460" t="s">
        <v>76</v>
      </c>
      <c r="I460" s="1" t="str">
        <f t="shared" si="76"/>
        <v>M2</v>
      </c>
      <c r="J460" s="1" t="s">
        <v>1036</v>
      </c>
      <c r="K460" s="1"/>
      <c r="L460"/>
      <c r="M460" s="4">
        <f t="shared" si="77"/>
        <v>400000</v>
      </c>
      <c r="N460" s="31"/>
      <c r="O460" s="31"/>
      <c r="P460" t="s">
        <v>821</v>
      </c>
      <c r="Q460" s="190">
        <f>(SUMIFS('3. CD - Obra negra'!$O$4:$O$344,'3. CD - Obra negra'!$E$4:$E$344,G460))+(SUMIFS('4. CD - Obra gris'!$O$14:$O$74,'4. CD - Obra gris'!$E$14:$E$74,G460))+(SUMIFS('5, CD -Obra blanca'!$O$4:$O$151,'5, CD -Obra blanca'!$E$4:$E$151,G460))</f>
        <v>0</v>
      </c>
      <c r="R460" s="194">
        <f t="shared" si="78"/>
        <v>0</v>
      </c>
      <c r="T460" s="4"/>
      <c r="V460"/>
      <c r="W460"/>
      <c r="Y460"/>
      <c r="AB460"/>
    </row>
    <row r="461" spans="2:28" x14ac:dyDescent="0.25">
      <c r="B461" t="s">
        <v>1924</v>
      </c>
      <c r="C461" s="1" t="s">
        <v>126</v>
      </c>
      <c r="D461" s="1" t="s">
        <v>595</v>
      </c>
      <c r="E461" s="4">
        <v>450000</v>
      </c>
      <c r="G461" t="str">
        <f t="shared" ref="G461" si="79">+B461</f>
        <v>Puerta reciclada en madera</v>
      </c>
      <c r="H461" t="s">
        <v>76</v>
      </c>
      <c r="I461" s="1" t="str">
        <f t="shared" ref="I461" si="80">+C461</f>
        <v>UND</v>
      </c>
      <c r="J461" s="1" t="s">
        <v>1925</v>
      </c>
      <c r="K461" s="1"/>
      <c r="L461"/>
      <c r="M461" s="4">
        <f t="shared" ref="M461" si="81">+E461</f>
        <v>450000</v>
      </c>
      <c r="N461" s="31"/>
      <c r="O461" s="31"/>
      <c r="P461" t="s">
        <v>821</v>
      </c>
      <c r="Q461" s="190">
        <f>(SUMIFS('3. CD - Obra negra'!$O$4:$O$344,'3. CD - Obra negra'!$E$4:$E$344,G461))+(SUMIFS('4. CD - Obra gris'!$O$14:$O$74,'4. CD - Obra gris'!$E$14:$E$74,G461))+(SUMIFS('5, CD -Obra blanca'!$O$4:$O$151,'5, CD -Obra blanca'!$E$4:$E$151,G461))</f>
        <v>15</v>
      </c>
      <c r="R461" s="194">
        <f t="shared" ref="R461" si="82">+Q461*M461</f>
        <v>6750000</v>
      </c>
      <c r="T461" s="4"/>
      <c r="V461"/>
      <c r="W461"/>
      <c r="Y461"/>
      <c r="AB461"/>
    </row>
    <row r="462" spans="2:28" x14ac:dyDescent="0.25">
      <c r="B462" t="s">
        <v>686</v>
      </c>
      <c r="C462" s="1" t="s">
        <v>126</v>
      </c>
      <c r="D462" s="1" t="s">
        <v>595</v>
      </c>
      <c r="E462" s="4">
        <v>800000</v>
      </c>
      <c r="G462" t="str">
        <f t="shared" si="75"/>
        <v>Puerta en madera</v>
      </c>
      <c r="H462" t="s">
        <v>76</v>
      </c>
      <c r="I462" s="1" t="str">
        <f t="shared" si="76"/>
        <v>UND</v>
      </c>
      <c r="J462" s="1" t="s">
        <v>1037</v>
      </c>
      <c r="K462" s="1"/>
      <c r="L462"/>
      <c r="M462" s="4">
        <f t="shared" si="77"/>
        <v>800000</v>
      </c>
      <c r="N462" s="31"/>
      <c r="O462" s="31"/>
      <c r="P462" t="s">
        <v>821</v>
      </c>
      <c r="Q462" s="190">
        <f>(SUMIFS('3. CD - Obra negra'!$O$4:$O$344,'3. CD - Obra negra'!$E$4:$E$344,G462))+(SUMIFS('4. CD - Obra gris'!$O$14:$O$74,'4. CD - Obra gris'!$E$14:$E$74,G462))+(SUMIFS('5, CD -Obra blanca'!$O$4:$O$151,'5, CD -Obra blanca'!$E$4:$E$151,G462))</f>
        <v>0</v>
      </c>
      <c r="R462" s="194">
        <f t="shared" si="78"/>
        <v>0</v>
      </c>
      <c r="T462" s="4"/>
      <c r="V462"/>
      <c r="W462"/>
      <c r="Y462"/>
      <c r="AB462"/>
    </row>
    <row r="463" spans="2:28" x14ac:dyDescent="0.25">
      <c r="B463" t="s">
        <v>687</v>
      </c>
      <c r="C463" s="1" t="s">
        <v>126</v>
      </c>
      <c r="D463" s="1" t="s">
        <v>595</v>
      </c>
      <c r="E463" s="4">
        <v>1000000</v>
      </c>
      <c r="G463" t="str">
        <f t="shared" si="75"/>
        <v>Puerta en acero</v>
      </c>
      <c r="H463" t="s">
        <v>76</v>
      </c>
      <c r="I463" s="1" t="str">
        <f t="shared" si="76"/>
        <v>UND</v>
      </c>
      <c r="J463" s="1" t="s">
        <v>1038</v>
      </c>
      <c r="K463" s="1"/>
      <c r="L463"/>
      <c r="M463" s="4">
        <f t="shared" si="77"/>
        <v>1000000</v>
      </c>
      <c r="N463" s="31"/>
      <c r="O463" s="31"/>
      <c r="P463" t="s">
        <v>821</v>
      </c>
      <c r="Q463" s="190">
        <f>(SUMIFS('3. CD - Obra negra'!$O$4:$O$344,'3. CD - Obra negra'!$E$4:$E$344,G463))+(SUMIFS('4. CD - Obra gris'!$O$14:$O$74,'4. CD - Obra gris'!$E$14:$E$74,G463))+(SUMIFS('5, CD -Obra blanca'!$O$4:$O$151,'5, CD -Obra blanca'!$E$4:$E$151,G463))</f>
        <v>0</v>
      </c>
      <c r="R463" s="194">
        <f t="shared" si="78"/>
        <v>0</v>
      </c>
      <c r="T463" s="4"/>
      <c r="V463"/>
      <c r="W463"/>
      <c r="Y463"/>
      <c r="AB463"/>
    </row>
    <row r="464" spans="2:28" x14ac:dyDescent="0.25">
      <c r="B464" t="s">
        <v>688</v>
      </c>
      <c r="C464" s="1" t="s">
        <v>260</v>
      </c>
      <c r="D464" s="1" t="s">
        <v>595</v>
      </c>
      <c r="E464" s="4">
        <v>500000</v>
      </c>
      <c r="G464" t="str">
        <f t="shared" si="75"/>
        <v>Puerta ventana en aluminio</v>
      </c>
      <c r="H464" t="s">
        <v>76</v>
      </c>
      <c r="I464" s="1" t="str">
        <f t="shared" si="76"/>
        <v>M2</v>
      </c>
      <c r="J464" s="1" t="s">
        <v>1039</v>
      </c>
      <c r="K464" s="1"/>
      <c r="L464"/>
      <c r="M464" s="4">
        <f t="shared" si="77"/>
        <v>500000</v>
      </c>
      <c r="N464" s="31"/>
      <c r="O464" s="31"/>
      <c r="P464" t="s">
        <v>821</v>
      </c>
      <c r="Q464" s="190">
        <f>(SUMIFS('3. CD - Obra negra'!$O$4:$O$344,'3. CD - Obra negra'!$E$4:$E$344,G464))+(SUMIFS('4. CD - Obra gris'!$O$14:$O$74,'4. CD - Obra gris'!$E$14:$E$74,G464))+(SUMIFS('5, CD -Obra blanca'!$O$4:$O$151,'5, CD -Obra blanca'!$E$4:$E$151,G464))</f>
        <v>0</v>
      </c>
      <c r="R464" s="194">
        <f t="shared" si="78"/>
        <v>0</v>
      </c>
      <c r="T464" s="4"/>
      <c r="V464"/>
      <c r="W464"/>
      <c r="Y464"/>
      <c r="AB464"/>
    </row>
    <row r="465" spans="2:28" x14ac:dyDescent="0.25">
      <c r="B465" t="s">
        <v>689</v>
      </c>
      <c r="C465" s="1" t="s">
        <v>260</v>
      </c>
      <c r="D465" s="1" t="s">
        <v>595</v>
      </c>
      <c r="E465" s="4">
        <v>750000</v>
      </c>
      <c r="G465" t="str">
        <f t="shared" si="75"/>
        <v>Puerta ventana en acero</v>
      </c>
      <c r="H465" t="s">
        <v>76</v>
      </c>
      <c r="I465" s="1" t="str">
        <f t="shared" si="76"/>
        <v>M2</v>
      </c>
      <c r="J465" s="1" t="s">
        <v>1040</v>
      </c>
      <c r="K465" s="1"/>
      <c r="L465"/>
      <c r="M465" s="4">
        <f t="shared" si="77"/>
        <v>750000</v>
      </c>
      <c r="N465" s="31"/>
      <c r="O465" s="31"/>
      <c r="P465" t="s">
        <v>821</v>
      </c>
      <c r="Q465" s="190">
        <f>(SUMIFS('3. CD - Obra negra'!$O$4:$O$344,'3. CD - Obra negra'!$E$4:$E$344,G465))+(SUMIFS('4. CD - Obra gris'!$O$14:$O$74,'4. CD - Obra gris'!$E$14:$E$74,G465))+(SUMIFS('5, CD -Obra blanca'!$O$4:$O$151,'5, CD -Obra blanca'!$E$4:$E$151,G465))</f>
        <v>0</v>
      </c>
      <c r="R465" s="194">
        <f t="shared" si="78"/>
        <v>0</v>
      </c>
      <c r="T465" s="4"/>
      <c r="V465"/>
      <c r="W465"/>
      <c r="Y465"/>
      <c r="AB465"/>
    </row>
    <row r="466" spans="2:28" x14ac:dyDescent="0.25">
      <c r="B466" t="s">
        <v>690</v>
      </c>
      <c r="C466" s="1" t="s">
        <v>260</v>
      </c>
      <c r="D466" s="1" t="s">
        <v>595</v>
      </c>
      <c r="E466" s="4">
        <v>600000</v>
      </c>
      <c r="G466" t="str">
        <f t="shared" si="75"/>
        <v>Puerta ventana en madera</v>
      </c>
      <c r="H466" t="s">
        <v>76</v>
      </c>
      <c r="I466" s="1" t="str">
        <f t="shared" si="76"/>
        <v>M2</v>
      </c>
      <c r="J466" s="1" t="s">
        <v>1041</v>
      </c>
      <c r="K466" s="1"/>
      <c r="L466"/>
      <c r="M466" s="4">
        <f t="shared" si="77"/>
        <v>600000</v>
      </c>
      <c r="N466" s="31"/>
      <c r="O466" s="31"/>
      <c r="P466" t="s">
        <v>821</v>
      </c>
      <c r="Q466" s="190">
        <f>(SUMIFS('3. CD - Obra negra'!$O$4:$O$344,'3. CD - Obra negra'!$E$4:$E$344,G466))+(SUMIFS('4. CD - Obra gris'!$O$14:$O$74,'4. CD - Obra gris'!$E$14:$E$74,G466))+(SUMIFS('5, CD -Obra blanca'!$O$4:$O$151,'5, CD -Obra blanca'!$E$4:$E$151,G466))</f>
        <v>0</v>
      </c>
      <c r="R466" s="194">
        <f t="shared" si="78"/>
        <v>0</v>
      </c>
      <c r="T466" s="4"/>
      <c r="V466"/>
      <c r="W466"/>
      <c r="Y466"/>
      <c r="AB466"/>
    </row>
    <row r="467" spans="2:28" x14ac:dyDescent="0.25">
      <c r="B467" t="s">
        <v>1357</v>
      </c>
      <c r="C467" s="1" t="s">
        <v>126</v>
      </c>
      <c r="D467" s="1" t="s">
        <v>595</v>
      </c>
      <c r="E467" s="4">
        <v>3000000</v>
      </c>
      <c r="G467" t="str">
        <f t="shared" si="75"/>
        <v>Cocina integral X1,5m</v>
      </c>
      <c r="H467" t="s">
        <v>76</v>
      </c>
      <c r="I467" s="1" t="str">
        <f t="shared" si="76"/>
        <v>UND</v>
      </c>
      <c r="J467" s="1" t="s">
        <v>1358</v>
      </c>
      <c r="K467" s="1"/>
      <c r="L467"/>
      <c r="M467" s="4">
        <f t="shared" si="77"/>
        <v>3000000</v>
      </c>
      <c r="N467" s="31"/>
      <c r="O467" s="31"/>
      <c r="P467" t="s">
        <v>821</v>
      </c>
      <c r="Q467" s="190">
        <f>(SUMIFS('3. CD - Obra negra'!$O$4:$O$344,'3. CD - Obra negra'!$E$4:$E$344,G467))+(SUMIFS('4. CD - Obra gris'!$O$14:$O$74,'4. CD - Obra gris'!$E$14:$E$74,G467))+(SUMIFS('5, CD -Obra blanca'!$O$4:$O$151,'5, CD -Obra blanca'!$E$4:$E$151,G467))</f>
        <v>0</v>
      </c>
      <c r="R467" s="194">
        <f>+Q467*M467</f>
        <v>0</v>
      </c>
      <c r="T467" s="4"/>
      <c r="V467"/>
      <c r="W467"/>
      <c r="Y467"/>
      <c r="AB467"/>
    </row>
    <row r="468" spans="2:28" x14ac:dyDescent="0.25">
      <c r="B468" t="s">
        <v>1359</v>
      </c>
      <c r="C468" s="1" t="s">
        <v>335</v>
      </c>
      <c r="D468" s="1" t="s">
        <v>595</v>
      </c>
      <c r="E468" s="4">
        <v>560000</v>
      </c>
      <c r="G468" t="str">
        <f t="shared" si="75"/>
        <v>Baranda en vidrio y aluminio</v>
      </c>
      <c r="H468" t="s">
        <v>76</v>
      </c>
      <c r="I468" s="1" t="str">
        <f t="shared" si="76"/>
        <v>ML</v>
      </c>
      <c r="J468" s="1" t="s">
        <v>1042</v>
      </c>
      <c r="K468" s="1"/>
      <c r="L468"/>
      <c r="M468" s="4">
        <f t="shared" si="77"/>
        <v>560000</v>
      </c>
      <c r="N468" s="31"/>
      <c r="O468" s="31"/>
      <c r="P468" t="s">
        <v>821</v>
      </c>
      <c r="Q468" s="190">
        <f>(SUMIFS('3. CD - Obra negra'!$O$4:$O$344,'3. CD - Obra negra'!$E$4:$E$344,G468))+(SUMIFS('4. CD - Obra gris'!$O$14:$O$74,'4. CD - Obra gris'!$E$14:$E$74,G468))+(SUMIFS('5, CD -Obra blanca'!$O$4:$O$151,'5, CD -Obra blanca'!$E$4:$E$151,G468))</f>
        <v>0</v>
      </c>
      <c r="R468" s="194">
        <f>+Q468*M468</f>
        <v>0</v>
      </c>
      <c r="T468" s="4"/>
      <c r="V468"/>
      <c r="W468"/>
      <c r="Y468"/>
      <c r="AB468"/>
    </row>
    <row r="469" spans="2:28" x14ac:dyDescent="0.25">
      <c r="B469" t="s">
        <v>691</v>
      </c>
      <c r="C469" s="1" t="s">
        <v>335</v>
      </c>
      <c r="D469" s="1" t="s">
        <v>595</v>
      </c>
      <c r="E469" s="4">
        <v>150000</v>
      </c>
      <c r="G469" t="str">
        <f t="shared" si="75"/>
        <v>Baranda</v>
      </c>
      <c r="H469" t="s">
        <v>76</v>
      </c>
      <c r="I469" s="1" t="str">
        <f t="shared" si="76"/>
        <v>ML</v>
      </c>
      <c r="J469" s="1" t="s">
        <v>1042</v>
      </c>
      <c r="K469" s="1"/>
      <c r="L469"/>
      <c r="M469" s="4">
        <f t="shared" si="77"/>
        <v>150000</v>
      </c>
      <c r="N469" s="31"/>
      <c r="O469" s="31"/>
      <c r="P469" t="s">
        <v>821</v>
      </c>
      <c r="Q469" s="190">
        <f>(SUMIFS('3. CD - Obra negra'!$O$4:$O$344,'3. CD - Obra negra'!$E$4:$E$344,G469))+(SUMIFS('4. CD - Obra gris'!$O$14:$O$74,'4. CD - Obra gris'!$E$14:$E$74,G469))+(SUMIFS('5, CD -Obra blanca'!$O$4:$O$151,'5, CD -Obra blanca'!$E$4:$E$151,G469))</f>
        <v>0</v>
      </c>
      <c r="R469" s="194">
        <f t="shared" si="78"/>
        <v>0</v>
      </c>
      <c r="T469" s="4"/>
      <c r="V469"/>
      <c r="W469"/>
      <c r="Y469"/>
      <c r="AB469"/>
    </row>
    <row r="470" spans="2:28" x14ac:dyDescent="0.25">
      <c r="C470" s="1"/>
      <c r="D470" s="1"/>
      <c r="I470" s="1"/>
      <c r="L470"/>
      <c r="M470" s="4"/>
      <c r="N470" s="31"/>
      <c r="O470" s="31"/>
      <c r="R470"/>
      <c r="T470" s="4"/>
      <c r="V470"/>
      <c r="W470"/>
      <c r="Y470"/>
      <c r="AB470"/>
    </row>
    <row r="471" spans="2:28" x14ac:dyDescent="0.25">
      <c r="B471" s="299" t="s">
        <v>692</v>
      </c>
      <c r="C471" s="299"/>
      <c r="D471" s="299"/>
      <c r="E471" s="299"/>
      <c r="G471" s="299" t="s">
        <v>692</v>
      </c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4"/>
      <c r="V471"/>
      <c r="W471"/>
      <c r="Y471"/>
      <c r="AB471"/>
    </row>
    <row r="472" spans="2:28" x14ac:dyDescent="0.25">
      <c r="B472" t="s">
        <v>246</v>
      </c>
      <c r="C472" s="1" t="s">
        <v>248</v>
      </c>
      <c r="D472" s="1" t="s">
        <v>261</v>
      </c>
      <c r="E472" s="4" t="s">
        <v>249</v>
      </c>
      <c r="G472" s="201" t="s">
        <v>798</v>
      </c>
      <c r="H472" s="201" t="s">
        <v>799</v>
      </c>
      <c r="I472" s="201" t="s">
        <v>800</v>
      </c>
      <c r="J472" s="201" t="s">
        <v>815</v>
      </c>
      <c r="K472" s="201"/>
      <c r="L472" s="201" t="s">
        <v>816</v>
      </c>
      <c r="M472" s="202" t="s">
        <v>817</v>
      </c>
      <c r="N472" s="202" t="s">
        <v>818</v>
      </c>
      <c r="O472" s="202" t="s">
        <v>819</v>
      </c>
      <c r="P472" s="201" t="s">
        <v>820</v>
      </c>
      <c r="Q472" s="203" t="s">
        <v>847</v>
      </c>
      <c r="R472" s="201" t="s">
        <v>85</v>
      </c>
      <c r="S472" s="204">
        <f>+SUM(R473:R479)</f>
        <v>5962151.5</v>
      </c>
      <c r="T472" s="4"/>
      <c r="V472"/>
      <c r="W472"/>
      <c r="Y472"/>
      <c r="AB472"/>
    </row>
    <row r="473" spans="2:28" x14ac:dyDescent="0.25">
      <c r="B473" t="s">
        <v>693</v>
      </c>
      <c r="C473" s="1" t="s">
        <v>260</v>
      </c>
      <c r="D473" s="1" t="s">
        <v>529</v>
      </c>
      <c r="E473" s="4">
        <v>55000</v>
      </c>
      <c r="G473" t="str">
        <f t="shared" ref="G473:G479" si="83">+B473</f>
        <v>Vidrio crudo 4mm</v>
      </c>
      <c r="H473" t="s">
        <v>76</v>
      </c>
      <c r="I473" s="1" t="str">
        <f t="shared" ref="I473:I479" si="84">+C473</f>
        <v>M2</v>
      </c>
      <c r="J473" s="1" t="s">
        <v>958</v>
      </c>
      <c r="K473" s="1"/>
      <c r="L473"/>
      <c r="M473" s="4">
        <f t="shared" ref="M473:M479" si="85">+E473</f>
        <v>55000</v>
      </c>
      <c r="N473" s="31"/>
      <c r="O473" s="31"/>
      <c r="P473" t="s">
        <v>821</v>
      </c>
      <c r="Q473" s="190">
        <f>(SUMIFS('3. CD - Obra negra'!$O$4:$O$344,'3. CD - Obra negra'!$E$4:$E$344,G473))+(SUMIFS('4. CD - Obra gris'!$O$14:$O$74,'4. CD - Obra gris'!$E$14:$E$74,G473))+(SUMIFS('5, CD -Obra blanca'!$O$4:$O$151,'5, CD -Obra blanca'!$E$4:$E$151,G473))</f>
        <v>6.26</v>
      </c>
      <c r="R473" s="194">
        <f t="shared" ref="R473:R479" si="86">+Q473*M473</f>
        <v>344300</v>
      </c>
      <c r="T473" s="4"/>
      <c r="V473"/>
      <c r="W473"/>
      <c r="Y473"/>
      <c r="AB473"/>
    </row>
    <row r="474" spans="2:28" x14ac:dyDescent="0.25">
      <c r="B474" t="s">
        <v>694</v>
      </c>
      <c r="C474" s="1" t="s">
        <v>260</v>
      </c>
      <c r="D474" s="1" t="s">
        <v>529</v>
      </c>
      <c r="E474" s="4">
        <v>700000</v>
      </c>
      <c r="G474" t="str">
        <f t="shared" si="83"/>
        <v>Vidrio laminado 4+4</v>
      </c>
      <c r="H474" t="s">
        <v>76</v>
      </c>
      <c r="I474" s="1" t="str">
        <f t="shared" si="84"/>
        <v>M2</v>
      </c>
      <c r="J474" s="1" t="s">
        <v>1043</v>
      </c>
      <c r="K474" s="1"/>
      <c r="L474"/>
      <c r="M474" s="4">
        <f t="shared" si="85"/>
        <v>700000</v>
      </c>
      <c r="N474" s="31"/>
      <c r="O474" s="31"/>
      <c r="P474" t="s">
        <v>821</v>
      </c>
      <c r="Q474" s="190">
        <f>(SUMIFS('3. CD - Obra negra'!$O$4:$O$344,'3. CD - Obra negra'!$E$4:$E$344,G474))+(SUMIFS('4. CD - Obra gris'!$O$14:$O$74,'4. CD - Obra gris'!$E$14:$E$74,G474))+(SUMIFS('5, CD -Obra blanca'!$O$4:$O$151,'5, CD -Obra blanca'!$E$4:$E$151,G474))</f>
        <v>0</v>
      </c>
      <c r="R474" s="194">
        <f t="shared" si="86"/>
        <v>0</v>
      </c>
      <c r="T474" s="4"/>
      <c r="V474"/>
      <c r="W474"/>
      <c r="Y474"/>
      <c r="AB474"/>
    </row>
    <row r="475" spans="2:28" x14ac:dyDescent="0.25">
      <c r="B475" t="s">
        <v>695</v>
      </c>
      <c r="C475" s="1" t="s">
        <v>260</v>
      </c>
      <c r="D475" s="1" t="s">
        <v>529</v>
      </c>
      <c r="E475" s="4">
        <v>220000</v>
      </c>
      <c r="G475" t="str">
        <f t="shared" si="83"/>
        <v>División vidrio templado 5mm</v>
      </c>
      <c r="H475" t="s">
        <v>76</v>
      </c>
      <c r="I475" s="1" t="str">
        <f t="shared" si="84"/>
        <v>M2</v>
      </c>
      <c r="J475" s="1" t="s">
        <v>1044</v>
      </c>
      <c r="K475" s="1"/>
      <c r="L475"/>
      <c r="M475" s="4">
        <f t="shared" si="85"/>
        <v>220000</v>
      </c>
      <c r="N475" s="31"/>
      <c r="O475" s="31"/>
      <c r="P475" t="s">
        <v>821</v>
      </c>
      <c r="Q475" s="190">
        <f>(SUMIFS('3. CD - Obra negra'!$O$4:$O$344,'3. CD - Obra negra'!$E$4:$E$344,G475))+(SUMIFS('4. CD - Obra gris'!$O$14:$O$74,'4. CD - Obra gris'!$E$14:$E$74,G475))+(SUMIFS('5, CD -Obra blanca'!$O$4:$O$151,'5, CD -Obra blanca'!$E$4:$E$151,G475))</f>
        <v>19.52</v>
      </c>
      <c r="R475" s="194">
        <f t="shared" si="86"/>
        <v>4294400</v>
      </c>
      <c r="T475" s="4"/>
      <c r="V475"/>
      <c r="W475"/>
      <c r="Y475"/>
      <c r="AB475"/>
    </row>
    <row r="476" spans="2:28" x14ac:dyDescent="0.25">
      <c r="B476" t="s">
        <v>525</v>
      </c>
      <c r="C476" s="1" t="s">
        <v>260</v>
      </c>
      <c r="D476" s="1" t="s">
        <v>529</v>
      </c>
      <c r="E476" s="4">
        <v>81000</v>
      </c>
      <c r="G476" t="str">
        <f t="shared" si="83"/>
        <v>Lámina de protección solar</v>
      </c>
      <c r="H476" t="s">
        <v>76</v>
      </c>
      <c r="I476" s="1" t="str">
        <f t="shared" si="84"/>
        <v>M2</v>
      </c>
      <c r="J476" s="1" t="s">
        <v>1045</v>
      </c>
      <c r="K476" s="1"/>
      <c r="L476"/>
      <c r="M476" s="4">
        <f t="shared" si="85"/>
        <v>81000</v>
      </c>
      <c r="N476" s="31"/>
      <c r="O476" s="31"/>
      <c r="P476" t="s">
        <v>821</v>
      </c>
      <c r="Q476" s="190">
        <f>(SUMIFS('3. CD - Obra negra'!$O$4:$O$344,'3. CD - Obra negra'!$E$4:$E$344,G476))+(SUMIFS('4. CD - Obra gris'!$O$14:$O$74,'4. CD - Obra gris'!$E$14:$E$74,G476))+(SUMIFS('5, CD -Obra blanca'!$O$4:$O$151,'5, CD -Obra blanca'!$E$4:$E$151,G476))</f>
        <v>0</v>
      </c>
      <c r="R476" s="194">
        <f t="shared" si="86"/>
        <v>0</v>
      </c>
      <c r="T476" s="4"/>
      <c r="V476"/>
      <c r="W476"/>
      <c r="Y476"/>
      <c r="AB476"/>
    </row>
    <row r="477" spans="2:28" x14ac:dyDescent="0.25">
      <c r="B477" t="s">
        <v>530</v>
      </c>
      <c r="C477" s="1" t="s">
        <v>260</v>
      </c>
      <c r="D477" s="1" t="s">
        <v>529</v>
      </c>
      <c r="E477" s="4">
        <v>34000</v>
      </c>
      <c r="G477" t="str">
        <f t="shared" si="83"/>
        <v>Policarbonato Alveolar</v>
      </c>
      <c r="H477" t="s">
        <v>76</v>
      </c>
      <c r="I477" s="1" t="str">
        <f t="shared" si="84"/>
        <v>M2</v>
      </c>
      <c r="J477" s="1" t="s">
        <v>1046</v>
      </c>
      <c r="K477" s="1"/>
      <c r="L477"/>
      <c r="M477" s="4">
        <f t="shared" si="85"/>
        <v>34000</v>
      </c>
      <c r="N477" s="31"/>
      <c r="O477" s="31"/>
      <c r="P477" t="s">
        <v>821</v>
      </c>
      <c r="Q477" s="190">
        <f>(SUMIFS('3. CD - Obra negra'!$O$4:$O$344,'3. CD - Obra negra'!$E$4:$E$344,G477))+(SUMIFS('4. CD - Obra gris'!$O$14:$O$74,'4. CD - Obra gris'!$E$14:$E$74,G477))+(SUMIFS('5, CD -Obra blanca'!$O$4:$O$151,'5, CD -Obra blanca'!$E$4:$E$151,G477))</f>
        <v>19.026000000000003</v>
      </c>
      <c r="R477" s="194">
        <f t="shared" si="86"/>
        <v>646884.00000000012</v>
      </c>
      <c r="T477" s="4"/>
      <c r="V477"/>
      <c r="W477"/>
      <c r="Y477"/>
      <c r="AB477"/>
    </row>
    <row r="478" spans="2:28" x14ac:dyDescent="0.25">
      <c r="B478" t="s">
        <v>1896</v>
      </c>
      <c r="C478" s="1" t="s">
        <v>260</v>
      </c>
      <c r="D478" s="1" t="s">
        <v>529</v>
      </c>
      <c r="E478" s="4">
        <v>5000</v>
      </c>
      <c r="G478" t="str">
        <f t="shared" ref="G478" si="87">+B478</f>
        <v>Angeo plástico</v>
      </c>
      <c r="H478" t="s">
        <v>76</v>
      </c>
      <c r="I478" s="1" t="str">
        <f t="shared" ref="I478" si="88">+C478</f>
        <v>M2</v>
      </c>
      <c r="J478" s="1" t="s">
        <v>996</v>
      </c>
      <c r="K478" s="1"/>
      <c r="L478"/>
      <c r="M478" s="4">
        <f t="shared" ref="M478" si="89">+E478</f>
        <v>5000</v>
      </c>
      <c r="N478" s="31"/>
      <c r="O478" s="31"/>
      <c r="P478" t="s">
        <v>821</v>
      </c>
      <c r="Q478" s="190">
        <f>(SUMIFS('3. CD - Obra negra'!$O$4:$O$344,'3. CD - Obra negra'!$E$4:$E$344,G478))+(SUMIFS('4. CD - Obra gris'!$O$14:$O$74,'4. CD - Obra gris'!$E$14:$E$74,G478))+(SUMIFS('5, CD -Obra blanca'!$O$4:$O$151,'5, CD -Obra blanca'!$E$4:$E$151,G478))</f>
        <v>9.3135000000000012</v>
      </c>
      <c r="R478" s="194">
        <f t="shared" ref="R478" si="90">+Q478*M478</f>
        <v>46567.500000000007</v>
      </c>
      <c r="T478" s="4"/>
      <c r="V478"/>
      <c r="W478"/>
      <c r="Y478"/>
      <c r="AB478"/>
    </row>
    <row r="479" spans="2:28" x14ac:dyDescent="0.25">
      <c r="B479" t="s">
        <v>696</v>
      </c>
      <c r="C479" s="1" t="s">
        <v>260</v>
      </c>
      <c r="D479" s="1" t="s">
        <v>529</v>
      </c>
      <c r="E479" s="4">
        <v>90000</v>
      </c>
      <c r="G479" t="str">
        <f t="shared" si="83"/>
        <v>Espejo claro 4mm</v>
      </c>
      <c r="H479" t="s">
        <v>76</v>
      </c>
      <c r="I479" s="1" t="str">
        <f t="shared" si="84"/>
        <v>M2</v>
      </c>
      <c r="J479" s="1" t="s">
        <v>1047</v>
      </c>
      <c r="K479" s="1"/>
      <c r="L479"/>
      <c r="M479" s="4">
        <f t="shared" si="85"/>
        <v>90000</v>
      </c>
      <c r="N479" s="31"/>
      <c r="O479" s="31"/>
      <c r="P479" t="s">
        <v>821</v>
      </c>
      <c r="Q479" s="190">
        <f>(SUMIFS('3. CD - Obra negra'!$O$4:$O$344,'3. CD - Obra negra'!$E$4:$E$344,G479))+(SUMIFS('4. CD - Obra gris'!$O$14:$O$74,'4. CD - Obra gris'!$E$14:$E$74,G479))+(SUMIFS('5, CD -Obra blanca'!$O$4:$O$151,'5, CD -Obra blanca'!$E$4:$E$151,G479))</f>
        <v>7</v>
      </c>
      <c r="R479" s="194">
        <f t="shared" si="86"/>
        <v>630000</v>
      </c>
      <c r="T479" s="4"/>
      <c r="V479"/>
      <c r="W479"/>
      <c r="Y479"/>
      <c r="AB479"/>
    </row>
    <row r="480" spans="2:28" x14ac:dyDescent="0.25">
      <c r="C480" s="1"/>
      <c r="D480" s="1"/>
      <c r="I480" s="1"/>
      <c r="L480"/>
      <c r="M480" s="4"/>
      <c r="N480" s="31"/>
      <c r="O480" s="31"/>
      <c r="R480"/>
      <c r="T480" s="4"/>
      <c r="V480"/>
      <c r="W480"/>
      <c r="Y480"/>
      <c r="AB480"/>
    </row>
    <row r="481" spans="2:28" x14ac:dyDescent="0.25">
      <c r="B481" s="299" t="s">
        <v>512</v>
      </c>
      <c r="C481" s="299"/>
      <c r="D481" s="299"/>
      <c r="E481" s="299"/>
      <c r="G481" s="299" t="s">
        <v>512</v>
      </c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4"/>
      <c r="V481"/>
      <c r="W481"/>
      <c r="Y481"/>
      <c r="AB481"/>
    </row>
    <row r="482" spans="2:28" x14ac:dyDescent="0.25">
      <c r="B482" t="s">
        <v>246</v>
      </c>
      <c r="C482" s="1" t="s">
        <v>248</v>
      </c>
      <c r="D482" s="1" t="s">
        <v>261</v>
      </c>
      <c r="E482" s="4" t="s">
        <v>249</v>
      </c>
      <c r="G482" s="201" t="s">
        <v>798</v>
      </c>
      <c r="H482" s="201" t="s">
        <v>799</v>
      </c>
      <c r="I482" s="201" t="s">
        <v>800</v>
      </c>
      <c r="J482" s="201" t="s">
        <v>815</v>
      </c>
      <c r="K482" s="201"/>
      <c r="L482" s="201" t="s">
        <v>816</v>
      </c>
      <c r="M482" s="202" t="s">
        <v>817</v>
      </c>
      <c r="N482" s="202" t="s">
        <v>818</v>
      </c>
      <c r="O482" s="202" t="s">
        <v>819</v>
      </c>
      <c r="P482" s="201" t="s">
        <v>820</v>
      </c>
      <c r="Q482" s="203" t="s">
        <v>847</v>
      </c>
      <c r="R482" s="201" t="s">
        <v>85</v>
      </c>
      <c r="S482" s="204">
        <f>+SUM(R483:R493)</f>
        <v>6631794.0000000009</v>
      </c>
      <c r="T482" s="4"/>
      <c r="V482"/>
      <c r="W482"/>
      <c r="Y482"/>
      <c r="AB482"/>
    </row>
    <row r="483" spans="2:28" x14ac:dyDescent="0.25">
      <c r="B483" t="s">
        <v>698</v>
      </c>
      <c r="C483" s="1" t="s">
        <v>260</v>
      </c>
      <c r="D483" s="1" t="s">
        <v>354</v>
      </c>
      <c r="E483" s="4">
        <f>225000/10</f>
        <v>22500</v>
      </c>
      <c r="G483" t="str">
        <f t="shared" ref="G483:G493" si="91">+B483</f>
        <v>Manto asfáltico granulado</v>
      </c>
      <c r="H483" t="s">
        <v>76</v>
      </c>
      <c r="I483" s="1" t="str">
        <f t="shared" ref="I483:I493" si="92">+C483</f>
        <v>M2</v>
      </c>
      <c r="J483" s="1" t="s">
        <v>1048</v>
      </c>
      <c r="K483" s="1"/>
      <c r="L483"/>
      <c r="M483" s="4">
        <f t="shared" ref="M483:M493" si="93">+E483</f>
        <v>22500</v>
      </c>
      <c r="N483" s="31"/>
      <c r="O483" s="31"/>
      <c r="P483" t="s">
        <v>821</v>
      </c>
      <c r="Q483" s="190">
        <f>(SUMIFS('3. CD - Obra negra'!$O$4:$O$344,'3. CD - Obra negra'!$E$4:$E$344,G483))+(SUMIFS('4. CD - Obra gris'!$O$14:$O$74,'4. CD - Obra gris'!$E$14:$E$74,G483))+(SUMIFS('5, CD -Obra blanca'!$O$4:$O$151,'5, CD -Obra blanca'!$E$4:$E$151,G483))</f>
        <v>0</v>
      </c>
      <c r="R483" s="194">
        <f>+Q483*M483</f>
        <v>0</v>
      </c>
      <c r="T483" s="4"/>
      <c r="V483"/>
      <c r="W483"/>
      <c r="Y483"/>
      <c r="AB483"/>
    </row>
    <row r="484" spans="2:28" x14ac:dyDescent="0.25">
      <c r="B484" t="s">
        <v>701</v>
      </c>
      <c r="C484" s="1" t="s">
        <v>270</v>
      </c>
      <c r="D484" s="1" t="s">
        <v>354</v>
      </c>
      <c r="E484" s="4">
        <v>26000</v>
      </c>
      <c r="G484" t="str">
        <f t="shared" si="91"/>
        <v>Corcho proyectado isolcork</v>
      </c>
      <c r="H484" t="s">
        <v>76</v>
      </c>
      <c r="I484" s="1" t="str">
        <f t="shared" si="92"/>
        <v>KG</v>
      </c>
      <c r="J484" s="1" t="s">
        <v>1049</v>
      </c>
      <c r="K484" s="1"/>
      <c r="L484"/>
      <c r="M484" s="4">
        <f t="shared" si="93"/>
        <v>26000</v>
      </c>
      <c r="N484" s="31"/>
      <c r="O484" s="31"/>
      <c r="P484" t="s">
        <v>821</v>
      </c>
      <c r="Q484" s="190">
        <f>(SUMIFS('3. CD - Obra negra'!$O$4:$O$344,'3. CD - Obra negra'!$E$4:$E$344,G484))+(SUMIFS('4. CD - Obra gris'!$O$14:$O$74,'4. CD - Obra gris'!$E$14:$E$74,G484))+(SUMIFS('5, CD -Obra blanca'!$O$4:$O$151,'5, CD -Obra blanca'!$E$4:$E$151,G484))</f>
        <v>0</v>
      </c>
      <c r="R484" s="194">
        <f>+Q484*M484</f>
        <v>0</v>
      </c>
      <c r="T484" s="4"/>
      <c r="V484"/>
      <c r="W484"/>
      <c r="Y484"/>
      <c r="AB484"/>
    </row>
    <row r="485" spans="2:28" x14ac:dyDescent="0.25">
      <c r="B485" t="s">
        <v>702</v>
      </c>
      <c r="C485" s="1" t="s">
        <v>270</v>
      </c>
      <c r="D485" s="1" t="s">
        <v>354</v>
      </c>
      <c r="E485" s="4">
        <v>1900</v>
      </c>
      <c r="G485" t="str">
        <f t="shared" si="91"/>
        <v>Tinte para caucho proyectado</v>
      </c>
      <c r="H485" t="s">
        <v>76</v>
      </c>
      <c r="I485" s="1" t="str">
        <f t="shared" si="92"/>
        <v>KG</v>
      </c>
      <c r="J485" s="1" t="s">
        <v>1050</v>
      </c>
      <c r="K485" s="1"/>
      <c r="L485"/>
      <c r="M485" s="4">
        <f t="shared" si="93"/>
        <v>1900</v>
      </c>
      <c r="N485" s="31"/>
      <c r="O485" s="31"/>
      <c r="P485" t="s">
        <v>821</v>
      </c>
      <c r="Q485" s="190">
        <f>(SUMIFS('3. CD - Obra negra'!$O$4:$O$344,'3. CD - Obra negra'!$E$4:$E$344,G485))+(SUMIFS('4. CD - Obra gris'!$O$14:$O$74,'4. CD - Obra gris'!$E$14:$E$74,G485))+(SUMIFS('5, CD -Obra blanca'!$O$4:$O$151,'5, CD -Obra blanca'!$E$4:$E$151,G485))</f>
        <v>0</v>
      </c>
      <c r="R485" s="194">
        <f t="shared" ref="R485:R493" si="94">+Q485*M485</f>
        <v>0</v>
      </c>
      <c r="T485" s="4"/>
      <c r="V485"/>
      <c r="W485"/>
      <c r="Y485"/>
      <c r="AB485"/>
    </row>
    <row r="486" spans="2:28" x14ac:dyDescent="0.25">
      <c r="B486" t="s">
        <v>1668</v>
      </c>
      <c r="C486" s="1" t="s">
        <v>260</v>
      </c>
      <c r="D486" s="1" t="s">
        <v>354</v>
      </c>
      <c r="E486" s="4">
        <v>18100</v>
      </c>
      <c r="G486" t="str">
        <f t="shared" si="91"/>
        <v>Teja arquitectónica</v>
      </c>
      <c r="H486" t="s">
        <v>76</v>
      </c>
      <c r="I486" s="1" t="str">
        <f t="shared" si="92"/>
        <v>M2</v>
      </c>
      <c r="J486" s="1" t="s">
        <v>1669</v>
      </c>
      <c r="K486" s="1"/>
      <c r="L486"/>
      <c r="M486" s="4">
        <f t="shared" si="93"/>
        <v>18100</v>
      </c>
      <c r="N486" s="31"/>
      <c r="O486" s="31"/>
      <c r="P486" t="s">
        <v>821</v>
      </c>
      <c r="Q486" s="190">
        <f>(SUMIFS('3. CD - Obra negra'!$O$4:$O$344,'3. CD - Obra negra'!$E$4:$E$344,G486))+(SUMIFS('4. CD - Obra gris'!$O$14:$O$74,'4. CD - Obra gris'!$E$14:$E$74,G486))+(SUMIFS('5, CD -Obra blanca'!$O$4:$O$151,'5, CD -Obra blanca'!$E$4:$E$151,G486))</f>
        <v>340.09200000000004</v>
      </c>
      <c r="R486" s="194">
        <f t="shared" si="94"/>
        <v>6155665.2000000011</v>
      </c>
      <c r="T486" s="4"/>
      <c r="V486"/>
      <c r="W486"/>
      <c r="Y486"/>
      <c r="AB486"/>
    </row>
    <row r="487" spans="2:28" x14ac:dyDescent="0.25">
      <c r="B487" t="s">
        <v>1670</v>
      </c>
      <c r="C487" s="1" t="s">
        <v>126</v>
      </c>
      <c r="D487" s="1" t="s">
        <v>354</v>
      </c>
      <c r="E487" s="4">
        <v>700</v>
      </c>
      <c r="G487" t="str">
        <f t="shared" si="91"/>
        <v>Gancho teja 26cm</v>
      </c>
      <c r="H487" t="s">
        <v>76</v>
      </c>
      <c r="I487" s="1" t="str">
        <f t="shared" si="92"/>
        <v>UND</v>
      </c>
      <c r="J487" s="1" t="s">
        <v>1671</v>
      </c>
      <c r="K487" s="1"/>
      <c r="L487"/>
      <c r="M487" s="4">
        <f t="shared" si="93"/>
        <v>700</v>
      </c>
      <c r="N487" s="31"/>
      <c r="O487" s="31"/>
      <c r="P487" t="s">
        <v>821</v>
      </c>
      <c r="Q487" s="190">
        <f>(SUMIFS('3. CD - Obra negra'!$O$4:$O$344,'3. CD - Obra negra'!$E$4:$E$344,G487))+(SUMIFS('4. CD - Obra gris'!$O$14:$O$74,'4. CD - Obra gris'!$E$14:$E$74,G487))+(SUMIFS('5, CD -Obra blanca'!$O$4:$O$151,'5, CD -Obra blanca'!$E$4:$E$151,G487))</f>
        <v>680.18400000000008</v>
      </c>
      <c r="R487" s="194">
        <f>+Q487*M487</f>
        <v>476128.80000000005</v>
      </c>
      <c r="T487" s="4"/>
      <c r="V487"/>
      <c r="W487"/>
      <c r="Y487"/>
      <c r="AB487"/>
    </row>
    <row r="488" spans="2:28" x14ac:dyDescent="0.25">
      <c r="B488" t="s">
        <v>1401</v>
      </c>
      <c r="C488" s="1" t="s">
        <v>260</v>
      </c>
      <c r="D488" s="1" t="s">
        <v>354</v>
      </c>
      <c r="E488" s="4">
        <v>30000</v>
      </c>
      <c r="G488" t="str">
        <f t="shared" si="91"/>
        <v>Teja gres plana</v>
      </c>
      <c r="H488" t="s">
        <v>76</v>
      </c>
      <c r="I488" s="1" t="str">
        <f t="shared" si="92"/>
        <v>M2</v>
      </c>
      <c r="J488" s="1" t="s">
        <v>1402</v>
      </c>
      <c r="K488" s="1"/>
      <c r="L488"/>
      <c r="M488" s="4">
        <f t="shared" si="93"/>
        <v>30000</v>
      </c>
      <c r="N488" s="31"/>
      <c r="O488" s="31"/>
      <c r="P488" t="s">
        <v>821</v>
      </c>
      <c r="Q488" s="190">
        <f>(SUMIFS('3. CD - Obra negra'!$O$4:$O$344,'3. CD - Obra negra'!$E$4:$E$344,G488))+(SUMIFS('4. CD - Obra gris'!$O$14:$O$74,'4. CD - Obra gris'!$E$14:$E$74,G488))+(SUMIFS('5, CD -Obra blanca'!$O$4:$O$151,'5, CD -Obra blanca'!$E$4:$E$151,G488))</f>
        <v>0</v>
      </c>
      <c r="R488" s="194">
        <f>+Q488*M488</f>
        <v>0</v>
      </c>
      <c r="T488" s="4"/>
      <c r="V488"/>
      <c r="W488"/>
      <c r="Y488"/>
      <c r="AB488"/>
    </row>
    <row r="489" spans="2:28" x14ac:dyDescent="0.25">
      <c r="B489" t="s">
        <v>703</v>
      </c>
      <c r="C489" s="1" t="s">
        <v>260</v>
      </c>
      <c r="D489" s="1" t="s">
        <v>354</v>
      </c>
      <c r="E489" s="4">
        <v>26000</v>
      </c>
      <c r="G489" t="str">
        <f t="shared" si="91"/>
        <v>Alumanto asfáltico autoadhesivo 3mm</v>
      </c>
      <c r="H489" t="s">
        <v>76</v>
      </c>
      <c r="I489" s="1" t="str">
        <f t="shared" si="92"/>
        <v>M2</v>
      </c>
      <c r="J489" s="1" t="s">
        <v>1051</v>
      </c>
      <c r="K489" s="1"/>
      <c r="L489"/>
      <c r="M489" s="4">
        <f t="shared" si="93"/>
        <v>26000</v>
      </c>
      <c r="N489" s="31"/>
      <c r="O489" s="31"/>
      <c r="P489" t="s">
        <v>821</v>
      </c>
      <c r="Q489" s="190">
        <f>(SUMIFS('3. CD - Obra negra'!$O$4:$O$344,'3. CD - Obra negra'!$E$4:$E$344,G489))+(SUMIFS('4. CD - Obra gris'!$O$14:$O$74,'4. CD - Obra gris'!$E$14:$E$74,G489))+(SUMIFS('5, CD -Obra blanca'!$O$4:$O$151,'5, CD -Obra blanca'!$E$4:$E$151,G489))</f>
        <v>0</v>
      </c>
      <c r="R489" s="194">
        <f t="shared" si="94"/>
        <v>0</v>
      </c>
      <c r="T489" s="4"/>
      <c r="V489"/>
      <c r="W489"/>
      <c r="Y489"/>
      <c r="AB489"/>
    </row>
    <row r="490" spans="2:28" x14ac:dyDescent="0.25">
      <c r="B490" t="s">
        <v>1138</v>
      </c>
      <c r="C490" s="1" t="s">
        <v>260</v>
      </c>
      <c r="D490" s="1" t="s">
        <v>354</v>
      </c>
      <c r="E490" s="4">
        <v>12000</v>
      </c>
      <c r="G490" t="str">
        <f t="shared" si="91"/>
        <v>Palmicha</v>
      </c>
      <c r="H490" t="s">
        <v>76</v>
      </c>
      <c r="I490" s="1" t="str">
        <f t="shared" si="92"/>
        <v>M2</v>
      </c>
      <c r="J490" s="1" t="s">
        <v>1139</v>
      </c>
      <c r="K490" s="1"/>
      <c r="L490"/>
      <c r="M490" s="4">
        <f t="shared" si="93"/>
        <v>12000</v>
      </c>
      <c r="N490" s="31"/>
      <c r="O490" s="31"/>
      <c r="P490" t="s">
        <v>821</v>
      </c>
      <c r="Q490" s="190">
        <f>(SUMIFS('3. CD - Obra negra'!$O$4:$O$344,'3. CD - Obra negra'!$E$4:$E$344,G490))+(SUMIFS('4. CD - Obra gris'!$O$14:$O$74,'4. CD - Obra gris'!$E$14:$E$74,G490))+(SUMIFS('5, CD -Obra blanca'!$O$4:$O$151,'5, CD -Obra blanca'!$E$4:$E$151,G490))</f>
        <v>0</v>
      </c>
      <c r="R490" s="194">
        <f>+Q490*M490</f>
        <v>0</v>
      </c>
      <c r="T490" s="4"/>
      <c r="V490"/>
      <c r="W490"/>
      <c r="Y490"/>
      <c r="AB490"/>
    </row>
    <row r="491" spans="2:28" x14ac:dyDescent="0.25">
      <c r="B491" t="s">
        <v>704</v>
      </c>
      <c r="C491" s="1" t="s">
        <v>335</v>
      </c>
      <c r="D491" s="1" t="s">
        <v>354</v>
      </c>
      <c r="E491" s="4">
        <v>1075</v>
      </c>
      <c r="G491" t="str">
        <f t="shared" si="91"/>
        <v>Sellalón</v>
      </c>
      <c r="H491" t="s">
        <v>76</v>
      </c>
      <c r="I491" s="1" t="str">
        <f t="shared" si="92"/>
        <v>ML</v>
      </c>
      <c r="J491" s="1" t="s">
        <v>1052</v>
      </c>
      <c r="K491" s="1"/>
      <c r="L491"/>
      <c r="M491" s="4">
        <f t="shared" si="93"/>
        <v>1075</v>
      </c>
      <c r="N491" s="31"/>
      <c r="O491" s="31"/>
      <c r="P491" t="s">
        <v>821</v>
      </c>
      <c r="Q491" s="190">
        <f>(SUMIFS('3. CD - Obra negra'!$O$4:$O$344,'3. CD - Obra negra'!$E$4:$E$344,G491))+(SUMIFS('4. CD - Obra gris'!$O$14:$O$74,'4. CD - Obra gris'!$E$14:$E$74,G491))+(SUMIFS('5, CD -Obra blanca'!$O$4:$O$151,'5, CD -Obra blanca'!$E$4:$E$151,G491))</f>
        <v>0</v>
      </c>
      <c r="R491" s="194">
        <f t="shared" si="94"/>
        <v>0</v>
      </c>
      <c r="T491" s="4"/>
      <c r="V491"/>
      <c r="W491"/>
      <c r="Y491"/>
      <c r="AB491"/>
    </row>
    <row r="492" spans="2:28" x14ac:dyDescent="0.25">
      <c r="B492" t="s">
        <v>793</v>
      </c>
      <c r="C492" s="1" t="s">
        <v>260</v>
      </c>
      <c r="D492" s="1" t="s">
        <v>354</v>
      </c>
      <c r="E492" s="4">
        <v>2150</v>
      </c>
      <c r="G492" t="str">
        <f t="shared" si="91"/>
        <v>Tela poliester</v>
      </c>
      <c r="H492" t="s">
        <v>76</v>
      </c>
      <c r="I492" s="1" t="str">
        <f t="shared" si="92"/>
        <v>M2</v>
      </c>
      <c r="J492" s="1" t="s">
        <v>1053</v>
      </c>
      <c r="K492" s="1"/>
      <c r="L492"/>
      <c r="M492" s="4">
        <f t="shared" si="93"/>
        <v>2150</v>
      </c>
      <c r="N492" s="31"/>
      <c r="O492" s="31"/>
      <c r="P492" t="s">
        <v>821</v>
      </c>
      <c r="Q492" s="190">
        <f>(SUMIFS('3. CD - Obra negra'!$O$4:$O$344,'3. CD - Obra negra'!$E$4:$E$344,G492))+(SUMIFS('4. CD - Obra gris'!$O$14:$O$74,'4. CD - Obra gris'!$E$14:$E$74,G492))+(SUMIFS('5, CD -Obra blanca'!$O$4:$O$151,'5, CD -Obra blanca'!$E$4:$E$151,G492))</f>
        <v>0</v>
      </c>
      <c r="R492" s="194">
        <f t="shared" si="94"/>
        <v>0</v>
      </c>
      <c r="T492" s="4"/>
      <c r="V492"/>
      <c r="W492"/>
      <c r="Y492"/>
      <c r="AB492"/>
    </row>
    <row r="493" spans="2:28" x14ac:dyDescent="0.25">
      <c r="B493" t="s">
        <v>705</v>
      </c>
      <c r="C493" s="1" t="s">
        <v>564</v>
      </c>
      <c r="D493" s="1" t="s">
        <v>354</v>
      </c>
      <c r="E493" s="4">
        <v>85000</v>
      </c>
      <c r="F493" t="s">
        <v>794</v>
      </c>
      <c r="G493" t="str">
        <f t="shared" si="91"/>
        <v>Broncoelástico</v>
      </c>
      <c r="H493" t="s">
        <v>76</v>
      </c>
      <c r="I493" s="1" t="str">
        <f t="shared" si="92"/>
        <v>GL</v>
      </c>
      <c r="J493" s="1" t="s">
        <v>1054</v>
      </c>
      <c r="K493" s="1"/>
      <c r="L493"/>
      <c r="M493" s="4">
        <f t="shared" si="93"/>
        <v>85000</v>
      </c>
      <c r="N493" s="31"/>
      <c r="O493" s="31"/>
      <c r="P493" t="s">
        <v>821</v>
      </c>
      <c r="Q493" s="190">
        <f>(SUMIFS('3. CD - Obra negra'!$O$4:$O$344,'3. CD - Obra negra'!$E$4:$E$344,G493))+(SUMIFS('4. CD - Obra gris'!$O$14:$O$74,'4. CD - Obra gris'!$E$14:$E$74,G493))+(SUMIFS('5, CD -Obra blanca'!$O$4:$O$151,'5, CD -Obra blanca'!$E$4:$E$151,G493))</f>
        <v>0</v>
      </c>
      <c r="R493" s="194">
        <f t="shared" si="94"/>
        <v>0</v>
      </c>
      <c r="T493" s="4"/>
      <c r="V493"/>
      <c r="W493"/>
      <c r="Y493"/>
      <c r="AB493"/>
    </row>
    <row r="494" spans="2:28" x14ac:dyDescent="0.25">
      <c r="C494" s="1"/>
      <c r="D494" s="1"/>
      <c r="I494" s="1"/>
      <c r="L494"/>
      <c r="M494" s="4"/>
      <c r="N494" s="31"/>
      <c r="O494" s="31"/>
      <c r="R494"/>
      <c r="T494" s="4"/>
      <c r="V494"/>
      <c r="W494"/>
      <c r="Y494"/>
      <c r="AB494"/>
    </row>
    <row r="495" spans="2:28" x14ac:dyDescent="0.25">
      <c r="B495" s="299" t="s">
        <v>565</v>
      </c>
      <c r="C495" s="299"/>
      <c r="D495" s="299"/>
      <c r="E495" s="299"/>
      <c r="G495" s="299" t="s">
        <v>1055</v>
      </c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4"/>
      <c r="V495"/>
      <c r="W495"/>
      <c r="Y495"/>
      <c r="AB495"/>
    </row>
    <row r="496" spans="2:28" x14ac:dyDescent="0.25">
      <c r="B496" t="s">
        <v>246</v>
      </c>
      <c r="C496" s="1" t="s">
        <v>248</v>
      </c>
      <c r="D496" s="1" t="s">
        <v>261</v>
      </c>
      <c r="E496" s="4" t="s">
        <v>249</v>
      </c>
      <c r="G496" s="201" t="s">
        <v>798</v>
      </c>
      <c r="H496" s="201" t="s">
        <v>799</v>
      </c>
      <c r="I496" s="201" t="s">
        <v>800</v>
      </c>
      <c r="J496" s="201" t="s">
        <v>815</v>
      </c>
      <c r="K496" s="201"/>
      <c r="L496" s="201" t="s">
        <v>816</v>
      </c>
      <c r="M496" s="202" t="s">
        <v>817</v>
      </c>
      <c r="N496" s="202" t="s">
        <v>818</v>
      </c>
      <c r="O496" s="202" t="s">
        <v>819</v>
      </c>
      <c r="P496" s="201" t="s">
        <v>820</v>
      </c>
      <c r="Q496" s="203" t="s">
        <v>847</v>
      </c>
      <c r="R496" s="201" t="s">
        <v>85</v>
      </c>
      <c r="S496" s="204">
        <f>+SUM(R497:R499)</f>
        <v>2588656.5249999999</v>
      </c>
      <c r="T496" s="4"/>
      <c r="V496"/>
      <c r="W496"/>
      <c r="Y496"/>
      <c r="AB496"/>
    </row>
    <row r="497" spans="2:28" x14ac:dyDescent="0.25">
      <c r="B497" t="s">
        <v>560</v>
      </c>
      <c r="C497" s="1" t="s">
        <v>564</v>
      </c>
      <c r="D497" s="1" t="s">
        <v>565</v>
      </c>
      <c r="E497" s="4">
        <v>40000</v>
      </c>
      <c r="G497" t="str">
        <f>+B497</f>
        <v>Pintura interior Tipo 3 pintuco</v>
      </c>
      <c r="H497" t="s">
        <v>76</v>
      </c>
      <c r="I497" s="1" t="str">
        <f>+C497</f>
        <v>GL</v>
      </c>
      <c r="J497" s="1" t="s">
        <v>1056</v>
      </c>
      <c r="K497" s="1"/>
      <c r="L497"/>
      <c r="M497" s="4">
        <f>+E497</f>
        <v>40000</v>
      </c>
      <c r="N497" s="31"/>
      <c r="O497" s="31"/>
      <c r="P497" t="s">
        <v>821</v>
      </c>
      <c r="Q497" s="190">
        <f>(SUMIFS('3. CD - Obra negra'!$O$4:$O$344,'3. CD - Obra negra'!$E$4:$E$344,G497))+(SUMIFS('4. CD - Obra gris'!$O$14:$O$74,'4. CD - Obra gris'!$E$14:$E$74,G497))+(SUMIFS('5, CD -Obra blanca'!$O$4:$O$151,'5, CD -Obra blanca'!$E$4:$E$151,G497))</f>
        <v>28.559650000000001</v>
      </c>
      <c r="R497" s="194">
        <f>+Q497*M497</f>
        <v>1142386</v>
      </c>
      <c r="T497" s="4"/>
      <c r="V497"/>
      <c r="W497"/>
      <c r="Y497"/>
      <c r="AB497"/>
    </row>
    <row r="498" spans="2:28" x14ac:dyDescent="0.25">
      <c r="B498" t="s">
        <v>561</v>
      </c>
      <c r="C498" s="1" t="s">
        <v>564</v>
      </c>
      <c r="D498" s="1" t="s">
        <v>565</v>
      </c>
      <c r="E498" s="4">
        <v>70000</v>
      </c>
      <c r="G498" t="str">
        <f>+B498</f>
        <v>Pintura interior Tipo 2 pintuco</v>
      </c>
      <c r="H498" t="s">
        <v>76</v>
      </c>
      <c r="I498" s="1" t="str">
        <f>+C498</f>
        <v>GL</v>
      </c>
      <c r="J498" s="1" t="s">
        <v>1057</v>
      </c>
      <c r="K498" s="1"/>
      <c r="L498"/>
      <c r="M498" s="4">
        <f>+E498</f>
        <v>70000</v>
      </c>
      <c r="N498" s="31"/>
      <c r="O498" s="31"/>
      <c r="P498" t="s">
        <v>821</v>
      </c>
      <c r="Q498" s="190">
        <f>(SUMIFS('3. CD - Obra negra'!$O$4:$O$344,'3. CD - Obra negra'!$E$4:$E$344,G498))+(SUMIFS('4. CD - Obra gris'!$O$14:$O$74,'4. CD - Obra gris'!$E$14:$E$74,G498))+(SUMIFS('5, CD -Obra blanca'!$O$4:$O$151,'5, CD -Obra blanca'!$E$4:$E$151,G498))</f>
        <v>12.728677499999998</v>
      </c>
      <c r="R498" s="194">
        <f>+Q498*M498</f>
        <v>891007.42499999981</v>
      </c>
      <c r="T498" s="4"/>
      <c r="V498"/>
      <c r="W498"/>
      <c r="Y498"/>
      <c r="AB498"/>
    </row>
    <row r="499" spans="2:28" x14ac:dyDescent="0.25">
      <c r="B499" t="s">
        <v>566</v>
      </c>
      <c r="C499" s="1" t="s">
        <v>564</v>
      </c>
      <c r="D499" s="1" t="s">
        <v>565</v>
      </c>
      <c r="E499" s="4">
        <v>120000</v>
      </c>
      <c r="G499" t="str">
        <f>+B499</f>
        <v xml:space="preserve">Pintura Koraza exterior blanco </v>
      </c>
      <c r="H499" t="s">
        <v>76</v>
      </c>
      <c r="I499" s="1" t="str">
        <f>+C499</f>
        <v>GL</v>
      </c>
      <c r="J499" s="1" t="s">
        <v>1058</v>
      </c>
      <c r="K499" s="1"/>
      <c r="L499"/>
      <c r="M499" s="4">
        <f>+E499</f>
        <v>120000</v>
      </c>
      <c r="N499" s="31"/>
      <c r="O499" s="31"/>
      <c r="P499" t="s">
        <v>821</v>
      </c>
      <c r="Q499" s="190">
        <f>(SUMIFS('3. CD - Obra negra'!$O$4:$O$344,'3. CD - Obra negra'!$E$4:$E$344,G499))+(SUMIFS('4. CD - Obra gris'!$O$14:$O$74,'4. CD - Obra gris'!$E$14:$E$74,G499))+(SUMIFS('5, CD -Obra blanca'!$O$4:$O$151,'5, CD -Obra blanca'!$E$4:$E$151,G499))</f>
        <v>4.6271924999999996</v>
      </c>
      <c r="R499" s="194">
        <f>+Q499*M499</f>
        <v>555263.1</v>
      </c>
      <c r="T499" s="4"/>
      <c r="V499"/>
      <c r="W499"/>
      <c r="Y499"/>
      <c r="AB499"/>
    </row>
    <row r="500" spans="2:28" x14ac:dyDescent="0.25">
      <c r="B500" t="s">
        <v>1369</v>
      </c>
      <c r="C500" s="1" t="s">
        <v>564</v>
      </c>
      <c r="D500" s="1" t="s">
        <v>565</v>
      </c>
      <c r="E500" s="4">
        <v>22000</v>
      </c>
      <c r="G500" t="str">
        <f>+B500</f>
        <v>Estuco plástico</v>
      </c>
      <c r="H500" t="s">
        <v>76</v>
      </c>
      <c r="I500" s="1" t="str">
        <f>+C500</f>
        <v>GL</v>
      </c>
      <c r="J500" s="1" t="s">
        <v>1058</v>
      </c>
      <c r="K500" s="1"/>
      <c r="L500"/>
      <c r="M500" s="4">
        <f>+E500</f>
        <v>22000</v>
      </c>
      <c r="N500" s="31"/>
      <c r="O500" s="31"/>
      <c r="P500" t="s">
        <v>821</v>
      </c>
      <c r="Q500" s="190">
        <f>(SUMIFS('3. CD - Obra negra'!$O$4:$O$344,'3. CD - Obra negra'!$E$4:$E$344,G500))+(SUMIFS('4. CD - Obra gris'!$O$14:$O$74,'4. CD - Obra gris'!$E$14:$E$74,G500))+(SUMIFS('5, CD -Obra blanca'!$O$4:$O$151,'5, CD -Obra blanca'!$E$4:$E$151,G500))</f>
        <v>0</v>
      </c>
      <c r="R500" s="194">
        <f>+Q500*M500</f>
        <v>0</v>
      </c>
      <c r="T500" s="4"/>
      <c r="V500"/>
      <c r="W500"/>
      <c r="Y500"/>
      <c r="AB500"/>
    </row>
    <row r="501" spans="2:28" x14ac:dyDescent="0.25">
      <c r="B501" t="s">
        <v>1489</v>
      </c>
      <c r="C501" s="1" t="s">
        <v>564</v>
      </c>
      <c r="D501" s="1" t="s">
        <v>565</v>
      </c>
      <c r="E501" s="4">
        <v>250000</v>
      </c>
      <c r="F501" t="s">
        <v>1491</v>
      </c>
      <c r="G501" t="str">
        <f>+Tabla727482838687887289[[#This Row],[ITEM]]</f>
        <v>Pintura anticorrosiva + primer</v>
      </c>
      <c r="H501" t="s">
        <v>76</v>
      </c>
      <c r="I501" s="1" t="str">
        <f>+C501</f>
        <v>GL</v>
      </c>
      <c r="J501" s="1" t="s">
        <v>1490</v>
      </c>
      <c r="L501"/>
      <c r="M501" s="4">
        <f>+E501</f>
        <v>250000</v>
      </c>
      <c r="N501" s="31"/>
      <c r="O501" s="31"/>
      <c r="P501" t="s">
        <v>821</v>
      </c>
      <c r="Q501" s="190">
        <f>(SUMIFS('3. CD - Obra negra'!$O$4:$O$344,'3. CD - Obra negra'!$E$4:$E$344,G501))+(SUMIFS('4. CD - Obra gris'!$O$14:$O$74,'4. CD - Obra gris'!$E$14:$E$74,G501))+(SUMIFS('5, CD -Obra blanca'!$O$4:$O$151,'5, CD -Obra blanca'!$E$4:$E$151,G501))</f>
        <v>0</v>
      </c>
      <c r="R501" s="194">
        <f>+Q501*M501</f>
        <v>0</v>
      </c>
      <c r="T501" s="4"/>
      <c r="V501"/>
      <c r="W501"/>
      <c r="Y501"/>
      <c r="AB501"/>
    </row>
    <row r="502" spans="2:28" x14ac:dyDescent="0.25">
      <c r="C502" s="1"/>
      <c r="D502" s="1"/>
      <c r="E502" s="4"/>
      <c r="I502" s="1"/>
      <c r="L502"/>
      <c r="M502" s="4"/>
      <c r="N502" s="31"/>
      <c r="O502" s="31"/>
      <c r="R502"/>
      <c r="T502" s="4"/>
      <c r="V502"/>
      <c r="W502"/>
      <c r="Y502"/>
      <c r="AB502"/>
    </row>
    <row r="503" spans="2:28" x14ac:dyDescent="0.25">
      <c r="C503" s="1"/>
      <c r="D503" s="1"/>
      <c r="I503" s="1"/>
      <c r="L503"/>
      <c r="M503" s="4"/>
      <c r="N503" s="31"/>
      <c r="O503" s="31"/>
      <c r="R503"/>
      <c r="T503" s="4"/>
      <c r="V503"/>
      <c r="W503"/>
      <c r="Y503"/>
      <c r="AB503"/>
    </row>
    <row r="504" spans="2:28" x14ac:dyDescent="0.25">
      <c r="B504" s="299" t="s">
        <v>571</v>
      </c>
      <c r="C504" s="299"/>
      <c r="D504" s="299"/>
      <c r="E504" s="299"/>
      <c r="G504" s="299" t="s">
        <v>571</v>
      </c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4"/>
      <c r="V504"/>
      <c r="W504"/>
      <c r="Y504"/>
      <c r="AB504"/>
    </row>
    <row r="505" spans="2:28" x14ac:dyDescent="0.25">
      <c r="B505" t="s">
        <v>246</v>
      </c>
      <c r="C505" s="1" t="s">
        <v>248</v>
      </c>
      <c r="D505" s="1" t="s">
        <v>261</v>
      </c>
      <c r="E505" s="4" t="s">
        <v>249</v>
      </c>
      <c r="G505" s="201" t="s">
        <v>798</v>
      </c>
      <c r="H505" s="201" t="s">
        <v>799</v>
      </c>
      <c r="I505" s="201" t="s">
        <v>800</v>
      </c>
      <c r="J505" s="201" t="s">
        <v>815</v>
      </c>
      <c r="K505" s="201"/>
      <c r="L505" s="201" t="s">
        <v>816</v>
      </c>
      <c r="M505" s="202" t="s">
        <v>817</v>
      </c>
      <c r="N505" s="202" t="s">
        <v>818</v>
      </c>
      <c r="O505" s="202" t="s">
        <v>819</v>
      </c>
      <c r="P505" s="201" t="s">
        <v>820</v>
      </c>
      <c r="Q505" s="203" t="s">
        <v>847</v>
      </c>
      <c r="R505" s="201" t="s">
        <v>85</v>
      </c>
      <c r="S505" s="204">
        <f>+SUM(R506:R518)</f>
        <v>3354526.2450000001</v>
      </c>
      <c r="T505" s="4"/>
      <c r="V505"/>
      <c r="W505"/>
      <c r="Y505"/>
      <c r="AB505"/>
    </row>
    <row r="506" spans="2:28" x14ac:dyDescent="0.25">
      <c r="B506" t="s">
        <v>568</v>
      </c>
      <c r="C506" s="87" t="s">
        <v>260</v>
      </c>
      <c r="D506" s="1" t="s">
        <v>571</v>
      </c>
      <c r="E506" s="280">
        <v>65000</v>
      </c>
      <c r="G506" t="str">
        <f t="shared" ref="G506:G518" si="95">+B506</f>
        <v>Enchape cerámico antideslizante</v>
      </c>
      <c r="H506" t="s">
        <v>76</v>
      </c>
      <c r="I506" s="1" t="str">
        <f>+C506</f>
        <v>M2</v>
      </c>
      <c r="J506" s="1" t="s">
        <v>1059</v>
      </c>
      <c r="K506" s="1"/>
      <c r="L506"/>
      <c r="M506" s="4">
        <f t="shared" ref="M506:M518" si="96">+E506</f>
        <v>65000</v>
      </c>
      <c r="N506" s="31"/>
      <c r="O506" s="31"/>
      <c r="P506" t="s">
        <v>821</v>
      </c>
      <c r="Q506" s="190">
        <f>(SUMIFS('3. CD - Obra negra'!$O$4:$O$344,'3. CD - Obra negra'!$E$4:$E$344,G506))+(SUMIFS('4. CD - Obra gris'!$O$14:$O$74,'4. CD - Obra gris'!$E$14:$E$74,G506))+(SUMIFS('5, CD -Obra blanca'!$O$4:$O$151,'5, CD -Obra blanca'!$E$4:$E$151,G506))</f>
        <v>44.582999999999998</v>
      </c>
      <c r="R506" s="194">
        <f>+Q506*M506</f>
        <v>2897895</v>
      </c>
      <c r="T506" s="4"/>
      <c r="V506"/>
      <c r="W506"/>
      <c r="Y506"/>
      <c r="AB506"/>
    </row>
    <row r="507" spans="2:28" x14ac:dyDescent="0.25">
      <c r="B507" t="s">
        <v>569</v>
      </c>
      <c r="C507" s="87" t="s">
        <v>126</v>
      </c>
      <c r="D507" s="1" t="s">
        <v>571</v>
      </c>
      <c r="E507" s="88">
        <v>16000</v>
      </c>
      <c r="G507" t="str">
        <f t="shared" si="95"/>
        <v>Boquilla concolor 2kg (rend 0,8m2)</v>
      </c>
      <c r="H507" t="s">
        <v>76</v>
      </c>
      <c r="I507" s="1" t="str">
        <f>+C507</f>
        <v>UND</v>
      </c>
      <c r="J507" s="1" t="s">
        <v>1060</v>
      </c>
      <c r="K507" s="1"/>
      <c r="L507"/>
      <c r="M507" s="4">
        <f t="shared" si="96"/>
        <v>16000</v>
      </c>
      <c r="N507" s="31"/>
      <c r="O507" s="31"/>
      <c r="P507" t="s">
        <v>821</v>
      </c>
      <c r="Q507" s="190">
        <f>(SUMIFS('3. CD - Obra negra'!$O$4:$O$344,'3. CD - Obra negra'!$E$4:$E$344,G507))+(SUMIFS('4. CD - Obra gris'!$O$14:$O$74,'4. CD - Obra gris'!$E$14:$E$74,G507))+(SUMIFS('5, CD -Obra blanca'!$O$4:$O$151,'5, CD -Obra blanca'!$E$4:$E$151,G507))</f>
        <v>5.2663668750000001</v>
      </c>
      <c r="R507" s="194">
        <f>+Q507*M507</f>
        <v>84261.87</v>
      </c>
      <c r="T507" s="4"/>
      <c r="V507"/>
      <c r="W507"/>
      <c r="Y507"/>
      <c r="AB507"/>
    </row>
    <row r="508" spans="2:28" x14ac:dyDescent="0.25">
      <c r="B508" t="s">
        <v>570</v>
      </c>
      <c r="C508" s="87" t="s">
        <v>564</v>
      </c>
      <c r="D508" s="1" t="s">
        <v>571</v>
      </c>
      <c r="E508" s="88">
        <v>7000</v>
      </c>
      <c r="G508" t="str">
        <f t="shared" si="95"/>
        <v>Pegante cerámico PEGACOR</v>
      </c>
      <c r="H508" t="s">
        <v>76</v>
      </c>
      <c r="I508" s="1" t="str">
        <f>+C508</f>
        <v>GL</v>
      </c>
      <c r="J508" s="1" t="s">
        <v>1061</v>
      </c>
      <c r="K508" s="1"/>
      <c r="L508"/>
      <c r="M508" s="4">
        <f t="shared" si="96"/>
        <v>7000</v>
      </c>
      <c r="N508" s="31"/>
      <c r="O508" s="31"/>
      <c r="P508" t="s">
        <v>821</v>
      </c>
      <c r="Q508" s="190">
        <f>(SUMIFS('3. CD - Obra negra'!$O$4:$O$344,'3. CD - Obra negra'!$E$4:$E$344,G508))+(SUMIFS('4. CD - Obra gris'!$O$14:$O$74,'4. CD - Obra gris'!$E$14:$E$74,G508))+(SUMIFS('5, CD -Obra blanca'!$O$4:$O$151,'5, CD -Obra blanca'!$E$4:$E$151,G508))</f>
        <v>53.195625</v>
      </c>
      <c r="R508" s="194">
        <f t="shared" ref="R508:R518" si="97">+Q508*M508</f>
        <v>372369.375</v>
      </c>
      <c r="T508" s="4"/>
      <c r="V508"/>
      <c r="W508"/>
      <c r="Y508"/>
      <c r="AB508"/>
    </row>
    <row r="509" spans="2:28" x14ac:dyDescent="0.25">
      <c r="B509" t="s">
        <v>576</v>
      </c>
      <c r="C509" s="87" t="s">
        <v>260</v>
      </c>
      <c r="D509" s="1" t="s">
        <v>571</v>
      </c>
      <c r="E509" s="88">
        <v>90000</v>
      </c>
      <c r="G509" t="str">
        <f t="shared" si="95"/>
        <v>Piso mosaico</v>
      </c>
      <c r="H509" t="s">
        <v>76</v>
      </c>
      <c r="I509" s="1" t="str">
        <f>+C509</f>
        <v>M2</v>
      </c>
      <c r="J509" s="1" t="s">
        <v>1062</v>
      </c>
      <c r="K509" s="1"/>
      <c r="L509"/>
      <c r="M509" s="4">
        <f t="shared" si="96"/>
        <v>90000</v>
      </c>
      <c r="N509" s="31"/>
      <c r="O509" s="31"/>
      <c r="P509" t="s">
        <v>821</v>
      </c>
      <c r="Q509" s="190">
        <f>(SUMIFS('3. CD - Obra negra'!$O$4:$O$344,'3. CD - Obra negra'!$E$4:$E$344,G509))+(SUMIFS('4. CD - Obra gris'!$O$14:$O$74,'4. CD - Obra gris'!$E$14:$E$74,G509))+(SUMIFS('5, CD -Obra blanca'!$O$4:$O$151,'5, CD -Obra blanca'!$E$4:$E$151,G509))</f>
        <v>0</v>
      </c>
      <c r="R509" s="194">
        <f t="shared" si="97"/>
        <v>0</v>
      </c>
      <c r="T509" s="4"/>
      <c r="V509"/>
      <c r="W509"/>
      <c r="Y509"/>
      <c r="AB509"/>
    </row>
    <row r="510" spans="2:28" x14ac:dyDescent="0.25">
      <c r="B510" t="s">
        <v>1257</v>
      </c>
      <c r="C510" s="87" t="s">
        <v>260</v>
      </c>
      <c r="D510" s="1" t="s">
        <v>571</v>
      </c>
      <c r="E510" s="250">
        <v>70000</v>
      </c>
      <c r="G510" t="str">
        <f t="shared" si="95"/>
        <v>Enchape piscina</v>
      </c>
      <c r="H510" t="s">
        <v>76</v>
      </c>
      <c r="I510" s="1" t="s">
        <v>260</v>
      </c>
      <c r="J510" s="1" t="s">
        <v>1258</v>
      </c>
      <c r="K510" s="1"/>
      <c r="L510"/>
      <c r="M510" s="4">
        <f t="shared" si="96"/>
        <v>70000</v>
      </c>
      <c r="N510" s="31"/>
      <c r="O510" s="31"/>
      <c r="P510" t="s">
        <v>821</v>
      </c>
      <c r="Q510" s="190">
        <f>(SUMIFS('3. CD - Obra negra'!$O$4:$O$344,'3. CD - Obra negra'!$E$4:$E$344,G510))+(SUMIFS('4. CD - Obra gris'!$O$14:$O$74,'4. CD - Obra gris'!$E$14:$E$74,G510))+(SUMIFS('5, CD -Obra blanca'!$O$4:$O$151,'5, CD -Obra blanca'!$E$4:$E$151,G510))</f>
        <v>0</v>
      </c>
      <c r="R510" s="194">
        <f t="shared" si="97"/>
        <v>0</v>
      </c>
      <c r="T510" s="4"/>
      <c r="V510"/>
      <c r="W510"/>
      <c r="Y510"/>
      <c r="AB510"/>
    </row>
    <row r="511" spans="2:28" x14ac:dyDescent="0.25">
      <c r="B511" t="s">
        <v>577</v>
      </c>
      <c r="C511" s="87" t="s">
        <v>260</v>
      </c>
      <c r="D511" s="1" t="s">
        <v>571</v>
      </c>
      <c r="E511" s="88">
        <v>38000</v>
      </c>
      <c r="G511" t="str">
        <f t="shared" si="95"/>
        <v>Enchape barro cocido</v>
      </c>
      <c r="H511" t="s">
        <v>76</v>
      </c>
      <c r="I511" s="1" t="str">
        <f t="shared" ref="I511:I518" si="98">+C511</f>
        <v>M2</v>
      </c>
      <c r="J511" s="1" t="s">
        <v>1063</v>
      </c>
      <c r="K511" s="1"/>
      <c r="L511"/>
      <c r="M511" s="4">
        <f t="shared" si="96"/>
        <v>38000</v>
      </c>
      <c r="N511" s="31"/>
      <c r="O511" s="31"/>
      <c r="P511" t="s">
        <v>821</v>
      </c>
      <c r="Q511" s="190">
        <f>(SUMIFS('3. CD - Obra negra'!$O$4:$O$344,'3. CD - Obra negra'!$E$4:$E$344,G511))+(SUMIFS('4. CD - Obra gris'!$O$14:$O$74,'4. CD - Obra gris'!$E$14:$E$74,G511))+(SUMIFS('5, CD -Obra blanca'!$O$4:$O$151,'5, CD -Obra blanca'!$E$4:$E$151,G511))</f>
        <v>0</v>
      </c>
      <c r="R511" s="194">
        <f t="shared" si="97"/>
        <v>0</v>
      </c>
      <c r="T511" s="4"/>
      <c r="V511"/>
      <c r="W511"/>
      <c r="Y511"/>
      <c r="AB511"/>
    </row>
    <row r="512" spans="2:28" x14ac:dyDescent="0.25">
      <c r="B512" t="s">
        <v>1297</v>
      </c>
      <c r="C512" s="87" t="s">
        <v>335</v>
      </c>
      <c r="D512" s="1" t="s">
        <v>571</v>
      </c>
      <c r="E512" s="88">
        <v>20000</v>
      </c>
      <c r="G512" t="str">
        <f t="shared" si="95"/>
        <v>Guardaescobas cerámico</v>
      </c>
      <c r="H512" t="s">
        <v>76</v>
      </c>
      <c r="I512" s="1" t="str">
        <f t="shared" si="98"/>
        <v>ML</v>
      </c>
      <c r="J512" s="1" t="s">
        <v>1298</v>
      </c>
      <c r="K512" s="1"/>
      <c r="L512"/>
      <c r="M512" s="4">
        <f t="shared" si="96"/>
        <v>20000</v>
      </c>
      <c r="N512" s="31"/>
      <c r="O512" s="31"/>
      <c r="P512" t="s">
        <v>821</v>
      </c>
      <c r="Q512" s="190">
        <f>(SUMIFS('3. CD - Obra negra'!$O$4:$O$344,'3. CD - Obra negra'!$E$4:$E$344,G512))+(SUMIFS('4. CD - Obra gris'!$O$14:$O$74,'4. CD - Obra gris'!$E$14:$E$74,G512))+(SUMIFS('5, CD -Obra blanca'!$O$4:$O$151,'5, CD -Obra blanca'!$E$4:$E$151,G512))</f>
        <v>0</v>
      </c>
      <c r="R512" s="194">
        <f t="shared" ref="R512:R517" si="99">+Q512*M512</f>
        <v>0</v>
      </c>
      <c r="T512" s="4"/>
      <c r="V512"/>
      <c r="W512"/>
      <c r="Y512"/>
      <c r="AB512"/>
    </row>
    <row r="513" spans="2:28" x14ac:dyDescent="0.25">
      <c r="B513" t="s">
        <v>1299</v>
      </c>
      <c r="C513" s="87" t="s">
        <v>335</v>
      </c>
      <c r="D513" s="1" t="s">
        <v>571</v>
      </c>
      <c r="E513" s="88">
        <v>9000</v>
      </c>
      <c r="G513" t="str">
        <f t="shared" si="95"/>
        <v>Guardaescobas PVC</v>
      </c>
      <c r="H513" t="s">
        <v>76</v>
      </c>
      <c r="I513" s="1" t="str">
        <f t="shared" si="98"/>
        <v>ML</v>
      </c>
      <c r="J513" s="1" t="s">
        <v>1300</v>
      </c>
      <c r="K513" s="1"/>
      <c r="L513"/>
      <c r="M513" s="4">
        <f t="shared" si="96"/>
        <v>9000</v>
      </c>
      <c r="N513" s="31"/>
      <c r="O513" s="31"/>
      <c r="P513" t="s">
        <v>821</v>
      </c>
      <c r="Q513" s="190">
        <f>(SUMIFS('3. CD - Obra negra'!$O$4:$O$344,'3. CD - Obra negra'!$E$4:$E$344,G513))+(SUMIFS('4. CD - Obra gris'!$O$14:$O$74,'4. CD - Obra gris'!$E$14:$E$74,G513))+(SUMIFS('5, CD -Obra blanca'!$O$4:$O$151,'5, CD -Obra blanca'!$E$4:$E$151,G513))</f>
        <v>0</v>
      </c>
      <c r="R513" s="194">
        <f t="shared" si="99"/>
        <v>0</v>
      </c>
      <c r="T513" s="4"/>
      <c r="V513"/>
      <c r="W513"/>
      <c r="Y513"/>
      <c r="AB513"/>
    </row>
    <row r="514" spans="2:28" x14ac:dyDescent="0.25">
      <c r="B514" t="s">
        <v>1301</v>
      </c>
      <c r="C514" s="87" t="s">
        <v>335</v>
      </c>
      <c r="D514" s="1" t="s">
        <v>571</v>
      </c>
      <c r="E514" s="88">
        <v>12000</v>
      </c>
      <c r="G514" t="str">
        <f t="shared" si="95"/>
        <v>Guardaescobas madera</v>
      </c>
      <c r="H514" t="s">
        <v>76</v>
      </c>
      <c r="I514" s="1" t="str">
        <f t="shared" si="98"/>
        <v>ML</v>
      </c>
      <c r="J514" s="1" t="s">
        <v>1302</v>
      </c>
      <c r="K514" s="1"/>
      <c r="L514"/>
      <c r="M514" s="4">
        <f t="shared" si="96"/>
        <v>12000</v>
      </c>
      <c r="N514" s="31"/>
      <c r="O514" s="31"/>
      <c r="P514" t="s">
        <v>821</v>
      </c>
      <c r="Q514" s="190">
        <f>(SUMIFS('3. CD - Obra negra'!$O$4:$O$344,'3. CD - Obra negra'!$E$4:$E$344,G514))+(SUMIFS('4. CD - Obra gris'!$O$14:$O$74,'4. CD - Obra gris'!$E$14:$E$74,G514))+(SUMIFS('5, CD -Obra blanca'!$O$4:$O$151,'5, CD -Obra blanca'!$E$4:$E$151,G514))</f>
        <v>0</v>
      </c>
      <c r="R514" s="194">
        <f t="shared" si="99"/>
        <v>0</v>
      </c>
      <c r="T514" s="4"/>
      <c r="V514"/>
      <c r="W514"/>
      <c r="Y514"/>
      <c r="AB514"/>
    </row>
    <row r="515" spans="2:28" x14ac:dyDescent="0.25">
      <c r="B515" t="s">
        <v>1140</v>
      </c>
      <c r="C515" s="87" t="s">
        <v>260</v>
      </c>
      <c r="D515" s="1" t="s">
        <v>571</v>
      </c>
      <c r="E515" s="250">
        <v>140000</v>
      </c>
      <c r="G515" t="str">
        <f t="shared" si="95"/>
        <v>Piedra coralina tratada para humedad</v>
      </c>
      <c r="H515" t="s">
        <v>76</v>
      </c>
      <c r="I515" s="1" t="str">
        <f t="shared" si="98"/>
        <v>M2</v>
      </c>
      <c r="J515" s="1" t="s">
        <v>1147</v>
      </c>
      <c r="K515" s="1"/>
      <c r="L515"/>
      <c r="M515" s="4">
        <f t="shared" si="96"/>
        <v>140000</v>
      </c>
      <c r="N515" s="31"/>
      <c r="O515" s="31"/>
      <c r="P515" t="s">
        <v>821</v>
      </c>
      <c r="Q515" s="190">
        <f>(SUMIFS('3. CD - Obra negra'!$O$4:$O$344,'3. CD - Obra negra'!$E$4:$E$344,G515))+(SUMIFS('4. CD - Obra gris'!$O$14:$O$74,'4. CD - Obra gris'!$E$14:$E$74,G515))+(SUMIFS('5, CD -Obra blanca'!$O$4:$O$151,'5, CD -Obra blanca'!$E$4:$E$151,G515))</f>
        <v>0</v>
      </c>
      <c r="R515" s="194">
        <f t="shared" si="99"/>
        <v>0</v>
      </c>
      <c r="T515" s="4"/>
      <c r="V515"/>
      <c r="W515"/>
      <c r="Y515"/>
      <c r="AB515"/>
    </row>
    <row r="516" spans="2:28" x14ac:dyDescent="0.25">
      <c r="B516" t="s">
        <v>1141</v>
      </c>
      <c r="C516" s="87" t="s">
        <v>269</v>
      </c>
      <c r="D516" s="1" t="s">
        <v>571</v>
      </c>
      <c r="E516" s="250">
        <v>250000</v>
      </c>
      <c r="G516" t="str">
        <f t="shared" si="95"/>
        <v>Grava seleccionada para enchape</v>
      </c>
      <c r="H516" t="s">
        <v>76</v>
      </c>
      <c r="I516" s="1" t="str">
        <f t="shared" si="98"/>
        <v>M3</v>
      </c>
      <c r="J516" s="1" t="s">
        <v>1148</v>
      </c>
      <c r="K516" s="1"/>
      <c r="L516"/>
      <c r="M516" s="4">
        <f t="shared" si="96"/>
        <v>250000</v>
      </c>
      <c r="N516" s="31"/>
      <c r="O516" s="31"/>
      <c r="P516" t="s">
        <v>821</v>
      </c>
      <c r="Q516" s="190">
        <f>(SUMIFS('3. CD - Obra negra'!$O$4:$O$344,'3. CD - Obra negra'!$E$4:$E$344,G516))+(SUMIFS('4. CD - Obra gris'!$O$14:$O$74,'4. CD - Obra gris'!$E$14:$E$74,G516))+(SUMIFS('5, CD -Obra blanca'!$O$4:$O$151,'5, CD -Obra blanca'!$E$4:$E$151,G516))</f>
        <v>0</v>
      </c>
      <c r="R516" s="194">
        <f t="shared" si="99"/>
        <v>0</v>
      </c>
      <c r="T516" s="4"/>
      <c r="V516"/>
      <c r="W516"/>
      <c r="Y516"/>
      <c r="AB516"/>
    </row>
    <row r="517" spans="2:28" x14ac:dyDescent="0.25">
      <c r="B517" t="s">
        <v>1142</v>
      </c>
      <c r="C517" s="87" t="s">
        <v>126</v>
      </c>
      <c r="D517" s="1" t="s">
        <v>571</v>
      </c>
      <c r="E517" s="250">
        <v>32000</v>
      </c>
      <c r="G517" t="str">
        <f t="shared" si="95"/>
        <v>Boquilla látex piedra</v>
      </c>
      <c r="H517" t="s">
        <v>76</v>
      </c>
      <c r="I517" s="1" t="str">
        <f t="shared" si="98"/>
        <v>UND</v>
      </c>
      <c r="J517" s="1" t="s">
        <v>1063</v>
      </c>
      <c r="K517" s="1"/>
      <c r="L517"/>
      <c r="M517" s="4">
        <f t="shared" si="96"/>
        <v>32000</v>
      </c>
      <c r="N517" s="31"/>
      <c r="O517" s="31"/>
      <c r="P517" t="s">
        <v>821</v>
      </c>
      <c r="Q517" s="190">
        <f>(SUMIFS('3. CD - Obra negra'!$O$4:$O$344,'3. CD - Obra negra'!$E$4:$E$344,G517))+(SUMIFS('4. CD - Obra gris'!$O$14:$O$74,'4. CD - Obra gris'!$E$14:$E$74,G517))+(SUMIFS('5, CD -Obra blanca'!$O$4:$O$151,'5, CD -Obra blanca'!$E$4:$E$151,G517))</f>
        <v>0</v>
      </c>
      <c r="R517" s="194">
        <f t="shared" si="99"/>
        <v>0</v>
      </c>
      <c r="T517" s="4"/>
      <c r="V517"/>
      <c r="W517"/>
      <c r="Y517"/>
      <c r="AB517"/>
    </row>
    <row r="518" spans="2:28" x14ac:dyDescent="0.25">
      <c r="B518" t="s">
        <v>589</v>
      </c>
      <c r="C518" s="1" t="s">
        <v>126</v>
      </c>
      <c r="D518" s="1" t="s">
        <v>591</v>
      </c>
      <c r="E518" s="4">
        <v>700</v>
      </c>
      <c r="G518" t="str">
        <f t="shared" si="95"/>
        <v>Adoquín</v>
      </c>
      <c r="H518" t="s">
        <v>76</v>
      </c>
      <c r="I518" s="1" t="str">
        <f t="shared" si="98"/>
        <v>UND</v>
      </c>
      <c r="J518" s="1" t="s">
        <v>1064</v>
      </c>
      <c r="K518" s="1"/>
      <c r="L518"/>
      <c r="M518" s="4">
        <f t="shared" si="96"/>
        <v>700</v>
      </c>
      <c r="N518" s="31"/>
      <c r="O518" s="31"/>
      <c r="P518" t="s">
        <v>821</v>
      </c>
      <c r="Q518" s="190">
        <f>(SUMIFS('3. CD - Obra negra'!$O$4:$O$344,'3. CD - Obra negra'!$E$4:$E$344,G518))+(SUMIFS('4. CD - Obra gris'!$O$14:$O$74,'4. CD - Obra gris'!$E$14:$E$74,G518))+(SUMIFS('5, CD -Obra blanca'!$O$4:$O$151,'5, CD -Obra blanca'!$E$4:$E$151,G518))</f>
        <v>0</v>
      </c>
      <c r="R518" s="194">
        <f t="shared" si="97"/>
        <v>0</v>
      </c>
      <c r="T518" s="4"/>
      <c r="V518"/>
      <c r="W518"/>
      <c r="Y518"/>
      <c r="AB518"/>
    </row>
    <row r="519" spans="2:28" x14ac:dyDescent="0.25">
      <c r="C519" s="1"/>
      <c r="D519" s="1"/>
      <c r="I519" s="1"/>
      <c r="L519"/>
      <c r="M519" s="4"/>
      <c r="N519" s="31"/>
      <c r="O519" s="31"/>
      <c r="R519"/>
      <c r="T519" s="4"/>
      <c r="V519"/>
      <c r="W519"/>
      <c r="Y519"/>
      <c r="AB519"/>
    </row>
    <row r="520" spans="2:28" x14ac:dyDescent="0.25">
      <c r="B520" s="299" t="s">
        <v>598</v>
      </c>
      <c r="C520" s="299"/>
      <c r="D520" s="299"/>
      <c r="E520" s="299"/>
      <c r="G520" s="299" t="s">
        <v>598</v>
      </c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4"/>
      <c r="V520"/>
      <c r="W520"/>
      <c r="Y520"/>
      <c r="AB520"/>
    </row>
    <row r="521" spans="2:28" x14ac:dyDescent="0.25">
      <c r="B521" t="s">
        <v>246</v>
      </c>
      <c r="C521" s="1" t="s">
        <v>248</v>
      </c>
      <c r="D521" s="1" t="s">
        <v>261</v>
      </c>
      <c r="E521" s="4" t="s">
        <v>249</v>
      </c>
      <c r="G521" s="201" t="s">
        <v>798</v>
      </c>
      <c r="H521" s="201" t="s">
        <v>799</v>
      </c>
      <c r="I521" s="201" t="s">
        <v>800</v>
      </c>
      <c r="J521" s="201" t="s">
        <v>815</v>
      </c>
      <c r="K521" s="201"/>
      <c r="L521" s="201" t="s">
        <v>816</v>
      </c>
      <c r="M521" s="202" t="s">
        <v>817</v>
      </c>
      <c r="N521" s="202" t="s">
        <v>818</v>
      </c>
      <c r="O521" s="202" t="s">
        <v>819</v>
      </c>
      <c r="P521" s="201" t="s">
        <v>820</v>
      </c>
      <c r="Q521" s="203" t="s">
        <v>847</v>
      </c>
      <c r="R521" s="201" t="s">
        <v>85</v>
      </c>
      <c r="S521" s="204">
        <f>+SUM(R522:R537)</f>
        <v>13007000</v>
      </c>
      <c r="T521" s="4"/>
      <c r="V521"/>
      <c r="W521"/>
      <c r="Y521"/>
      <c r="AB521"/>
    </row>
    <row r="522" spans="2:28" x14ac:dyDescent="0.25">
      <c r="B522" t="s">
        <v>601</v>
      </c>
      <c r="C522" s="87" t="s">
        <v>126</v>
      </c>
      <c r="D522" s="1" t="s">
        <v>699</v>
      </c>
      <c r="E522" s="88">
        <v>300000</v>
      </c>
      <c r="G522" t="str">
        <f t="shared" ref="G522:G537" si="100">+B522</f>
        <v>Puertas cocina</v>
      </c>
      <c r="H522" t="s">
        <v>76</v>
      </c>
      <c r="I522" s="1" t="str">
        <f t="shared" ref="I522:I537" si="101">+C522</f>
        <v>UND</v>
      </c>
      <c r="J522" s="1" t="s">
        <v>1065</v>
      </c>
      <c r="K522" s="1"/>
      <c r="L522"/>
      <c r="M522" s="4">
        <f t="shared" ref="M522:M537" si="102">+E522</f>
        <v>300000</v>
      </c>
      <c r="N522" s="31"/>
      <c r="O522" s="31"/>
      <c r="P522" t="s">
        <v>821</v>
      </c>
      <c r="Q522" s="190">
        <f>(SUMIFS('3. CD - Obra negra'!$O$4:$O$344,'3. CD - Obra negra'!$E$4:$E$344,G522))+(SUMIFS('4. CD - Obra gris'!$O$14:$O$74,'4. CD - Obra gris'!$E$14:$E$74,G522))+(SUMIFS('5, CD -Obra blanca'!$O$4:$O$151,'5, CD -Obra blanca'!$E$4:$E$151,G522))</f>
        <v>0</v>
      </c>
      <c r="R522" s="194">
        <f t="shared" ref="R522:R537" si="103">+Q522*M522</f>
        <v>0</v>
      </c>
      <c r="T522" s="4"/>
      <c r="V522"/>
      <c r="W522"/>
      <c r="Y522"/>
      <c r="AB522"/>
    </row>
    <row r="523" spans="2:28" x14ac:dyDescent="0.25">
      <c r="B523" t="s">
        <v>602</v>
      </c>
      <c r="C523" s="87" t="s">
        <v>126</v>
      </c>
      <c r="D523" s="1" t="s">
        <v>699</v>
      </c>
      <c r="E523" s="88">
        <v>500000</v>
      </c>
      <c r="G523" t="str">
        <f t="shared" si="100"/>
        <v>Puertas armario</v>
      </c>
      <c r="H523" t="s">
        <v>76</v>
      </c>
      <c r="I523" s="1" t="str">
        <f t="shared" si="101"/>
        <v>UND</v>
      </c>
      <c r="J523" s="1" t="s">
        <v>1038</v>
      </c>
      <c r="K523" s="1"/>
      <c r="L523"/>
      <c r="M523" s="4">
        <f t="shared" si="102"/>
        <v>500000</v>
      </c>
      <c r="N523" s="31"/>
      <c r="O523" s="31"/>
      <c r="P523" t="s">
        <v>821</v>
      </c>
      <c r="Q523" s="190">
        <f>(SUMIFS('3. CD - Obra negra'!$O$4:$O$344,'3. CD - Obra negra'!$E$4:$E$344,G523))+(SUMIFS('4. CD - Obra gris'!$O$14:$O$74,'4. CD - Obra gris'!$E$14:$E$74,G523))+(SUMIFS('5, CD -Obra blanca'!$O$4:$O$151,'5, CD -Obra blanca'!$E$4:$E$151,G523))</f>
        <v>0</v>
      </c>
      <c r="R523" s="194">
        <f t="shared" si="103"/>
        <v>0</v>
      </c>
      <c r="T523" s="4"/>
      <c r="V523"/>
      <c r="W523"/>
      <c r="Y523"/>
      <c r="AB523"/>
    </row>
    <row r="524" spans="2:28" x14ac:dyDescent="0.25">
      <c r="B524" t="s">
        <v>1269</v>
      </c>
      <c r="C524" s="87" t="s">
        <v>126</v>
      </c>
      <c r="D524" s="1" t="s">
        <v>699</v>
      </c>
      <c r="E524" s="88">
        <v>1200000</v>
      </c>
      <c r="G524" t="str">
        <f t="shared" si="100"/>
        <v>Armario</v>
      </c>
      <c r="H524" t="s">
        <v>76</v>
      </c>
      <c r="I524" s="1" t="str">
        <f t="shared" si="101"/>
        <v>UND</v>
      </c>
      <c r="J524" s="1" t="s">
        <v>1270</v>
      </c>
      <c r="K524" s="1"/>
      <c r="L524"/>
      <c r="M524" s="4">
        <f t="shared" si="102"/>
        <v>1200000</v>
      </c>
      <c r="N524" s="31"/>
      <c r="O524" s="31"/>
      <c r="P524" t="s">
        <v>821</v>
      </c>
      <c r="Q524" s="190">
        <f>(SUMIFS('3. CD - Obra negra'!$O$4:$O$344,'3. CD - Obra negra'!$E$4:$E$344,G524))+(SUMIFS('4. CD - Obra gris'!$O$14:$O$74,'4. CD - Obra gris'!$E$14:$E$74,G524))+(SUMIFS('5, CD -Obra blanca'!$O$4:$O$151,'5, CD -Obra blanca'!$E$4:$E$151,G524))</f>
        <v>0</v>
      </c>
      <c r="R524" s="194">
        <f>+Q524*M524</f>
        <v>0</v>
      </c>
      <c r="T524" s="4"/>
      <c r="V524"/>
      <c r="W524"/>
      <c r="Y524"/>
      <c r="AB524"/>
    </row>
    <row r="525" spans="2:28" x14ac:dyDescent="0.25">
      <c r="B525" t="s">
        <v>603</v>
      </c>
      <c r="C525" s="87" t="s">
        <v>260</v>
      </c>
      <c r="D525" s="1" t="s">
        <v>699</v>
      </c>
      <c r="E525" s="88">
        <v>550000</v>
      </c>
      <c r="G525" t="str">
        <f t="shared" si="100"/>
        <v>Mesón cocina</v>
      </c>
      <c r="H525" t="s">
        <v>76</v>
      </c>
      <c r="I525" s="1" t="str">
        <f t="shared" si="101"/>
        <v>M2</v>
      </c>
      <c r="J525" s="1" t="s">
        <v>1066</v>
      </c>
      <c r="K525" s="1"/>
      <c r="L525"/>
      <c r="M525" s="4">
        <f t="shared" si="102"/>
        <v>550000</v>
      </c>
      <c r="N525" s="31"/>
      <c r="O525" s="31"/>
      <c r="P525" t="s">
        <v>821</v>
      </c>
      <c r="Q525" s="190">
        <f>(SUMIFS('3. CD - Obra negra'!$O$4:$O$344,'3. CD - Obra negra'!$E$4:$E$344,G525))+(SUMIFS('4. CD - Obra gris'!$O$14:$O$74,'4. CD - Obra gris'!$E$14:$E$74,G525))+(SUMIFS('5, CD -Obra blanca'!$O$4:$O$151,'5, CD -Obra blanca'!$E$4:$E$151,G525))</f>
        <v>6.94</v>
      </c>
      <c r="R525" s="194">
        <f t="shared" si="103"/>
        <v>3817000</v>
      </c>
      <c r="T525" s="4"/>
      <c r="V525"/>
      <c r="W525"/>
      <c r="Y525"/>
      <c r="AB525"/>
    </row>
    <row r="526" spans="2:28" x14ac:dyDescent="0.25">
      <c r="B526" t="s">
        <v>792</v>
      </c>
      <c r="C526" s="87" t="s">
        <v>126</v>
      </c>
      <c r="D526" s="1" t="s">
        <v>699</v>
      </c>
      <c r="E526" s="88">
        <v>2500000</v>
      </c>
      <c r="G526" t="str">
        <f t="shared" si="100"/>
        <v>Puerta de seguridad</v>
      </c>
      <c r="H526" t="s">
        <v>76</v>
      </c>
      <c r="I526" s="1" t="str">
        <f t="shared" si="101"/>
        <v>UND</v>
      </c>
      <c r="J526" s="1" t="s">
        <v>1067</v>
      </c>
      <c r="K526" s="1"/>
      <c r="L526"/>
      <c r="M526" s="4">
        <f t="shared" si="102"/>
        <v>2500000</v>
      </c>
      <c r="N526" s="31"/>
      <c r="O526" s="31"/>
      <c r="P526" t="s">
        <v>821</v>
      </c>
      <c r="Q526" s="190">
        <f>(SUMIFS('3. CD - Obra negra'!$O$4:$O$344,'3. CD - Obra negra'!$E$4:$E$344,G526))+(SUMIFS('4. CD - Obra gris'!$O$14:$O$74,'4. CD - Obra gris'!$E$14:$E$74,G526))+(SUMIFS('5, CD -Obra blanca'!$O$4:$O$151,'5, CD -Obra blanca'!$E$4:$E$151,G526))</f>
        <v>0</v>
      </c>
      <c r="R526" s="194">
        <f t="shared" si="103"/>
        <v>0</v>
      </c>
      <c r="T526" s="4"/>
      <c r="V526"/>
      <c r="W526"/>
      <c r="Y526"/>
      <c r="AB526"/>
    </row>
    <row r="527" spans="2:28" x14ac:dyDescent="0.25">
      <c r="B527" t="s">
        <v>604</v>
      </c>
      <c r="C527" s="87" t="s">
        <v>126</v>
      </c>
      <c r="D527" s="1" t="s">
        <v>699</v>
      </c>
      <c r="E527" s="88">
        <v>650000</v>
      </c>
      <c r="G527" t="str">
        <f t="shared" si="100"/>
        <v xml:space="preserve">Sanitario ahorrador regular </v>
      </c>
      <c r="H527" t="s">
        <v>76</v>
      </c>
      <c r="I527" s="1" t="str">
        <f t="shared" si="101"/>
        <v>UND</v>
      </c>
      <c r="J527" s="1" t="s">
        <v>1068</v>
      </c>
      <c r="K527" s="1"/>
      <c r="L527"/>
      <c r="M527" s="4">
        <f t="shared" si="102"/>
        <v>650000</v>
      </c>
      <c r="N527" s="31"/>
      <c r="O527" s="31"/>
      <c r="P527" t="s">
        <v>821</v>
      </c>
      <c r="Q527" s="190">
        <f>(SUMIFS('3. CD - Obra negra'!$O$4:$O$344,'3. CD - Obra negra'!$E$4:$E$344,G527))+(SUMIFS('4. CD - Obra gris'!$O$14:$O$74,'4. CD - Obra gris'!$E$14:$E$74,G527))+(SUMIFS('5, CD -Obra blanca'!$O$4:$O$151,'5, CD -Obra blanca'!$E$4:$E$151,G527))</f>
        <v>7</v>
      </c>
      <c r="R527" s="194">
        <f t="shared" si="103"/>
        <v>4550000</v>
      </c>
      <c r="T527" s="4"/>
      <c r="V527"/>
      <c r="W527"/>
      <c r="Y527"/>
      <c r="AB527"/>
    </row>
    <row r="528" spans="2:28" x14ac:dyDescent="0.25">
      <c r="B528" t="s">
        <v>605</v>
      </c>
      <c r="C528" s="87" t="s">
        <v>126</v>
      </c>
      <c r="D528" s="1" t="s">
        <v>699</v>
      </c>
      <c r="E528" s="88">
        <v>70000</v>
      </c>
      <c r="G528" t="str">
        <f t="shared" si="100"/>
        <v>Teleducha bidet</v>
      </c>
      <c r="H528" t="s">
        <v>76</v>
      </c>
      <c r="I528" s="1" t="str">
        <f t="shared" si="101"/>
        <v>UND</v>
      </c>
      <c r="J528" s="1" t="s">
        <v>1069</v>
      </c>
      <c r="K528" s="1"/>
      <c r="L528"/>
      <c r="M528" s="4">
        <f t="shared" si="102"/>
        <v>70000</v>
      </c>
      <c r="N528" s="31"/>
      <c r="O528" s="31"/>
      <c r="P528" t="s">
        <v>821</v>
      </c>
      <c r="Q528" s="190">
        <f>(SUMIFS('3. CD - Obra negra'!$O$4:$O$344,'3. CD - Obra negra'!$E$4:$E$344,G528))+(SUMIFS('4. CD - Obra gris'!$O$14:$O$74,'4. CD - Obra gris'!$E$14:$E$74,G528))+(SUMIFS('5, CD -Obra blanca'!$O$4:$O$151,'5, CD -Obra blanca'!$E$4:$E$151,G528))</f>
        <v>0</v>
      </c>
      <c r="R528" s="194">
        <f t="shared" si="103"/>
        <v>0</v>
      </c>
      <c r="T528" s="4"/>
      <c r="V528"/>
      <c r="W528"/>
      <c r="Y528"/>
      <c r="AB528"/>
    </row>
    <row r="529" spans="2:28" x14ac:dyDescent="0.25">
      <c r="B529" t="s">
        <v>606</v>
      </c>
      <c r="C529" s="87" t="s">
        <v>126</v>
      </c>
      <c r="D529" s="1" t="s">
        <v>699</v>
      </c>
      <c r="E529" s="88">
        <v>70000</v>
      </c>
      <c r="G529" t="str">
        <f t="shared" si="100"/>
        <v>Grifo lavamanos sencillo</v>
      </c>
      <c r="H529" t="s">
        <v>76</v>
      </c>
      <c r="I529" s="1" t="str">
        <f t="shared" si="101"/>
        <v>UND</v>
      </c>
      <c r="J529" s="1" t="s">
        <v>1070</v>
      </c>
      <c r="K529" s="1"/>
      <c r="L529"/>
      <c r="M529" s="4">
        <f t="shared" si="102"/>
        <v>70000</v>
      </c>
      <c r="N529" s="31"/>
      <c r="O529" s="31"/>
      <c r="P529" t="s">
        <v>821</v>
      </c>
      <c r="Q529" s="190">
        <f>(SUMIFS('3. CD - Obra negra'!$O$4:$O$344,'3. CD - Obra negra'!$E$4:$E$344,G529))+(SUMIFS('4. CD - Obra gris'!$O$14:$O$74,'4. CD - Obra gris'!$E$14:$E$74,G529))+(SUMIFS('5, CD -Obra blanca'!$O$4:$O$151,'5, CD -Obra blanca'!$E$4:$E$151,G529))</f>
        <v>7</v>
      </c>
      <c r="R529" s="194">
        <f t="shared" si="103"/>
        <v>490000</v>
      </c>
      <c r="T529" s="4"/>
      <c r="V529"/>
      <c r="W529"/>
      <c r="Y529"/>
      <c r="AB529"/>
    </row>
    <row r="530" spans="2:28" x14ac:dyDescent="0.25">
      <c r="B530" t="s">
        <v>607</v>
      </c>
      <c r="C530" s="87" t="s">
        <v>126</v>
      </c>
      <c r="D530" s="1" t="s">
        <v>699</v>
      </c>
      <c r="E530" s="88">
        <v>250000</v>
      </c>
      <c r="G530" t="str">
        <f t="shared" si="100"/>
        <v>Lavamanos</v>
      </c>
      <c r="H530" t="s">
        <v>76</v>
      </c>
      <c r="I530" s="1" t="str">
        <f t="shared" si="101"/>
        <v>UND</v>
      </c>
      <c r="J530" s="1" t="s">
        <v>1071</v>
      </c>
      <c r="K530" s="1"/>
      <c r="L530"/>
      <c r="M530" s="4">
        <f t="shared" si="102"/>
        <v>250000</v>
      </c>
      <c r="N530" s="31"/>
      <c r="O530" s="31"/>
      <c r="P530" t="s">
        <v>821</v>
      </c>
      <c r="Q530" s="190">
        <f>(SUMIFS('3. CD - Obra negra'!$O$4:$O$344,'3. CD - Obra negra'!$E$4:$E$344,G530))+(SUMIFS('4. CD - Obra gris'!$O$14:$O$74,'4. CD - Obra gris'!$E$14:$E$74,G530))+(SUMIFS('5, CD -Obra blanca'!$O$4:$O$151,'5, CD -Obra blanca'!$E$4:$E$151,G530))</f>
        <v>7</v>
      </c>
      <c r="R530" s="194">
        <f t="shared" si="103"/>
        <v>1750000</v>
      </c>
      <c r="T530" s="4"/>
      <c r="V530"/>
      <c r="W530"/>
      <c r="Y530"/>
      <c r="AB530"/>
    </row>
    <row r="531" spans="2:28" x14ac:dyDescent="0.25">
      <c r="B531" t="s">
        <v>608</v>
      </c>
      <c r="C531" s="87" t="s">
        <v>126</v>
      </c>
      <c r="D531" s="1" t="s">
        <v>699</v>
      </c>
      <c r="E531" s="88">
        <v>250000</v>
      </c>
      <c r="G531" t="str">
        <f t="shared" si="100"/>
        <v>Regadera Teleducha</v>
      </c>
      <c r="H531" t="s">
        <v>76</v>
      </c>
      <c r="I531" s="1" t="str">
        <f t="shared" si="101"/>
        <v>UND</v>
      </c>
      <c r="J531" s="1" t="s">
        <v>1072</v>
      </c>
      <c r="K531" s="1"/>
      <c r="L531"/>
      <c r="M531" s="4">
        <f t="shared" si="102"/>
        <v>250000</v>
      </c>
      <c r="N531" s="31"/>
      <c r="O531" s="31"/>
      <c r="P531" t="s">
        <v>821</v>
      </c>
      <c r="Q531" s="190">
        <f>(SUMIFS('3. CD - Obra negra'!$O$4:$O$344,'3. CD - Obra negra'!$E$4:$E$344,G531))+(SUMIFS('4. CD - Obra gris'!$O$14:$O$74,'4. CD - Obra gris'!$E$14:$E$74,G531))+(SUMIFS('5, CD -Obra blanca'!$O$4:$O$151,'5, CD -Obra blanca'!$E$4:$E$151,G531))</f>
        <v>6</v>
      </c>
      <c r="R531" s="194">
        <f t="shared" si="103"/>
        <v>1500000</v>
      </c>
      <c r="T531" s="4"/>
      <c r="V531"/>
      <c r="W531"/>
      <c r="Y531"/>
      <c r="AB531"/>
    </row>
    <row r="532" spans="2:28" x14ac:dyDescent="0.25">
      <c r="B532" t="s">
        <v>609</v>
      </c>
      <c r="C532" s="87" t="s">
        <v>126</v>
      </c>
      <c r="D532" s="1" t="s">
        <v>699</v>
      </c>
      <c r="E532" s="88">
        <v>150000</v>
      </c>
      <c r="G532" t="str">
        <f t="shared" si="100"/>
        <v>Pomo regular</v>
      </c>
      <c r="H532" t="s">
        <v>76</v>
      </c>
      <c r="I532" s="1" t="str">
        <f t="shared" si="101"/>
        <v>UND</v>
      </c>
      <c r="J532" s="1" t="s">
        <v>1073</v>
      </c>
      <c r="K532" s="1"/>
      <c r="L532"/>
      <c r="M532" s="4">
        <f t="shared" si="102"/>
        <v>150000</v>
      </c>
      <c r="N532" s="31"/>
      <c r="O532" s="31"/>
      <c r="P532" t="s">
        <v>821</v>
      </c>
      <c r="Q532" s="190">
        <f>(SUMIFS('3. CD - Obra negra'!$O$4:$O$344,'3. CD - Obra negra'!$E$4:$E$344,G532))+(SUMIFS('4. CD - Obra gris'!$O$14:$O$74,'4. CD - Obra gris'!$E$14:$E$74,G532))+(SUMIFS('5, CD -Obra blanca'!$O$4:$O$151,'5, CD -Obra blanca'!$E$4:$E$151,G532))</f>
        <v>6</v>
      </c>
      <c r="R532" s="194">
        <f t="shared" si="103"/>
        <v>900000</v>
      </c>
      <c r="T532" s="4"/>
      <c r="V532"/>
      <c r="W532"/>
      <c r="Y532"/>
      <c r="AB532"/>
    </row>
    <row r="533" spans="2:28" x14ac:dyDescent="0.25">
      <c r="B533" t="s">
        <v>1143</v>
      </c>
      <c r="C533" s="1" t="s">
        <v>260</v>
      </c>
      <c r="D533" s="1" t="s">
        <v>14</v>
      </c>
      <c r="E533" s="4">
        <v>30000</v>
      </c>
      <c r="G533" t="str">
        <f t="shared" si="100"/>
        <v>Malla catamarán</v>
      </c>
      <c r="H533" t="s">
        <v>76</v>
      </c>
      <c r="I533" s="1" t="str">
        <f t="shared" si="101"/>
        <v>M2</v>
      </c>
      <c r="J533" s="1" t="s">
        <v>1145</v>
      </c>
      <c r="K533" s="1"/>
      <c r="L533"/>
      <c r="M533" s="4">
        <f t="shared" si="102"/>
        <v>30000</v>
      </c>
      <c r="N533" s="31"/>
      <c r="O533" s="31"/>
      <c r="P533" t="s">
        <v>821</v>
      </c>
      <c r="Q533" s="190">
        <f>(SUMIFS('3. CD - Obra negra'!$O$4:$O$344,'3. CD - Obra negra'!$E$4:$E$344,G533))+(SUMIFS('4. CD - Obra gris'!$O$14:$O$74,'4. CD - Obra gris'!$E$14:$E$74,G533))+(SUMIFS('5, CD -Obra blanca'!$O$4:$O$151,'5, CD -Obra blanca'!$E$4:$E$151,G533))</f>
        <v>0</v>
      </c>
      <c r="R533" s="194">
        <f>+Q533*M533</f>
        <v>0</v>
      </c>
      <c r="S533" s="42"/>
      <c r="T533" s="4"/>
      <c r="V533"/>
      <c r="W533"/>
      <c r="Y533"/>
      <c r="AB533"/>
    </row>
    <row r="534" spans="2:28" x14ac:dyDescent="0.25">
      <c r="B534" t="s">
        <v>1144</v>
      </c>
      <c r="C534" s="1" t="s">
        <v>126</v>
      </c>
      <c r="D534" s="1" t="s">
        <v>14</v>
      </c>
      <c r="E534" s="4">
        <v>250000</v>
      </c>
      <c r="G534" t="str">
        <f t="shared" si="100"/>
        <v>Anclaje malla catamarán</v>
      </c>
      <c r="H534" t="s">
        <v>76</v>
      </c>
      <c r="I534" s="1" t="str">
        <f t="shared" si="101"/>
        <v>UND</v>
      </c>
      <c r="J534" s="1" t="s">
        <v>1146</v>
      </c>
      <c r="K534" s="1"/>
      <c r="L534"/>
      <c r="M534" s="4">
        <f t="shared" si="102"/>
        <v>250000</v>
      </c>
      <c r="N534" s="31"/>
      <c r="O534" s="31"/>
      <c r="P534" t="s">
        <v>821</v>
      </c>
      <c r="Q534" s="190">
        <f>(SUMIFS('3. CD - Obra negra'!$O$4:$O$344,'3. CD - Obra negra'!$E$4:$E$344,G534))+(SUMIFS('4. CD - Obra gris'!$O$14:$O$74,'4. CD - Obra gris'!$E$14:$E$74,G534))+(SUMIFS('5, CD -Obra blanca'!$O$4:$O$151,'5, CD -Obra blanca'!$E$4:$E$151,G534))</f>
        <v>0</v>
      </c>
      <c r="R534" s="194">
        <f>+Q534*M534</f>
        <v>0</v>
      </c>
      <c r="S534" s="42"/>
      <c r="T534" s="4"/>
      <c r="V534"/>
      <c r="W534"/>
      <c r="Y534"/>
      <c r="AB534"/>
    </row>
    <row r="535" spans="2:28" x14ac:dyDescent="0.25">
      <c r="B535" t="s">
        <v>610</v>
      </c>
      <c r="C535" s="87" t="s">
        <v>126</v>
      </c>
      <c r="D535" s="1" t="s">
        <v>699</v>
      </c>
      <c r="E535" s="88">
        <v>3000000</v>
      </c>
      <c r="G535" t="str">
        <f t="shared" si="100"/>
        <v>Tina</v>
      </c>
      <c r="H535" t="s">
        <v>76</v>
      </c>
      <c r="I535" s="1" t="str">
        <f t="shared" si="101"/>
        <v>UND</v>
      </c>
      <c r="J535" s="1" t="s">
        <v>1074</v>
      </c>
      <c r="K535" s="1"/>
      <c r="L535"/>
      <c r="M535" s="4">
        <f t="shared" si="102"/>
        <v>3000000</v>
      </c>
      <c r="N535" s="31"/>
      <c r="O535" s="31"/>
      <c r="P535" t="s">
        <v>821</v>
      </c>
      <c r="Q535" s="190">
        <f>(SUMIFS('3. CD - Obra negra'!$O$4:$O$344,'3. CD - Obra negra'!$E$4:$E$344,G535))+(SUMIFS('4. CD - Obra gris'!$O$14:$O$74,'4. CD - Obra gris'!$E$14:$E$74,G535))+(SUMIFS('5, CD -Obra blanca'!$O$4:$O$151,'5, CD -Obra blanca'!$E$4:$E$151,G535))</f>
        <v>0</v>
      </c>
      <c r="R535" s="194">
        <f t="shared" si="103"/>
        <v>0</v>
      </c>
      <c r="T535" s="4"/>
      <c r="V535"/>
      <c r="W535"/>
      <c r="Y535"/>
      <c r="AB535"/>
    </row>
    <row r="536" spans="2:28" x14ac:dyDescent="0.25">
      <c r="B536" t="s">
        <v>611</v>
      </c>
      <c r="C536" s="87" t="s">
        <v>126</v>
      </c>
      <c r="D536" s="1" t="s">
        <v>699</v>
      </c>
      <c r="E536" s="88">
        <v>85000</v>
      </c>
      <c r="G536" t="str">
        <f t="shared" si="100"/>
        <v>Barra de seguridad ducha</v>
      </c>
      <c r="H536" t="s">
        <v>76</v>
      </c>
      <c r="I536" s="1" t="str">
        <f t="shared" si="101"/>
        <v>UND</v>
      </c>
      <c r="J536" s="1" t="s">
        <v>1075</v>
      </c>
      <c r="K536" s="1"/>
      <c r="L536"/>
      <c r="M536" s="4">
        <f t="shared" si="102"/>
        <v>85000</v>
      </c>
      <c r="N536" s="31"/>
      <c r="O536" s="31"/>
      <c r="P536" t="s">
        <v>821</v>
      </c>
      <c r="Q536" s="190">
        <f>(SUMIFS('3. CD - Obra negra'!$O$4:$O$344,'3. CD - Obra negra'!$E$4:$E$344,G536))+(SUMIFS('4. CD - Obra gris'!$O$14:$O$74,'4. CD - Obra gris'!$E$14:$E$74,G536))+(SUMIFS('5, CD -Obra blanca'!$O$4:$O$151,'5, CD -Obra blanca'!$E$4:$E$151,G536))</f>
        <v>0</v>
      </c>
      <c r="R536" s="194">
        <f t="shared" si="103"/>
        <v>0</v>
      </c>
      <c r="T536" s="4"/>
      <c r="V536"/>
      <c r="W536"/>
      <c r="Y536"/>
      <c r="AB536"/>
    </row>
    <row r="537" spans="2:28" x14ac:dyDescent="0.25">
      <c r="B537" t="s">
        <v>612</v>
      </c>
      <c r="C537" s="87" t="s">
        <v>126</v>
      </c>
      <c r="D537" s="1" t="s">
        <v>699</v>
      </c>
      <c r="E537" s="88">
        <v>9000000</v>
      </c>
      <c r="G537" t="str">
        <f t="shared" si="100"/>
        <v>Jacuzzi</v>
      </c>
      <c r="H537" t="s">
        <v>76</v>
      </c>
      <c r="I537" s="1" t="str">
        <f t="shared" si="101"/>
        <v>UND</v>
      </c>
      <c r="J537" s="1" t="s">
        <v>1076</v>
      </c>
      <c r="K537" s="1"/>
      <c r="L537"/>
      <c r="M537" s="4">
        <f t="shared" si="102"/>
        <v>9000000</v>
      </c>
      <c r="N537" s="31"/>
      <c r="O537" s="31"/>
      <c r="P537" t="s">
        <v>821</v>
      </c>
      <c r="Q537" s="190">
        <f>(SUMIFS('3. CD - Obra negra'!$O$4:$O$344,'3. CD - Obra negra'!$E$4:$E$344,G537))+(SUMIFS('4. CD - Obra gris'!$O$14:$O$74,'4. CD - Obra gris'!$E$14:$E$74,G537))+(SUMIFS('5, CD -Obra blanca'!$O$4:$O$151,'5, CD -Obra blanca'!$E$4:$E$151,G537))</f>
        <v>0</v>
      </c>
      <c r="R537" s="194">
        <f t="shared" si="103"/>
        <v>0</v>
      </c>
      <c r="T537" s="4"/>
      <c r="V537"/>
      <c r="W537"/>
      <c r="Y537"/>
      <c r="AB537"/>
    </row>
    <row r="538" spans="2:28" x14ac:dyDescent="0.25">
      <c r="C538" s="1"/>
      <c r="D538" s="1"/>
      <c r="I538" s="1"/>
      <c r="L538"/>
      <c r="M538" s="4"/>
      <c r="N538" s="31"/>
      <c r="O538" s="31"/>
      <c r="R538"/>
      <c r="T538" s="4"/>
      <c r="V538"/>
      <c r="W538"/>
      <c r="Y538"/>
      <c r="AB538"/>
    </row>
    <row r="539" spans="2:28" x14ac:dyDescent="0.25">
      <c r="B539" s="299" t="s">
        <v>708</v>
      </c>
      <c r="C539" s="299"/>
      <c r="D539" s="299"/>
      <c r="E539" s="299"/>
      <c r="G539" s="299" t="s">
        <v>708</v>
      </c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4"/>
      <c r="V539"/>
      <c r="W539"/>
      <c r="Y539"/>
      <c r="AB539"/>
    </row>
    <row r="540" spans="2:28" x14ac:dyDescent="0.25">
      <c r="B540" t="s">
        <v>246</v>
      </c>
      <c r="C540" s="1" t="s">
        <v>248</v>
      </c>
      <c r="D540" s="1" t="s">
        <v>261</v>
      </c>
      <c r="E540" s="4" t="s">
        <v>249</v>
      </c>
      <c r="G540" s="201" t="s">
        <v>798</v>
      </c>
      <c r="H540" s="201" t="s">
        <v>799</v>
      </c>
      <c r="I540" s="201" t="s">
        <v>800</v>
      </c>
      <c r="J540" s="201" t="s">
        <v>815</v>
      </c>
      <c r="K540" s="201"/>
      <c r="L540" s="201" t="s">
        <v>816</v>
      </c>
      <c r="M540" s="202" t="s">
        <v>817</v>
      </c>
      <c r="N540" s="202" t="s">
        <v>818</v>
      </c>
      <c r="O540" s="202" t="s">
        <v>819</v>
      </c>
      <c r="P540" s="201" t="s">
        <v>820</v>
      </c>
      <c r="Q540" s="203" t="s">
        <v>847</v>
      </c>
      <c r="R540" s="201" t="s">
        <v>85</v>
      </c>
      <c r="S540" s="204">
        <f>+SUM(R541:R549)</f>
        <v>0</v>
      </c>
      <c r="T540" s="4"/>
      <c r="V540"/>
      <c r="W540"/>
      <c r="Y540"/>
      <c r="AB540"/>
    </row>
    <row r="541" spans="2:28" x14ac:dyDescent="0.25">
      <c r="B541" t="s">
        <v>706</v>
      </c>
      <c r="C541" s="87" t="s">
        <v>260</v>
      </c>
      <c r="D541" s="1" t="s">
        <v>707</v>
      </c>
      <c r="E541" s="88">
        <v>30000</v>
      </c>
      <c r="G541" t="str">
        <f t="shared" ref="G541:G549" si="104">+B541</f>
        <v>Cielo raso drywall plano</v>
      </c>
      <c r="H541" t="s">
        <v>76</v>
      </c>
      <c r="I541" s="1" t="str">
        <f t="shared" ref="I541:I549" si="105">+C541</f>
        <v>M2</v>
      </c>
      <c r="J541" s="1" t="s">
        <v>1077</v>
      </c>
      <c r="K541" s="1"/>
      <c r="L541"/>
      <c r="M541" s="4">
        <f t="shared" ref="M541:M549" si="106">+E541</f>
        <v>30000</v>
      </c>
      <c r="N541" s="31"/>
      <c r="O541" s="31"/>
      <c r="P541" t="s">
        <v>821</v>
      </c>
      <c r="Q541" s="190">
        <f>(SUMIFS('3. CD - Obra negra'!$O$4:$O$344,'3. CD - Obra negra'!$E$4:$E$344,G541))+(SUMIFS('4. CD - Obra gris'!$O$14:$O$74,'4. CD - Obra gris'!$E$14:$E$74,G541))+(SUMIFS('5, CD -Obra blanca'!$O$4:$O$151,'5, CD -Obra blanca'!$E$4:$E$151,G541))</f>
        <v>0</v>
      </c>
      <c r="R541" s="194">
        <f t="shared" ref="R541:R549" si="107">+Q541*M541</f>
        <v>0</v>
      </c>
      <c r="T541" s="4"/>
      <c r="V541"/>
      <c r="W541"/>
      <c r="Y541"/>
      <c r="AB541"/>
    </row>
    <row r="542" spans="2:28" x14ac:dyDescent="0.25">
      <c r="B542" t="s">
        <v>709</v>
      </c>
      <c r="C542" s="87" t="s">
        <v>260</v>
      </c>
      <c r="D542" s="1" t="s">
        <v>710</v>
      </c>
      <c r="E542" s="88">
        <v>25000</v>
      </c>
      <c r="G542" t="str">
        <f t="shared" si="104"/>
        <v>Panel superboard 12mm</v>
      </c>
      <c r="H542" t="s">
        <v>76</v>
      </c>
      <c r="I542" s="1" t="str">
        <f t="shared" si="105"/>
        <v>M2</v>
      </c>
      <c r="J542" s="1" t="s">
        <v>1078</v>
      </c>
      <c r="K542" s="1"/>
      <c r="L542"/>
      <c r="M542" s="4">
        <f t="shared" si="106"/>
        <v>25000</v>
      </c>
      <c r="N542" s="31"/>
      <c r="O542" s="31"/>
      <c r="P542" t="s">
        <v>821</v>
      </c>
      <c r="Q542" s="190">
        <f>(SUMIFS('3. CD - Obra negra'!$O$4:$O$344,'3. CD - Obra negra'!$E$4:$E$344,G542))+(SUMIFS('4. CD - Obra gris'!$O$14:$O$74,'4. CD - Obra gris'!$E$14:$E$74,G542))+(SUMIFS('5, CD -Obra blanca'!$O$4:$O$151,'5, CD -Obra blanca'!$E$4:$E$151,G542))</f>
        <v>0</v>
      </c>
      <c r="R542" s="194">
        <f t="shared" si="107"/>
        <v>0</v>
      </c>
      <c r="T542" s="4"/>
      <c r="V542"/>
      <c r="W542"/>
      <c r="Y542"/>
      <c r="AB542"/>
    </row>
    <row r="543" spans="2:28" x14ac:dyDescent="0.25">
      <c r="B543" t="s">
        <v>1338</v>
      </c>
      <c r="C543" s="87" t="s">
        <v>260</v>
      </c>
      <c r="D543" s="1" t="s">
        <v>710</v>
      </c>
      <c r="E543" s="88">
        <v>19000</v>
      </c>
      <c r="G543" t="str">
        <f t="shared" si="104"/>
        <v>Panel Eterboard 6mm</v>
      </c>
      <c r="H543" t="s">
        <v>76</v>
      </c>
      <c r="I543" s="1" t="str">
        <f t="shared" si="105"/>
        <v>M2</v>
      </c>
      <c r="J543" s="1" t="s">
        <v>1339</v>
      </c>
      <c r="K543" s="1"/>
      <c r="L543"/>
      <c r="M543" s="4">
        <f t="shared" si="106"/>
        <v>19000</v>
      </c>
      <c r="N543" s="31"/>
      <c r="O543" s="31"/>
      <c r="P543" t="s">
        <v>821</v>
      </c>
      <c r="Q543" s="190">
        <f>(SUMIFS('3. CD - Obra negra'!$O$4:$O$344,'3. CD - Obra negra'!$E$4:$E$344,G543))+(SUMIFS('4. CD - Obra gris'!$O$14:$O$74,'4. CD - Obra gris'!$E$14:$E$74,G543))+(SUMIFS('5, CD -Obra blanca'!$O$4:$O$151,'5, CD -Obra blanca'!$E$4:$E$151,G543))</f>
        <v>0</v>
      </c>
      <c r="R543" s="194">
        <f t="shared" si="107"/>
        <v>0</v>
      </c>
      <c r="T543" s="4"/>
      <c r="V543"/>
      <c r="W543"/>
      <c r="Y543"/>
      <c r="AB543"/>
    </row>
    <row r="544" spans="2:28" x14ac:dyDescent="0.25">
      <c r="B544" t="s">
        <v>1271</v>
      </c>
      <c r="C544" s="87" t="s">
        <v>260</v>
      </c>
      <c r="D544" s="1" t="s">
        <v>710</v>
      </c>
      <c r="E544" s="88">
        <v>65000</v>
      </c>
      <c r="G544" t="str">
        <f t="shared" si="104"/>
        <v>Panel Eterboard 20mm</v>
      </c>
      <c r="H544" t="s">
        <v>76</v>
      </c>
      <c r="I544" s="1" t="str">
        <f t="shared" si="105"/>
        <v>M2</v>
      </c>
      <c r="J544" s="1" t="s">
        <v>1272</v>
      </c>
      <c r="K544" s="1"/>
      <c r="L544"/>
      <c r="M544" s="4">
        <f t="shared" si="106"/>
        <v>65000</v>
      </c>
      <c r="N544" s="31"/>
      <c r="O544" s="31"/>
      <c r="P544" t="s">
        <v>821</v>
      </c>
      <c r="Q544" s="190">
        <f>(SUMIFS('3. CD - Obra negra'!$O$4:$O$344,'3. CD - Obra negra'!$E$4:$E$344,G544))+(SUMIFS('4. CD - Obra gris'!$O$14:$O$74,'4. CD - Obra gris'!$E$14:$E$74,G544))+(SUMIFS('5, CD -Obra blanca'!$O$4:$O$151,'5, CD -Obra blanca'!$E$4:$E$151,G544))</f>
        <v>0</v>
      </c>
      <c r="R544" s="194">
        <f t="shared" si="107"/>
        <v>0</v>
      </c>
      <c r="T544" s="4"/>
      <c r="V544"/>
      <c r="W544"/>
      <c r="Y544"/>
      <c r="AB544"/>
    </row>
    <row r="545" spans="2:28" x14ac:dyDescent="0.25">
      <c r="B545" t="s">
        <v>711</v>
      </c>
      <c r="C545" s="87" t="s">
        <v>260</v>
      </c>
      <c r="D545" s="1" t="s">
        <v>710</v>
      </c>
      <c r="E545" s="88">
        <v>21000</v>
      </c>
      <c r="G545" t="str">
        <f t="shared" si="104"/>
        <v>Pánel OSB 122x244 11mm</v>
      </c>
      <c r="H545" t="s">
        <v>76</v>
      </c>
      <c r="I545" s="1" t="str">
        <f t="shared" si="105"/>
        <v>M2</v>
      </c>
      <c r="J545" s="1" t="s">
        <v>1079</v>
      </c>
      <c r="K545" s="1"/>
      <c r="L545"/>
      <c r="M545" s="4">
        <f t="shared" si="106"/>
        <v>21000</v>
      </c>
      <c r="N545" s="31"/>
      <c r="O545" s="31"/>
      <c r="P545" t="s">
        <v>821</v>
      </c>
      <c r="Q545" s="190">
        <f>(SUMIFS('3. CD - Obra negra'!$O$4:$O$344,'3. CD - Obra negra'!$E$4:$E$344,G545))+(SUMIFS('4. CD - Obra gris'!$O$14:$O$74,'4. CD - Obra gris'!$E$14:$E$74,G545))+(SUMIFS('5, CD -Obra blanca'!$O$4:$O$151,'5, CD -Obra blanca'!$E$4:$E$151,G545))</f>
        <v>0</v>
      </c>
      <c r="R545" s="194">
        <f t="shared" si="107"/>
        <v>0</v>
      </c>
      <c r="T545" s="4"/>
      <c r="V545"/>
      <c r="W545"/>
      <c r="Y545"/>
      <c r="AB545"/>
    </row>
    <row r="546" spans="2:28" x14ac:dyDescent="0.25">
      <c r="B546" t="s">
        <v>712</v>
      </c>
      <c r="C546" s="87" t="s">
        <v>260</v>
      </c>
      <c r="D546" s="1" t="s">
        <v>710</v>
      </c>
      <c r="E546" s="88">
        <v>17000</v>
      </c>
      <c r="G546" t="str">
        <f t="shared" si="104"/>
        <v>Pánel OSB 122x244 9,5mm</v>
      </c>
      <c r="H546" t="s">
        <v>76</v>
      </c>
      <c r="I546" s="1" t="str">
        <f t="shared" si="105"/>
        <v>M2</v>
      </c>
      <c r="J546" s="1" t="s">
        <v>1080</v>
      </c>
      <c r="K546" s="1"/>
      <c r="L546"/>
      <c r="M546" s="4">
        <f t="shared" si="106"/>
        <v>17000</v>
      </c>
      <c r="N546" s="31"/>
      <c r="O546" s="31"/>
      <c r="P546" t="s">
        <v>821</v>
      </c>
      <c r="Q546" s="190">
        <f>(SUMIFS('3. CD - Obra negra'!$O$4:$O$344,'3. CD - Obra negra'!$E$4:$E$344,G546))+(SUMIFS('4. CD - Obra gris'!$O$14:$O$74,'4. CD - Obra gris'!$E$14:$E$74,G546))+(SUMIFS('5, CD -Obra blanca'!$O$4:$O$151,'5, CD -Obra blanca'!$E$4:$E$151,G546))</f>
        <v>0</v>
      </c>
      <c r="R546" s="194">
        <f t="shared" si="107"/>
        <v>0</v>
      </c>
      <c r="T546" s="4"/>
      <c r="V546"/>
      <c r="W546"/>
      <c r="Y546"/>
      <c r="AB546"/>
    </row>
    <row r="547" spans="2:28" x14ac:dyDescent="0.25">
      <c r="B547" t="s">
        <v>713</v>
      </c>
      <c r="C547" s="87" t="s">
        <v>260</v>
      </c>
      <c r="D547" s="1" t="s">
        <v>710</v>
      </c>
      <c r="E547" s="88">
        <v>27000</v>
      </c>
      <c r="G547" t="str">
        <f t="shared" si="104"/>
        <v>Pánel OSB 122x244 15mm</v>
      </c>
      <c r="H547" t="s">
        <v>76</v>
      </c>
      <c r="I547" s="1" t="str">
        <f t="shared" si="105"/>
        <v>M2</v>
      </c>
      <c r="J547" s="1" t="s">
        <v>1081</v>
      </c>
      <c r="K547" s="1"/>
      <c r="L547"/>
      <c r="M547" s="4">
        <f t="shared" si="106"/>
        <v>27000</v>
      </c>
      <c r="N547" s="31"/>
      <c r="O547" s="31"/>
      <c r="P547" t="s">
        <v>821</v>
      </c>
      <c r="Q547" s="190">
        <f>(SUMIFS('3. CD - Obra negra'!$O$4:$O$344,'3. CD - Obra negra'!$E$4:$E$344,G547))+(SUMIFS('4. CD - Obra gris'!$O$14:$O$74,'4. CD - Obra gris'!$E$14:$E$74,G547))+(SUMIFS('5, CD -Obra blanca'!$O$4:$O$151,'5, CD -Obra blanca'!$E$4:$E$151,G547))</f>
        <v>0</v>
      </c>
      <c r="R547" s="194">
        <f t="shared" si="107"/>
        <v>0</v>
      </c>
      <c r="T547" s="4"/>
      <c r="V547"/>
      <c r="W547"/>
      <c r="Y547"/>
      <c r="AB547"/>
    </row>
    <row r="548" spans="2:28" x14ac:dyDescent="0.25">
      <c r="B548" t="s">
        <v>1341</v>
      </c>
      <c r="C548" s="87" t="s">
        <v>335</v>
      </c>
      <c r="D548" s="1" t="s">
        <v>126</v>
      </c>
      <c r="E548" s="88">
        <v>29000</v>
      </c>
      <c r="G548" t="str">
        <f t="shared" si="104"/>
        <v>Cinta sellapanel x180 metros</v>
      </c>
      <c r="H548" t="s">
        <v>76</v>
      </c>
      <c r="I548" s="1" t="str">
        <f t="shared" si="105"/>
        <v>ML</v>
      </c>
      <c r="J548" s="1" t="s">
        <v>1340</v>
      </c>
      <c r="K548" s="1"/>
      <c r="L548"/>
      <c r="M548" s="4">
        <f t="shared" si="106"/>
        <v>29000</v>
      </c>
      <c r="N548" s="31"/>
      <c r="O548" s="31"/>
      <c r="P548" t="s">
        <v>821</v>
      </c>
      <c r="Q548" s="190">
        <f>(SUMIFS('3. CD - Obra negra'!$O$4:$O$344,'3. CD - Obra negra'!$E$4:$E$344,G548))+(SUMIFS('4. CD - Obra gris'!$O$14:$O$74,'4. CD - Obra gris'!$E$14:$E$74,G548))+(SUMIFS('5, CD -Obra blanca'!$O$4:$O$151,'5, CD -Obra blanca'!$E$4:$E$151,G548))</f>
        <v>0</v>
      </c>
      <c r="R548" s="194">
        <f t="shared" si="107"/>
        <v>0</v>
      </c>
      <c r="T548" s="4"/>
      <c r="V548"/>
      <c r="W548"/>
      <c r="Y548"/>
      <c r="AB548"/>
    </row>
    <row r="549" spans="2:28" x14ac:dyDescent="0.25">
      <c r="B549" t="s">
        <v>714</v>
      </c>
      <c r="C549" s="87" t="s">
        <v>260</v>
      </c>
      <c r="D549" s="1" t="s">
        <v>710</v>
      </c>
      <c r="E549" s="88">
        <v>28000</v>
      </c>
      <c r="G549" t="str">
        <f t="shared" si="104"/>
        <v>Superboard enchape 8mm</v>
      </c>
      <c r="H549" t="s">
        <v>76</v>
      </c>
      <c r="I549" s="1" t="str">
        <f t="shared" si="105"/>
        <v>M2</v>
      </c>
      <c r="J549" s="1" t="s">
        <v>1082</v>
      </c>
      <c r="K549" s="1"/>
      <c r="L549"/>
      <c r="M549" s="4">
        <f t="shared" si="106"/>
        <v>28000</v>
      </c>
      <c r="N549" s="31"/>
      <c r="O549" s="31"/>
      <c r="P549" t="s">
        <v>821</v>
      </c>
      <c r="Q549" s="190">
        <f>(SUMIFS('3. CD - Obra negra'!$O$4:$O$344,'3. CD - Obra negra'!$E$4:$E$344,G549))+(SUMIFS('4. CD - Obra gris'!$O$14:$O$74,'4. CD - Obra gris'!$E$14:$E$74,G549))+(SUMIFS('5, CD -Obra blanca'!$O$4:$O$151,'5, CD -Obra blanca'!$E$4:$E$151,G549))</f>
        <v>0</v>
      </c>
      <c r="R549" s="194">
        <f t="shared" si="107"/>
        <v>0</v>
      </c>
      <c r="T549" s="4"/>
      <c r="V549"/>
      <c r="W549"/>
      <c r="Y549"/>
      <c r="AB549"/>
    </row>
    <row r="550" spans="2:28" x14ac:dyDescent="0.25">
      <c r="C550" s="1"/>
      <c r="D550" s="1"/>
      <c r="I550" s="1"/>
      <c r="L550"/>
      <c r="M550" s="4"/>
      <c r="N550" s="31"/>
      <c r="O550" s="31"/>
      <c r="R550"/>
      <c r="T550" s="4"/>
      <c r="V550"/>
      <c r="W550"/>
      <c r="Y550"/>
      <c r="AB550"/>
    </row>
    <row r="551" spans="2:28" x14ac:dyDescent="0.25">
      <c r="C551" s="1"/>
      <c r="D551" s="1"/>
      <c r="I551" s="1"/>
      <c r="L551"/>
      <c r="M551" s="4"/>
      <c r="N551" s="31"/>
      <c r="O551" s="31"/>
      <c r="R551"/>
      <c r="T551" s="4"/>
      <c r="V551"/>
      <c r="W551"/>
      <c r="Y551"/>
      <c r="AB551"/>
    </row>
    <row r="552" spans="2:28" x14ac:dyDescent="0.25">
      <c r="B552" s="299" t="s">
        <v>252</v>
      </c>
      <c r="C552" s="299"/>
      <c r="D552" s="299"/>
      <c r="E552" s="299"/>
      <c r="G552" s="299" t="s">
        <v>252</v>
      </c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V552"/>
      <c r="W552"/>
      <c r="Y552"/>
      <c r="AB552"/>
    </row>
    <row r="553" spans="2:28" x14ac:dyDescent="0.25">
      <c r="B553" s="299" t="s">
        <v>14</v>
      </c>
      <c r="C553" s="299"/>
      <c r="D553" s="299"/>
      <c r="E553" s="299"/>
      <c r="G553" s="299" t="s">
        <v>14</v>
      </c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t="s">
        <v>936</v>
      </c>
      <c r="S553" s="198">
        <f>+S554+S565+S575+S580+S618</f>
        <v>429.43184444444444</v>
      </c>
      <c r="T553" t="s">
        <v>254</v>
      </c>
      <c r="U553" s="4">
        <f>+U554+U565+U575+U580+U618</f>
        <v>150281420</v>
      </c>
      <c r="V553"/>
      <c r="W553"/>
      <c r="Y553"/>
      <c r="AB553"/>
    </row>
    <row r="554" spans="2:28" x14ac:dyDescent="0.25">
      <c r="B554" s="299" t="s">
        <v>751</v>
      </c>
      <c r="C554" s="299"/>
      <c r="D554" s="299"/>
      <c r="E554" s="299"/>
      <c r="G554" s="299" t="s">
        <v>751</v>
      </c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  <c r="R554" t="s">
        <v>848</v>
      </c>
      <c r="S554" s="198">
        <f>+SUM(S556:S563)</f>
        <v>151.22471111111113</v>
      </c>
      <c r="T554" t="s">
        <v>250</v>
      </c>
      <c r="U554" s="4">
        <f>+SUM(U556:U563)</f>
        <v>81699850</v>
      </c>
      <c r="V554"/>
      <c r="W554"/>
      <c r="Y554"/>
      <c r="AB554"/>
    </row>
    <row r="555" spans="2:28" x14ac:dyDescent="0.25">
      <c r="B555" t="s">
        <v>246</v>
      </c>
      <c r="C555" s="1" t="s">
        <v>248</v>
      </c>
      <c r="D555" s="1" t="s">
        <v>261</v>
      </c>
      <c r="E555" s="4" t="s">
        <v>249</v>
      </c>
      <c r="G555" s="201" t="s">
        <v>798</v>
      </c>
      <c r="H555" s="201" t="s">
        <v>799</v>
      </c>
      <c r="I555" s="201" t="s">
        <v>800</v>
      </c>
      <c r="J555" s="201" t="s">
        <v>815</v>
      </c>
      <c r="K555" s="201"/>
      <c r="L555" s="201" t="s">
        <v>816</v>
      </c>
      <c r="M555" s="202" t="s">
        <v>817</v>
      </c>
      <c r="N555" s="202" t="s">
        <v>818</v>
      </c>
      <c r="O555" s="202" t="s">
        <v>819</v>
      </c>
      <c r="P555" s="201" t="s">
        <v>820</v>
      </c>
      <c r="Q555" s="203" t="s">
        <v>847</v>
      </c>
      <c r="R555" s="201" t="s">
        <v>937</v>
      </c>
      <c r="S555" s="201" t="s">
        <v>848</v>
      </c>
      <c r="T555" s="205" t="s">
        <v>994</v>
      </c>
      <c r="U555" s="202" t="s">
        <v>250</v>
      </c>
      <c r="V555"/>
      <c r="W555"/>
      <c r="Y555"/>
      <c r="AB555"/>
    </row>
    <row r="556" spans="2:28" x14ac:dyDescent="0.25">
      <c r="B556" t="s">
        <v>755</v>
      </c>
      <c r="C556" s="1" t="s">
        <v>260</v>
      </c>
      <c r="D556" s="1" t="s">
        <v>508</v>
      </c>
      <c r="E556" s="4">
        <v>120000</v>
      </c>
      <c r="G556" t="str">
        <f t="shared" ref="G556:G563" si="108">+B556</f>
        <v>Estructura de entrepiso en guadua</v>
      </c>
      <c r="H556" t="s">
        <v>938</v>
      </c>
      <c r="I556" s="1" t="str">
        <f t="shared" ref="I556:I563" si="109">+C556</f>
        <v>M2</v>
      </c>
      <c r="J556" s="1" t="s">
        <v>1083</v>
      </c>
      <c r="K556" s="1"/>
      <c r="L556"/>
      <c r="M556" s="4">
        <f>+(U556/S556)/8</f>
        <v>60000</v>
      </c>
      <c r="N556" s="31"/>
      <c r="O556" s="31"/>
      <c r="P556" t="s">
        <v>821</v>
      </c>
      <c r="Q556" s="190">
        <f>(SUMIFS('3. CD - Obra negra'!$O$4:$O$344,'3. CD - Obra negra'!$E$4:$E$344,G556))+(SUMIFS('4. CD - Obra gris'!$O$14:$O$74,'4. CD - Obra gris'!$E$14:$E$74,G556))+(SUMIFS('5, CD -Obra blanca'!$O$4:$O$151,'5, CD -Obra blanca'!$E$4:$E$151,G556))</f>
        <v>152.01</v>
      </c>
      <c r="R556">
        <v>4</v>
      </c>
      <c r="S556" s="42">
        <f>+Q556/R556</f>
        <v>38.002499999999998</v>
      </c>
      <c r="T556" s="4">
        <f t="shared" ref="T556:T563" si="110">+E556</f>
        <v>120000</v>
      </c>
      <c r="U556" s="4">
        <f>+T556*Q556</f>
        <v>18241200</v>
      </c>
      <c r="V556"/>
      <c r="W556"/>
      <c r="Y556"/>
      <c r="AB556"/>
    </row>
    <row r="557" spans="2:28" x14ac:dyDescent="0.25">
      <c r="B557" t="s">
        <v>746</v>
      </c>
      <c r="C557" s="1" t="s">
        <v>260</v>
      </c>
      <c r="D557" s="1" t="s">
        <v>508</v>
      </c>
      <c r="E557" s="4">
        <v>140000</v>
      </c>
      <c r="G557" t="str">
        <f t="shared" si="108"/>
        <v>Estructura de cubierta en guadua</v>
      </c>
      <c r="H557" t="s">
        <v>938</v>
      </c>
      <c r="I557" s="1" t="str">
        <f t="shared" si="109"/>
        <v>M2</v>
      </c>
      <c r="J557" s="1" t="s">
        <v>1084</v>
      </c>
      <c r="K557" s="1"/>
      <c r="L557"/>
      <c r="M557" s="4">
        <f t="shared" ref="M557:M563" si="111">+(U557/S557)/8</f>
        <v>70000</v>
      </c>
      <c r="N557" s="31"/>
      <c r="O557" s="31"/>
      <c r="P557" t="s">
        <v>821</v>
      </c>
      <c r="Q557" s="190">
        <f>(SUMIFS('3. CD - Obra negra'!$O$4:$O$344,'3. CD - Obra negra'!$E$4:$E$344,G557))+(SUMIFS('4. CD - Obra gris'!$O$14:$O$74,'4. CD - Obra gris'!$E$14:$E$74,G557))+(SUMIFS('5, CD -Obra blanca'!$O$4:$O$151,'5, CD -Obra blanca'!$E$4:$E$151,G557))</f>
        <v>307.79000000000002</v>
      </c>
      <c r="R557">
        <v>4</v>
      </c>
      <c r="S557" s="42">
        <f>+Q557/R557</f>
        <v>76.947500000000005</v>
      </c>
      <c r="T557" s="4">
        <f t="shared" si="110"/>
        <v>140000</v>
      </c>
      <c r="U557" s="4">
        <f t="shared" ref="U557:U563" si="112">+T557*Q557</f>
        <v>43090600</v>
      </c>
      <c r="V557"/>
      <c r="W557"/>
      <c r="Y557"/>
      <c r="AB557"/>
    </row>
    <row r="558" spans="2:28" x14ac:dyDescent="0.25">
      <c r="B558" t="s">
        <v>747</v>
      </c>
      <c r="C558" s="1" t="s">
        <v>260</v>
      </c>
      <c r="D558" s="1" t="s">
        <v>508</v>
      </c>
      <c r="E558" s="4">
        <v>35000</v>
      </c>
      <c r="G558" t="str">
        <f t="shared" si="108"/>
        <v>Estructura muro en guadua</v>
      </c>
      <c r="H558" t="s">
        <v>938</v>
      </c>
      <c r="I558" s="1" t="str">
        <f t="shared" si="109"/>
        <v>M2</v>
      </c>
      <c r="J558" s="1" t="s">
        <v>1085</v>
      </c>
      <c r="K558" s="1"/>
      <c r="L558"/>
      <c r="M558" s="4">
        <f t="shared" si="111"/>
        <v>65624.999999999985</v>
      </c>
      <c r="N558" s="31"/>
      <c r="O558" s="31"/>
      <c r="P558" t="s">
        <v>821</v>
      </c>
      <c r="Q558" s="190">
        <f>(SUMIFS('3. CD - Obra negra'!$O$4:$O$344,'3. CD - Obra negra'!$E$4:$E$344,G558))+(SUMIFS('4. CD - Obra gris'!$O$14:$O$74,'4. CD - Obra gris'!$E$14:$E$74,G558))+(SUMIFS('5, CD -Obra blanca'!$O$4:$O$151,'5, CD -Obra blanca'!$E$4:$E$151,G558))</f>
        <v>274.04000000000002</v>
      </c>
      <c r="R558">
        <v>15</v>
      </c>
      <c r="S558" s="42">
        <f t="shared" ref="S558:S563" si="113">+Q558/R558</f>
        <v>18.269333333333336</v>
      </c>
      <c r="T558" s="4">
        <f t="shared" si="110"/>
        <v>35000</v>
      </c>
      <c r="U558" s="4">
        <f t="shared" si="112"/>
        <v>9591400</v>
      </c>
      <c r="V558"/>
      <c r="W558"/>
      <c r="Y558"/>
      <c r="AB558"/>
    </row>
    <row r="559" spans="2:28" x14ac:dyDescent="0.25">
      <c r="B559" t="s">
        <v>563</v>
      </c>
      <c r="C559" s="1" t="s">
        <v>260</v>
      </c>
      <c r="D559" s="1" t="s">
        <v>508</v>
      </c>
      <c r="E559" s="4">
        <v>12500</v>
      </c>
      <c r="G559" t="str">
        <f t="shared" si="108"/>
        <v>Esterillado</v>
      </c>
      <c r="H559" t="s">
        <v>938</v>
      </c>
      <c r="I559" s="1" t="str">
        <f t="shared" si="109"/>
        <v>M2</v>
      </c>
      <c r="J559" s="1" t="s">
        <v>1086</v>
      </c>
      <c r="K559" s="1"/>
      <c r="L559"/>
      <c r="M559" s="4">
        <f t="shared" si="111"/>
        <v>70312.5</v>
      </c>
      <c r="N559" s="31"/>
      <c r="O559" s="31"/>
      <c r="P559" t="s">
        <v>821</v>
      </c>
      <c r="Q559" s="190">
        <f>(SUMIFS('3. CD - Obra negra'!$O$4:$O$344,'3. CD - Obra negra'!$E$4:$E$344,G559))+(SUMIFS('4. CD - Obra gris'!$O$14:$O$74,'4. CD - Obra gris'!$E$14:$E$74,G559))+(SUMIFS('5, CD -Obra blanca'!$O$4:$O$151,'5, CD -Obra blanca'!$E$4:$E$151,G559))</f>
        <v>716.84000000000015</v>
      </c>
      <c r="R559">
        <v>45</v>
      </c>
      <c r="S559" s="42">
        <f t="shared" si="113"/>
        <v>15.929777777777781</v>
      </c>
      <c r="T559" s="4">
        <f t="shared" si="110"/>
        <v>12500</v>
      </c>
      <c r="U559" s="4">
        <f t="shared" si="112"/>
        <v>8960500.0000000019</v>
      </c>
      <c r="V559"/>
      <c r="W559"/>
      <c r="Y559"/>
      <c r="AB559"/>
    </row>
    <row r="560" spans="2:28" x14ac:dyDescent="0.25">
      <c r="B560" t="s">
        <v>748</v>
      </c>
      <c r="C560" s="1" t="s">
        <v>260</v>
      </c>
      <c r="D560" s="1" t="s">
        <v>508</v>
      </c>
      <c r="E560" s="4">
        <v>25000</v>
      </c>
      <c r="G560" t="str">
        <f t="shared" si="108"/>
        <v>Instalación bambúes muros</v>
      </c>
      <c r="H560" t="s">
        <v>938</v>
      </c>
      <c r="I560" s="1" t="str">
        <f t="shared" si="109"/>
        <v>M2</v>
      </c>
      <c r="J560" s="1" t="s">
        <v>1087</v>
      </c>
      <c r="K560" s="1"/>
      <c r="L560"/>
      <c r="M560" s="4" t="e">
        <f t="shared" si="111"/>
        <v>#DIV/0!</v>
      </c>
      <c r="N560" s="31"/>
      <c r="O560" s="31"/>
      <c r="P560" t="s">
        <v>821</v>
      </c>
      <c r="Q560" s="190">
        <f>(SUMIFS('3. CD - Obra negra'!$O$4:$O$344,'3. CD - Obra negra'!$E$4:$E$344,G560))+(SUMIFS('4. CD - Obra gris'!$O$14:$O$74,'4. CD - Obra gris'!$E$14:$E$74,G560))+(SUMIFS('5, CD -Obra blanca'!$O$4:$O$151,'5, CD -Obra blanca'!$E$4:$E$151,G560))</f>
        <v>0</v>
      </c>
      <c r="R560">
        <v>8</v>
      </c>
      <c r="S560" s="42">
        <f t="shared" si="113"/>
        <v>0</v>
      </c>
      <c r="T560" s="4">
        <f t="shared" si="110"/>
        <v>25000</v>
      </c>
      <c r="U560" s="4">
        <f t="shared" si="112"/>
        <v>0</v>
      </c>
      <c r="V560"/>
      <c r="W560"/>
      <c r="Y560"/>
      <c r="AB560"/>
    </row>
    <row r="561" spans="2:28" x14ac:dyDescent="0.25">
      <c r="B561" t="s">
        <v>749</v>
      </c>
      <c r="C561" s="1" t="s">
        <v>260</v>
      </c>
      <c r="D561" s="1" t="s">
        <v>508</v>
      </c>
      <c r="E561" s="4">
        <v>35000</v>
      </c>
      <c r="G561" t="str">
        <f t="shared" si="108"/>
        <v>Instalación bambúes cubierta</v>
      </c>
      <c r="H561" t="s">
        <v>938</v>
      </c>
      <c r="I561" s="1" t="str">
        <f t="shared" si="109"/>
        <v>M2</v>
      </c>
      <c r="J561" s="1" t="s">
        <v>1088</v>
      </c>
      <c r="K561" s="1"/>
      <c r="L561"/>
      <c r="M561" s="4" t="e">
        <f t="shared" si="111"/>
        <v>#DIV/0!</v>
      </c>
      <c r="N561" s="31"/>
      <c r="O561" s="31"/>
      <c r="P561" t="s">
        <v>821</v>
      </c>
      <c r="Q561" s="190">
        <f>(SUMIFS('3. CD - Obra negra'!$O$4:$O$344,'3. CD - Obra negra'!$E$4:$E$344,G561))+(SUMIFS('4. CD - Obra gris'!$O$14:$O$74,'4. CD - Obra gris'!$E$14:$E$74,G561))+(SUMIFS('5, CD -Obra blanca'!$O$4:$O$151,'5, CD -Obra blanca'!$E$4:$E$151,G561))</f>
        <v>0</v>
      </c>
      <c r="R561">
        <v>7</v>
      </c>
      <c r="S561" s="42">
        <f t="shared" si="113"/>
        <v>0</v>
      </c>
      <c r="T561" s="4">
        <f t="shared" si="110"/>
        <v>35000</v>
      </c>
      <c r="U561" s="4">
        <f t="shared" si="112"/>
        <v>0</v>
      </c>
      <c r="V561"/>
      <c r="W561"/>
      <c r="Y561"/>
      <c r="AB561"/>
    </row>
    <row r="562" spans="2:28" x14ac:dyDescent="0.25">
      <c r="B562" t="s">
        <v>1527</v>
      </c>
      <c r="C562" s="1" t="s">
        <v>271</v>
      </c>
      <c r="D562" s="1" t="s">
        <v>508</v>
      </c>
      <c r="E562" s="4">
        <v>250000</v>
      </c>
      <c r="G562" t="str">
        <f t="shared" si="108"/>
        <v>Jornal maestro</v>
      </c>
      <c r="H562" t="s">
        <v>938</v>
      </c>
      <c r="I562" s="1" t="str">
        <f t="shared" si="109"/>
        <v>DÍA</v>
      </c>
      <c r="J562" s="1" t="s">
        <v>1528</v>
      </c>
      <c r="K562" s="1"/>
      <c r="L562"/>
      <c r="M562" s="4" t="e">
        <f>+(U562/S562)/8</f>
        <v>#DIV/0!</v>
      </c>
      <c r="N562" s="31"/>
      <c r="O562" s="31"/>
      <c r="P562" t="s">
        <v>821</v>
      </c>
      <c r="Q562" s="190">
        <f>(SUMIFS('3. CD - Obra negra'!$O$4:$O$344,'3. CD - Obra negra'!$E$4:$E$344,G562))+(SUMIFS('4. CD - Obra gris'!$O$14:$O$74,'4. CD - Obra gris'!$E$14:$E$74,G562))+(SUMIFS('5, CD -Obra blanca'!$O$4:$O$151,'5, CD -Obra blanca'!$E$4:$E$151,G562))</f>
        <v>0</v>
      </c>
      <c r="R562">
        <v>7</v>
      </c>
      <c r="S562" s="42">
        <f>+Q562/R562</f>
        <v>0</v>
      </c>
      <c r="T562" s="4">
        <f t="shared" si="110"/>
        <v>250000</v>
      </c>
      <c r="U562" s="4">
        <f>+T562*Q562</f>
        <v>0</v>
      </c>
      <c r="V562"/>
      <c r="W562"/>
      <c r="Y562"/>
      <c r="AB562"/>
    </row>
    <row r="563" spans="2:28" x14ac:dyDescent="0.25">
      <c r="B563" t="s">
        <v>750</v>
      </c>
      <c r="C563" s="1" t="s">
        <v>260</v>
      </c>
      <c r="D563" s="1" t="s">
        <v>508</v>
      </c>
      <c r="E563" s="4">
        <v>35000</v>
      </c>
      <c r="G563" t="str">
        <f t="shared" si="108"/>
        <v>Enlatado de guadua</v>
      </c>
      <c r="H563" t="s">
        <v>938</v>
      </c>
      <c r="I563" s="1" t="str">
        <f t="shared" si="109"/>
        <v>M2</v>
      </c>
      <c r="J563" s="1" t="s">
        <v>1089</v>
      </c>
      <c r="K563" s="1"/>
      <c r="L563"/>
      <c r="M563" s="4">
        <f t="shared" si="111"/>
        <v>109375</v>
      </c>
      <c r="N563" s="31"/>
      <c r="O563" s="31"/>
      <c r="P563" t="s">
        <v>821</v>
      </c>
      <c r="Q563" s="190">
        <f>(SUMIFS('3. CD - Obra negra'!$O$4:$O$344,'3. CD - Obra negra'!$E$4:$E$344,G563))+(SUMIFS('4. CD - Obra gris'!$O$14:$O$74,'4. CD - Obra gris'!$E$14:$E$74,G563))+(SUMIFS('5, CD -Obra blanca'!$O$4:$O$151,'5, CD -Obra blanca'!$E$4:$E$151,G563))</f>
        <v>51.89</v>
      </c>
      <c r="R563">
        <v>25</v>
      </c>
      <c r="S563" s="42">
        <f t="shared" si="113"/>
        <v>2.0756000000000001</v>
      </c>
      <c r="T563" s="4">
        <f t="shared" si="110"/>
        <v>35000</v>
      </c>
      <c r="U563" s="4">
        <f t="shared" si="112"/>
        <v>1816150</v>
      </c>
      <c r="V563"/>
      <c r="W563"/>
      <c r="Y563"/>
      <c r="AB563"/>
    </row>
    <row r="564" spans="2:28" x14ac:dyDescent="0.25">
      <c r="I564" s="1"/>
      <c r="L564"/>
      <c r="M564" s="4"/>
      <c r="N564" s="31"/>
      <c r="O564" s="31"/>
      <c r="R564"/>
      <c r="T564" s="4"/>
      <c r="V564"/>
      <c r="W564"/>
      <c r="Y564"/>
      <c r="AB564"/>
    </row>
    <row r="565" spans="2:28" x14ac:dyDescent="0.25">
      <c r="B565" s="299" t="s">
        <v>752</v>
      </c>
      <c r="C565" s="299"/>
      <c r="D565" s="299"/>
      <c r="E565" s="299"/>
      <c r="G565" s="299" t="s">
        <v>752</v>
      </c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t="s">
        <v>848</v>
      </c>
      <c r="S565" s="198">
        <f>+SUM(S567:S572)</f>
        <v>17.180666666666667</v>
      </c>
      <c r="T565" t="s">
        <v>250</v>
      </c>
      <c r="U565" s="4">
        <f>+SUM(U567:U572)</f>
        <v>9289200.0000000019</v>
      </c>
      <c r="V565"/>
      <c r="W565"/>
      <c r="Y565"/>
      <c r="AB565"/>
    </row>
    <row r="566" spans="2:28" x14ac:dyDescent="0.25">
      <c r="B566" t="s">
        <v>246</v>
      </c>
      <c r="C566" s="1" t="s">
        <v>248</v>
      </c>
      <c r="D566" s="1" t="s">
        <v>261</v>
      </c>
      <c r="E566" s="4" t="s">
        <v>249</v>
      </c>
      <c r="G566" s="201" t="s">
        <v>798</v>
      </c>
      <c r="H566" s="201" t="s">
        <v>799</v>
      </c>
      <c r="I566" s="201" t="s">
        <v>800</v>
      </c>
      <c r="J566" s="201" t="s">
        <v>815</v>
      </c>
      <c r="K566" s="201"/>
      <c r="L566" s="201" t="s">
        <v>816</v>
      </c>
      <c r="M566" s="202" t="s">
        <v>817</v>
      </c>
      <c r="N566" s="202" t="s">
        <v>818</v>
      </c>
      <c r="O566" s="202" t="s">
        <v>819</v>
      </c>
      <c r="P566" s="201" t="s">
        <v>820</v>
      </c>
      <c r="Q566" s="203" t="s">
        <v>847</v>
      </c>
      <c r="R566" s="201" t="s">
        <v>937</v>
      </c>
      <c r="S566" s="201" t="s">
        <v>848</v>
      </c>
      <c r="T566" s="205" t="s">
        <v>994</v>
      </c>
      <c r="U566" s="202" t="s">
        <v>250</v>
      </c>
      <c r="V566"/>
      <c r="W566"/>
      <c r="Y566"/>
      <c r="AB566"/>
    </row>
    <row r="567" spans="2:28" x14ac:dyDescent="0.25">
      <c r="B567" t="s">
        <v>753</v>
      </c>
      <c r="C567" s="1" t="s">
        <v>260</v>
      </c>
      <c r="D567" s="1" t="s">
        <v>586</v>
      </c>
      <c r="E567" s="4">
        <v>150000</v>
      </c>
      <c r="G567" t="str">
        <f t="shared" ref="G567:G573" si="114">+B567</f>
        <v>Estructura de entrepiso en madera</v>
      </c>
      <c r="H567" t="s">
        <v>938</v>
      </c>
      <c r="I567" s="1" t="str">
        <f t="shared" ref="I567:I573" si="115">+C567</f>
        <v>M2</v>
      </c>
      <c r="J567" s="1" t="s">
        <v>1090</v>
      </c>
      <c r="K567" s="1"/>
      <c r="L567"/>
      <c r="M567" s="4" t="e">
        <f t="shared" ref="M567:M574" si="116">+(U567/S567)/8</f>
        <v>#DIV/0!</v>
      </c>
      <c r="N567" s="31"/>
      <c r="O567" s="31"/>
      <c r="P567" t="s">
        <v>821</v>
      </c>
      <c r="Q567" s="190">
        <f>(SUMIFS('3. CD - Obra negra'!$O$4:$O$344,'3. CD - Obra negra'!$E$4:$E$344,G567))+(SUMIFS('4. CD - Obra gris'!$O$14:$O$74,'4. CD - Obra gris'!$E$14:$E$74,G567))+(SUMIFS('5, CD -Obra blanca'!$O$4:$O$151,'5, CD -Obra blanca'!$E$4:$E$151,G567))</f>
        <v>0</v>
      </c>
      <c r="R567">
        <v>12</v>
      </c>
      <c r="S567" s="42">
        <f t="shared" ref="S567:S574" si="117">+Q567/R567</f>
        <v>0</v>
      </c>
      <c r="T567" s="4">
        <f t="shared" ref="T567:T573" si="118">+E567</f>
        <v>150000</v>
      </c>
      <c r="U567" s="4">
        <f t="shared" ref="U567:U574" si="119">+T567*Q567</f>
        <v>0</v>
      </c>
      <c r="V567"/>
      <c r="W567"/>
      <c r="Y567"/>
      <c r="AB567"/>
    </row>
    <row r="568" spans="2:28" x14ac:dyDescent="0.25">
      <c r="B568" t="s">
        <v>754</v>
      </c>
      <c r="C568" s="1" t="s">
        <v>260</v>
      </c>
      <c r="D568" s="1" t="s">
        <v>586</v>
      </c>
      <c r="E568" s="4">
        <v>150000</v>
      </c>
      <c r="G568" t="str">
        <f t="shared" si="114"/>
        <v>Estructura de cubierta en madera</v>
      </c>
      <c r="H568" t="s">
        <v>938</v>
      </c>
      <c r="I568" s="1" t="str">
        <f t="shared" si="115"/>
        <v>M2</v>
      </c>
      <c r="J568" s="1" t="s">
        <v>1091</v>
      </c>
      <c r="K568" s="1"/>
      <c r="L568"/>
      <c r="M568" s="4" t="e">
        <f t="shared" si="116"/>
        <v>#DIV/0!</v>
      </c>
      <c r="N568" s="31"/>
      <c r="O568" s="31"/>
      <c r="P568" t="s">
        <v>821</v>
      </c>
      <c r="Q568" s="190">
        <f>(SUMIFS('3. CD - Obra negra'!$O$4:$O$344,'3. CD - Obra negra'!$E$4:$E$344,G568))+(SUMIFS('4. CD - Obra gris'!$O$14:$O$74,'4. CD - Obra gris'!$E$14:$E$74,G568))+(SUMIFS('5, CD -Obra blanca'!$O$4:$O$151,'5, CD -Obra blanca'!$E$4:$E$151,G568))</f>
        <v>0</v>
      </c>
      <c r="R568">
        <v>12</v>
      </c>
      <c r="S568" s="42">
        <f t="shared" si="117"/>
        <v>0</v>
      </c>
      <c r="T568" s="4">
        <f t="shared" si="118"/>
        <v>150000</v>
      </c>
      <c r="U568" s="4">
        <f t="shared" si="119"/>
        <v>0</v>
      </c>
      <c r="V568"/>
      <c r="W568"/>
      <c r="Y568"/>
      <c r="AB568"/>
    </row>
    <row r="569" spans="2:28" x14ac:dyDescent="0.25">
      <c r="B569" t="s">
        <v>756</v>
      </c>
      <c r="C569" s="1" t="s">
        <v>260</v>
      </c>
      <c r="D569" s="1" t="s">
        <v>586</v>
      </c>
      <c r="E569" s="4">
        <v>60000</v>
      </c>
      <c r="G569" t="str">
        <f t="shared" si="114"/>
        <v>Estructura muro en madera</v>
      </c>
      <c r="H569" t="s">
        <v>938</v>
      </c>
      <c r="I569" s="1" t="str">
        <f t="shared" si="115"/>
        <v>M2</v>
      </c>
      <c r="J569" s="1" t="s">
        <v>999</v>
      </c>
      <c r="K569" s="1"/>
      <c r="L569"/>
      <c r="M569" s="4" t="e">
        <f t="shared" si="116"/>
        <v>#DIV/0!</v>
      </c>
      <c r="N569" s="31"/>
      <c r="O569" s="31"/>
      <c r="P569" t="s">
        <v>821</v>
      </c>
      <c r="Q569" s="190">
        <f>(SUMIFS('3. CD - Obra negra'!$O$4:$O$344,'3. CD - Obra negra'!$E$4:$E$344,G569))+(SUMIFS('4. CD - Obra gris'!$O$14:$O$74,'4. CD - Obra gris'!$E$14:$E$74,G569))+(SUMIFS('5, CD -Obra blanca'!$O$4:$O$151,'5, CD -Obra blanca'!$E$4:$E$151,G569))</f>
        <v>0</v>
      </c>
      <c r="R569">
        <v>20</v>
      </c>
      <c r="S569" s="42">
        <f t="shared" si="117"/>
        <v>0</v>
      </c>
      <c r="T569" s="4">
        <f t="shared" si="118"/>
        <v>60000</v>
      </c>
      <c r="U569" s="4">
        <f t="shared" si="119"/>
        <v>0</v>
      </c>
      <c r="V569"/>
      <c r="W569"/>
      <c r="Y569"/>
      <c r="AB569"/>
    </row>
    <row r="570" spans="2:28" x14ac:dyDescent="0.25">
      <c r="B570" t="s">
        <v>757</v>
      </c>
      <c r="C570" s="1" t="s">
        <v>260</v>
      </c>
      <c r="D570" s="1" t="s">
        <v>586</v>
      </c>
      <c r="E570" s="4">
        <v>60000</v>
      </c>
      <c r="G570" t="str">
        <f t="shared" si="114"/>
        <v>Piso en madera</v>
      </c>
      <c r="H570" t="s">
        <v>938</v>
      </c>
      <c r="I570" s="1" t="str">
        <f t="shared" si="115"/>
        <v>M2</v>
      </c>
      <c r="J570" s="1" t="s">
        <v>1092</v>
      </c>
      <c r="K570" s="1"/>
      <c r="L570"/>
      <c r="M570" s="4">
        <f t="shared" si="116"/>
        <v>75000.000000000015</v>
      </c>
      <c r="N570" s="31"/>
      <c r="O570" s="31"/>
      <c r="P570" t="s">
        <v>821</v>
      </c>
      <c r="Q570" s="190">
        <f>(SUMIFS('3. CD - Obra negra'!$O$4:$O$344,'3. CD - Obra negra'!$E$4:$E$344,G570))+(SUMIFS('4. CD - Obra gris'!$O$14:$O$74,'4. CD - Obra gris'!$E$14:$E$74,G570))+(SUMIFS('5, CD -Obra blanca'!$O$4:$O$151,'5, CD -Obra blanca'!$E$4:$E$151,G570))</f>
        <v>147.54000000000002</v>
      </c>
      <c r="R570">
        <v>10</v>
      </c>
      <c r="S570" s="42">
        <f t="shared" si="117"/>
        <v>14.754000000000001</v>
      </c>
      <c r="T570" s="4">
        <f t="shared" si="118"/>
        <v>60000</v>
      </c>
      <c r="U570" s="4">
        <f t="shared" si="119"/>
        <v>8852400.0000000019</v>
      </c>
      <c r="V570"/>
      <c r="W570"/>
      <c r="Y570"/>
      <c r="AB570"/>
    </row>
    <row r="571" spans="2:28" x14ac:dyDescent="0.25">
      <c r="B571" t="s">
        <v>1328</v>
      </c>
      <c r="C571" s="1" t="s">
        <v>260</v>
      </c>
      <c r="D571" s="1" t="s">
        <v>586</v>
      </c>
      <c r="E571" s="4">
        <v>2000</v>
      </c>
      <c r="G571" t="str">
        <f t="shared" si="114"/>
        <v>Montaje de vigas en platinas</v>
      </c>
      <c r="H571" t="s">
        <v>938</v>
      </c>
      <c r="I571" s="1" t="str">
        <f t="shared" si="115"/>
        <v>M2</v>
      </c>
      <c r="J571" s="1" t="s">
        <v>1275</v>
      </c>
      <c r="K571" s="1"/>
      <c r="L571"/>
      <c r="M571" s="4" t="e">
        <f t="shared" si="116"/>
        <v>#DIV/0!</v>
      </c>
      <c r="N571" s="31"/>
      <c r="O571" s="31"/>
      <c r="P571" t="s">
        <v>821</v>
      </c>
      <c r="Q571" s="190">
        <f>(SUMIFS('3. CD - Obra negra'!$O$4:$O$344,'3. CD - Obra negra'!$E$4:$E$344,G571))+(SUMIFS('4. CD - Obra gris'!$O$14:$O$74,'4. CD - Obra gris'!$E$14:$E$74,G571))+(SUMIFS('5, CD -Obra blanca'!$O$4:$O$151,'5, CD -Obra blanca'!$E$4:$E$151,G571))</f>
        <v>0</v>
      </c>
      <c r="R571">
        <v>10</v>
      </c>
      <c r="S571" s="42">
        <f t="shared" si="117"/>
        <v>0</v>
      </c>
      <c r="T571" s="4">
        <f t="shared" si="118"/>
        <v>2000</v>
      </c>
      <c r="U571" s="4">
        <f t="shared" si="119"/>
        <v>0</v>
      </c>
      <c r="V571"/>
      <c r="W571"/>
      <c r="Y571"/>
      <c r="AB571"/>
    </row>
    <row r="572" spans="2:28" x14ac:dyDescent="0.25">
      <c r="B572" t="s">
        <v>758</v>
      </c>
      <c r="C572" s="1" t="s">
        <v>260</v>
      </c>
      <c r="D572" s="1" t="s">
        <v>586</v>
      </c>
      <c r="E572" s="4">
        <v>60000</v>
      </c>
      <c r="G572" t="str">
        <f t="shared" si="114"/>
        <v>Mobiliario en madera</v>
      </c>
      <c r="H572" t="s">
        <v>938</v>
      </c>
      <c r="I572" s="1" t="str">
        <f t="shared" si="115"/>
        <v>M2</v>
      </c>
      <c r="J572" s="1" t="s">
        <v>1093</v>
      </c>
      <c r="K572" s="1"/>
      <c r="L572"/>
      <c r="M572" s="4">
        <f t="shared" si="116"/>
        <v>22500</v>
      </c>
      <c r="N572" s="31"/>
      <c r="O572" s="31"/>
      <c r="P572" t="s">
        <v>821</v>
      </c>
      <c r="Q572" s="190">
        <f>(SUMIFS('3. CD - Obra negra'!$O$4:$O$344,'3. CD - Obra negra'!$E$4:$E$344,G572))+(SUMIFS('4. CD - Obra gris'!$O$14:$O$74,'4. CD - Obra gris'!$E$14:$E$74,G572))+(SUMIFS('5, CD -Obra blanca'!$O$4:$O$151,'5, CD -Obra blanca'!$E$4:$E$151,G572))</f>
        <v>7.28</v>
      </c>
      <c r="R572">
        <v>3</v>
      </c>
      <c r="S572" s="42">
        <f t="shared" si="117"/>
        <v>2.4266666666666667</v>
      </c>
      <c r="T572" s="4">
        <f t="shared" si="118"/>
        <v>60000</v>
      </c>
      <c r="U572" s="4">
        <f t="shared" si="119"/>
        <v>436800</v>
      </c>
      <c r="V572"/>
      <c r="W572"/>
      <c r="Y572"/>
      <c r="AB572"/>
    </row>
    <row r="573" spans="2:28" x14ac:dyDescent="0.25">
      <c r="B573" t="s">
        <v>1672</v>
      </c>
      <c r="C573" s="1" t="s">
        <v>260</v>
      </c>
      <c r="D573" s="1" t="s">
        <v>586</v>
      </c>
      <c r="E573" s="4">
        <v>5000</v>
      </c>
      <c r="G573" t="str">
        <f t="shared" si="114"/>
        <v>Instalación panel OSB</v>
      </c>
      <c r="H573" t="s">
        <v>938</v>
      </c>
      <c r="I573" s="1" t="str">
        <f t="shared" si="115"/>
        <v>M2</v>
      </c>
      <c r="J573" s="1" t="s">
        <v>1675</v>
      </c>
      <c r="K573" s="1"/>
      <c r="L573"/>
      <c r="M573" s="4" t="e">
        <f t="shared" si="116"/>
        <v>#DIV/0!</v>
      </c>
      <c r="N573" s="31"/>
      <c r="O573" s="31"/>
      <c r="P573" t="s">
        <v>821</v>
      </c>
      <c r="Q573" s="190">
        <f>(SUMIFS('3. CD - Obra negra'!$O$4:$O$344,'3. CD - Obra negra'!$E$4:$E$344,G573))+(SUMIFS('4. CD - Obra gris'!$O$14:$O$74,'4. CD - Obra gris'!$E$14:$E$74,G573))+(SUMIFS('5, CD -Obra blanca'!$O$4:$O$151,'5, CD -Obra blanca'!$E$4:$E$151,G573))</f>
        <v>0</v>
      </c>
      <c r="R573">
        <v>3</v>
      </c>
      <c r="S573" s="42">
        <f t="shared" si="117"/>
        <v>0</v>
      </c>
      <c r="T573" s="4">
        <f t="shared" si="118"/>
        <v>5000</v>
      </c>
      <c r="U573" s="4">
        <f t="shared" si="119"/>
        <v>0</v>
      </c>
      <c r="V573"/>
      <c r="W573"/>
      <c r="Y573"/>
      <c r="AB573"/>
    </row>
    <row r="574" spans="2:28" x14ac:dyDescent="0.25">
      <c r="B574" t="s">
        <v>1757</v>
      </c>
      <c r="C574" s="1" t="s">
        <v>260</v>
      </c>
      <c r="D574" s="1" t="s">
        <v>586</v>
      </c>
      <c r="E574" s="4">
        <v>15000</v>
      </c>
      <c r="G574" t="str">
        <f>+B574</f>
        <v>Celosía en madera</v>
      </c>
      <c r="H574" t="s">
        <v>938</v>
      </c>
      <c r="I574" s="1" t="str">
        <f>+C574</f>
        <v>M2</v>
      </c>
      <c r="J574" s="1" t="s">
        <v>846</v>
      </c>
      <c r="K574" s="1"/>
      <c r="L574"/>
      <c r="M574" s="4">
        <f t="shared" si="116"/>
        <v>5625</v>
      </c>
      <c r="N574" s="31"/>
      <c r="O574" s="31"/>
      <c r="P574" t="s">
        <v>821</v>
      </c>
      <c r="Q574" s="190">
        <f>(SUMIFS('3. CD - Obra negra'!$O$4:$O$344,'3. CD - Obra negra'!$E$4:$E$344,G574))+(SUMIFS('4. CD - Obra gris'!$O$14:$O$74,'4. CD - Obra gris'!$E$14:$E$74,G574))+(SUMIFS('5, CD -Obra blanca'!$O$4:$O$151,'5, CD -Obra blanca'!$E$4:$E$151,G574))</f>
        <v>18.12</v>
      </c>
      <c r="R574">
        <v>3</v>
      </c>
      <c r="S574" s="42">
        <f t="shared" si="117"/>
        <v>6.04</v>
      </c>
      <c r="T574" s="4">
        <f>+E574</f>
        <v>15000</v>
      </c>
      <c r="U574" s="4">
        <f t="shared" si="119"/>
        <v>271800</v>
      </c>
      <c r="V574"/>
      <c r="W574"/>
      <c r="Y574"/>
      <c r="AB574"/>
    </row>
    <row r="575" spans="2:28" x14ac:dyDescent="0.25">
      <c r="G575" s="299" t="s">
        <v>759</v>
      </c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t="s">
        <v>848</v>
      </c>
      <c r="S575" s="198">
        <f>+SUM(S577:S578)</f>
        <v>0.48533333333333334</v>
      </c>
      <c r="T575" t="s">
        <v>250</v>
      </c>
      <c r="U575" s="4">
        <f>+SUM(U577:U578)</f>
        <v>364000</v>
      </c>
      <c r="V575"/>
      <c r="W575"/>
      <c r="Y575"/>
      <c r="AB575"/>
    </row>
    <row r="576" spans="2:28" x14ac:dyDescent="0.25">
      <c r="B576" s="299" t="s">
        <v>759</v>
      </c>
      <c r="C576" s="299"/>
      <c r="D576" s="299"/>
      <c r="E576" s="299"/>
      <c r="G576" s="201" t="s">
        <v>798</v>
      </c>
      <c r="H576" s="201" t="s">
        <v>799</v>
      </c>
      <c r="I576" s="201" t="s">
        <v>800</v>
      </c>
      <c r="J576" s="201" t="s">
        <v>815</v>
      </c>
      <c r="K576" s="201"/>
      <c r="L576" s="201" t="s">
        <v>816</v>
      </c>
      <c r="M576" s="202" t="s">
        <v>817</v>
      </c>
      <c r="N576" s="202" t="s">
        <v>818</v>
      </c>
      <c r="O576" s="202" t="s">
        <v>819</v>
      </c>
      <c r="P576" s="201" t="s">
        <v>820</v>
      </c>
      <c r="Q576" s="203" t="s">
        <v>847</v>
      </c>
      <c r="R576" s="201" t="s">
        <v>937</v>
      </c>
      <c r="S576" s="201" t="s">
        <v>848</v>
      </c>
      <c r="T576" s="205" t="s">
        <v>994</v>
      </c>
      <c r="U576" s="202" t="s">
        <v>250</v>
      </c>
      <c r="V576"/>
      <c r="W576"/>
      <c r="Y576"/>
      <c r="AB576"/>
    </row>
    <row r="577" spans="2:28" x14ac:dyDescent="0.25">
      <c r="B577" t="s">
        <v>246</v>
      </c>
      <c r="C577" s="1" t="s">
        <v>248</v>
      </c>
      <c r="D577" s="1" t="s">
        <v>261</v>
      </c>
      <c r="E577" s="4" t="s">
        <v>249</v>
      </c>
      <c r="G577" t="str">
        <f>+B578</f>
        <v>Estructura de entrepiso en acero</v>
      </c>
      <c r="H577" t="s">
        <v>938</v>
      </c>
      <c r="I577" s="1" t="str">
        <f>+C578</f>
        <v>M2</v>
      </c>
      <c r="J577" s="1" t="s">
        <v>1094</v>
      </c>
      <c r="K577" s="1"/>
      <c r="L577"/>
      <c r="M577" s="4">
        <f>+(U577/S577)/8</f>
        <v>93750</v>
      </c>
      <c r="N577" s="31"/>
      <c r="O577" s="31"/>
      <c r="P577" t="s">
        <v>821</v>
      </c>
      <c r="Q577" s="190">
        <f>(SUMIFS('3. CD - Obra negra'!$O$4:$O$344,'3. CD - Obra negra'!$E$4:$E$344,G577))+(SUMIFS('4. CD - Obra gris'!$O$14:$O$74,'4. CD - Obra gris'!$E$14:$E$74,G577))+(SUMIFS('5, CD -Obra blanca'!$O$4:$O$151,'5, CD -Obra blanca'!$E$4:$E$151,G577))</f>
        <v>7.28</v>
      </c>
      <c r="R577">
        <v>15</v>
      </c>
      <c r="S577" s="42">
        <f>+Q577/R577</f>
        <v>0.48533333333333334</v>
      </c>
      <c r="T577" s="4">
        <f>+E578</f>
        <v>50000</v>
      </c>
      <c r="U577" s="4">
        <f>+T577*Q577</f>
        <v>364000</v>
      </c>
      <c r="V577"/>
      <c r="W577"/>
      <c r="Y577"/>
      <c r="AB577"/>
    </row>
    <row r="578" spans="2:28" x14ac:dyDescent="0.25">
      <c r="B578" t="s">
        <v>761</v>
      </c>
      <c r="C578" s="1" t="s">
        <v>260</v>
      </c>
      <c r="D578" s="1" t="s">
        <v>760</v>
      </c>
      <c r="E578" s="4">
        <v>50000</v>
      </c>
      <c r="G578" t="str">
        <f>+B579</f>
        <v>Estructura de cubierta en acero</v>
      </c>
      <c r="H578" t="s">
        <v>938</v>
      </c>
      <c r="I578" s="1" t="str">
        <f>+C579</f>
        <v>M2</v>
      </c>
      <c r="J578" s="1" t="s">
        <v>1095</v>
      </c>
      <c r="K578" s="1"/>
      <c r="L578"/>
      <c r="M578" s="4" t="e">
        <f>+(U578/S578)/8</f>
        <v>#DIV/0!</v>
      </c>
      <c r="N578" s="31"/>
      <c r="O578" s="31"/>
      <c r="P578" t="s">
        <v>821</v>
      </c>
      <c r="Q578" s="190">
        <f>(SUMIFS('3. CD - Obra negra'!$O$4:$O$344,'3. CD - Obra negra'!$E$4:$E$344,G578))+(SUMIFS('4. CD - Obra gris'!$O$14:$O$74,'4. CD - Obra gris'!$E$14:$E$74,G578))+(SUMIFS('5, CD -Obra blanca'!$O$4:$O$151,'5, CD -Obra blanca'!$E$4:$E$151,G578))</f>
        <v>0</v>
      </c>
      <c r="R578">
        <v>15</v>
      </c>
      <c r="S578" s="42">
        <f>+Q578/R578</f>
        <v>0</v>
      </c>
      <c r="T578" s="4">
        <f>+E579</f>
        <v>50000</v>
      </c>
      <c r="U578" s="4">
        <f>+T578*Q578</f>
        <v>0</v>
      </c>
      <c r="V578"/>
      <c r="W578"/>
      <c r="Y578"/>
      <c r="AB578"/>
    </row>
    <row r="579" spans="2:28" x14ac:dyDescent="0.25">
      <c r="B579" t="s">
        <v>762</v>
      </c>
      <c r="C579" s="1" t="s">
        <v>260</v>
      </c>
      <c r="D579" s="1" t="s">
        <v>760</v>
      </c>
      <c r="E579" s="4">
        <v>50000</v>
      </c>
      <c r="I579" s="1"/>
      <c r="L579"/>
      <c r="M579" s="4"/>
      <c r="N579" s="31"/>
      <c r="O579" s="31"/>
      <c r="R579"/>
      <c r="T579" s="4"/>
      <c r="V579"/>
      <c r="W579"/>
      <c r="Y579"/>
      <c r="AB579"/>
    </row>
    <row r="580" spans="2:28" x14ac:dyDescent="0.25">
      <c r="G580" s="299" t="s">
        <v>14</v>
      </c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  <c r="R580" t="s">
        <v>848</v>
      </c>
      <c r="S580" s="198">
        <f>+SUM(S582:S616)</f>
        <v>245.54113333333333</v>
      </c>
      <c r="T580" t="s">
        <v>250</v>
      </c>
      <c r="U580" s="4">
        <f>+SUM(U582:U615)</f>
        <v>57878370</v>
      </c>
      <c r="V580"/>
      <c r="W580"/>
      <c r="Y580"/>
      <c r="AB580"/>
    </row>
    <row r="581" spans="2:28" x14ac:dyDescent="0.25">
      <c r="B581" s="299" t="s">
        <v>14</v>
      </c>
      <c r="C581" s="299"/>
      <c r="D581" s="299"/>
      <c r="E581" s="299"/>
      <c r="G581" s="201" t="s">
        <v>798</v>
      </c>
      <c r="H581" s="201" t="s">
        <v>799</v>
      </c>
      <c r="I581" s="201" t="s">
        <v>800</v>
      </c>
      <c r="J581" s="201" t="s">
        <v>815</v>
      </c>
      <c r="K581" s="201" t="s">
        <v>816</v>
      </c>
      <c r="L581" s="201" t="s">
        <v>1124</v>
      </c>
      <c r="M581" s="202" t="s">
        <v>817</v>
      </c>
      <c r="N581" s="202" t="s">
        <v>818</v>
      </c>
      <c r="O581" s="202" t="s">
        <v>819</v>
      </c>
      <c r="P581" s="201" t="s">
        <v>820</v>
      </c>
      <c r="Q581" s="203" t="s">
        <v>847</v>
      </c>
      <c r="R581" s="201" t="s">
        <v>937</v>
      </c>
      <c r="S581" s="201" t="s">
        <v>848</v>
      </c>
      <c r="T581" s="205" t="s">
        <v>994</v>
      </c>
      <c r="U581" s="202" t="s">
        <v>250</v>
      </c>
      <c r="V581"/>
      <c r="W581"/>
      <c r="Y581"/>
      <c r="AB581"/>
    </row>
    <row r="582" spans="2:28" x14ac:dyDescent="0.25">
      <c r="B582" t="s">
        <v>246</v>
      </c>
      <c r="C582" s="1" t="s">
        <v>248</v>
      </c>
      <c r="D582" s="1" t="s">
        <v>261</v>
      </c>
      <c r="E582" s="4" t="s">
        <v>249</v>
      </c>
      <c r="G582" t="str">
        <f t="shared" ref="G582:G612" si="120">+B583</f>
        <v>Pintura 3 manos</v>
      </c>
      <c r="H582" t="s">
        <v>938</v>
      </c>
      <c r="I582" s="1" t="str">
        <f t="shared" ref="I582:I612" si="121">+C583</f>
        <v>M2</v>
      </c>
      <c r="J582" s="1" t="s">
        <v>1096</v>
      </c>
      <c r="K582" s="1"/>
      <c r="L582"/>
      <c r="M582" s="4">
        <f>+(U582/S582)/8</f>
        <v>20000.000000000004</v>
      </c>
      <c r="N582" s="31"/>
      <c r="O582" s="31"/>
      <c r="P582" t="s">
        <v>821</v>
      </c>
      <c r="Q582" s="190">
        <f>(SUMIFS('3. CD - Obra negra'!$O$4:$O$344,'3. CD - Obra negra'!$E$4:$E$344,G582))+(SUMIFS('4. CD - Obra gris'!$O$14:$O$74,'4. CD - Obra gris'!$E$14:$E$74,G582))+(SUMIFS('5, CD -Obra blanca'!$O$4:$O$151,'5, CD -Obra blanca'!$E$4:$E$151,G582))</f>
        <v>466.28000000000003</v>
      </c>
      <c r="R582">
        <v>20</v>
      </c>
      <c r="S582" s="42">
        <f>+Q582/R582</f>
        <v>23.314</v>
      </c>
      <c r="T582" s="4">
        <f t="shared" ref="T582:T612" si="122">+E583</f>
        <v>8000</v>
      </c>
      <c r="U582" s="4">
        <f>+T582*Q582</f>
        <v>3730240.0000000005</v>
      </c>
      <c r="V582"/>
      <c r="W582"/>
      <c r="Y582"/>
      <c r="AB582"/>
    </row>
    <row r="583" spans="2:28" x14ac:dyDescent="0.25">
      <c r="B583" t="s">
        <v>562</v>
      </c>
      <c r="C583" s="1" t="s">
        <v>260</v>
      </c>
      <c r="D583" s="1" t="s">
        <v>14</v>
      </c>
      <c r="E583" s="4">
        <v>8000</v>
      </c>
      <c r="G583" t="str">
        <f t="shared" si="120"/>
        <v>Revoque ecológico</v>
      </c>
      <c r="H583" t="s">
        <v>938</v>
      </c>
      <c r="I583" s="1" t="str">
        <f t="shared" si="121"/>
        <v>M2</v>
      </c>
      <c r="J583" s="1" t="s">
        <v>1097</v>
      </c>
      <c r="K583" s="1"/>
      <c r="L583"/>
      <c r="M583" s="4">
        <f t="shared" ref="M583:M612" si="123">+(U583/S583)/8</f>
        <v>25000.000000000004</v>
      </c>
      <c r="N583" s="31"/>
      <c r="O583" s="31"/>
      <c r="P583" t="s">
        <v>821</v>
      </c>
      <c r="Q583" s="190">
        <f>(SUMIFS('3. CD - Obra negra'!$O$4:$O$344,'3. CD - Obra negra'!$E$4:$E$344,G583))+(SUMIFS('4. CD - Obra gris'!$O$14:$O$74,'4. CD - Obra gris'!$E$14:$E$74,G583))+(SUMIFS('5, CD -Obra blanca'!$O$4:$O$151,'5, CD -Obra blanca'!$E$4:$E$151,G583))</f>
        <v>412.71000000000004</v>
      </c>
      <c r="R583">
        <v>10</v>
      </c>
      <c r="S583" s="42">
        <f>+Q583/R583</f>
        <v>41.271000000000001</v>
      </c>
      <c r="T583" s="4">
        <f t="shared" si="122"/>
        <v>20000</v>
      </c>
      <c r="U583" s="4">
        <f t="shared" ref="U583:U612" si="124">+T583*Q583</f>
        <v>8254200.0000000009</v>
      </c>
      <c r="V583"/>
      <c r="W583"/>
      <c r="Y583"/>
      <c r="AB583"/>
    </row>
    <row r="584" spans="2:28" x14ac:dyDescent="0.25">
      <c r="B584" t="s">
        <v>763</v>
      </c>
      <c r="C584" s="1" t="s">
        <v>260</v>
      </c>
      <c r="D584" s="1" t="s">
        <v>14</v>
      </c>
      <c r="E584" s="274">
        <f>12000+8000</f>
        <v>20000</v>
      </c>
      <c r="G584" t="str">
        <f t="shared" si="120"/>
        <v>Revoque tradicional</v>
      </c>
      <c r="H584" t="s">
        <v>938</v>
      </c>
      <c r="I584" s="1" t="str">
        <f t="shared" si="121"/>
        <v>M2</v>
      </c>
      <c r="J584" s="1" t="s">
        <v>1098</v>
      </c>
      <c r="K584" s="1"/>
      <c r="L584"/>
      <c r="M584" s="4">
        <f t="shared" si="123"/>
        <v>19499.999999999996</v>
      </c>
      <c r="N584" s="31"/>
      <c r="O584" s="31"/>
      <c r="P584" t="s">
        <v>821</v>
      </c>
      <c r="Q584" s="190">
        <f>(SUMIFS('3. CD - Obra negra'!$O$4:$O$344,'3. CD - Obra negra'!$E$4:$E$344,G584))+(SUMIFS('4. CD - Obra gris'!$O$14:$O$74,'4. CD - Obra gris'!$E$14:$E$74,G584))+(SUMIFS('5, CD -Obra blanca'!$O$4:$O$151,'5, CD -Obra blanca'!$E$4:$E$151,G584))</f>
        <v>227.55</v>
      </c>
      <c r="R584">
        <v>12</v>
      </c>
      <c r="S584" s="42">
        <f t="shared" ref="S584:S612" si="125">+Q584/R584</f>
        <v>18.962500000000002</v>
      </c>
      <c r="T584" s="4">
        <f t="shared" si="122"/>
        <v>13000</v>
      </c>
      <c r="U584" s="4">
        <f t="shared" si="124"/>
        <v>2958150</v>
      </c>
      <c r="V584"/>
      <c r="W584"/>
      <c r="Y584"/>
      <c r="AB584"/>
    </row>
    <row r="585" spans="2:28" x14ac:dyDescent="0.25">
      <c r="B585" t="s">
        <v>764</v>
      </c>
      <c r="C585" s="1" t="s">
        <v>260</v>
      </c>
      <c r="D585" s="1" t="s">
        <v>14</v>
      </c>
      <c r="E585" s="274">
        <f>10000+3000</f>
        <v>13000</v>
      </c>
      <c r="G585" t="str">
        <f>+B587</f>
        <v>Enchapes</v>
      </c>
      <c r="H585" t="s">
        <v>938</v>
      </c>
      <c r="I585" s="1" t="str">
        <f>+C587</f>
        <v>M2</v>
      </c>
      <c r="J585" s="1" t="s">
        <v>1099</v>
      </c>
      <c r="K585" s="1"/>
      <c r="L585"/>
      <c r="M585" s="4">
        <f t="shared" si="123"/>
        <v>31250</v>
      </c>
      <c r="N585" s="31"/>
      <c r="O585" s="31"/>
      <c r="P585" t="s">
        <v>821</v>
      </c>
      <c r="Q585" s="190">
        <f>(SUMIFS('3. CD - Obra negra'!$O$4:$O$344,'3. CD - Obra negra'!$E$4:$E$344,G585))+(SUMIFS('4. CD - Obra gris'!$O$14:$O$74,'4. CD - Obra gris'!$E$14:$E$74,G585))+(SUMIFS('5, CD -Obra blanca'!$O$4:$O$151,'5, CD -Obra blanca'!$E$4:$E$151,G585))</f>
        <v>40.53</v>
      </c>
      <c r="R585">
        <v>10</v>
      </c>
      <c r="S585" s="42">
        <f t="shared" si="125"/>
        <v>4.0529999999999999</v>
      </c>
      <c r="T585" s="4">
        <f>+E587</f>
        <v>25000</v>
      </c>
      <c r="U585" s="4">
        <f t="shared" si="124"/>
        <v>1013250</v>
      </c>
      <c r="V585"/>
      <c r="W585"/>
      <c r="Y585"/>
      <c r="AB585"/>
    </row>
    <row r="586" spans="2:28" x14ac:dyDescent="0.25">
      <c r="B586" t="s">
        <v>1735</v>
      </c>
      <c r="C586" s="1" t="s">
        <v>260</v>
      </c>
      <c r="D586" s="1" t="s">
        <v>14</v>
      </c>
      <c r="E586" s="4">
        <v>5000</v>
      </c>
      <c r="G586" t="str">
        <f>+B587</f>
        <v>Enchapes</v>
      </c>
      <c r="H586" t="s">
        <v>938</v>
      </c>
      <c r="I586" s="1" t="str">
        <f>+C587</f>
        <v>M2</v>
      </c>
      <c r="J586" s="1" t="s">
        <v>1736</v>
      </c>
      <c r="K586" s="1"/>
      <c r="L586"/>
      <c r="M586" s="4">
        <f>+(U586/S586)/8</f>
        <v>37500</v>
      </c>
      <c r="N586" s="31"/>
      <c r="O586" s="31"/>
      <c r="P586" t="s">
        <v>821</v>
      </c>
      <c r="Q586" s="190">
        <f>(SUMIFS('3. CD - Obra negra'!$O$4:$O$344,'3. CD - Obra negra'!$E$4:$E$344,G586))+(SUMIFS('4. CD - Obra gris'!$O$14:$O$74,'4. CD - Obra gris'!$E$14:$E$74,G586))+(SUMIFS('5, CD -Obra blanca'!$O$4:$O$151,'5, CD -Obra blanca'!$E$4:$E$151,G586))</f>
        <v>40.53</v>
      </c>
      <c r="R586">
        <v>12</v>
      </c>
      <c r="S586" s="42">
        <f>+Q586/R586</f>
        <v>3.3774999999999999</v>
      </c>
      <c r="T586" s="4">
        <f>+E587</f>
        <v>25000</v>
      </c>
      <c r="U586" s="4">
        <f>+T586*Q586</f>
        <v>1013250</v>
      </c>
      <c r="V586"/>
      <c r="W586"/>
      <c r="Y586"/>
      <c r="AB586"/>
    </row>
    <row r="587" spans="2:28" x14ac:dyDescent="0.25">
      <c r="B587" t="s">
        <v>783</v>
      </c>
      <c r="C587" s="1" t="s">
        <v>260</v>
      </c>
      <c r="D587" s="1" t="s">
        <v>14</v>
      </c>
      <c r="E587" s="4">
        <v>25000</v>
      </c>
      <c r="G587" t="str">
        <f t="shared" si="120"/>
        <v>Mamposteria</v>
      </c>
      <c r="H587" t="s">
        <v>938</v>
      </c>
      <c r="I587" s="1" t="str">
        <f t="shared" si="121"/>
        <v>M2</v>
      </c>
      <c r="J587" s="1" t="s">
        <v>806</v>
      </c>
      <c r="K587" s="1"/>
      <c r="L587"/>
      <c r="M587" s="4">
        <f t="shared" si="123"/>
        <v>45000</v>
      </c>
      <c r="N587" s="31"/>
      <c r="O587" s="31"/>
      <c r="P587" t="s">
        <v>821</v>
      </c>
      <c r="Q587" s="190">
        <f>(SUMIFS('3. CD - Obra negra'!$O$4:$O$344,'3. CD - Obra negra'!$E$4:$E$344,G587))+(SUMIFS('4. CD - Obra gris'!$O$14:$O$74,'4. CD - Obra gris'!$E$14:$E$74,G587))+(SUMIFS('5, CD -Obra blanca'!$O$4:$O$151,'5, CD -Obra blanca'!$E$4:$E$151,G587))</f>
        <v>34</v>
      </c>
      <c r="R587">
        <v>12</v>
      </c>
      <c r="S587" s="42">
        <f t="shared" si="125"/>
        <v>2.8333333333333335</v>
      </c>
      <c r="T587" s="4">
        <f t="shared" si="122"/>
        <v>30000</v>
      </c>
      <c r="U587" s="4">
        <f t="shared" si="124"/>
        <v>1020000</v>
      </c>
      <c r="V587"/>
      <c r="W587"/>
      <c r="Y587"/>
      <c r="AB587"/>
    </row>
    <row r="588" spans="2:28" x14ac:dyDescent="0.25">
      <c r="B588" t="s">
        <v>780</v>
      </c>
      <c r="C588" s="1" t="s">
        <v>260</v>
      </c>
      <c r="D588" s="1" t="s">
        <v>14</v>
      </c>
      <c r="E588" s="4">
        <v>30000</v>
      </c>
      <c r="G588" t="str">
        <f t="shared" si="120"/>
        <v>Afinado losa</v>
      </c>
      <c r="H588" t="s">
        <v>938</v>
      </c>
      <c r="I588" s="1" t="str">
        <f t="shared" si="121"/>
        <v>M2</v>
      </c>
      <c r="J588" s="1" t="s">
        <v>1371</v>
      </c>
      <c r="K588" s="1"/>
      <c r="L588"/>
      <c r="M588" s="4">
        <f t="shared" si="123"/>
        <v>18000</v>
      </c>
      <c r="N588" s="31"/>
      <c r="O588" s="31"/>
      <c r="P588" t="s">
        <v>821</v>
      </c>
      <c r="Q588" s="190">
        <f>(SUMIFS('3. CD - Obra negra'!$O$4:$O$344,'3. CD - Obra negra'!$E$4:$E$344,G588))+(SUMIFS('4. CD - Obra gris'!$O$14:$O$74,'4. CD - Obra gris'!$E$14:$E$74,G588))+(SUMIFS('5, CD -Obra blanca'!$O$4:$O$151,'5, CD -Obra blanca'!$E$4:$E$151,G588))</f>
        <v>25.689999999999998</v>
      </c>
      <c r="R588">
        <v>12</v>
      </c>
      <c r="S588" s="42">
        <f t="shared" si="125"/>
        <v>2.1408333333333331</v>
      </c>
      <c r="T588" s="4">
        <f t="shared" si="122"/>
        <v>12000</v>
      </c>
      <c r="U588" s="4">
        <f t="shared" si="124"/>
        <v>308280</v>
      </c>
      <c r="V588"/>
      <c r="W588"/>
      <c r="Y588"/>
      <c r="AB588"/>
    </row>
    <row r="589" spans="2:28" x14ac:dyDescent="0.25">
      <c r="B589" t="s">
        <v>1370</v>
      </c>
      <c r="C589" s="1" t="s">
        <v>260</v>
      </c>
      <c r="D589" s="1" t="s">
        <v>14</v>
      </c>
      <c r="E589" s="4">
        <v>12000</v>
      </c>
      <c r="G589" t="str">
        <f t="shared" si="120"/>
        <v>Afinado esmaltado losa</v>
      </c>
      <c r="H589" t="s">
        <v>938</v>
      </c>
      <c r="I589" s="1" t="str">
        <f t="shared" si="121"/>
        <v>M2</v>
      </c>
      <c r="J589" s="1" t="s">
        <v>1361</v>
      </c>
      <c r="K589" s="1"/>
      <c r="L589"/>
      <c r="M589" s="4">
        <f>+(U589/S589)/8</f>
        <v>22500</v>
      </c>
      <c r="N589" s="31"/>
      <c r="O589" s="31"/>
      <c r="P589" t="s">
        <v>821</v>
      </c>
      <c r="Q589" s="190">
        <f>(SUMIFS('3. CD - Obra negra'!$O$4:$O$344,'3. CD - Obra negra'!$E$4:$E$344,G589))+(SUMIFS('4. CD - Obra gris'!$O$14:$O$74,'4. CD - Obra gris'!$E$14:$E$74,G589))+(SUMIFS('5, CD -Obra blanca'!$O$4:$O$151,'5, CD -Obra blanca'!$E$4:$E$151,G589))</f>
        <v>217.20000000000002</v>
      </c>
      <c r="R589">
        <v>10</v>
      </c>
      <c r="S589" s="42">
        <f>+Q589/R589</f>
        <v>21.720000000000002</v>
      </c>
      <c r="T589" s="4">
        <f t="shared" si="122"/>
        <v>18000</v>
      </c>
      <c r="U589" s="4">
        <f>+T589*Q589</f>
        <v>3909600.0000000005</v>
      </c>
      <c r="V589"/>
      <c r="W589"/>
      <c r="Y589"/>
      <c r="AB589"/>
    </row>
    <row r="590" spans="2:28" x14ac:dyDescent="0.25">
      <c r="B590" t="s">
        <v>1360</v>
      </c>
      <c r="C590" s="1" t="s">
        <v>260</v>
      </c>
      <c r="D590" s="1" t="s">
        <v>14</v>
      </c>
      <c r="E590" s="4">
        <v>18000</v>
      </c>
      <c r="G590" t="str">
        <f t="shared" si="120"/>
        <v>Losa maciza esmaltada</v>
      </c>
      <c r="H590" t="s">
        <v>938</v>
      </c>
      <c r="I590" s="1" t="str">
        <f t="shared" si="121"/>
        <v>M2</v>
      </c>
      <c r="J590" s="1" t="s">
        <v>1100</v>
      </c>
      <c r="K590" s="1"/>
      <c r="L590"/>
      <c r="M590" s="4" t="e">
        <f t="shared" si="123"/>
        <v>#DIV/0!</v>
      </c>
      <c r="N590" s="31"/>
      <c r="O590" s="31"/>
      <c r="P590" t="s">
        <v>821</v>
      </c>
      <c r="Q590" s="190">
        <f>(SUMIFS('3. CD - Obra negra'!$O$4:$O$344,'3. CD - Obra negra'!$E$4:$E$344,G590))+(SUMIFS('4. CD - Obra gris'!$O$14:$O$74,'4. CD - Obra gris'!$E$14:$E$74,G590))+(SUMIFS('5, CD -Obra blanca'!$O$4:$O$151,'5, CD -Obra blanca'!$E$4:$E$151,G590))</f>
        <v>0</v>
      </c>
      <c r="R590">
        <v>8</v>
      </c>
      <c r="S590" s="42">
        <f t="shared" si="125"/>
        <v>0</v>
      </c>
      <c r="T590" s="4">
        <f t="shared" si="122"/>
        <v>55000</v>
      </c>
      <c r="U590" s="4">
        <f t="shared" si="124"/>
        <v>0</v>
      </c>
      <c r="V590"/>
      <c r="W590"/>
      <c r="Y590"/>
      <c r="AB590"/>
    </row>
    <row r="591" spans="2:28" x14ac:dyDescent="0.25">
      <c r="B591" t="s">
        <v>765</v>
      </c>
      <c r="C591" s="1" t="s">
        <v>260</v>
      </c>
      <c r="D591" s="1" t="s">
        <v>14</v>
      </c>
      <c r="E591" s="4">
        <v>55000</v>
      </c>
      <c r="G591" t="str">
        <f t="shared" si="120"/>
        <v>Losa maciza</v>
      </c>
      <c r="H591" t="s">
        <v>938</v>
      </c>
      <c r="I591" s="1" t="str">
        <f t="shared" si="121"/>
        <v>M2</v>
      </c>
      <c r="J591" s="1" t="s">
        <v>972</v>
      </c>
      <c r="K591" s="1"/>
      <c r="L591"/>
      <c r="M591" s="4">
        <f t="shared" si="123"/>
        <v>124999.99999999999</v>
      </c>
      <c r="N591" s="31"/>
      <c r="O591" s="31"/>
      <c r="P591" t="s">
        <v>821</v>
      </c>
      <c r="Q591" s="190">
        <f>(SUMIFS('3. CD - Obra negra'!$O$4:$O$344,'3. CD - Obra negra'!$E$4:$E$344,G591))+(SUMIFS('4. CD - Obra gris'!$O$14:$O$74,'4. CD - Obra gris'!$E$14:$E$74,G591))+(SUMIFS('5, CD -Obra blanca'!$O$4:$O$151,'5, CD -Obra blanca'!$E$4:$E$151,G591))</f>
        <v>195.62</v>
      </c>
      <c r="R591">
        <v>20</v>
      </c>
      <c r="S591" s="42">
        <f t="shared" si="125"/>
        <v>9.7810000000000006</v>
      </c>
      <c r="T591" s="4">
        <f t="shared" si="122"/>
        <v>50000</v>
      </c>
      <c r="U591" s="4">
        <f t="shared" si="124"/>
        <v>9781000</v>
      </c>
      <c r="V591"/>
      <c r="W591"/>
      <c r="Y591"/>
      <c r="AB591"/>
    </row>
    <row r="592" spans="2:28" x14ac:dyDescent="0.25">
      <c r="B592" t="s">
        <v>375</v>
      </c>
      <c r="C592" s="1" t="s">
        <v>260</v>
      </c>
      <c r="D592" s="1" t="s">
        <v>14</v>
      </c>
      <c r="E592" s="4">
        <v>50000</v>
      </c>
      <c r="G592" t="str">
        <f t="shared" si="120"/>
        <v>Enchape poyo</v>
      </c>
      <c r="H592" t="s">
        <v>938</v>
      </c>
      <c r="I592" s="1" t="str">
        <f t="shared" si="121"/>
        <v>ML</v>
      </c>
      <c r="J592" s="1" t="s">
        <v>1101</v>
      </c>
      <c r="K592" s="1"/>
      <c r="L592"/>
      <c r="M592" s="4" t="e">
        <f t="shared" si="123"/>
        <v>#DIV/0!</v>
      </c>
      <c r="N592" s="31"/>
      <c r="O592" s="31"/>
      <c r="P592" t="s">
        <v>821</v>
      </c>
      <c r="Q592" s="190">
        <f>(SUMIFS('3. CD - Obra negra'!$O$4:$O$344,'3. CD - Obra negra'!$E$4:$E$344,G592))+(SUMIFS('4. CD - Obra gris'!$O$14:$O$74,'4. CD - Obra gris'!$E$14:$E$74,G592))+(SUMIFS('5, CD -Obra blanca'!$O$4:$O$151,'5, CD -Obra blanca'!$E$4:$E$151,G592))</f>
        <v>0</v>
      </c>
      <c r="R592">
        <v>3</v>
      </c>
      <c r="S592" s="42">
        <f t="shared" si="125"/>
        <v>0</v>
      </c>
      <c r="T592" s="4">
        <f t="shared" si="122"/>
        <v>8000</v>
      </c>
      <c r="U592" s="4">
        <f t="shared" si="124"/>
        <v>0</v>
      </c>
      <c r="V592"/>
      <c r="W592"/>
      <c r="Y592"/>
      <c r="AB592"/>
    </row>
    <row r="593" spans="2:28" x14ac:dyDescent="0.25">
      <c r="B593" t="s">
        <v>766</v>
      </c>
      <c r="C593" s="1" t="s">
        <v>335</v>
      </c>
      <c r="D593" s="1" t="s">
        <v>14</v>
      </c>
      <c r="E593" s="4">
        <v>8000</v>
      </c>
      <c r="G593" t="str">
        <f t="shared" si="120"/>
        <v>Instalación puerta</v>
      </c>
      <c r="H593" t="s">
        <v>938</v>
      </c>
      <c r="I593" s="1" t="str">
        <f t="shared" si="121"/>
        <v>UND</v>
      </c>
      <c r="J593" s="1" t="s">
        <v>997</v>
      </c>
      <c r="K593" s="1"/>
      <c r="L593"/>
      <c r="M593" s="4" t="e">
        <f t="shared" si="123"/>
        <v>#DIV/0!</v>
      </c>
      <c r="N593" s="31"/>
      <c r="O593" s="31"/>
      <c r="P593" t="s">
        <v>821</v>
      </c>
      <c r="Q593" s="190">
        <f>(SUMIFS('3. CD - Obra negra'!$O$4:$O$344,'3. CD - Obra negra'!$E$4:$E$344,G593))+(SUMIFS('4. CD - Obra gris'!$O$14:$O$74,'4. CD - Obra gris'!$E$14:$E$74,G593))+(SUMIFS('5, CD -Obra blanca'!$O$4:$O$151,'5, CD -Obra blanca'!$E$4:$E$151,G593))</f>
        <v>0</v>
      </c>
      <c r="R593">
        <v>5</v>
      </c>
      <c r="S593" s="42">
        <f t="shared" si="125"/>
        <v>0</v>
      </c>
      <c r="T593" s="4">
        <f t="shared" si="122"/>
        <v>30000</v>
      </c>
      <c r="U593" s="4">
        <f t="shared" si="124"/>
        <v>0</v>
      </c>
      <c r="V593"/>
      <c r="W593"/>
      <c r="Y593"/>
      <c r="AB593"/>
    </row>
    <row r="594" spans="2:28" x14ac:dyDescent="0.25">
      <c r="B594" t="s">
        <v>767</v>
      </c>
      <c r="C594" s="1" t="s">
        <v>126</v>
      </c>
      <c r="D594" s="1" t="s">
        <v>14</v>
      </c>
      <c r="E594" s="4">
        <v>30000</v>
      </c>
      <c r="G594" t="str">
        <f t="shared" si="120"/>
        <v>Cielo raso</v>
      </c>
      <c r="H594" t="s">
        <v>938</v>
      </c>
      <c r="I594" s="1" t="str">
        <f t="shared" si="121"/>
        <v>M2</v>
      </c>
      <c r="J594" s="1" t="s">
        <v>876</v>
      </c>
      <c r="K594" s="1"/>
      <c r="L594"/>
      <c r="M594" s="4" t="e">
        <f t="shared" si="123"/>
        <v>#DIV/0!</v>
      </c>
      <c r="N594" s="31"/>
      <c r="O594" s="31"/>
      <c r="P594" t="s">
        <v>821</v>
      </c>
      <c r="Q594" s="190">
        <f>(SUMIFS('3. CD - Obra negra'!$O$4:$O$344,'3. CD - Obra negra'!$E$4:$E$344,G594))+(SUMIFS('4. CD - Obra gris'!$O$14:$O$74,'4. CD - Obra gris'!$E$14:$E$74,G594))+(SUMIFS('5, CD -Obra blanca'!$O$4:$O$151,'5, CD -Obra blanca'!$E$4:$E$151,G594))</f>
        <v>0</v>
      </c>
      <c r="R594">
        <v>20</v>
      </c>
      <c r="S594" s="42">
        <f t="shared" si="125"/>
        <v>0</v>
      </c>
      <c r="T594" s="4">
        <f t="shared" si="122"/>
        <v>8000</v>
      </c>
      <c r="U594" s="4">
        <f t="shared" si="124"/>
        <v>0</v>
      </c>
      <c r="V594"/>
      <c r="W594"/>
      <c r="Y594"/>
      <c r="AB594"/>
    </row>
    <row r="595" spans="2:28" x14ac:dyDescent="0.25">
      <c r="B595" t="s">
        <v>768</v>
      </c>
      <c r="C595" s="1" t="s">
        <v>260</v>
      </c>
      <c r="D595" s="1" t="s">
        <v>14</v>
      </c>
      <c r="E595" s="4">
        <v>8000</v>
      </c>
      <c r="G595" t="str">
        <f t="shared" si="120"/>
        <v>Mortero cubierta</v>
      </c>
      <c r="H595" t="s">
        <v>938</v>
      </c>
      <c r="I595" s="1" t="str">
        <f t="shared" si="121"/>
        <v>M2</v>
      </c>
      <c r="J595" s="1" t="s">
        <v>1102</v>
      </c>
      <c r="K595" s="1"/>
      <c r="L595"/>
      <c r="M595" s="4" t="e">
        <f t="shared" si="123"/>
        <v>#DIV/0!</v>
      </c>
      <c r="N595" s="31"/>
      <c r="O595" s="31"/>
      <c r="P595" t="s">
        <v>821</v>
      </c>
      <c r="Q595" s="190">
        <f>(SUMIFS('3. CD - Obra negra'!$O$4:$O$344,'3. CD - Obra negra'!$E$4:$E$344,G595))+(SUMIFS('4. CD - Obra gris'!$O$14:$O$74,'4. CD - Obra gris'!$E$14:$E$74,G595))+(SUMIFS('5, CD -Obra blanca'!$O$4:$O$151,'5, CD -Obra blanca'!$E$4:$E$151,G595))</f>
        <v>0</v>
      </c>
      <c r="R595">
        <v>30</v>
      </c>
      <c r="S595" s="42">
        <f t="shared" si="125"/>
        <v>0</v>
      </c>
      <c r="T595" s="4">
        <f t="shared" si="122"/>
        <v>15000</v>
      </c>
      <c r="U595" s="4">
        <f t="shared" si="124"/>
        <v>0</v>
      </c>
      <c r="V595"/>
      <c r="W595"/>
      <c r="Y595"/>
      <c r="AB595"/>
    </row>
    <row r="596" spans="2:28" x14ac:dyDescent="0.25">
      <c r="B596" t="s">
        <v>513</v>
      </c>
      <c r="C596" s="1" t="s">
        <v>260</v>
      </c>
      <c r="D596" s="1" t="s">
        <v>14</v>
      </c>
      <c r="E596" s="4">
        <v>15000</v>
      </c>
      <c r="G596" t="str">
        <f t="shared" si="120"/>
        <v>Instalación manto asfáltico</v>
      </c>
      <c r="H596" t="s">
        <v>938</v>
      </c>
      <c r="I596" s="1" t="str">
        <f t="shared" si="121"/>
        <v>M2</v>
      </c>
      <c r="J596" s="1" t="s">
        <v>1103</v>
      </c>
      <c r="K596" s="1"/>
      <c r="L596"/>
      <c r="M596" s="4">
        <f t="shared" si="123"/>
        <v>93750</v>
      </c>
      <c r="N596" s="31"/>
      <c r="O596" s="31"/>
      <c r="P596" t="s">
        <v>821</v>
      </c>
      <c r="Q596" s="190">
        <f>(SUMIFS('3. CD - Obra negra'!$O$4:$O$344,'3. CD - Obra negra'!$E$4:$E$344,G596))+(SUMIFS('4. CD - Obra gris'!$O$14:$O$74,'4. CD - Obra gris'!$E$14:$E$74,G596))+(SUMIFS('5, CD -Obra blanca'!$O$4:$O$151,'5, CD -Obra blanca'!$E$4:$E$151,G596))</f>
        <v>283.41000000000003</v>
      </c>
      <c r="R596">
        <v>30</v>
      </c>
      <c r="S596" s="42">
        <f t="shared" si="125"/>
        <v>9.447000000000001</v>
      </c>
      <c r="T596" s="4">
        <f t="shared" si="122"/>
        <v>25000</v>
      </c>
      <c r="U596" s="4">
        <f t="shared" si="124"/>
        <v>7085250.0000000009</v>
      </c>
      <c r="V596"/>
      <c r="W596"/>
      <c r="Y596"/>
      <c r="AB596"/>
    </row>
    <row r="597" spans="2:28" x14ac:dyDescent="0.25">
      <c r="B597" t="s">
        <v>517</v>
      </c>
      <c r="C597" s="1" t="s">
        <v>260</v>
      </c>
      <c r="D597" s="1" t="s">
        <v>14</v>
      </c>
      <c r="E597" s="279">
        <v>25000</v>
      </c>
      <c r="G597" t="str">
        <f t="shared" si="120"/>
        <v>Instalación palmicha</v>
      </c>
      <c r="H597" t="s">
        <v>938</v>
      </c>
      <c r="I597" s="1" t="str">
        <f t="shared" si="121"/>
        <v>M2</v>
      </c>
      <c r="J597" s="1" t="s">
        <v>1137</v>
      </c>
      <c r="K597" s="1"/>
      <c r="L597"/>
      <c r="M597" s="4" t="e">
        <f>+(U597/S597)/8</f>
        <v>#DIV/0!</v>
      </c>
      <c r="N597" s="31"/>
      <c r="O597" s="31"/>
      <c r="P597" t="s">
        <v>821</v>
      </c>
      <c r="Q597" s="190">
        <f>(SUMIFS('3. CD - Obra negra'!$O$4:$O$344,'3. CD - Obra negra'!$E$4:$E$344,G597))+(SUMIFS('4. CD - Obra gris'!$O$14:$O$74,'4. CD - Obra gris'!$E$14:$E$74,G597))+(SUMIFS('5, CD -Obra blanca'!$O$4:$O$151,'5, CD -Obra blanca'!$E$4:$E$151,G597))</f>
        <v>0</v>
      </c>
      <c r="R597">
        <v>12</v>
      </c>
      <c r="S597" s="42">
        <f>+Q597/R597</f>
        <v>0</v>
      </c>
      <c r="T597" s="4">
        <f t="shared" si="122"/>
        <v>15000</v>
      </c>
      <c r="U597" s="4">
        <f>+T597*Q597</f>
        <v>0</v>
      </c>
      <c r="V597"/>
      <c r="W597"/>
      <c r="Y597"/>
      <c r="AB597"/>
    </row>
    <row r="598" spans="2:28" x14ac:dyDescent="0.25">
      <c r="B598" t="s">
        <v>1136</v>
      </c>
      <c r="C598" s="1" t="s">
        <v>260</v>
      </c>
      <c r="D598" s="1" t="s">
        <v>14</v>
      </c>
      <c r="E598" s="4">
        <v>15000</v>
      </c>
      <c r="G598" t="str">
        <f t="shared" si="120"/>
        <v>Instalación angeo</v>
      </c>
      <c r="H598" t="s">
        <v>938</v>
      </c>
      <c r="I598" s="1" t="str">
        <f t="shared" si="121"/>
        <v>M2</v>
      </c>
      <c r="J598" s="1" t="s">
        <v>1104</v>
      </c>
      <c r="K598" s="1"/>
      <c r="L598"/>
      <c r="M598" s="4">
        <f t="shared" si="123"/>
        <v>6250</v>
      </c>
      <c r="N598" s="31"/>
      <c r="O598" s="31"/>
      <c r="P598" t="s">
        <v>821</v>
      </c>
      <c r="Q598" s="190">
        <f>(SUMIFS('3. CD - Obra negra'!$O$4:$O$344,'3. CD - Obra negra'!$E$4:$E$344,G598))+(SUMIFS('4. CD - Obra gris'!$O$14:$O$74,'4. CD - Obra gris'!$E$14:$E$74,G598))+(SUMIFS('5, CD -Obra blanca'!$O$4:$O$151,'5, CD -Obra blanca'!$E$4:$E$151,G598))</f>
        <v>8.870000000000001</v>
      </c>
      <c r="R598">
        <v>10</v>
      </c>
      <c r="S598" s="42">
        <f t="shared" si="125"/>
        <v>0.88700000000000012</v>
      </c>
      <c r="T598" s="4">
        <f t="shared" si="122"/>
        <v>5000</v>
      </c>
      <c r="U598" s="4">
        <f t="shared" si="124"/>
        <v>44350.000000000007</v>
      </c>
      <c r="V598"/>
      <c r="W598"/>
      <c r="Y598"/>
      <c r="AB598"/>
    </row>
    <row r="599" spans="2:28" x14ac:dyDescent="0.25">
      <c r="B599" t="s">
        <v>769</v>
      </c>
      <c r="C599" s="1" t="s">
        <v>260</v>
      </c>
      <c r="D599" s="1" t="s">
        <v>14</v>
      </c>
      <c r="E599" s="4">
        <v>5000</v>
      </c>
      <c r="G599" t="str">
        <f t="shared" si="120"/>
        <v>Relleno tierra cemento</v>
      </c>
      <c r="H599" t="s">
        <v>938</v>
      </c>
      <c r="I599" s="1" t="str">
        <f t="shared" si="121"/>
        <v>M2</v>
      </c>
      <c r="J599" s="1" t="s">
        <v>1105</v>
      </c>
      <c r="K599" s="1"/>
      <c r="L599"/>
      <c r="M599" s="4" t="e">
        <f t="shared" si="123"/>
        <v>#DIV/0!</v>
      </c>
      <c r="N599" s="31"/>
      <c r="O599" s="31"/>
      <c r="P599" t="s">
        <v>821</v>
      </c>
      <c r="Q599" s="190">
        <f>(SUMIFS('3. CD - Obra negra'!$O$4:$O$344,'3. CD - Obra negra'!$E$4:$E$344,G599))+(SUMIFS('4. CD - Obra gris'!$O$14:$O$74,'4. CD - Obra gris'!$E$14:$E$74,G599))+(SUMIFS('5, CD -Obra blanca'!$O$4:$O$151,'5, CD -Obra blanca'!$E$4:$E$151,G599))</f>
        <v>0</v>
      </c>
      <c r="R599">
        <v>15</v>
      </c>
      <c r="S599" s="42">
        <f t="shared" si="125"/>
        <v>0</v>
      </c>
      <c r="T599" s="4">
        <f t="shared" si="122"/>
        <v>15000</v>
      </c>
      <c r="U599" s="4">
        <f t="shared" si="124"/>
        <v>0</v>
      </c>
      <c r="V599"/>
      <c r="W599"/>
      <c r="Y599"/>
      <c r="AB599"/>
    </row>
    <row r="600" spans="2:28" x14ac:dyDescent="0.25">
      <c r="B600" t="s">
        <v>770</v>
      </c>
      <c r="C600" s="1" t="s">
        <v>260</v>
      </c>
      <c r="D600" s="1" t="s">
        <v>14</v>
      </c>
      <c r="E600" s="4">
        <v>15000</v>
      </c>
      <c r="G600" t="str">
        <f t="shared" si="120"/>
        <v>Instalación claraboya</v>
      </c>
      <c r="H600" t="s">
        <v>938</v>
      </c>
      <c r="I600" s="1" t="str">
        <f t="shared" si="121"/>
        <v>M2</v>
      </c>
      <c r="J600" s="1" t="s">
        <v>1106</v>
      </c>
      <c r="K600" s="1"/>
      <c r="L600"/>
      <c r="M600" s="4">
        <f t="shared" si="123"/>
        <v>22500.000000000004</v>
      </c>
      <c r="N600" s="31"/>
      <c r="O600" s="31"/>
      <c r="P600" t="s">
        <v>821</v>
      </c>
      <c r="Q600" s="190">
        <f>(SUMIFS('3. CD - Obra negra'!$O$4:$O$344,'3. CD - Obra negra'!$E$4:$E$344,G600))+(SUMIFS('4. CD - Obra gris'!$O$14:$O$74,'4. CD - Obra gris'!$E$14:$E$74,G600))+(SUMIFS('5, CD -Obra blanca'!$O$4:$O$151,'5, CD -Obra blanca'!$E$4:$E$151,G600))</f>
        <v>6.26</v>
      </c>
      <c r="R600">
        <v>12</v>
      </c>
      <c r="S600" s="42">
        <f t="shared" si="125"/>
        <v>0.52166666666666661</v>
      </c>
      <c r="T600" s="4">
        <f t="shared" si="122"/>
        <v>15000</v>
      </c>
      <c r="U600" s="4">
        <f t="shared" si="124"/>
        <v>93900</v>
      </c>
      <c r="V600"/>
      <c r="W600"/>
      <c r="Y600"/>
      <c r="AB600"/>
    </row>
    <row r="601" spans="2:28" x14ac:dyDescent="0.25">
      <c r="B601" t="s">
        <v>771</v>
      </c>
      <c r="C601" s="1" t="s">
        <v>260</v>
      </c>
      <c r="D601" s="1" t="s">
        <v>14</v>
      </c>
      <c r="E601" s="4">
        <v>15000</v>
      </c>
      <c r="G601" t="str">
        <f t="shared" si="120"/>
        <v>Instalación policarbonato</v>
      </c>
      <c r="H601" t="s">
        <v>938</v>
      </c>
      <c r="I601" s="1" t="str">
        <f t="shared" si="121"/>
        <v>M2</v>
      </c>
      <c r="J601" s="1" t="s">
        <v>1107</v>
      </c>
      <c r="K601" s="1"/>
      <c r="L601"/>
      <c r="M601" s="4">
        <f t="shared" si="123"/>
        <v>31250</v>
      </c>
      <c r="N601" s="31"/>
      <c r="O601" s="31"/>
      <c r="P601" t="s">
        <v>821</v>
      </c>
      <c r="Q601" s="190">
        <f>(SUMIFS('3. CD - Obra negra'!$O$4:$O$344,'3. CD - Obra negra'!$E$4:$E$344,G601))+(SUMIFS('4. CD - Obra gris'!$O$14:$O$74,'4. CD - Obra gris'!$E$14:$E$74,G601))+(SUMIFS('5, CD -Obra blanca'!$O$4:$O$151,'5, CD -Obra blanca'!$E$4:$E$151,G601))</f>
        <v>18.12</v>
      </c>
      <c r="R601">
        <v>25</v>
      </c>
      <c r="S601" s="42">
        <f t="shared" si="125"/>
        <v>0.7248</v>
      </c>
      <c r="T601" s="4">
        <f t="shared" si="122"/>
        <v>10000</v>
      </c>
      <c r="U601" s="4">
        <f t="shared" si="124"/>
        <v>181200</v>
      </c>
      <c r="V601"/>
      <c r="W601"/>
      <c r="Y601"/>
      <c r="AB601"/>
    </row>
    <row r="602" spans="2:28" x14ac:dyDescent="0.25">
      <c r="B602" t="s">
        <v>531</v>
      </c>
      <c r="C602" s="1" t="s">
        <v>260</v>
      </c>
      <c r="D602" s="1" t="s">
        <v>14</v>
      </c>
      <c r="E602" s="4">
        <v>10000</v>
      </c>
      <c r="G602" t="str">
        <f t="shared" si="120"/>
        <v>Instalación flanche</v>
      </c>
      <c r="H602" t="s">
        <v>938</v>
      </c>
      <c r="I602" s="1" t="str">
        <f t="shared" si="121"/>
        <v>ML</v>
      </c>
      <c r="J602" s="1" t="s">
        <v>1108</v>
      </c>
      <c r="K602" s="1"/>
      <c r="L602"/>
      <c r="M602" s="4" t="e">
        <f t="shared" si="123"/>
        <v>#DIV/0!</v>
      </c>
      <c r="N602" s="31"/>
      <c r="O602" s="31"/>
      <c r="P602" t="s">
        <v>821</v>
      </c>
      <c r="Q602" s="190">
        <f>(SUMIFS('3. CD - Obra negra'!$O$4:$O$344,'3. CD - Obra negra'!$E$4:$E$344,G602))+(SUMIFS('4. CD - Obra gris'!$O$14:$O$74,'4. CD - Obra gris'!$E$14:$E$74,G602))+(SUMIFS('5, CD -Obra blanca'!$O$4:$O$151,'5, CD -Obra blanca'!$E$4:$E$151,G602))</f>
        <v>0</v>
      </c>
      <c r="R602">
        <v>10</v>
      </c>
      <c r="S602" s="42">
        <f t="shared" si="125"/>
        <v>0</v>
      </c>
      <c r="T602" s="4">
        <f t="shared" si="122"/>
        <v>8000</v>
      </c>
      <c r="U602" s="4">
        <f t="shared" si="124"/>
        <v>0</v>
      </c>
      <c r="V602"/>
      <c r="W602"/>
      <c r="Y602"/>
      <c r="AB602"/>
    </row>
    <row r="603" spans="2:28" x14ac:dyDescent="0.25">
      <c r="B603" t="s">
        <v>533</v>
      </c>
      <c r="C603" s="1" t="s">
        <v>335</v>
      </c>
      <c r="D603" s="1" t="s">
        <v>14</v>
      </c>
      <c r="E603" s="4">
        <v>8000</v>
      </c>
      <c r="G603" t="str">
        <f t="shared" si="120"/>
        <v>Forja ornamental en acero</v>
      </c>
      <c r="H603" t="s">
        <v>938</v>
      </c>
      <c r="I603" s="1" t="str">
        <f t="shared" si="121"/>
        <v>M2</v>
      </c>
      <c r="J603" s="1" t="s">
        <v>1109</v>
      </c>
      <c r="K603" s="1"/>
      <c r="L603"/>
      <c r="M603" s="4" t="e">
        <f t="shared" si="123"/>
        <v>#DIV/0!</v>
      </c>
      <c r="N603" s="31"/>
      <c r="O603" s="31"/>
      <c r="P603" t="s">
        <v>821</v>
      </c>
      <c r="Q603" s="190">
        <f>(SUMIFS('3. CD - Obra negra'!$O$4:$O$344,'3. CD - Obra negra'!$E$4:$E$344,G603))+(SUMIFS('4. CD - Obra gris'!$O$14:$O$74,'4. CD - Obra gris'!$E$14:$E$74,G603))+(SUMIFS('5, CD -Obra blanca'!$O$4:$O$151,'5, CD -Obra blanca'!$E$4:$E$151,G603))</f>
        <v>0</v>
      </c>
      <c r="R603">
        <v>0.1</v>
      </c>
      <c r="S603" s="42">
        <f t="shared" si="125"/>
        <v>0</v>
      </c>
      <c r="T603" s="4">
        <f t="shared" si="122"/>
        <v>1200000</v>
      </c>
      <c r="U603" s="4">
        <f t="shared" si="124"/>
        <v>0</v>
      </c>
      <c r="V603"/>
      <c r="W603"/>
      <c r="Y603"/>
      <c r="AB603"/>
    </row>
    <row r="604" spans="2:28" x14ac:dyDescent="0.25">
      <c r="B604" t="s">
        <v>772</v>
      </c>
      <c r="C604" s="1" t="s">
        <v>260</v>
      </c>
      <c r="D604" s="1" t="s">
        <v>14</v>
      </c>
      <c r="E604" s="4">
        <v>1200000</v>
      </c>
      <c r="G604" t="str">
        <f t="shared" si="120"/>
        <v>Encoroce guadua</v>
      </c>
      <c r="H604" t="s">
        <v>938</v>
      </c>
      <c r="I604" s="1" t="str">
        <f t="shared" si="121"/>
        <v>ML</v>
      </c>
      <c r="J604" s="1" t="s">
        <v>1089</v>
      </c>
      <c r="K604" s="1"/>
      <c r="L604"/>
      <c r="M604" s="4" t="e">
        <f t="shared" si="123"/>
        <v>#DIV/0!</v>
      </c>
      <c r="N604" s="31"/>
      <c r="O604" s="31"/>
      <c r="P604" t="s">
        <v>821</v>
      </c>
      <c r="Q604" s="190">
        <f>(SUMIFS('3. CD - Obra negra'!$O$4:$O$344,'3. CD - Obra negra'!$E$4:$E$344,G604))+(SUMIFS('4. CD - Obra gris'!$O$14:$O$74,'4. CD - Obra gris'!$E$14:$E$74,G604))+(SUMIFS('5, CD -Obra blanca'!$O$4:$O$151,'5, CD -Obra blanca'!$E$4:$E$151,G604))</f>
        <v>0</v>
      </c>
      <c r="R604">
        <v>25</v>
      </c>
      <c r="S604" s="42">
        <f t="shared" si="125"/>
        <v>0</v>
      </c>
      <c r="T604" s="4">
        <f t="shared" si="122"/>
        <v>15000</v>
      </c>
      <c r="U604" s="4">
        <f t="shared" si="124"/>
        <v>0</v>
      </c>
      <c r="V604"/>
      <c r="W604"/>
      <c r="Y604"/>
      <c r="AB604"/>
    </row>
    <row r="605" spans="2:28" x14ac:dyDescent="0.25">
      <c r="B605" t="s">
        <v>776</v>
      </c>
      <c r="C605" s="1" t="s">
        <v>335</v>
      </c>
      <c r="D605" s="1" t="s">
        <v>14</v>
      </c>
      <c r="E605" s="4">
        <v>15000</v>
      </c>
      <c r="G605" t="str">
        <f t="shared" si="120"/>
        <v>Estucado</v>
      </c>
      <c r="H605" t="s">
        <v>938</v>
      </c>
      <c r="I605" s="1" t="str">
        <f t="shared" si="121"/>
        <v>M2</v>
      </c>
      <c r="J605" s="1" t="s">
        <v>1086</v>
      </c>
      <c r="K605" s="1"/>
      <c r="L605"/>
      <c r="M605" s="4" t="e">
        <f>+(U605/S605)/8</f>
        <v>#DIV/0!</v>
      </c>
      <c r="N605" s="31"/>
      <c r="O605" s="31"/>
      <c r="P605" t="s">
        <v>821</v>
      </c>
      <c r="Q605" s="190">
        <f>(SUMIFS('3. CD - Obra negra'!$O$4:$O$344,'3. CD - Obra negra'!$E$4:$E$344,G605))+(SUMIFS('4. CD - Obra gris'!$O$14:$O$74,'4. CD - Obra gris'!$E$14:$E$74,G605))+(SUMIFS('5, CD -Obra blanca'!$O$4:$O$151,'5, CD -Obra blanca'!$E$4:$E$151,G605))</f>
        <v>0</v>
      </c>
      <c r="R605">
        <v>12</v>
      </c>
      <c r="S605" s="42">
        <f>+Q605/R605</f>
        <v>0</v>
      </c>
      <c r="T605" s="4">
        <f t="shared" si="122"/>
        <v>12000</v>
      </c>
      <c r="U605" s="4">
        <f>+T605*Q605</f>
        <v>0</v>
      </c>
      <c r="V605"/>
      <c r="W605"/>
      <c r="Y605"/>
      <c r="AB605"/>
    </row>
    <row r="606" spans="2:28" x14ac:dyDescent="0.25">
      <c r="B606" t="s">
        <v>1365</v>
      </c>
      <c r="C606" s="1" t="s">
        <v>260</v>
      </c>
      <c r="D606" s="1" t="s">
        <v>14</v>
      </c>
      <c r="E606" s="4">
        <v>12000</v>
      </c>
      <c r="G606" t="str">
        <f t="shared" si="120"/>
        <v>Enchape guardaescobas</v>
      </c>
      <c r="H606" t="s">
        <v>938</v>
      </c>
      <c r="I606" s="1" t="str">
        <f t="shared" si="121"/>
        <v>ML</v>
      </c>
      <c r="J606" s="1" t="s">
        <v>1304</v>
      </c>
      <c r="K606" s="1"/>
      <c r="L606"/>
      <c r="M606" s="4" t="e">
        <f>+(U606/S606)/8</f>
        <v>#DIV/0!</v>
      </c>
      <c r="N606" s="31"/>
      <c r="O606" s="31"/>
      <c r="P606" t="s">
        <v>821</v>
      </c>
      <c r="Q606" s="190">
        <f>(SUMIFS('3. CD - Obra negra'!$O$4:$O$344,'3. CD - Obra negra'!$E$4:$E$344,G606))+(SUMIFS('4. CD - Obra gris'!$O$14:$O$74,'4. CD - Obra gris'!$E$14:$E$74,G606))+(SUMIFS('5, CD -Obra blanca'!$O$4:$O$151,'5, CD -Obra blanca'!$E$4:$E$151,G606))</f>
        <v>0</v>
      </c>
      <c r="R606">
        <v>20</v>
      </c>
      <c r="S606" s="42">
        <f>+Q606/R606</f>
        <v>0</v>
      </c>
      <c r="T606" s="4">
        <f t="shared" si="122"/>
        <v>10000</v>
      </c>
      <c r="U606" s="4">
        <f>+T606*Q606</f>
        <v>0</v>
      </c>
      <c r="V606"/>
      <c r="W606"/>
      <c r="Y606"/>
      <c r="AB606"/>
    </row>
    <row r="607" spans="2:28" x14ac:dyDescent="0.25">
      <c r="B607" t="s">
        <v>1303</v>
      </c>
      <c r="C607" s="1" t="s">
        <v>335</v>
      </c>
      <c r="D607" s="1" t="s">
        <v>14</v>
      </c>
      <c r="E607" s="4">
        <v>10000</v>
      </c>
      <c r="G607" t="str">
        <f t="shared" si="120"/>
        <v>Instalación Eterboard</v>
      </c>
      <c r="H607" t="s">
        <v>938</v>
      </c>
      <c r="I607" s="1" t="str">
        <f t="shared" si="121"/>
        <v>M2</v>
      </c>
      <c r="J607" s="1" t="s">
        <v>1337</v>
      </c>
      <c r="K607" s="1"/>
      <c r="L607"/>
      <c r="M607" s="4" t="e">
        <f>+(U607/S607)/8</f>
        <v>#DIV/0!</v>
      </c>
      <c r="N607" s="31"/>
      <c r="O607" s="31"/>
      <c r="P607" t="s">
        <v>821</v>
      </c>
      <c r="Q607" s="190">
        <f>(SUMIFS('3. CD - Obra negra'!$O$4:$O$344,'3. CD - Obra negra'!$E$4:$E$344,G607))+(SUMIFS('4. CD - Obra gris'!$O$14:$O$74,'4. CD - Obra gris'!$E$14:$E$74,G607))+(SUMIFS('5, CD -Obra blanca'!$O$4:$O$151,'5, CD -Obra blanca'!$E$4:$E$151,G607))</f>
        <v>0</v>
      </c>
      <c r="R607">
        <v>10</v>
      </c>
      <c r="S607" s="42">
        <f>+Q607/R607</f>
        <v>0</v>
      </c>
      <c r="T607" s="4">
        <f t="shared" si="122"/>
        <v>15000</v>
      </c>
      <c r="U607" s="4">
        <f>+T607*Q607</f>
        <v>0</v>
      </c>
      <c r="V607"/>
      <c r="W607"/>
      <c r="Y607"/>
      <c r="AB607"/>
    </row>
    <row r="608" spans="2:28" x14ac:dyDescent="0.25">
      <c r="B608" t="s">
        <v>1336</v>
      </c>
      <c r="C608" s="1" t="s">
        <v>260</v>
      </c>
      <c r="D608" s="1" t="s">
        <v>14</v>
      </c>
      <c r="E608" s="4">
        <v>15000</v>
      </c>
      <c r="G608" t="str">
        <f t="shared" si="120"/>
        <v>Mampostería adoquín</v>
      </c>
      <c r="H608" t="s">
        <v>938</v>
      </c>
      <c r="I608" s="1" t="str">
        <f t="shared" si="121"/>
        <v>M2</v>
      </c>
      <c r="J608" s="1" t="s">
        <v>1110</v>
      </c>
      <c r="K608" s="1"/>
      <c r="L608"/>
      <c r="M608" s="4" t="e">
        <f t="shared" si="123"/>
        <v>#DIV/0!</v>
      </c>
      <c r="N608" s="31"/>
      <c r="O608" s="31"/>
      <c r="P608" t="s">
        <v>821</v>
      </c>
      <c r="Q608" s="190">
        <f>(SUMIFS('3. CD - Obra negra'!$O$4:$O$344,'3. CD - Obra negra'!$E$4:$E$344,G608))+(SUMIFS('4. CD - Obra gris'!$O$14:$O$74,'4. CD - Obra gris'!$E$14:$E$74,G608))+(SUMIFS('5, CD -Obra blanca'!$O$4:$O$151,'5, CD -Obra blanca'!$E$4:$E$151,G608))</f>
        <v>0</v>
      </c>
      <c r="R608">
        <v>15</v>
      </c>
      <c r="S608" s="42">
        <f t="shared" si="125"/>
        <v>0</v>
      </c>
      <c r="T608" s="4">
        <f t="shared" si="122"/>
        <v>25000</v>
      </c>
      <c r="U608" s="4">
        <f t="shared" si="124"/>
        <v>0</v>
      </c>
      <c r="V608"/>
      <c r="W608"/>
      <c r="Y608"/>
      <c r="AB608"/>
    </row>
    <row r="609" spans="2:28" x14ac:dyDescent="0.25">
      <c r="B609" t="s">
        <v>590</v>
      </c>
      <c r="C609" s="1" t="s">
        <v>260</v>
      </c>
      <c r="D609" s="1" t="s">
        <v>14</v>
      </c>
      <c r="E609" s="4">
        <v>25000</v>
      </c>
      <c r="G609" t="str">
        <f t="shared" si="120"/>
        <v>Instalación malla catamarán</v>
      </c>
      <c r="H609" t="s">
        <v>938</v>
      </c>
      <c r="I609" s="1" t="str">
        <f t="shared" si="121"/>
        <v>M2</v>
      </c>
      <c r="J609" s="1" t="s">
        <v>1145</v>
      </c>
      <c r="K609" s="1"/>
      <c r="L609"/>
      <c r="M609" s="4" t="e">
        <f>+(U609/S609)/8</f>
        <v>#DIV/0!</v>
      </c>
      <c r="N609" s="31"/>
      <c r="O609" s="31"/>
      <c r="P609" t="s">
        <v>821</v>
      </c>
      <c r="Q609" s="190">
        <f>(SUMIFS('3. CD - Obra negra'!$O$4:$O$344,'3. CD - Obra negra'!$E$4:$E$344,G609))+(SUMIFS('4. CD - Obra gris'!$O$14:$O$74,'4. CD - Obra gris'!$E$14:$E$74,G609))+(SUMIFS('5, CD -Obra blanca'!$O$4:$O$151,'5, CD -Obra blanca'!$E$4:$E$151,G609))</f>
        <v>0</v>
      </c>
      <c r="R609">
        <v>16</v>
      </c>
      <c r="S609" s="42">
        <f>+Q609/R609</f>
        <v>0</v>
      </c>
      <c r="T609" s="4">
        <f t="shared" si="122"/>
        <v>25000</v>
      </c>
      <c r="U609" s="4">
        <f>+T609*Q609</f>
        <v>0</v>
      </c>
      <c r="V609"/>
      <c r="W609"/>
      <c r="Y609"/>
      <c r="AB609"/>
    </row>
    <row r="610" spans="2:28" x14ac:dyDescent="0.25">
      <c r="B610" t="s">
        <v>1149</v>
      </c>
      <c r="C610" s="1" t="s">
        <v>260</v>
      </c>
      <c r="D610" s="1" t="s">
        <v>14</v>
      </c>
      <c r="E610" s="4">
        <v>25000</v>
      </c>
      <c r="G610" t="str">
        <f t="shared" si="120"/>
        <v>Aplicación recebo</v>
      </c>
      <c r="H610" t="s">
        <v>938</v>
      </c>
      <c r="I610" s="1" t="str">
        <f t="shared" si="121"/>
        <v>M2</v>
      </c>
      <c r="J610" s="1" t="s">
        <v>823</v>
      </c>
      <c r="K610" s="1"/>
      <c r="L610"/>
      <c r="M610" s="4" t="e">
        <f t="shared" si="123"/>
        <v>#DIV/0!</v>
      </c>
      <c r="N610" s="31"/>
      <c r="O610" s="31"/>
      <c r="P610" t="s">
        <v>821</v>
      </c>
      <c r="Q610" s="190">
        <f>(SUMIFS('3. CD - Obra negra'!$O$4:$O$344,'3. CD - Obra negra'!$E$4:$E$344,G610))+(SUMIFS('4. CD - Obra gris'!$O$14:$O$74,'4. CD - Obra gris'!$E$14:$E$74,G610))+(SUMIFS('5, CD -Obra blanca'!$O$4:$O$151,'5, CD -Obra blanca'!$E$4:$E$151,G610))</f>
        <v>0</v>
      </c>
      <c r="R610">
        <v>20</v>
      </c>
      <c r="S610" s="42">
        <f t="shared" si="125"/>
        <v>0</v>
      </c>
      <c r="T610" s="4">
        <f t="shared" si="122"/>
        <v>10000</v>
      </c>
      <c r="U610" s="4">
        <f t="shared" si="124"/>
        <v>0</v>
      </c>
      <c r="V610"/>
      <c r="W610"/>
      <c r="Y610"/>
      <c r="AB610"/>
    </row>
    <row r="611" spans="2:28" x14ac:dyDescent="0.25">
      <c r="B611" t="s">
        <v>592</v>
      </c>
      <c r="C611" s="1" t="s">
        <v>260</v>
      </c>
      <c r="D611" s="1" t="s">
        <v>14</v>
      </c>
      <c r="E611" s="4">
        <v>10000</v>
      </c>
      <c r="G611" t="str">
        <f t="shared" si="120"/>
        <v>Aplicación gravilla</v>
      </c>
      <c r="H611" t="s">
        <v>938</v>
      </c>
      <c r="I611" s="1" t="str">
        <f t="shared" si="121"/>
        <v>M2</v>
      </c>
      <c r="J611" s="1" t="s">
        <v>1012</v>
      </c>
      <c r="K611" s="1"/>
      <c r="L611"/>
      <c r="M611" s="4" t="e">
        <f t="shared" si="123"/>
        <v>#DIV/0!</v>
      </c>
      <c r="N611" s="31"/>
      <c r="O611" s="31"/>
      <c r="P611" t="s">
        <v>821</v>
      </c>
      <c r="Q611" s="190">
        <f>(SUMIFS('3. CD - Obra negra'!$O$4:$O$344,'3. CD - Obra negra'!$E$4:$E$344,G611))+(SUMIFS('4. CD - Obra gris'!$O$14:$O$74,'4. CD - Obra gris'!$E$14:$E$74,G611))+(SUMIFS('5, CD -Obra blanca'!$O$4:$O$151,'5, CD -Obra blanca'!$E$4:$E$151,G611))</f>
        <v>0</v>
      </c>
      <c r="R611">
        <v>20</v>
      </c>
      <c r="S611" s="42">
        <f t="shared" si="125"/>
        <v>0</v>
      </c>
      <c r="T611" s="4">
        <f t="shared" si="122"/>
        <v>10000</v>
      </c>
      <c r="U611" s="4">
        <f t="shared" si="124"/>
        <v>0</v>
      </c>
      <c r="V611"/>
      <c r="W611"/>
      <c r="Y611"/>
      <c r="AB611"/>
    </row>
    <row r="612" spans="2:28" x14ac:dyDescent="0.25">
      <c r="B612" t="s">
        <v>594</v>
      </c>
      <c r="C612" s="1" t="s">
        <v>260</v>
      </c>
      <c r="D612" s="1" t="s">
        <v>14</v>
      </c>
      <c r="E612" s="4">
        <v>10000</v>
      </c>
      <c r="G612" t="str">
        <f t="shared" si="120"/>
        <v>Ventanería madera</v>
      </c>
      <c r="H612" t="s">
        <v>938</v>
      </c>
      <c r="I612" s="1" t="str">
        <f t="shared" si="121"/>
        <v>M2</v>
      </c>
      <c r="J612" s="1" t="s">
        <v>1111</v>
      </c>
      <c r="K612" s="1"/>
      <c r="L612"/>
      <c r="M612" s="4" t="e">
        <f t="shared" si="123"/>
        <v>#DIV/0!</v>
      </c>
      <c r="N612" s="31"/>
      <c r="O612" s="31"/>
      <c r="P612" t="s">
        <v>821</v>
      </c>
      <c r="Q612" s="190">
        <f>(SUMIFS('3. CD - Obra negra'!$O$4:$O$344,'3. CD - Obra negra'!$E$4:$E$344,G612))+(SUMIFS('4. CD - Obra gris'!$O$14:$O$74,'4. CD - Obra gris'!$E$14:$E$74,G612))+(SUMIFS('5, CD -Obra blanca'!$O$4:$O$151,'5, CD -Obra blanca'!$E$4:$E$151,G612))</f>
        <v>0</v>
      </c>
      <c r="R612">
        <v>2</v>
      </c>
      <c r="S612" s="42">
        <f t="shared" si="125"/>
        <v>0</v>
      </c>
      <c r="T612" s="4">
        <f t="shared" si="122"/>
        <v>170000</v>
      </c>
      <c r="U612" s="4">
        <f t="shared" si="124"/>
        <v>0</v>
      </c>
      <c r="V612"/>
      <c r="W612"/>
      <c r="Y612"/>
      <c r="AB612"/>
    </row>
    <row r="613" spans="2:28" x14ac:dyDescent="0.25">
      <c r="B613" t="s">
        <v>597</v>
      </c>
      <c r="C613" s="1" t="s">
        <v>260</v>
      </c>
      <c r="D613" s="1" t="s">
        <v>14</v>
      </c>
      <c r="E613" s="4">
        <v>170000</v>
      </c>
      <c r="G613" t="str">
        <f>+B615</f>
        <v>Instalación teja</v>
      </c>
      <c r="H613" t="s">
        <v>938</v>
      </c>
      <c r="I613" s="1" t="str">
        <f>+C615</f>
        <v>M2</v>
      </c>
      <c r="J613" s="1" t="s">
        <v>1112</v>
      </c>
      <c r="K613" s="1"/>
      <c r="L613"/>
      <c r="M613" s="4">
        <f>+(U613/S613)/8</f>
        <v>14999.999999999998</v>
      </c>
      <c r="N613" s="31"/>
      <c r="O613" s="31"/>
      <c r="P613" t="s">
        <v>821</v>
      </c>
      <c r="Q613" s="190">
        <f>(SUMIFS('3. CD - Obra negra'!$O$4:$O$344,'3. CD - Obra negra'!$E$4:$E$344,G613))+(SUMIFS('4. CD - Obra gris'!$O$14:$O$74,'4. CD - Obra gris'!$E$14:$E$74,G613))+(SUMIFS('5, CD -Obra blanca'!$O$4:$O$151,'5, CD -Obra blanca'!$E$4:$E$151,G613))</f>
        <v>283.41000000000003</v>
      </c>
      <c r="R613">
        <v>4</v>
      </c>
      <c r="S613" s="42">
        <f>+Q613/R613</f>
        <v>70.852500000000006</v>
      </c>
      <c r="T613" s="4">
        <f>+E615</f>
        <v>30000</v>
      </c>
      <c r="U613" s="4">
        <f>+T613*Q613</f>
        <v>8502300</v>
      </c>
      <c r="V613"/>
      <c r="W613"/>
      <c r="Y613"/>
      <c r="AB613"/>
    </row>
    <row r="614" spans="2:28" x14ac:dyDescent="0.25">
      <c r="B614" t="s">
        <v>1731</v>
      </c>
      <c r="C614" s="1" t="s">
        <v>260</v>
      </c>
      <c r="D614" s="1" t="s">
        <v>14</v>
      </c>
      <c r="E614" s="4">
        <v>100000</v>
      </c>
      <c r="G614" t="str">
        <f>+B616</f>
        <v>Instalación baranda</v>
      </c>
      <c r="H614" t="s">
        <v>938</v>
      </c>
      <c r="I614" s="1" t="str">
        <f>+C616</f>
        <v>ML</v>
      </c>
      <c r="J614" s="1" t="s">
        <v>1112</v>
      </c>
      <c r="K614" s="1"/>
      <c r="L614"/>
      <c r="M614" s="4">
        <f>+(U614/S614)/8</f>
        <v>35000</v>
      </c>
      <c r="N614" s="31"/>
      <c r="O614" s="31"/>
      <c r="P614" t="s">
        <v>821</v>
      </c>
      <c r="Q614" s="190">
        <f>(SUMIFS('3. CD - Obra negra'!$O$4:$O$344,'3. CD - Obra negra'!$E$4:$E$344,G614))+(SUMIFS('4. CD - Obra gris'!$O$14:$O$74,'4. CD - Obra gris'!$E$14:$E$74,G614))+(SUMIFS('5, CD -Obra blanca'!$O$4:$O$151,'5, CD -Obra blanca'!$E$4:$E$151,G614))</f>
        <v>71.31</v>
      </c>
      <c r="R614">
        <v>4</v>
      </c>
      <c r="S614" s="42">
        <f>+Q614/R614</f>
        <v>17.827500000000001</v>
      </c>
      <c r="T614" s="4">
        <f>+E616</f>
        <v>70000</v>
      </c>
      <c r="U614" s="4">
        <f>+T614*Q614</f>
        <v>4991700</v>
      </c>
      <c r="V614"/>
      <c r="W614"/>
      <c r="Y614"/>
      <c r="AB614"/>
    </row>
    <row r="615" spans="2:28" x14ac:dyDescent="0.25">
      <c r="B615" t="s">
        <v>1403</v>
      </c>
      <c r="C615" s="1" t="s">
        <v>260</v>
      </c>
      <c r="D615" s="1" t="s">
        <v>14</v>
      </c>
      <c r="E615" s="4">
        <v>30000</v>
      </c>
      <c r="G615" t="str">
        <f>+B616</f>
        <v>Instalación baranda</v>
      </c>
      <c r="H615" t="s">
        <v>938</v>
      </c>
      <c r="I615" s="1" t="str">
        <f>+C616</f>
        <v>ML</v>
      </c>
      <c r="J615" s="1" t="s">
        <v>1112</v>
      </c>
      <c r="K615" s="1"/>
      <c r="L615"/>
      <c r="M615" s="4">
        <f>+(U615/S615)/8</f>
        <v>35000</v>
      </c>
      <c r="N615" s="31"/>
      <c r="O615" s="31"/>
      <c r="P615" t="s">
        <v>821</v>
      </c>
      <c r="Q615" s="190">
        <f>(SUMIFS('3. CD - Obra negra'!$O$4:$O$344,'3. CD - Obra negra'!$E$4:$E$344,G615))+(SUMIFS('4. CD - Obra gris'!$O$14:$O$74,'4. CD - Obra gris'!$E$14:$E$74,G615))+(SUMIFS('5, CD -Obra blanca'!$O$4:$O$151,'5, CD -Obra blanca'!$E$4:$E$151,G615))</f>
        <v>71.31</v>
      </c>
      <c r="R615">
        <v>4</v>
      </c>
      <c r="S615" s="42">
        <f>+Q615/R615</f>
        <v>17.827500000000001</v>
      </c>
      <c r="T615" s="4">
        <f>+E616</f>
        <v>70000</v>
      </c>
      <c r="U615" s="4">
        <f>+T615*Q615</f>
        <v>4991700</v>
      </c>
      <c r="V615"/>
      <c r="W615"/>
      <c r="Y615"/>
      <c r="AB615"/>
    </row>
    <row r="616" spans="2:28" x14ac:dyDescent="0.25">
      <c r="B616" t="s">
        <v>784</v>
      </c>
      <c r="C616" s="1" t="s">
        <v>335</v>
      </c>
      <c r="D616" s="1" t="s">
        <v>14</v>
      </c>
      <c r="E616" s="4">
        <v>70000</v>
      </c>
      <c r="G616" t="str">
        <f>+B617</f>
        <v>Aplicación microcemento</v>
      </c>
      <c r="H616" t="s">
        <v>938</v>
      </c>
      <c r="I616" s="1" t="str">
        <f>+C617</f>
        <v>M2</v>
      </c>
      <c r="J616" s="1" t="s">
        <v>1146</v>
      </c>
      <c r="K616" s="1"/>
      <c r="L616"/>
      <c r="M616" s="4" t="e">
        <f>+(U616/S616)/8</f>
        <v>#DIV/0!</v>
      </c>
      <c r="N616" s="31"/>
      <c r="O616" s="31"/>
      <c r="P616" t="s">
        <v>821</v>
      </c>
      <c r="Q616" s="190">
        <f>(SUMIFS('3. CD - Obra negra'!$O$4:$O$344,'3. CD - Obra negra'!$E$4:$E$344,G616))+(SUMIFS('4. CD - Obra gris'!$O$14:$O$74,'4. CD - Obra gris'!$E$14:$E$74,G616))+(SUMIFS('5, CD -Obra blanca'!$O$4:$O$151,'5, CD -Obra blanca'!$E$4:$E$151,G616))</f>
        <v>0</v>
      </c>
      <c r="R616">
        <v>5</v>
      </c>
      <c r="S616" s="42">
        <f>+Q616/R616</f>
        <v>0</v>
      </c>
      <c r="T616" s="4">
        <f>+E617</f>
        <v>90000</v>
      </c>
      <c r="U616" s="4">
        <f>+T616*Q616</f>
        <v>0</v>
      </c>
      <c r="V616"/>
      <c r="W616"/>
      <c r="Y616"/>
      <c r="AB616"/>
    </row>
    <row r="617" spans="2:28" x14ac:dyDescent="0.25">
      <c r="B617" t="s">
        <v>1169</v>
      </c>
      <c r="C617" s="1" t="s">
        <v>260</v>
      </c>
      <c r="D617" s="1" t="s">
        <v>14</v>
      </c>
      <c r="E617" s="4">
        <v>90000</v>
      </c>
      <c r="I617" s="1"/>
      <c r="L617"/>
      <c r="M617" s="4"/>
      <c r="N617" s="31"/>
      <c r="O617" s="31"/>
      <c r="R617"/>
      <c r="T617" s="4"/>
      <c r="V617"/>
      <c r="W617"/>
      <c r="Y617"/>
      <c r="AB617"/>
    </row>
    <row r="618" spans="2:28" x14ac:dyDescent="0.25">
      <c r="G618" s="299" t="s">
        <v>613</v>
      </c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t="s">
        <v>848</v>
      </c>
      <c r="S618" s="198">
        <f>+SUM(S620:S621)</f>
        <v>15</v>
      </c>
      <c r="T618" t="s">
        <v>250</v>
      </c>
      <c r="U618" s="4">
        <f>+SUM(U620:U621)</f>
        <v>1050000</v>
      </c>
      <c r="V618"/>
      <c r="W618"/>
      <c r="Y618"/>
      <c r="AB618"/>
    </row>
    <row r="619" spans="2:28" x14ac:dyDescent="0.25">
      <c r="B619" s="299" t="s">
        <v>613</v>
      </c>
      <c r="C619" s="299"/>
      <c r="D619" s="299"/>
      <c r="E619" s="299"/>
      <c r="G619" s="201" t="s">
        <v>798</v>
      </c>
      <c r="H619" s="201" t="s">
        <v>799</v>
      </c>
      <c r="I619" s="201" t="s">
        <v>800</v>
      </c>
      <c r="J619" s="201" t="s">
        <v>815</v>
      </c>
      <c r="K619" s="201"/>
      <c r="L619" s="201" t="s">
        <v>816</v>
      </c>
      <c r="M619" s="202" t="s">
        <v>817</v>
      </c>
      <c r="N619" s="202" t="s">
        <v>818</v>
      </c>
      <c r="O619" s="202" t="s">
        <v>819</v>
      </c>
      <c r="P619" s="201" t="s">
        <v>820</v>
      </c>
      <c r="Q619" s="203" t="s">
        <v>847</v>
      </c>
      <c r="R619" s="201" t="s">
        <v>937</v>
      </c>
      <c r="S619" s="201" t="s">
        <v>848</v>
      </c>
      <c r="T619" s="205" t="s">
        <v>994</v>
      </c>
      <c r="U619" s="202" t="s">
        <v>250</v>
      </c>
      <c r="V619"/>
      <c r="W619"/>
      <c r="Y619"/>
      <c r="AB619"/>
    </row>
    <row r="620" spans="2:28" x14ac:dyDescent="0.25">
      <c r="B620" t="s">
        <v>246</v>
      </c>
      <c r="C620" s="1" t="s">
        <v>248</v>
      </c>
      <c r="D620" s="1" t="s">
        <v>261</v>
      </c>
      <c r="E620" s="4" t="s">
        <v>249</v>
      </c>
      <c r="G620" t="str">
        <f>+B621</f>
        <v>Jornal aseo</v>
      </c>
      <c r="H620" t="s">
        <v>938</v>
      </c>
      <c r="I620" s="1" t="str">
        <f>+C621</f>
        <v>DÍA</v>
      </c>
      <c r="J620" s="1" t="s">
        <v>1096</v>
      </c>
      <c r="K620" s="1"/>
      <c r="L620"/>
      <c r="M620" s="4">
        <f>+(U620/S620)/8</f>
        <v>8750</v>
      </c>
      <c r="N620" s="31"/>
      <c r="O620" s="31"/>
      <c r="P620" t="s">
        <v>821</v>
      </c>
      <c r="Q620" s="190">
        <f>(SUMIFS('3. CD - Obra negra'!$O$4:$O$344,'3. CD - Obra negra'!$E$4:$E$344,G620))+(SUMIFS('4. CD - Obra gris'!$O$14:$O$74,'4. CD - Obra gris'!$E$14:$E$74,G620))+(SUMIFS('5, CD -Obra blanca'!$O$4:$O$151,'5, CD -Obra blanca'!$E$4:$E$151,G620))</f>
        <v>15</v>
      </c>
      <c r="R620">
        <v>1</v>
      </c>
      <c r="S620" s="42">
        <f>+Q620/R620</f>
        <v>15</v>
      </c>
      <c r="T620" s="4">
        <f>+E621</f>
        <v>70000</v>
      </c>
      <c r="U620" s="4">
        <f>+T620*Q620</f>
        <v>1050000</v>
      </c>
      <c r="V620"/>
      <c r="W620"/>
      <c r="Y620"/>
      <c r="AB620"/>
    </row>
    <row r="621" spans="2:28" x14ac:dyDescent="0.25">
      <c r="B621" t="s">
        <v>773</v>
      </c>
      <c r="C621" s="1" t="s">
        <v>271</v>
      </c>
      <c r="D621" s="1" t="s">
        <v>613</v>
      </c>
      <c r="E621" s="4">
        <v>70000</v>
      </c>
      <c r="G621" t="str">
        <f>+B622</f>
        <v>Jornal ayudante</v>
      </c>
      <c r="H621" t="s">
        <v>938</v>
      </c>
      <c r="I621" s="1" t="str">
        <f>+C622</f>
        <v>DÍA</v>
      </c>
      <c r="J621" s="1" t="s">
        <v>1096</v>
      </c>
      <c r="K621" s="1"/>
      <c r="L621"/>
      <c r="M621" s="4" t="e">
        <f>+(U621/S621)/8</f>
        <v>#DIV/0!</v>
      </c>
      <c r="N621" s="31"/>
      <c r="O621" s="31"/>
      <c r="P621" t="s">
        <v>821</v>
      </c>
      <c r="Q621" s="190">
        <f>(SUMIFS('3. CD - Obra negra'!$O$4:$O$344,'3. CD - Obra negra'!$E$4:$E$344,G621))+(SUMIFS('4. CD - Obra gris'!$O$14:$O$74,'4. CD - Obra gris'!$E$14:$E$74,G621))+(SUMIFS('5, CD -Obra blanca'!$O$4:$O$151,'5, CD -Obra blanca'!$E$4:$E$151,G621))</f>
        <v>0</v>
      </c>
      <c r="R621">
        <v>1</v>
      </c>
      <c r="S621" s="42">
        <f>+Q621/R621</f>
        <v>0</v>
      </c>
      <c r="T621" s="4">
        <f>+E622</f>
        <v>50000</v>
      </c>
      <c r="U621" s="4">
        <f>+T621*Q621</f>
        <v>0</v>
      </c>
      <c r="V621"/>
      <c r="W621"/>
      <c r="Y621"/>
      <c r="AB621"/>
    </row>
    <row r="622" spans="2:28" x14ac:dyDescent="0.25">
      <c r="B622" t="s">
        <v>616</v>
      </c>
      <c r="C622" s="1" t="s">
        <v>271</v>
      </c>
      <c r="D622" s="1" t="s">
        <v>613</v>
      </c>
      <c r="E622" s="4">
        <v>50000</v>
      </c>
      <c r="I622" s="1"/>
      <c r="L622"/>
      <c r="M622" s="4"/>
      <c r="N622" s="31"/>
      <c r="O622" s="31"/>
      <c r="R622"/>
      <c r="T622" s="4"/>
      <c r="V622"/>
      <c r="W622"/>
      <c r="Y622"/>
      <c r="AB622"/>
    </row>
    <row r="623" spans="2:28" x14ac:dyDescent="0.25">
      <c r="C623" s="1"/>
      <c r="D623" s="1"/>
      <c r="E623" s="4"/>
    </row>
  </sheetData>
  <sheetProtection formatCells="0" formatColumns="0" formatRows="0" insertColumns="0" insertRows="0" insertHyperlinks="0" deleteColumns="0" deleteRows="0" sort="0" autoFilter="0" pivotTables="0"/>
  <mergeCells count="96">
    <mergeCell ref="G580:Q580"/>
    <mergeCell ref="G618:Q618"/>
    <mergeCell ref="G553:Q553"/>
    <mergeCell ref="G404:Q404"/>
    <mergeCell ref="G389:Q389"/>
    <mergeCell ref="G539:S539"/>
    <mergeCell ref="G552:T552"/>
    <mergeCell ref="G471:S471"/>
    <mergeCell ref="G481:S481"/>
    <mergeCell ref="G495:S495"/>
    <mergeCell ref="G504:S504"/>
    <mergeCell ref="G520:S520"/>
    <mergeCell ref="G412:S412"/>
    <mergeCell ref="G411:Q411"/>
    <mergeCell ref="G423:S423"/>
    <mergeCell ref="G442:S442"/>
    <mergeCell ref="G369:Q369"/>
    <mergeCell ref="G554:Q554"/>
    <mergeCell ref="G565:Q565"/>
    <mergeCell ref="G575:Q575"/>
    <mergeCell ref="G381:Q381"/>
    <mergeCell ref="G455:S455"/>
    <mergeCell ref="B619:E619"/>
    <mergeCell ref="B367:E367"/>
    <mergeCell ref="B552:E552"/>
    <mergeCell ref="B356:E356"/>
    <mergeCell ref="B553:E553"/>
    <mergeCell ref="B554:E554"/>
    <mergeCell ref="B368:E368"/>
    <mergeCell ref="B565:E565"/>
    <mergeCell ref="B576:E576"/>
    <mergeCell ref="B581:E581"/>
    <mergeCell ref="B539:E539"/>
    <mergeCell ref="B381:E381"/>
    <mergeCell ref="B389:E389"/>
    <mergeCell ref="B504:E504"/>
    <mergeCell ref="B520:E520"/>
    <mergeCell ref="B411:E411"/>
    <mergeCell ref="G123:S123"/>
    <mergeCell ref="G131:S131"/>
    <mergeCell ref="G91:S91"/>
    <mergeCell ref="G32:Q32"/>
    <mergeCell ref="G100:S100"/>
    <mergeCell ref="G115:S115"/>
    <mergeCell ref="B147:E147"/>
    <mergeCell ref="B194:E194"/>
    <mergeCell ref="B193:E193"/>
    <mergeCell ref="B412:E412"/>
    <mergeCell ref="B31:E31"/>
    <mergeCell ref="B123:E123"/>
    <mergeCell ref="B131:E131"/>
    <mergeCell ref="G356:S356"/>
    <mergeCell ref="B495:E495"/>
    <mergeCell ref="B148:E148"/>
    <mergeCell ref="B149:E149"/>
    <mergeCell ref="B346:E346"/>
    <mergeCell ref="B183:E183"/>
    <mergeCell ref="B369:E369"/>
    <mergeCell ref="B265:E265"/>
    <mergeCell ref="B300:E300"/>
    <mergeCell ref="G193:Q193"/>
    <mergeCell ref="G265:S265"/>
    <mergeCell ref="G300:S300"/>
    <mergeCell ref="G148:Q148"/>
    <mergeCell ref="G149:Q149"/>
    <mergeCell ref="G183:Q183"/>
    <mergeCell ref="G368:Q368"/>
    <mergeCell ref="B9:H9"/>
    <mergeCell ref="B22:D22"/>
    <mergeCell ref="B53:E53"/>
    <mergeCell ref="B32:E32"/>
    <mergeCell ref="B33:E33"/>
    <mergeCell ref="G31:S31"/>
    <mergeCell ref="G33:S33"/>
    <mergeCell ref="C28:D28"/>
    <mergeCell ref="C23:D23"/>
    <mergeCell ref="C24:D24"/>
    <mergeCell ref="C25:D25"/>
    <mergeCell ref="C26:D26"/>
    <mergeCell ref="C27:D27"/>
    <mergeCell ref="B442:E442"/>
    <mergeCell ref="B481:E481"/>
    <mergeCell ref="G53:S53"/>
    <mergeCell ref="G61:S61"/>
    <mergeCell ref="B61:E61"/>
    <mergeCell ref="B91:E91"/>
    <mergeCell ref="B100:E100"/>
    <mergeCell ref="B115:E115"/>
    <mergeCell ref="B455:E455"/>
    <mergeCell ref="B471:E471"/>
    <mergeCell ref="G194:S194"/>
    <mergeCell ref="B423:E423"/>
    <mergeCell ref="B404:E404"/>
    <mergeCell ref="G147:U147"/>
    <mergeCell ref="G367:T367"/>
    <mergeCell ref="G346:S346"/>
  </mergeCells>
  <phoneticPr fontId="7" type="noConversion"/>
  <pageMargins left="0.7" right="0.7" top="0.75" bottom="0.75" header="0.3" footer="0.3"/>
  <pageSetup orientation="portrait" r:id="rId1"/>
  <tableParts count="3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FFAF4-DB89-4D54-B60E-AE3C0A98E607}">
  <sheetPr codeName="Hoja10"/>
  <dimension ref="B1:U44"/>
  <sheetViews>
    <sheetView zoomScaleNormal="10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D31" sqref="D31"/>
    </sheetView>
  </sheetViews>
  <sheetFormatPr baseColWidth="10" defaultRowHeight="15" x14ac:dyDescent="0.25"/>
  <cols>
    <col min="1" max="1" width="2.140625" customWidth="1"/>
    <col min="2" max="2" width="9.5703125" style="85" customWidth="1"/>
    <col min="3" max="3" width="11.42578125" style="2"/>
    <col min="4" max="4" width="16.28515625" style="2" customWidth="1"/>
    <col min="5" max="5" width="31.140625" style="86" customWidth="1"/>
    <col min="6" max="7" width="13.28515625" style="29" customWidth="1"/>
    <col min="8" max="8" width="9.5703125" style="29" customWidth="1"/>
    <col min="9" max="9" width="0.85546875" style="29" customWidth="1"/>
    <col min="10" max="10" width="11.42578125" style="29"/>
    <col min="11" max="11" width="0.7109375" style="29" customWidth="1"/>
    <col min="12" max="12" width="17" style="76" customWidth="1"/>
    <col min="13" max="13" width="17.140625" style="76" customWidth="1"/>
    <col min="14" max="14" width="12.42578125" style="29" customWidth="1"/>
    <col min="15" max="15" width="12.28515625" style="29" customWidth="1"/>
    <col min="16" max="16" width="15.5703125" style="76" customWidth="1"/>
    <col min="17" max="17" width="23.42578125" style="76" customWidth="1"/>
    <col min="18" max="18" width="18.140625" style="82" customWidth="1"/>
    <col min="19" max="19" width="18" style="4" customWidth="1"/>
  </cols>
  <sheetData>
    <row r="1" spans="2:21" ht="15" customHeight="1" thickBot="1" x14ac:dyDescent="0.3">
      <c r="B1" s="381" t="s">
        <v>245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R1" s="81"/>
    </row>
    <row r="2" spans="2:21" ht="29.25" customHeight="1" x14ac:dyDescent="0.25">
      <c r="B2" s="384" t="s">
        <v>247</v>
      </c>
      <c r="C2" s="384" t="s">
        <v>9</v>
      </c>
      <c r="D2" s="384" t="s">
        <v>276</v>
      </c>
      <c r="E2" s="382" t="s">
        <v>246</v>
      </c>
      <c r="F2" s="386" t="s">
        <v>11</v>
      </c>
      <c r="G2" s="382" t="s">
        <v>177</v>
      </c>
      <c r="H2" s="382" t="s">
        <v>248</v>
      </c>
      <c r="I2" s="108"/>
      <c r="J2" s="382" t="s">
        <v>261</v>
      </c>
      <c r="K2" s="108"/>
      <c r="L2" s="393" t="s">
        <v>249</v>
      </c>
      <c r="M2" s="393" t="s">
        <v>250</v>
      </c>
      <c r="N2" s="382" t="s">
        <v>253</v>
      </c>
      <c r="O2" s="382" t="s">
        <v>281</v>
      </c>
      <c r="P2" s="410" t="s">
        <v>255</v>
      </c>
      <c r="Q2" s="402" t="s">
        <v>256</v>
      </c>
      <c r="R2" s="382" t="s">
        <v>254</v>
      </c>
      <c r="S2" s="391" t="s">
        <v>363</v>
      </c>
      <c r="T2" s="391" t="s">
        <v>795</v>
      </c>
    </row>
    <row r="3" spans="2:21" ht="15.75" thickBot="1" x14ac:dyDescent="0.3">
      <c r="B3" s="385"/>
      <c r="C3" s="385"/>
      <c r="D3" s="385"/>
      <c r="E3" s="383"/>
      <c r="F3" s="387"/>
      <c r="G3" s="383"/>
      <c r="H3" s="383"/>
      <c r="I3" s="169"/>
      <c r="J3" s="383"/>
      <c r="K3" s="169"/>
      <c r="L3" s="394"/>
      <c r="M3" s="394"/>
      <c r="N3" s="383"/>
      <c r="O3" s="383"/>
      <c r="P3" s="411"/>
      <c r="Q3" s="403"/>
      <c r="R3" s="383"/>
      <c r="S3" s="392"/>
      <c r="T3" s="392"/>
    </row>
    <row r="4" spans="2:21" s="39" customFormat="1" x14ac:dyDescent="0.25">
      <c r="B4" s="109">
        <v>1</v>
      </c>
      <c r="C4" s="143"/>
      <c r="D4" s="375" t="s">
        <v>20</v>
      </c>
      <c r="E4" s="376"/>
      <c r="F4" s="125"/>
      <c r="G4" s="125"/>
      <c r="H4" s="125"/>
      <c r="I4" s="125"/>
      <c r="J4" s="125"/>
      <c r="K4" s="125"/>
      <c r="L4" s="126"/>
      <c r="M4" s="126"/>
      <c r="N4" s="125"/>
      <c r="O4" s="125"/>
      <c r="P4" s="126">
        <f>+P5</f>
        <v>0</v>
      </c>
      <c r="Q4" s="126">
        <f>+Q5</f>
        <v>30332731.358423099</v>
      </c>
      <c r="R4" s="127">
        <f>Q4+P4</f>
        <v>30332731.358423099</v>
      </c>
      <c r="S4" s="128"/>
      <c r="T4" s="182" t="e">
        <f>+T5+#REF!</f>
        <v>#REF!</v>
      </c>
    </row>
    <row r="5" spans="2:21" s="39" customFormat="1" x14ac:dyDescent="0.25">
      <c r="B5" s="110">
        <v>1.1000000000000001</v>
      </c>
      <c r="C5" s="144"/>
      <c r="D5" s="369" t="s">
        <v>20</v>
      </c>
      <c r="E5" s="370"/>
      <c r="F5" s="121"/>
      <c r="G5" s="121"/>
      <c r="H5" s="121"/>
      <c r="I5" s="121"/>
      <c r="J5" s="121"/>
      <c r="K5" s="121"/>
      <c r="L5" s="122"/>
      <c r="M5" s="122"/>
      <c r="N5" s="121"/>
      <c r="O5" s="121"/>
      <c r="P5" s="122">
        <f>+SUM(P6:P15)</f>
        <v>0</v>
      </c>
      <c r="Q5" s="122">
        <f>+SUM(Q6:Q15)</f>
        <v>30332731.358423099</v>
      </c>
      <c r="R5" s="123">
        <f>+P5+Q5</f>
        <v>30332731.358423099</v>
      </c>
      <c r="S5" s="124">
        <f>+R5/'1. GENERAL'!$C$7</f>
        <v>89044.521652406838</v>
      </c>
      <c r="T5" s="181" cm="1">
        <f t="array" ref="T5:U5">+R5/'1. GENERAL'!$E$31:$F$31</f>
        <v>6.203859154510008E-2</v>
      </c>
      <c r="U5" s="39" t="e">
        <v>#DIV/0!</v>
      </c>
    </row>
    <row r="6" spans="2:21" x14ac:dyDescent="0.25">
      <c r="B6" s="83" t="s">
        <v>258</v>
      </c>
      <c r="C6" s="145" t="s">
        <v>1812</v>
      </c>
      <c r="D6" s="145" t="s">
        <v>252</v>
      </c>
      <c r="E6" s="84" t="s">
        <v>536</v>
      </c>
      <c r="F6" s="148">
        <v>3.5000000000000003E-2</v>
      </c>
      <c r="G6" s="80"/>
      <c r="H6" s="87" t="s">
        <v>557</v>
      </c>
      <c r="J6" s="29" t="s">
        <v>275</v>
      </c>
      <c r="L6" s="88">
        <f>+(('1. GENERAL'!E15+'1. GENERAL'!E22)*F6)*1.19</f>
        <v>17115490.15790027</v>
      </c>
      <c r="M6" s="76">
        <f>+L6*G6</f>
        <v>0</v>
      </c>
      <c r="N6" s="351">
        <v>1</v>
      </c>
      <c r="O6" s="80">
        <f>+G6*$N$6</f>
        <v>0</v>
      </c>
      <c r="Q6" s="76">
        <f>+M6*$N$6</f>
        <v>0</v>
      </c>
    </row>
    <row r="7" spans="2:21" x14ac:dyDescent="0.25">
      <c r="B7" s="83" t="s">
        <v>507</v>
      </c>
      <c r="C7" s="145" t="s">
        <v>1812</v>
      </c>
      <c r="D7" s="145" t="s">
        <v>252</v>
      </c>
      <c r="E7" s="84" t="s">
        <v>537</v>
      </c>
      <c r="F7" s="148">
        <v>0.12</v>
      </c>
      <c r="G7" s="80"/>
      <c r="H7" s="87" t="s">
        <v>557</v>
      </c>
      <c r="J7" s="29" t="s">
        <v>275</v>
      </c>
      <c r="L7" s="88">
        <f>+L6*F7</f>
        <v>2053858.8189480323</v>
      </c>
      <c r="M7" s="76">
        <f t="shared" ref="M7:M15" si="0">+L7*G7</f>
        <v>0</v>
      </c>
      <c r="N7" s="351"/>
      <c r="O7" s="80">
        <f>+G7*$N$6</f>
        <v>0</v>
      </c>
      <c r="Q7" s="76">
        <f>+M7*$N$6</f>
        <v>0</v>
      </c>
    </row>
    <row r="8" spans="2:21" x14ac:dyDescent="0.25">
      <c r="B8" s="83" t="s">
        <v>546</v>
      </c>
      <c r="C8" s="145" t="s">
        <v>1812</v>
      </c>
      <c r="D8" s="145" t="s">
        <v>252</v>
      </c>
      <c r="E8" s="84" t="s">
        <v>538</v>
      </c>
      <c r="F8" s="148">
        <v>0.12</v>
      </c>
      <c r="G8" s="80">
        <v>1</v>
      </c>
      <c r="H8" s="87" t="s">
        <v>557</v>
      </c>
      <c r="J8" s="29" t="s">
        <v>275</v>
      </c>
      <c r="L8" s="88">
        <f>+L6*F8</f>
        <v>2053858.8189480323</v>
      </c>
      <c r="M8" s="76">
        <f t="shared" si="0"/>
        <v>2053858.8189480323</v>
      </c>
      <c r="N8" s="351"/>
      <c r="O8" s="80">
        <f>+G8*$N$6</f>
        <v>1</v>
      </c>
      <c r="Q8" s="76">
        <f>+M8*$N$6</f>
        <v>2053858.8189480323</v>
      </c>
    </row>
    <row r="9" spans="2:21" x14ac:dyDescent="0.25">
      <c r="B9" s="83" t="s">
        <v>547</v>
      </c>
      <c r="C9" s="145" t="s">
        <v>1812</v>
      </c>
      <c r="D9" s="145" t="s">
        <v>252</v>
      </c>
      <c r="E9" s="84" t="s">
        <v>539</v>
      </c>
      <c r="F9" s="286">
        <v>10</v>
      </c>
      <c r="G9" s="29">
        <v>8</v>
      </c>
      <c r="H9" s="87" t="s">
        <v>271</v>
      </c>
      <c r="J9" s="29" t="s">
        <v>275</v>
      </c>
      <c r="L9" s="88">
        <v>300000</v>
      </c>
      <c r="M9" s="76">
        <f>+(L9*G9)*F9</f>
        <v>24000000</v>
      </c>
      <c r="N9" s="351"/>
      <c r="O9" s="80">
        <f>+G9*$N$6</f>
        <v>8</v>
      </c>
      <c r="Q9" s="76">
        <f>+M9*$N$6</f>
        <v>24000000</v>
      </c>
    </row>
    <row r="10" spans="2:21" x14ac:dyDescent="0.25">
      <c r="B10" s="83" t="s">
        <v>548</v>
      </c>
      <c r="C10" s="145" t="s">
        <v>1812</v>
      </c>
      <c r="D10" s="145" t="s">
        <v>252</v>
      </c>
      <c r="E10" s="84" t="s">
        <v>540</v>
      </c>
      <c r="F10" s="148"/>
      <c r="G10" s="80"/>
      <c r="H10" s="87" t="s">
        <v>558</v>
      </c>
      <c r="J10" s="29" t="s">
        <v>275</v>
      </c>
      <c r="L10" s="88">
        <v>1800000</v>
      </c>
      <c r="M10" s="76">
        <f t="shared" si="0"/>
        <v>0</v>
      </c>
      <c r="N10" s="29">
        <v>3</v>
      </c>
      <c r="O10" s="80">
        <f>+G10*N10</f>
        <v>0</v>
      </c>
      <c r="Q10" s="76">
        <f>+M10*N10</f>
        <v>0</v>
      </c>
    </row>
    <row r="11" spans="2:21" x14ac:dyDescent="0.25">
      <c r="B11" s="83" t="s">
        <v>549</v>
      </c>
      <c r="C11" s="145" t="s">
        <v>1812</v>
      </c>
      <c r="D11" s="145" t="s">
        <v>252</v>
      </c>
      <c r="E11" s="84" t="s">
        <v>541</v>
      </c>
      <c r="F11" s="148">
        <v>0.25</v>
      </c>
      <c r="G11" s="80">
        <v>1</v>
      </c>
      <c r="H11" s="87" t="s">
        <v>126</v>
      </c>
      <c r="J11" s="29" t="s">
        <v>275</v>
      </c>
      <c r="L11" s="88">
        <f>+L6*F11</f>
        <v>4278872.5394750675</v>
      </c>
      <c r="M11" s="76">
        <f t="shared" si="0"/>
        <v>4278872.5394750675</v>
      </c>
      <c r="N11" s="351">
        <v>1</v>
      </c>
      <c r="O11" s="80">
        <f>+G11*$N$11</f>
        <v>1</v>
      </c>
      <c r="Q11" s="76">
        <f>+M11*$N$11</f>
        <v>4278872.5394750675</v>
      </c>
    </row>
    <row r="12" spans="2:21" x14ac:dyDescent="0.25">
      <c r="B12" s="83" t="s">
        <v>550</v>
      </c>
      <c r="C12" s="145" t="s">
        <v>1812</v>
      </c>
      <c r="D12" s="145" t="s">
        <v>252</v>
      </c>
      <c r="E12" s="84" t="s">
        <v>542</v>
      </c>
      <c r="F12" s="148">
        <v>0.01</v>
      </c>
      <c r="G12" s="80"/>
      <c r="H12" s="87" t="s">
        <v>557</v>
      </c>
      <c r="J12" s="29" t="s">
        <v>275</v>
      </c>
      <c r="L12" s="88">
        <f>+L6*F12</f>
        <v>171154.9015790027</v>
      </c>
      <c r="M12" s="76">
        <f t="shared" si="0"/>
        <v>0</v>
      </c>
      <c r="N12" s="351"/>
      <c r="O12" s="80">
        <f>+G12*$N$11</f>
        <v>0</v>
      </c>
      <c r="Q12" s="76">
        <f>+M12*$N$11</f>
        <v>0</v>
      </c>
    </row>
    <row r="13" spans="2:21" x14ac:dyDescent="0.25">
      <c r="B13" s="83" t="s">
        <v>551</v>
      </c>
      <c r="C13" s="145" t="s">
        <v>1812</v>
      </c>
      <c r="D13" s="145" t="s">
        <v>252</v>
      </c>
      <c r="E13" s="84" t="s">
        <v>543</v>
      </c>
      <c r="F13" s="148">
        <v>0.02</v>
      </c>
      <c r="G13" s="80"/>
      <c r="H13" s="87" t="s">
        <v>557</v>
      </c>
      <c r="J13" s="29" t="s">
        <v>275</v>
      </c>
      <c r="L13" s="88">
        <f>+L6*F13</f>
        <v>342309.80315800541</v>
      </c>
      <c r="M13" s="76">
        <f t="shared" si="0"/>
        <v>0</v>
      </c>
      <c r="N13" s="351"/>
      <c r="O13" s="80">
        <f>+G13*$N$11</f>
        <v>0</v>
      </c>
      <c r="Q13" s="76">
        <f>+M13*$N$11</f>
        <v>0</v>
      </c>
    </row>
    <row r="14" spans="2:21" x14ac:dyDescent="0.25">
      <c r="B14" s="83" t="s">
        <v>552</v>
      </c>
      <c r="C14" s="145" t="s">
        <v>1812</v>
      </c>
      <c r="D14" s="145" t="s">
        <v>252</v>
      </c>
      <c r="E14" s="84" t="s">
        <v>544</v>
      </c>
      <c r="F14" s="148">
        <v>0.8</v>
      </c>
      <c r="G14" s="80"/>
      <c r="H14" s="87" t="s">
        <v>557</v>
      </c>
      <c r="J14" s="29" t="s">
        <v>275</v>
      </c>
      <c r="L14" s="88">
        <f>+L6*F14</f>
        <v>13692392.126320217</v>
      </c>
      <c r="M14" s="76">
        <f t="shared" si="0"/>
        <v>0</v>
      </c>
      <c r="N14" s="351"/>
      <c r="O14" s="80">
        <f>+G14*$N$11</f>
        <v>0</v>
      </c>
      <c r="Q14" s="76">
        <f>+M14*$N$11</f>
        <v>0</v>
      </c>
    </row>
    <row r="15" spans="2:21" x14ac:dyDescent="0.25">
      <c r="B15" s="83" t="s">
        <v>553</v>
      </c>
      <c r="C15" s="145" t="s">
        <v>1812</v>
      </c>
      <c r="D15" s="145" t="s">
        <v>252</v>
      </c>
      <c r="E15" s="84" t="s">
        <v>545</v>
      </c>
      <c r="F15" s="148"/>
      <c r="G15" s="80"/>
      <c r="H15" s="87" t="s">
        <v>336</v>
      </c>
      <c r="J15" s="29" t="s">
        <v>275</v>
      </c>
      <c r="L15" s="88">
        <v>2500000</v>
      </c>
      <c r="M15" s="76">
        <f t="shared" si="0"/>
        <v>0</v>
      </c>
      <c r="N15" s="351"/>
      <c r="O15" s="80">
        <f>+G15*$N$11</f>
        <v>0</v>
      </c>
      <c r="Q15" s="76">
        <f>+M15*$N$11</f>
        <v>0</v>
      </c>
    </row>
    <row r="16" spans="2:21" s="39" customFormat="1" x14ac:dyDescent="0.25">
      <c r="B16" s="288">
        <v>1.1000000000000001</v>
      </c>
      <c r="C16" s="289"/>
      <c r="D16" s="367" t="s">
        <v>20</v>
      </c>
      <c r="E16" s="368"/>
      <c r="F16" s="290"/>
      <c r="G16" s="290"/>
      <c r="H16" s="290"/>
      <c r="I16" s="290"/>
      <c r="J16" s="290"/>
      <c r="K16" s="290"/>
      <c r="L16" s="291"/>
      <c r="M16" s="291"/>
      <c r="N16" s="290"/>
      <c r="O16" s="290"/>
      <c r="P16" s="291">
        <f>+SUM(P17:P26)</f>
        <v>0</v>
      </c>
      <c r="Q16" s="291">
        <f>+SUM(Q17:Q26)</f>
        <v>5852422.1205215538</v>
      </c>
      <c r="R16" s="298">
        <f>+P16+Q16</f>
        <v>5852422.1205215538</v>
      </c>
      <c r="S16" s="293">
        <f>+R16/'1. GENERAL'!$C$7</f>
        <v>17180.323198461145</v>
      </c>
      <c r="T16" s="294" cm="1">
        <f t="array" ref="T16:U16">+R16/'1. GENERAL'!$E$31:$F$31</f>
        <v>1.1969776845820465E-2</v>
      </c>
      <c r="U16" s="39" t="e">
        <v>#DIV/0!</v>
      </c>
    </row>
    <row r="17" spans="2:21" x14ac:dyDescent="0.25">
      <c r="B17" s="295" t="s">
        <v>468</v>
      </c>
      <c r="C17" s="296" t="s">
        <v>1400</v>
      </c>
      <c r="D17" s="296" t="s">
        <v>252</v>
      </c>
      <c r="E17" s="297" t="s">
        <v>536</v>
      </c>
      <c r="F17" s="148">
        <v>3.5000000000000003E-2</v>
      </c>
      <c r="G17" s="80"/>
      <c r="H17" s="87" t="s">
        <v>557</v>
      </c>
      <c r="J17" s="29" t="s">
        <v>275</v>
      </c>
      <c r="L17" s="88">
        <f>+(('1. GENERAL'!I15+'1. GENERAL'!I22)*F17)*1.19</f>
        <v>2844384.1095177121</v>
      </c>
      <c r="M17" s="76">
        <f>+L17*G17</f>
        <v>0</v>
      </c>
      <c r="N17" s="351">
        <v>1</v>
      </c>
      <c r="O17" s="80">
        <f>+G17*$N$6</f>
        <v>0</v>
      </c>
      <c r="Q17" s="76">
        <f>+M17*$N$6</f>
        <v>0</v>
      </c>
    </row>
    <row r="18" spans="2:21" x14ac:dyDescent="0.25">
      <c r="B18" s="295" t="s">
        <v>554</v>
      </c>
      <c r="C18" s="296" t="s">
        <v>1400</v>
      </c>
      <c r="D18" s="296" t="s">
        <v>252</v>
      </c>
      <c r="E18" s="297" t="s">
        <v>537</v>
      </c>
      <c r="F18" s="148">
        <v>0.12</v>
      </c>
      <c r="G18" s="80"/>
      <c r="H18" s="87" t="s">
        <v>557</v>
      </c>
      <c r="J18" s="29" t="s">
        <v>275</v>
      </c>
      <c r="L18" s="88">
        <f>+L17*F18</f>
        <v>341326.09314212546</v>
      </c>
      <c r="M18" s="76">
        <f t="shared" ref="M18:M26" si="1">+L18*G18</f>
        <v>0</v>
      </c>
      <c r="N18" s="351"/>
      <c r="O18" s="80">
        <f>+G18*$N$6</f>
        <v>0</v>
      </c>
      <c r="Q18" s="76">
        <f>+M18*$N$6</f>
        <v>0</v>
      </c>
    </row>
    <row r="19" spans="2:21" x14ac:dyDescent="0.25">
      <c r="B19" s="295" t="s">
        <v>555</v>
      </c>
      <c r="C19" s="296" t="s">
        <v>1400</v>
      </c>
      <c r="D19" s="296" t="s">
        <v>252</v>
      </c>
      <c r="E19" s="297" t="s">
        <v>538</v>
      </c>
      <c r="F19" s="148">
        <v>0.12</v>
      </c>
      <c r="G19" s="80">
        <v>1</v>
      </c>
      <c r="H19" s="87" t="s">
        <v>557</v>
      </c>
      <c r="J19" s="29" t="s">
        <v>275</v>
      </c>
      <c r="L19" s="88">
        <f>+L17*F19</f>
        <v>341326.09314212546</v>
      </c>
      <c r="M19" s="76">
        <f t="shared" si="1"/>
        <v>341326.09314212546</v>
      </c>
      <c r="N19" s="351"/>
      <c r="O19" s="80">
        <f>+G19*$N$6</f>
        <v>1</v>
      </c>
      <c r="Q19" s="76">
        <f>+M19*$N$6</f>
        <v>341326.09314212546</v>
      </c>
    </row>
    <row r="20" spans="2:21" x14ac:dyDescent="0.25">
      <c r="B20" s="295" t="s">
        <v>556</v>
      </c>
      <c r="C20" s="296" t="s">
        <v>1400</v>
      </c>
      <c r="D20" s="296" t="s">
        <v>252</v>
      </c>
      <c r="E20" s="297" t="s">
        <v>539</v>
      </c>
      <c r="F20" s="286">
        <v>2</v>
      </c>
      <c r="G20" s="29">
        <v>8</v>
      </c>
      <c r="H20" s="87" t="s">
        <v>271</v>
      </c>
      <c r="J20" s="29" t="s">
        <v>275</v>
      </c>
      <c r="L20" s="88">
        <v>300000</v>
      </c>
      <c r="M20" s="76">
        <f>+(L20*G20)*F20</f>
        <v>4800000</v>
      </c>
      <c r="N20" s="351"/>
      <c r="O20" s="80">
        <f>+G20*$N$6</f>
        <v>8</v>
      </c>
      <c r="Q20" s="76">
        <f>+M20*$N$6</f>
        <v>4800000</v>
      </c>
    </row>
    <row r="21" spans="2:21" x14ac:dyDescent="0.25">
      <c r="B21" s="295" t="s">
        <v>1951</v>
      </c>
      <c r="C21" s="296" t="s">
        <v>1400</v>
      </c>
      <c r="D21" s="296" t="s">
        <v>252</v>
      </c>
      <c r="E21" s="297" t="s">
        <v>540</v>
      </c>
      <c r="F21" s="148"/>
      <c r="G21" s="80"/>
      <c r="H21" s="87" t="s">
        <v>558</v>
      </c>
      <c r="J21" s="29" t="s">
        <v>275</v>
      </c>
      <c r="L21" s="88">
        <v>1800000</v>
      </c>
      <c r="M21" s="76">
        <f t="shared" ref="M21:M26" si="2">+L21*G21</f>
        <v>0</v>
      </c>
      <c r="N21" s="29">
        <v>3</v>
      </c>
      <c r="O21" s="80">
        <f>+G21*N21</f>
        <v>0</v>
      </c>
      <c r="Q21" s="76">
        <f>+M21*N21</f>
        <v>0</v>
      </c>
    </row>
    <row r="22" spans="2:21" x14ac:dyDescent="0.25">
      <c r="B22" s="295" t="s">
        <v>1952</v>
      </c>
      <c r="C22" s="296" t="s">
        <v>1400</v>
      </c>
      <c r="D22" s="296" t="s">
        <v>252</v>
      </c>
      <c r="E22" s="297" t="s">
        <v>541</v>
      </c>
      <c r="F22" s="148">
        <v>0.25</v>
      </c>
      <c r="G22" s="80">
        <v>1</v>
      </c>
      <c r="H22" s="87" t="s">
        <v>126</v>
      </c>
      <c r="J22" s="29" t="s">
        <v>275</v>
      </c>
      <c r="L22" s="88">
        <f>+L17*F22</f>
        <v>711096.02737942804</v>
      </c>
      <c r="M22" s="76">
        <f t="shared" si="2"/>
        <v>711096.02737942804</v>
      </c>
      <c r="N22" s="351">
        <v>1</v>
      </c>
      <c r="O22" s="80">
        <f>+G22*$N$11</f>
        <v>1</v>
      </c>
      <c r="Q22" s="76">
        <f>+M22*$N$11</f>
        <v>711096.02737942804</v>
      </c>
    </row>
    <row r="23" spans="2:21" x14ac:dyDescent="0.25">
      <c r="B23" s="295" t="s">
        <v>1953</v>
      </c>
      <c r="C23" s="296" t="s">
        <v>1400</v>
      </c>
      <c r="D23" s="296" t="s">
        <v>252</v>
      </c>
      <c r="E23" s="297" t="s">
        <v>542</v>
      </c>
      <c r="F23" s="148">
        <v>0.01</v>
      </c>
      <c r="G23" s="80"/>
      <c r="H23" s="87" t="s">
        <v>557</v>
      </c>
      <c r="J23" s="29" t="s">
        <v>275</v>
      </c>
      <c r="L23" s="88">
        <f>+L17*F23</f>
        <v>28443.841095177122</v>
      </c>
      <c r="M23" s="76">
        <f t="shared" si="2"/>
        <v>0</v>
      </c>
      <c r="N23" s="351"/>
      <c r="O23" s="80">
        <f>+G23*$N$11</f>
        <v>0</v>
      </c>
      <c r="Q23" s="76">
        <f>+M23*$N$11</f>
        <v>0</v>
      </c>
    </row>
    <row r="24" spans="2:21" x14ac:dyDescent="0.25">
      <c r="B24" s="295" t="s">
        <v>1954</v>
      </c>
      <c r="C24" s="296" t="s">
        <v>1400</v>
      </c>
      <c r="D24" s="296" t="s">
        <v>252</v>
      </c>
      <c r="E24" s="297" t="s">
        <v>543</v>
      </c>
      <c r="F24" s="148">
        <v>0.02</v>
      </c>
      <c r="G24" s="80"/>
      <c r="H24" s="87" t="s">
        <v>557</v>
      </c>
      <c r="J24" s="29" t="s">
        <v>275</v>
      </c>
      <c r="L24" s="88">
        <f>+L17*F24</f>
        <v>56887.682190354244</v>
      </c>
      <c r="M24" s="76">
        <f t="shared" si="2"/>
        <v>0</v>
      </c>
      <c r="N24" s="351"/>
      <c r="O24" s="80">
        <f>+G24*$N$11</f>
        <v>0</v>
      </c>
      <c r="Q24" s="76">
        <f>+M24*$N$11</f>
        <v>0</v>
      </c>
    </row>
    <row r="25" spans="2:21" x14ac:dyDescent="0.25">
      <c r="B25" s="295" t="s">
        <v>1955</v>
      </c>
      <c r="C25" s="296" t="s">
        <v>1400</v>
      </c>
      <c r="D25" s="296" t="s">
        <v>252</v>
      </c>
      <c r="E25" s="297" t="s">
        <v>544</v>
      </c>
      <c r="F25" s="148">
        <v>0.8</v>
      </c>
      <c r="G25" s="80"/>
      <c r="H25" s="87" t="s">
        <v>557</v>
      </c>
      <c r="J25" s="29" t="s">
        <v>275</v>
      </c>
      <c r="L25" s="88">
        <f>+L17*F25</f>
        <v>2275507.28761417</v>
      </c>
      <c r="M25" s="76">
        <f t="shared" si="2"/>
        <v>0</v>
      </c>
      <c r="N25" s="351"/>
      <c r="O25" s="80">
        <f>+G25*$N$11</f>
        <v>0</v>
      </c>
      <c r="Q25" s="76">
        <f>+M25*$N$11</f>
        <v>0</v>
      </c>
    </row>
    <row r="26" spans="2:21" x14ac:dyDescent="0.25">
      <c r="B26" s="295" t="s">
        <v>1956</v>
      </c>
      <c r="C26" s="296" t="s">
        <v>1400</v>
      </c>
      <c r="D26" s="296" t="s">
        <v>252</v>
      </c>
      <c r="E26" s="297" t="s">
        <v>545</v>
      </c>
      <c r="F26" s="148"/>
      <c r="G26" s="80"/>
      <c r="H26" s="87" t="s">
        <v>336</v>
      </c>
      <c r="J26" s="29" t="s">
        <v>275</v>
      </c>
      <c r="L26" s="88">
        <v>2500000</v>
      </c>
      <c r="M26" s="76">
        <f t="shared" si="2"/>
        <v>0</v>
      </c>
      <c r="N26" s="351"/>
      <c r="O26" s="80">
        <f>+G26*$N$11</f>
        <v>0</v>
      </c>
      <c r="Q26" s="76">
        <f>+M26*$N$11</f>
        <v>0</v>
      </c>
    </row>
    <row r="27" spans="2:21" s="39" customFormat="1" x14ac:dyDescent="0.25">
      <c r="B27" s="109">
        <v>2</v>
      </c>
      <c r="C27" s="143"/>
      <c r="D27" s="375" t="s">
        <v>1218</v>
      </c>
      <c r="E27" s="376"/>
      <c r="F27" s="125"/>
      <c r="G27" s="125"/>
      <c r="H27" s="125"/>
      <c r="I27" s="125"/>
      <c r="J27" s="125"/>
      <c r="K27" s="125"/>
      <c r="L27" s="126"/>
      <c r="M27" s="126"/>
      <c r="N27" s="125"/>
      <c r="O27" s="125"/>
      <c r="P27" s="126">
        <f>+P28</f>
        <v>0</v>
      </c>
      <c r="Q27" s="126">
        <f>+Q28</f>
        <v>4200000</v>
      </c>
      <c r="R27" s="127">
        <f>Q27+P27</f>
        <v>4200000</v>
      </c>
      <c r="S27" s="128"/>
      <c r="T27" s="182">
        <f>+T28+T39</f>
        <v>0</v>
      </c>
    </row>
    <row r="28" spans="2:21" s="39" customFormat="1" x14ac:dyDescent="0.25">
      <c r="B28" s="110">
        <v>2.1</v>
      </c>
      <c r="C28" s="144"/>
      <c r="D28" s="369" t="s">
        <v>1219</v>
      </c>
      <c r="E28" s="370"/>
      <c r="F28" s="121"/>
      <c r="G28" s="121"/>
      <c r="H28" s="121"/>
      <c r="I28" s="121"/>
      <c r="J28" s="121"/>
      <c r="K28" s="121"/>
      <c r="L28" s="122"/>
      <c r="M28" s="122"/>
      <c r="N28" s="121"/>
      <c r="O28" s="121"/>
      <c r="P28" s="122">
        <f>+SUM(P29)</f>
        <v>0</v>
      </c>
      <c r="Q28" s="122">
        <f>+SUM(Q29)</f>
        <v>4200000</v>
      </c>
      <c r="R28" s="122">
        <f>+SUM(R29)</f>
        <v>0</v>
      </c>
      <c r="S28" s="124">
        <v>0</v>
      </c>
      <c r="T28" s="181">
        <v>0</v>
      </c>
      <c r="U28" s="39" t="e">
        <v>#DIV/0!</v>
      </c>
    </row>
    <row r="29" spans="2:21" s="76" customFormat="1" x14ac:dyDescent="0.25">
      <c r="B29" s="83" t="s">
        <v>262</v>
      </c>
      <c r="C29" s="145" t="s">
        <v>1812</v>
      </c>
      <c r="D29" s="145" t="s">
        <v>778</v>
      </c>
      <c r="E29" s="84" t="s">
        <v>1220</v>
      </c>
      <c r="F29" s="29"/>
      <c r="G29" s="80">
        <v>7</v>
      </c>
      <c r="H29" s="77" t="s">
        <v>1437</v>
      </c>
      <c r="I29" s="29"/>
      <c r="J29" s="29" t="s">
        <v>652</v>
      </c>
      <c r="K29" s="29"/>
      <c r="L29" s="78">
        <v>200000</v>
      </c>
      <c r="M29" s="76">
        <f>+L29*G29</f>
        <v>1400000</v>
      </c>
      <c r="N29" s="29">
        <v>3</v>
      </c>
      <c r="O29" s="80">
        <f>+G29*N29</f>
        <v>21</v>
      </c>
      <c r="Q29" s="76">
        <f>+M29*N29</f>
        <v>4200000</v>
      </c>
      <c r="R29" s="82"/>
      <c r="S29" s="4"/>
    </row>
    <row r="31" spans="2:21" s="4" customFormat="1" ht="15.75" thickBot="1" x14ac:dyDescent="0.3">
      <c r="B31" s="85"/>
      <c r="C31" s="2"/>
      <c r="D31" s="2"/>
      <c r="E31" s="86"/>
      <c r="F31" s="29"/>
      <c r="G31" s="29"/>
      <c r="H31" s="29"/>
      <c r="I31" s="29"/>
      <c r="J31" s="29"/>
      <c r="K31" s="29"/>
      <c r="L31" s="76"/>
      <c r="M31" s="76"/>
      <c r="N31" s="29"/>
      <c r="O31" s="29"/>
      <c r="P31" s="76"/>
      <c r="Q31" s="76"/>
      <c r="R31" s="82"/>
    </row>
    <row r="32" spans="2:21" s="4" customFormat="1" ht="15.75" thickBot="1" x14ac:dyDescent="0.3">
      <c r="B32" s="85"/>
      <c r="C32" s="2"/>
      <c r="D32" s="2"/>
      <c r="E32" s="86"/>
      <c r="F32" s="29"/>
      <c r="G32" s="29"/>
      <c r="H32" s="29"/>
      <c r="I32" s="29"/>
      <c r="J32" s="29"/>
      <c r="K32" s="29"/>
      <c r="L32" s="76"/>
      <c r="M32" s="76"/>
      <c r="N32" s="388" t="s">
        <v>1864</v>
      </c>
      <c r="O32" s="389"/>
      <c r="P32" s="138">
        <f>+P5</f>
        <v>0</v>
      </c>
      <c r="Q32" s="138">
        <f>+Q5+Q27</f>
        <v>34532731.358423099</v>
      </c>
      <c r="R32" s="139">
        <f>+Q32+P32</f>
        <v>34532731.358423099</v>
      </c>
    </row>
    <row r="33" spans="2:18" s="4" customFormat="1" x14ac:dyDescent="0.25">
      <c r="B33" s="85"/>
      <c r="C33" s="2"/>
      <c r="D33" s="2"/>
      <c r="E33" s="86"/>
      <c r="F33" s="29"/>
      <c r="G33" s="29"/>
      <c r="H33" s="29"/>
      <c r="I33" s="29"/>
      <c r="J33" s="29"/>
      <c r="K33" s="29"/>
      <c r="L33" s="76"/>
      <c r="M33" s="76"/>
      <c r="N33" s="379" t="s">
        <v>460</v>
      </c>
      <c r="O33" s="379"/>
      <c r="P33" s="92"/>
      <c r="Q33" s="92"/>
      <c r="R33" s="93">
        <f>+$R$32/'1. GENERAL'!C6</f>
        <v>110497.66849617017</v>
      </c>
    </row>
    <row r="34" spans="2:18" s="4" customFormat="1" x14ac:dyDescent="0.25">
      <c r="B34" s="85"/>
      <c r="C34" s="2"/>
      <c r="D34" s="2"/>
      <c r="E34" s="86"/>
      <c r="F34" s="29"/>
      <c r="G34" s="29"/>
      <c r="H34" s="29"/>
      <c r="I34" s="29"/>
      <c r="J34" s="29"/>
      <c r="K34" s="29"/>
      <c r="L34" s="76"/>
      <c r="M34" s="76"/>
      <c r="N34" s="379" t="s">
        <v>461</v>
      </c>
      <c r="O34" s="379"/>
      <c r="P34" s="92"/>
      <c r="Q34" s="92"/>
      <c r="R34" s="93">
        <f>+$R$32/'1. GENERAL'!C7</f>
        <v>101374.00779465152</v>
      </c>
    </row>
    <row r="35" spans="2:18" s="4" customFormat="1" ht="15.75" thickBot="1" x14ac:dyDescent="0.3">
      <c r="B35" s="85"/>
      <c r="C35" s="2"/>
      <c r="D35" s="2"/>
      <c r="E35" s="86"/>
      <c r="F35" s="29"/>
      <c r="G35" s="29"/>
      <c r="H35" s="29"/>
      <c r="I35" s="29"/>
      <c r="J35" s="29"/>
      <c r="K35" s="29"/>
      <c r="L35" s="76"/>
      <c r="M35" s="76"/>
      <c r="N35" s="379" t="s">
        <v>462</v>
      </c>
      <c r="O35" s="379"/>
      <c r="P35" s="92"/>
      <c r="Q35" s="92"/>
      <c r="R35" s="93">
        <f>+$R$32/'1. GENERAL'!C8</f>
        <v>81749.754648035363</v>
      </c>
    </row>
    <row r="36" spans="2:18" s="4" customFormat="1" ht="15.75" thickBot="1" x14ac:dyDescent="0.3">
      <c r="B36" s="85"/>
      <c r="C36" s="2"/>
      <c r="D36" s="2"/>
      <c r="E36" s="86"/>
      <c r="F36" s="29"/>
      <c r="G36" s="29"/>
      <c r="H36" s="29"/>
      <c r="I36" s="29"/>
      <c r="J36" s="29"/>
      <c r="K36" s="29"/>
      <c r="L36" s="76"/>
      <c r="M36" s="76"/>
      <c r="N36" s="404" t="s">
        <v>1865</v>
      </c>
      <c r="O36" s="405"/>
      <c r="P36" s="136"/>
      <c r="Q36" s="136"/>
      <c r="R36" s="137">
        <f>+Q36+P36</f>
        <v>0</v>
      </c>
    </row>
    <row r="37" spans="2:18" s="4" customFormat="1" ht="15.75" thickBot="1" x14ac:dyDescent="0.3">
      <c r="B37" s="85"/>
      <c r="C37" s="2"/>
      <c r="D37" s="2"/>
      <c r="E37" s="86"/>
      <c r="F37" s="29"/>
      <c r="G37" s="29"/>
      <c r="H37" s="29"/>
      <c r="I37" s="29"/>
      <c r="J37" s="29"/>
      <c r="K37" s="29"/>
      <c r="L37" s="76"/>
      <c r="M37" s="76"/>
      <c r="N37" s="401" t="s">
        <v>461</v>
      </c>
      <c r="O37" s="401"/>
      <c r="P37" s="91"/>
      <c r="Q37" s="91"/>
      <c r="R37" s="94">
        <f>+R36/'1. GENERAL'!I7</f>
        <v>0</v>
      </c>
    </row>
    <row r="38" spans="2:18" s="4" customFormat="1" x14ac:dyDescent="0.25">
      <c r="B38" s="85"/>
      <c r="C38" s="2"/>
      <c r="D38" s="2"/>
      <c r="E38" s="86"/>
      <c r="F38" s="29"/>
      <c r="G38" s="29"/>
      <c r="H38" s="29"/>
      <c r="I38" s="29"/>
      <c r="J38" s="29"/>
      <c r="K38" s="29"/>
      <c r="L38" s="76"/>
      <c r="M38" s="76"/>
      <c r="N38" s="395" t="s">
        <v>85</v>
      </c>
      <c r="O38" s="396"/>
      <c r="P38" s="111">
        <f>+P32+P36</f>
        <v>0</v>
      </c>
      <c r="Q38" s="111">
        <f>+Q32+Q36</f>
        <v>34532731.358423099</v>
      </c>
      <c r="R38" s="112">
        <f>+Q38+P38</f>
        <v>34532731.358423099</v>
      </c>
    </row>
    <row r="39" spans="2:18" s="4" customFormat="1" x14ac:dyDescent="0.25">
      <c r="B39" s="85"/>
      <c r="C39" s="2"/>
      <c r="D39" s="2"/>
      <c r="E39" s="86"/>
      <c r="F39" s="29"/>
      <c r="G39" s="29"/>
      <c r="H39" s="29"/>
      <c r="I39" s="29"/>
      <c r="J39" s="29"/>
      <c r="K39" s="29"/>
      <c r="L39" s="76"/>
      <c r="M39" s="76"/>
      <c r="N39" s="397" t="s">
        <v>455</v>
      </c>
      <c r="O39" s="398"/>
      <c r="P39" s="113"/>
      <c r="Q39" s="113"/>
      <c r="R39" s="114">
        <f>+R32*0.05</f>
        <v>1726636.5679211551</v>
      </c>
    </row>
    <row r="40" spans="2:18" s="4" customFormat="1" x14ac:dyDescent="0.25">
      <c r="B40" s="85"/>
      <c r="C40" s="2"/>
      <c r="D40" s="2"/>
      <c r="E40" s="86"/>
      <c r="F40" s="29"/>
      <c r="G40" s="29"/>
      <c r="H40" s="29"/>
      <c r="I40" s="29"/>
      <c r="J40" s="29"/>
      <c r="K40" s="29"/>
      <c r="L40" s="76"/>
      <c r="M40" s="76"/>
      <c r="N40" s="397" t="s">
        <v>456</v>
      </c>
      <c r="O40" s="398"/>
      <c r="P40" s="113"/>
      <c r="Q40" s="113"/>
      <c r="R40" s="114">
        <f>+$R$38*0.04</f>
        <v>1381309.2543369241</v>
      </c>
    </row>
    <row r="41" spans="2:18" s="4" customFormat="1" ht="15.75" thickBot="1" x14ac:dyDescent="0.3">
      <c r="B41" s="85"/>
      <c r="C41" s="2"/>
      <c r="D41" s="2"/>
      <c r="E41" s="86"/>
      <c r="F41" s="29"/>
      <c r="G41" s="29"/>
      <c r="H41" s="29"/>
      <c r="I41" s="29"/>
      <c r="J41" s="29"/>
      <c r="K41" s="29"/>
      <c r="L41" s="76"/>
      <c r="M41" s="76"/>
      <c r="N41" s="399" t="s">
        <v>457</v>
      </c>
      <c r="O41" s="400"/>
      <c r="P41" s="115"/>
      <c r="Q41" s="115"/>
      <c r="R41" s="116">
        <f>+$R$38*0.06</f>
        <v>2071963.881505386</v>
      </c>
    </row>
    <row r="42" spans="2:18" s="4" customFormat="1" ht="15.75" thickBot="1" x14ac:dyDescent="0.3">
      <c r="B42" s="85"/>
      <c r="C42" s="2"/>
      <c r="D42" s="2"/>
      <c r="E42" s="86"/>
      <c r="F42" s="29"/>
      <c r="G42" s="29"/>
      <c r="H42" s="29"/>
      <c r="I42" s="29"/>
      <c r="J42" s="29"/>
      <c r="K42" s="29"/>
      <c r="L42" s="76"/>
      <c r="M42" s="76"/>
      <c r="N42" s="29"/>
      <c r="O42" s="29"/>
      <c r="P42" s="117"/>
      <c r="Q42" s="117"/>
      <c r="R42" s="118"/>
    </row>
    <row r="43" spans="2:18" s="4" customFormat="1" ht="15.75" thickBot="1" x14ac:dyDescent="0.3">
      <c r="B43" s="85"/>
      <c r="C43" s="2"/>
      <c r="D43" s="2"/>
      <c r="E43" s="86"/>
      <c r="F43" s="29"/>
      <c r="G43" s="29"/>
      <c r="H43" s="29"/>
      <c r="I43" s="29"/>
      <c r="J43" s="29"/>
      <c r="K43" s="29"/>
      <c r="L43" s="76"/>
      <c r="M43" s="76"/>
      <c r="N43" s="29"/>
      <c r="O43" s="29"/>
      <c r="P43" s="117"/>
      <c r="Q43" s="119" t="s">
        <v>254</v>
      </c>
      <c r="R43" s="120">
        <f>+SUM(R38:R41)</f>
        <v>39712641.062186562</v>
      </c>
    </row>
    <row r="44" spans="2:18" s="4" customFormat="1" x14ac:dyDescent="0.25">
      <c r="B44" s="85"/>
      <c r="C44" s="2"/>
      <c r="D44" s="2"/>
      <c r="E44" s="86"/>
      <c r="F44" s="29"/>
      <c r="G44" s="29"/>
      <c r="H44" s="29"/>
      <c r="I44" s="29"/>
      <c r="J44" s="29"/>
      <c r="K44" s="29"/>
      <c r="L44" s="76"/>
      <c r="M44" s="76"/>
      <c r="N44" s="29"/>
      <c r="O44" s="29"/>
      <c r="P44" s="76"/>
      <c r="Q44" s="76"/>
      <c r="R44" s="82"/>
    </row>
  </sheetData>
  <autoFilter ref="B2:S15" xr:uid="{44CE9A78-2A4F-4986-B5B2-2BB58FEF4DA7}"/>
  <mergeCells count="37">
    <mergeCell ref="N22:N26"/>
    <mergeCell ref="D27:E27"/>
    <mergeCell ref="D28:E28"/>
    <mergeCell ref="T2:T3"/>
    <mergeCell ref="D4:E4"/>
    <mergeCell ref="D5:E5"/>
    <mergeCell ref="S2:S3"/>
    <mergeCell ref="M2:M3"/>
    <mergeCell ref="N2:N3"/>
    <mergeCell ref="O2:O3"/>
    <mergeCell ref="P2:P3"/>
    <mergeCell ref="Q2:Q3"/>
    <mergeCell ref="R2:R3"/>
    <mergeCell ref="N6:N9"/>
    <mergeCell ref="N11:N15"/>
    <mergeCell ref="D16:E16"/>
    <mergeCell ref="N17:N20"/>
    <mergeCell ref="N38:O38"/>
    <mergeCell ref="N39:O39"/>
    <mergeCell ref="N40:O40"/>
    <mergeCell ref="N41:O41"/>
    <mergeCell ref="N32:O32"/>
    <mergeCell ref="N33:O33"/>
    <mergeCell ref="N34:O34"/>
    <mergeCell ref="N35:O35"/>
    <mergeCell ref="N36:O36"/>
    <mergeCell ref="N37:O37"/>
    <mergeCell ref="B1:M1"/>
    <mergeCell ref="B2:B3"/>
    <mergeCell ref="C2:C3"/>
    <mergeCell ref="D2:D3"/>
    <mergeCell ref="E2:E3"/>
    <mergeCell ref="F2:F3"/>
    <mergeCell ref="G2:G3"/>
    <mergeCell ref="H2:H3"/>
    <mergeCell ref="J2:J3"/>
    <mergeCell ref="L2:L3"/>
  </mergeCells>
  <phoneticPr fontId="7" type="noConversion"/>
  <dataValidations count="4">
    <dataValidation type="list" allowBlank="1" showInputMessage="1" showErrorMessage="1" sqref="E29" xr:uid="{653786F5-E8F8-4AF1-844C-CDDF963971AB}">
      <formula1>INDIRECT($J29)</formula1>
    </dataValidation>
    <dataValidation type="list" allowBlank="1" showInputMessage="1" showErrorMessage="1" sqref="D29" xr:uid="{B7806687-E8E8-4CCC-84BF-4D478F4E32F2}">
      <formula1>TIPO</formula1>
    </dataValidation>
    <dataValidation type="list" allowBlank="1" showInputMessage="1" showErrorMessage="1" sqref="J29" xr:uid="{C2B55993-ABEC-4FD2-B1E8-4176FA64350E}">
      <formula1>INDIRECT($D29)</formula1>
    </dataValidation>
    <dataValidation type="list" allowBlank="1" showInputMessage="1" showErrorMessage="1" sqref="C29" xr:uid="{A7D2086C-F5BE-45D7-AE57-5C8FDCF3F045}">
      <formula1>ESPACIO</formula1>
    </dataValidation>
  </dataValidation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25D55-EEE0-4EE1-9BC5-0D1E27E2548F}">
  <dimension ref="B3:D21"/>
  <sheetViews>
    <sheetView workbookViewId="0">
      <selection activeCell="D25" sqref="D25"/>
    </sheetView>
  </sheetViews>
  <sheetFormatPr baseColWidth="10" defaultRowHeight="15" x14ac:dyDescent="0.25"/>
  <cols>
    <col min="2" max="2" width="22.7109375" customWidth="1"/>
    <col min="3" max="3" width="31" customWidth="1"/>
    <col min="4" max="4" width="23" style="4" customWidth="1"/>
  </cols>
  <sheetData>
    <row r="3" spans="2:4" x14ac:dyDescent="0.25">
      <c r="B3" t="s">
        <v>1438</v>
      </c>
      <c r="C3" s="1" t="s">
        <v>1445</v>
      </c>
      <c r="D3" s="31" t="s">
        <v>1444</v>
      </c>
    </row>
    <row r="4" spans="2:4" x14ac:dyDescent="0.25">
      <c r="B4" t="s">
        <v>1447</v>
      </c>
      <c r="C4">
        <v>2</v>
      </c>
      <c r="D4" s="4">
        <f>+'3. CD - Obra negra'!R4*1.24</f>
        <v>6944000</v>
      </c>
    </row>
    <row r="5" spans="2:4" x14ac:dyDescent="0.25">
      <c r="B5" t="s">
        <v>1225</v>
      </c>
      <c r="C5">
        <v>3</v>
      </c>
      <c r="D5" s="4">
        <f>+('3. CD - Obra negra'!R10*1.24)</f>
        <v>89502080.256251514</v>
      </c>
    </row>
    <row r="6" spans="2:4" x14ac:dyDescent="0.25">
      <c r="B6" t="s">
        <v>1440</v>
      </c>
      <c r="C6">
        <v>2</v>
      </c>
      <c r="D6" s="4" t="e">
        <f>+('3. CD - Obra negra'!#REF!+'3. CD - Obra negra'!#REF!+'3. CD - Obra negra'!#REF!+'3. CD - Obra negra'!#REF!)*1.24</f>
        <v>#REF!</v>
      </c>
    </row>
    <row r="7" spans="2:4" x14ac:dyDescent="0.25">
      <c r="B7" t="s">
        <v>1439</v>
      </c>
      <c r="C7">
        <v>8</v>
      </c>
      <c r="D7" s="4">
        <f>+'3. CD - Obra negra'!R106*1.24</f>
        <v>126730832.17800482</v>
      </c>
    </row>
    <row r="8" spans="2:4" x14ac:dyDescent="0.25">
      <c r="B8" t="s">
        <v>1442</v>
      </c>
      <c r="C8">
        <v>3</v>
      </c>
      <c r="D8" s="4">
        <f>+'3. CD - Obra negra'!R316*1.24</f>
        <v>42864575.681800008</v>
      </c>
    </row>
    <row r="9" spans="2:4" x14ac:dyDescent="0.25">
      <c r="B9" t="s">
        <v>1441</v>
      </c>
      <c r="C9">
        <v>3</v>
      </c>
      <c r="D9" s="4" t="e">
        <f>+('4. CD - Obra gris'!R14+'4. CD - Obra gris'!#REF!+'4. CD - Obra gris'!R21+'4. CD - Obra gris'!R35)*1.24</f>
        <v>#REF!</v>
      </c>
    </row>
    <row r="10" spans="2:4" x14ac:dyDescent="0.25">
      <c r="B10" t="s">
        <v>1443</v>
      </c>
      <c r="C10">
        <v>8</v>
      </c>
      <c r="D10" s="4" t="e">
        <f>+('4. CD - Obra gris'!#REF!+'5, CD -Obra blanca'!R4+'5, CD -Obra blanca'!R39)*1.24</f>
        <v>#REF!</v>
      </c>
    </row>
    <row r="11" spans="2:4" x14ac:dyDescent="0.25">
      <c r="B11" t="s">
        <v>1446</v>
      </c>
      <c r="C11">
        <v>3</v>
      </c>
      <c r="D11" s="4">
        <f>+('5, CD -Obra blanca'!R147+'5, CD -Obra blanca'!R88+'5, CD -Obra blanca'!R74)*1.24</f>
        <v>77412079.530213341</v>
      </c>
    </row>
    <row r="13" spans="2:4" x14ac:dyDescent="0.25">
      <c r="B13" t="s">
        <v>1456</v>
      </c>
      <c r="C13" s="31" t="s">
        <v>1457</v>
      </c>
      <c r="D13" s="31" t="s">
        <v>1458</v>
      </c>
    </row>
    <row r="14" spans="2:4" x14ac:dyDescent="0.25">
      <c r="B14" t="s">
        <v>1448</v>
      </c>
      <c r="C14" s="4">
        <f>+D4+(D5*0.66)</f>
        <v>66015372.969126001</v>
      </c>
      <c r="D14" s="4">
        <f>+C14/4100</f>
        <v>16101.310480274635</v>
      </c>
    </row>
    <row r="15" spans="2:4" x14ac:dyDescent="0.25">
      <c r="B15" t="s">
        <v>1449</v>
      </c>
      <c r="C15" s="4" t="e">
        <f>+(D5*0.33)+D6+(D7*(0.125))</f>
        <v>#REF!</v>
      </c>
      <c r="D15" s="4" t="e">
        <f t="shared" ref="D15:D21" si="0">+C15/4100</f>
        <v>#REF!</v>
      </c>
    </row>
    <row r="16" spans="2:4" x14ac:dyDescent="0.25">
      <c r="B16" t="s">
        <v>1450</v>
      </c>
      <c r="C16" s="4">
        <f>+(D7*(0.125*4))</f>
        <v>63365416.089002408</v>
      </c>
      <c r="D16" s="4">
        <f t="shared" si="0"/>
        <v>15454.979533903026</v>
      </c>
    </row>
    <row r="17" spans="2:4" x14ac:dyDescent="0.25">
      <c r="B17" t="s">
        <v>1451</v>
      </c>
      <c r="C17" s="4">
        <f>+(D7*(0.125*3))+(D8*0.33)</f>
        <v>61669372.041745812</v>
      </c>
      <c r="D17" s="4">
        <f t="shared" si="0"/>
        <v>15041.310254084345</v>
      </c>
    </row>
    <row r="18" spans="2:4" x14ac:dyDescent="0.25">
      <c r="B18" t="s">
        <v>1452</v>
      </c>
      <c r="C18" s="4" t="e">
        <f>+(D8*0.66)+(D9*0.66)</f>
        <v>#REF!</v>
      </c>
      <c r="D18" s="4" t="e">
        <f t="shared" si="0"/>
        <v>#REF!</v>
      </c>
    </row>
    <row r="19" spans="2:4" x14ac:dyDescent="0.25">
      <c r="B19" t="s">
        <v>1453</v>
      </c>
      <c r="C19" s="4" t="e">
        <f>+(D9*0.33)+(D10*(0.125*3))</f>
        <v>#REF!</v>
      </c>
      <c r="D19" s="4" t="e">
        <f t="shared" si="0"/>
        <v>#REF!</v>
      </c>
    </row>
    <row r="20" spans="2:4" x14ac:dyDescent="0.25">
      <c r="B20" t="s">
        <v>1454</v>
      </c>
      <c r="C20" s="4" t="e">
        <f>+(D10*(0.125*4))</f>
        <v>#REF!</v>
      </c>
      <c r="D20" s="4" t="e">
        <f t="shared" si="0"/>
        <v>#REF!</v>
      </c>
    </row>
    <row r="21" spans="2:4" x14ac:dyDescent="0.25">
      <c r="B21" t="s">
        <v>1455</v>
      </c>
      <c r="C21" s="4" t="e">
        <f>+(D10*0.125)+D11</f>
        <v>#REF!</v>
      </c>
      <c r="D21" s="4" t="e">
        <f t="shared" si="0"/>
        <v>#REF!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5677B-4C9C-4864-8F3E-C38226A18AD6}">
  <sheetPr codeName="Hoja2"/>
  <dimension ref="B1:T571"/>
  <sheetViews>
    <sheetView tabSelected="1" topLeftCell="A4" zoomScaleNormal="100" workbookViewId="0">
      <selection activeCell="N29" sqref="N29"/>
    </sheetView>
  </sheetViews>
  <sheetFormatPr baseColWidth="10" defaultRowHeight="15" x14ac:dyDescent="0.25"/>
  <cols>
    <col min="1" max="1" width="2.85546875" customWidth="1"/>
    <col min="2" max="2" width="18" customWidth="1"/>
    <col min="3" max="3" width="17.28515625" customWidth="1"/>
    <col min="4" max="4" width="13.28515625" customWidth="1"/>
    <col min="5" max="5" width="17.28515625" customWidth="1"/>
    <col min="6" max="6" width="18.140625" customWidth="1"/>
    <col min="7" max="7" width="10.7109375" customWidth="1"/>
    <col min="8" max="8" width="1.28515625" customWidth="1"/>
    <col min="9" max="9" width="18.7109375" style="4" customWidth="1"/>
    <col min="10" max="10" width="17.28515625" style="4" customWidth="1"/>
    <col min="11" max="11" width="12.42578125" style="210" customWidth="1"/>
    <col min="12" max="12" width="12.7109375" customWidth="1"/>
    <col min="13" max="13" width="13.42578125" customWidth="1"/>
    <col min="14" max="14" width="18.140625" customWidth="1"/>
    <col min="15" max="15" width="1.28515625" customWidth="1"/>
    <col min="16" max="16" width="13.85546875" customWidth="1"/>
    <col min="17" max="17" width="16.42578125" customWidth="1"/>
    <col min="18" max="18" width="18.5703125" customWidth="1"/>
    <col min="19" max="19" width="15.5703125" customWidth="1"/>
    <col min="20" max="20" width="9.5703125" customWidth="1"/>
  </cols>
  <sheetData>
    <row r="1" spans="2:18" ht="9.75" customHeight="1" thickBot="1" x14ac:dyDescent="0.3"/>
    <row r="2" spans="2:18" ht="15.75" thickBot="1" x14ac:dyDescent="0.3">
      <c r="B2" s="331" t="s">
        <v>0</v>
      </c>
      <c r="C2" s="332"/>
      <c r="D2" s="300" t="s">
        <v>1547</v>
      </c>
      <c r="E2" s="301"/>
      <c r="F2" s="301"/>
      <c r="G2" s="302"/>
      <c r="I2" s="216" t="s">
        <v>471</v>
      </c>
      <c r="J2" s="301" t="s">
        <v>1546</v>
      </c>
      <c r="K2" s="302"/>
    </row>
    <row r="3" spans="2:18" ht="15.75" thickBot="1" x14ac:dyDescent="0.3">
      <c r="B3" s="331" t="s">
        <v>1</v>
      </c>
      <c r="C3" s="332"/>
      <c r="D3" s="300" t="s">
        <v>1548</v>
      </c>
      <c r="E3" s="301"/>
      <c r="F3" s="301"/>
      <c r="G3" s="302"/>
      <c r="Q3" s="39"/>
      <c r="R3" s="39"/>
    </row>
    <row r="4" spans="2:18" ht="9" customHeight="1" thickBot="1" x14ac:dyDescent="0.3">
      <c r="B4" s="171"/>
      <c r="C4" s="171"/>
      <c r="D4" s="172"/>
      <c r="E4" s="172"/>
      <c r="F4" s="172"/>
      <c r="G4" s="172"/>
      <c r="J4" s="31"/>
      <c r="K4" s="211"/>
    </row>
    <row r="5" spans="2:18" ht="15.75" thickBot="1" x14ac:dyDescent="0.3">
      <c r="B5" s="102" t="s">
        <v>9</v>
      </c>
      <c r="C5" s="337" t="s">
        <v>1812</v>
      </c>
      <c r="D5" s="338"/>
      <c r="E5" s="338"/>
      <c r="F5" s="338"/>
      <c r="G5" s="339"/>
      <c r="H5" s="39"/>
      <c r="I5" s="337" t="s">
        <v>1400</v>
      </c>
      <c r="J5" s="338"/>
      <c r="K5" s="339"/>
      <c r="P5" s="39"/>
      <c r="Q5" s="221"/>
      <c r="R5" s="221"/>
    </row>
    <row r="6" spans="2:18" ht="15.75" thickBot="1" x14ac:dyDescent="0.3">
      <c r="B6" s="102" t="s">
        <v>3</v>
      </c>
      <c r="C6" s="22">
        <v>312.52</v>
      </c>
      <c r="D6" s="23" t="s">
        <v>8</v>
      </c>
      <c r="E6" s="24" t="s">
        <v>472</v>
      </c>
      <c r="F6" s="23"/>
      <c r="G6" s="25"/>
      <c r="I6" s="222">
        <f>+C6</f>
        <v>312.52</v>
      </c>
      <c r="J6" s="217" t="s">
        <v>8</v>
      </c>
      <c r="K6" s="24" t="s">
        <v>472</v>
      </c>
      <c r="P6" s="39"/>
      <c r="Q6" s="4"/>
      <c r="R6" s="194"/>
    </row>
    <row r="7" spans="2:18" ht="15.75" thickBot="1" x14ac:dyDescent="0.3">
      <c r="B7" s="102" t="s">
        <v>4</v>
      </c>
      <c r="C7" s="173">
        <f>+C6*1.09</f>
        <v>340.64679999999998</v>
      </c>
      <c r="D7" s="23" t="s">
        <v>8</v>
      </c>
      <c r="E7" s="24" t="s">
        <v>6</v>
      </c>
      <c r="F7" s="23"/>
      <c r="G7" s="25"/>
      <c r="I7" s="223">
        <f>+C7</f>
        <v>340.64679999999998</v>
      </c>
      <c r="J7" s="218" t="s">
        <v>8</v>
      </c>
      <c r="K7" s="24" t="s">
        <v>6</v>
      </c>
      <c r="P7" s="39"/>
      <c r="Q7" s="4"/>
      <c r="R7" s="4"/>
    </row>
    <row r="8" spans="2:18" ht="15.75" thickBot="1" x14ac:dyDescent="0.3">
      <c r="B8" s="102" t="s">
        <v>5</v>
      </c>
      <c r="C8" s="173">
        <f>339.68+82.74</f>
        <v>422.42</v>
      </c>
      <c r="D8" s="23" t="s">
        <v>8</v>
      </c>
      <c r="E8" s="24" t="s">
        <v>7</v>
      </c>
      <c r="F8" s="23"/>
      <c r="G8" s="25"/>
      <c r="I8" s="223">
        <f>+C8</f>
        <v>422.42</v>
      </c>
      <c r="J8" s="218" t="s">
        <v>8</v>
      </c>
      <c r="K8" s="24" t="s">
        <v>7</v>
      </c>
      <c r="P8" s="39"/>
      <c r="Q8" s="4"/>
      <c r="R8" s="4"/>
    </row>
    <row r="9" spans="2:18" ht="15.75" thickBot="1" x14ac:dyDescent="0.3">
      <c r="C9" s="133" t="s">
        <v>10</v>
      </c>
      <c r="D9" s="133" t="s">
        <v>241</v>
      </c>
      <c r="E9" s="133" t="s">
        <v>12</v>
      </c>
      <c r="F9" s="133" t="s">
        <v>13</v>
      </c>
      <c r="G9" s="134" t="s">
        <v>26</v>
      </c>
      <c r="H9" s="135"/>
      <c r="I9" s="219" t="s">
        <v>12</v>
      </c>
      <c r="J9" s="219" t="s">
        <v>13</v>
      </c>
      <c r="K9" s="212" t="s">
        <v>26</v>
      </c>
      <c r="P9" s="39"/>
      <c r="Q9" s="4"/>
      <c r="R9" s="4"/>
    </row>
    <row r="10" spans="2:18" ht="15.75" thickBot="1" x14ac:dyDescent="0.3">
      <c r="C10" s="300" t="s">
        <v>27</v>
      </c>
      <c r="D10" s="301"/>
      <c r="E10" s="301"/>
      <c r="F10" s="301"/>
      <c r="G10" s="302"/>
      <c r="H10" s="39"/>
      <c r="I10" s="300" t="s">
        <v>27</v>
      </c>
      <c r="J10" s="301"/>
      <c r="K10" s="302"/>
      <c r="P10" s="39"/>
      <c r="Q10" s="221"/>
      <c r="R10" s="221"/>
    </row>
    <row r="11" spans="2:18" ht="15.75" thickBot="1" x14ac:dyDescent="0.3">
      <c r="C11" s="327" t="s">
        <v>244</v>
      </c>
      <c r="D11" s="328"/>
      <c r="E11" s="13">
        <f>+'3. CD - Obra negra'!R346</f>
        <v>263815140.71546668</v>
      </c>
      <c r="F11" s="13">
        <f>+E11/4100</f>
        <v>64345.15627206504</v>
      </c>
      <c r="G11" s="130">
        <f>+E11/$E$35</f>
        <v>0.46738521236773628</v>
      </c>
      <c r="I11" s="15">
        <f>+'3. CD - Obra negra'!R350</f>
        <v>17100619.009901337</v>
      </c>
      <c r="J11" s="13">
        <f>+I11/4100</f>
        <v>4170.8826853417895</v>
      </c>
      <c r="K11" s="130">
        <f>+I11/$E$35</f>
        <v>3.0296124877012807E-2</v>
      </c>
      <c r="L11" s="3" t="s">
        <v>463</v>
      </c>
    </row>
    <row r="12" spans="2:18" ht="15.75" thickBot="1" x14ac:dyDescent="0.3">
      <c r="C12" s="327" t="s">
        <v>1262</v>
      </c>
      <c r="D12" s="328"/>
      <c r="E12" s="13">
        <f>+'4. CD - Obra gris'!R76</f>
        <v>60655742.344000004</v>
      </c>
      <c r="F12" s="13">
        <f>+E12/4100</f>
        <v>14794.083498536587</v>
      </c>
      <c r="G12" s="130">
        <f>+E12/$E$35</f>
        <v>0.10746008337462749</v>
      </c>
      <c r="I12" s="15">
        <f>+'4. CD - Obra gris'!R80</f>
        <v>19915606.102000002</v>
      </c>
      <c r="J12" s="13">
        <f>+I12/4100</f>
        <v>4857.4649029268294</v>
      </c>
      <c r="K12" s="130">
        <f>+I12/$E$35</f>
        <v>3.528326601032622E-2</v>
      </c>
      <c r="L12" s="3" t="s">
        <v>464</v>
      </c>
    </row>
    <row r="13" spans="2:18" ht="15.75" thickBot="1" x14ac:dyDescent="0.3">
      <c r="C13" s="327" t="s">
        <v>1263</v>
      </c>
      <c r="D13" s="328"/>
      <c r="E13" s="13">
        <f>+'5, CD -Obra blanca'!R153</f>
        <v>70660019.099095255</v>
      </c>
      <c r="F13" s="13">
        <f>+E13/4100</f>
        <v>17234.150999779329</v>
      </c>
      <c r="G13" s="130">
        <f>+E13/$E$35</f>
        <v>0.12518405101001376</v>
      </c>
      <c r="I13" s="15">
        <f>+'5, CD -Obra blanca'!R157</f>
        <v>28649674.544523809</v>
      </c>
      <c r="J13" s="13">
        <f>+I13/4100</f>
        <v>6987.7254986643438</v>
      </c>
      <c r="K13" s="130">
        <f>+I13/$E$35</f>
        <v>5.0756882963365675E-2</v>
      </c>
      <c r="L13" s="3" t="s">
        <v>465</v>
      </c>
    </row>
    <row r="14" spans="2:18" ht="6" customHeight="1" thickBot="1" x14ac:dyDescent="0.3">
      <c r="C14" s="5"/>
      <c r="E14" s="7"/>
      <c r="F14" s="7"/>
      <c r="G14" s="8"/>
      <c r="I14" s="10"/>
      <c r="J14" s="7"/>
      <c r="K14" s="213"/>
    </row>
    <row r="15" spans="2:18" ht="15.75" thickBot="1" x14ac:dyDescent="0.3">
      <c r="C15" s="327" t="s">
        <v>19</v>
      </c>
      <c r="D15" s="328"/>
      <c r="E15" s="95">
        <f>+E11+E12+E13</f>
        <v>395130902.15856194</v>
      </c>
      <c r="F15" s="95">
        <f>+E15/4100</f>
        <v>96373.390770380967</v>
      </c>
      <c r="G15" s="130">
        <f>+E15/$E$35</f>
        <v>0.70002934675237749</v>
      </c>
      <c r="I15" s="98">
        <f>+I11+I12+I13</f>
        <v>65665899.656425148</v>
      </c>
      <c r="J15" s="95">
        <f>+I15/4100</f>
        <v>16016.073086932964</v>
      </c>
      <c r="K15" s="130">
        <f>+I15/$E$35</f>
        <v>0.11633627385070471</v>
      </c>
    </row>
    <row r="16" spans="2:18" ht="15.75" thickBot="1" x14ac:dyDescent="0.3">
      <c r="C16" s="347" t="s">
        <v>22</v>
      </c>
      <c r="D16" s="348"/>
      <c r="E16" s="95">
        <f>+$E$15/C6</f>
        <v>1264337.9692773644</v>
      </c>
      <c r="F16" s="95">
        <f>+E16/4100</f>
        <v>308.37511445789374</v>
      </c>
      <c r="G16" s="14"/>
      <c r="I16" s="98">
        <f>+$E$15/I6</f>
        <v>1264337.9692773644</v>
      </c>
      <c r="J16" s="95">
        <f>+I16/4100</f>
        <v>308.37511445789374</v>
      </c>
      <c r="K16" s="130"/>
      <c r="N16" s="194"/>
    </row>
    <row r="17" spans="2:18" ht="15.75" thickBot="1" x14ac:dyDescent="0.3">
      <c r="C17" s="347" t="s">
        <v>23</v>
      </c>
      <c r="D17" s="348"/>
      <c r="E17" s="95">
        <f>+$E$15/C7</f>
        <v>1159943.091080151</v>
      </c>
      <c r="F17" s="95">
        <f>+E17/4100</f>
        <v>282.91294904393925</v>
      </c>
      <c r="G17" s="14"/>
      <c r="I17" s="98">
        <f>+$E$15/I7</f>
        <v>1159943.091080151</v>
      </c>
      <c r="J17" s="95">
        <f>+I17/4100</f>
        <v>282.91294904393925</v>
      </c>
      <c r="K17" s="130"/>
      <c r="N17" s="4"/>
    </row>
    <row r="18" spans="2:18" ht="15.75" thickBot="1" x14ac:dyDescent="0.3">
      <c r="B18" s="4"/>
      <c r="C18" s="349" t="s">
        <v>24</v>
      </c>
      <c r="D18" s="350"/>
      <c r="E18" s="95">
        <f>+$E$15/C8</f>
        <v>935398.18701425579</v>
      </c>
      <c r="F18" s="95">
        <f>+E18/4100</f>
        <v>228.14589927176971</v>
      </c>
      <c r="G18" s="14"/>
      <c r="I18" s="98">
        <f>+$E$15/I8</f>
        <v>935398.18701425579</v>
      </c>
      <c r="J18" s="95">
        <f>+I18/4100</f>
        <v>228.14589927176971</v>
      </c>
      <c r="K18" s="130"/>
    </row>
    <row r="19" spans="2:18" ht="15.75" thickBot="1" x14ac:dyDescent="0.3">
      <c r="C19" s="300" t="s">
        <v>28</v>
      </c>
      <c r="D19" s="301"/>
      <c r="E19" s="301"/>
      <c r="F19" s="301"/>
      <c r="G19" s="302"/>
      <c r="H19" s="39"/>
      <c r="I19" s="344" t="s">
        <v>28</v>
      </c>
      <c r="J19" s="345"/>
      <c r="K19" s="346"/>
    </row>
    <row r="20" spans="2:18" ht="15.75" thickBot="1" x14ac:dyDescent="0.3">
      <c r="C20" s="329" t="s">
        <v>20</v>
      </c>
      <c r="D20" s="330"/>
      <c r="E20" s="17">
        <f>+'6. C. Indirectos'!R32</f>
        <v>34532731.358423099</v>
      </c>
      <c r="F20" s="17">
        <f>+E20/4100</f>
        <v>8422.6174044934396</v>
      </c>
      <c r="G20" s="131">
        <f>+E20/$E$35</f>
        <v>6.117953630645552E-2</v>
      </c>
      <c r="I20" s="19">
        <f>+'6. C. Indirectos'!R36</f>
        <v>0</v>
      </c>
      <c r="J20" s="17">
        <f>+I20/4100</f>
        <v>0</v>
      </c>
      <c r="K20" s="131">
        <f>+I20/$E$35</f>
        <v>0</v>
      </c>
      <c r="L20" s="3" t="s">
        <v>466</v>
      </c>
    </row>
    <row r="21" spans="2:18" ht="15.75" thickBot="1" x14ac:dyDescent="0.3">
      <c r="C21" s="104" t="s">
        <v>15</v>
      </c>
      <c r="D21" s="16">
        <v>0.05</v>
      </c>
      <c r="E21" s="17">
        <f>+($E$11+$E$12+$E$13)*D21</f>
        <v>19756545.107928097</v>
      </c>
      <c r="F21" s="17">
        <f>+E21/4100</f>
        <v>4818.6695385190478</v>
      </c>
      <c r="G21" s="131">
        <f>+E21/$E$35</f>
        <v>3.5001467337618879E-2</v>
      </c>
      <c r="I21" s="19">
        <f>+($I$11+$I$12+$I$13)*D21</f>
        <v>3283294.9828212578</v>
      </c>
      <c r="J21" s="17">
        <f>+I21/4100</f>
        <v>800.80365434664827</v>
      </c>
      <c r="K21" s="131">
        <f>+I21/$E$35</f>
        <v>5.8168136925352354E-3</v>
      </c>
      <c r="L21" s="3" t="s">
        <v>33</v>
      </c>
    </row>
    <row r="22" spans="2:18" ht="15.75" thickBot="1" x14ac:dyDescent="0.3">
      <c r="C22" s="103" t="s">
        <v>16</v>
      </c>
      <c r="D22" s="16">
        <v>0.04</v>
      </c>
      <c r="E22" s="17">
        <f>+($E$11+$E$12+$E$13)*D22</f>
        <v>15805236.086342478</v>
      </c>
      <c r="F22" s="17">
        <f>+E22/4100</f>
        <v>3854.9356308152387</v>
      </c>
      <c r="G22" s="131">
        <f>+E22/$E$35</f>
        <v>2.8001173870095101E-2</v>
      </c>
      <c r="I22" s="19">
        <f>+($I$11+$I$12+$I$13)*D22</f>
        <v>2626635.9862570059</v>
      </c>
      <c r="J22" s="17">
        <f>+I22/4100</f>
        <v>640.6429234773185</v>
      </c>
      <c r="K22" s="131">
        <f>+I22/$E$35</f>
        <v>4.653450954028188E-3</v>
      </c>
      <c r="L22" s="3" t="s">
        <v>30</v>
      </c>
    </row>
    <row r="23" spans="2:18" ht="15.75" thickBot="1" x14ac:dyDescent="0.3">
      <c r="C23" s="103" t="s">
        <v>17</v>
      </c>
      <c r="D23" s="16">
        <v>0.06</v>
      </c>
      <c r="E23" s="17">
        <f>+($E$11+$E$12+$E$13)*D23</f>
        <v>23707854.129513714</v>
      </c>
      <c r="F23" s="17">
        <f>+E23/4100</f>
        <v>5782.4034462228574</v>
      </c>
      <c r="G23" s="131">
        <f>+E23/$E$35</f>
        <v>4.2001760805142646E-2</v>
      </c>
      <c r="I23" s="19">
        <f>+($I$11+$I$12+$I$13)*D23</f>
        <v>3939953.9793855087</v>
      </c>
      <c r="J23" s="17">
        <f>+I23/4100</f>
        <v>960.9643852159777</v>
      </c>
      <c r="K23" s="131">
        <f>+I23/$E$35</f>
        <v>6.980176431042282E-3</v>
      </c>
      <c r="L23" s="3" t="s">
        <v>31</v>
      </c>
    </row>
    <row r="24" spans="2:18" ht="15.75" thickBot="1" x14ac:dyDescent="0.3">
      <c r="C24" s="103" t="s">
        <v>18</v>
      </c>
      <c r="D24" s="16">
        <v>0</v>
      </c>
      <c r="E24" s="17">
        <f>+($E$11+$E$12+$E$13)*D24</f>
        <v>0</v>
      </c>
      <c r="F24" s="17">
        <f>+E24/4200</f>
        <v>0</v>
      </c>
      <c r="G24" s="131">
        <f>+E24/$E$35</f>
        <v>0</v>
      </c>
      <c r="I24" s="19">
        <f>+($I$11+$I$12+$I$13)*D24</f>
        <v>0</v>
      </c>
      <c r="J24" s="17">
        <f>+I24/4200</f>
        <v>0</v>
      </c>
      <c r="K24" s="131">
        <f>+I24/$E$35</f>
        <v>0</v>
      </c>
      <c r="L24" s="3" t="s">
        <v>32</v>
      </c>
    </row>
    <row r="25" spans="2:18" ht="6" customHeight="1" thickBot="1" x14ac:dyDescent="0.3">
      <c r="C25" s="5"/>
      <c r="E25" s="7"/>
      <c r="F25" s="7"/>
      <c r="G25" s="8"/>
      <c r="I25" s="10"/>
      <c r="J25" s="7"/>
      <c r="K25" s="213"/>
    </row>
    <row r="26" spans="2:18" ht="15.75" thickBot="1" x14ac:dyDescent="0.3">
      <c r="C26" s="329" t="s">
        <v>21</v>
      </c>
      <c r="D26" s="330"/>
      <c r="E26" s="96">
        <f>+E20+E21+E22+E23+E24</f>
        <v>93802366.682207391</v>
      </c>
      <c r="F26" s="96">
        <f>+E26/4100</f>
        <v>22878.626020050582</v>
      </c>
      <c r="G26" s="131">
        <f>+E26/$E$35</f>
        <v>0.16618393831931216</v>
      </c>
      <c r="I26" s="99">
        <f>+I20+I21+I22+I23+I24</f>
        <v>9849884.9484637715</v>
      </c>
      <c r="J26" s="96">
        <f>+I26/4100</f>
        <v>2402.4109630399444</v>
      </c>
      <c r="K26" s="131">
        <f>+I26/$E$35</f>
        <v>1.7450441077605704E-2</v>
      </c>
    </row>
    <row r="27" spans="2:18" ht="15.75" thickBot="1" x14ac:dyDescent="0.3">
      <c r="C27" s="340" t="s">
        <v>22</v>
      </c>
      <c r="D27" s="341"/>
      <c r="E27" s="96">
        <f>+$E$26/C6</f>
        <v>300148.36388777487</v>
      </c>
      <c r="F27" s="96">
        <f>+E27/4100</f>
        <v>73.206918021408512</v>
      </c>
      <c r="G27" s="18"/>
      <c r="I27" s="99">
        <f>+$E$26/I6</f>
        <v>300148.36388777487</v>
      </c>
      <c r="J27" s="96">
        <f>+I27/4100</f>
        <v>73.206918021408512</v>
      </c>
      <c r="K27" s="131"/>
    </row>
    <row r="28" spans="2:18" ht="15.75" thickBot="1" x14ac:dyDescent="0.3">
      <c r="C28" s="340" t="s">
        <v>23</v>
      </c>
      <c r="D28" s="341"/>
      <c r="E28" s="96">
        <f>+$E$26/C7</f>
        <v>275365.47145667416</v>
      </c>
      <c r="F28" s="96">
        <f>+E28/4100</f>
        <v>67.162310111383945</v>
      </c>
      <c r="G28" s="20"/>
      <c r="I28" s="99">
        <f>+$E$26/I7</f>
        <v>275365.47145667416</v>
      </c>
      <c r="J28" s="96">
        <f>+I28/4100</f>
        <v>67.162310111383945</v>
      </c>
      <c r="K28" s="131"/>
      <c r="R28" s="4"/>
    </row>
    <row r="29" spans="2:18" ht="15.75" thickBot="1" x14ac:dyDescent="0.3">
      <c r="C29" s="340" t="s">
        <v>24</v>
      </c>
      <c r="D29" s="341"/>
      <c r="E29" s="97">
        <f>+$E$26/C8</f>
        <v>222059.48270017374</v>
      </c>
      <c r="F29" s="96">
        <f>+E29/4100</f>
        <v>54.160849439066766</v>
      </c>
      <c r="G29" s="21"/>
      <c r="I29" s="100">
        <f>+$E$26/I8</f>
        <v>222059.48270017374</v>
      </c>
      <c r="J29" s="96">
        <f>+I29/4100</f>
        <v>54.160849439066766</v>
      </c>
      <c r="K29" s="214"/>
      <c r="L29" s="194"/>
    </row>
    <row r="30" spans="2:18" ht="15.75" thickBot="1" x14ac:dyDescent="0.3">
      <c r="C30" s="300" t="s">
        <v>29</v>
      </c>
      <c r="D30" s="301"/>
      <c r="E30" s="301"/>
      <c r="F30" s="301"/>
      <c r="G30" s="302"/>
      <c r="H30" s="39"/>
      <c r="I30" s="300" t="s">
        <v>29</v>
      </c>
      <c r="J30" s="301"/>
      <c r="K30" s="302"/>
      <c r="N30" s="4"/>
    </row>
    <row r="31" spans="2:18" ht="15.75" thickBot="1" x14ac:dyDescent="0.3">
      <c r="C31" s="342" t="s">
        <v>458</v>
      </c>
      <c r="D31" s="343"/>
      <c r="E31" s="335">
        <f>+E26+E15</f>
        <v>488933268.84076935</v>
      </c>
      <c r="F31" s="335"/>
      <c r="G31" s="105">
        <f>+E31/E35</f>
        <v>0.86621328507168971</v>
      </c>
      <c r="H31" s="39"/>
      <c r="I31" s="220" t="s">
        <v>459</v>
      </c>
      <c r="J31" s="106">
        <f>+I26+I15</f>
        <v>75515784.604888916</v>
      </c>
      <c r="K31" s="107">
        <f>+J31/E35</f>
        <v>0.1337867149283104</v>
      </c>
      <c r="P31" s="417"/>
      <c r="Q31" s="417"/>
    </row>
    <row r="32" spans="2:18" ht="15.75" thickBot="1" x14ac:dyDescent="0.3">
      <c r="C32" s="315" t="s">
        <v>22</v>
      </c>
      <c r="D32" s="316"/>
      <c r="E32" s="312">
        <f>+$E$31/C6</f>
        <v>1564486.3331651394</v>
      </c>
      <c r="F32" s="313"/>
      <c r="G32" s="314"/>
      <c r="I32" s="312">
        <f>+$J$31/I6</f>
        <v>241635.04609269463</v>
      </c>
      <c r="J32" s="313"/>
      <c r="K32" s="314"/>
      <c r="L32" s="418"/>
      <c r="M32" s="419"/>
      <c r="N32" s="4"/>
      <c r="P32" s="416"/>
      <c r="Q32" s="416"/>
    </row>
    <row r="33" spans="3:20" ht="15.75" thickBot="1" x14ac:dyDescent="0.3">
      <c r="C33" s="315" t="s">
        <v>23</v>
      </c>
      <c r="D33" s="316"/>
      <c r="E33" s="312">
        <f>+$E$31/C7</f>
        <v>1435308.5625368252</v>
      </c>
      <c r="F33" s="313"/>
      <c r="G33" s="314"/>
      <c r="I33" s="312">
        <f>+$J$31/I7</f>
        <v>221683.52852540789</v>
      </c>
      <c r="J33" s="313"/>
      <c r="K33" s="314"/>
    </row>
    <row r="34" spans="3:20" ht="15.75" thickBot="1" x14ac:dyDescent="0.3">
      <c r="C34" s="315" t="s">
        <v>24</v>
      </c>
      <c r="D34" s="316"/>
      <c r="E34" s="312">
        <f>+$E$31/C8</f>
        <v>1157457.6697144296</v>
      </c>
      <c r="F34" s="313"/>
      <c r="G34" s="314"/>
      <c r="I34" s="312">
        <f>+$J$31/I8</f>
        <v>178769.43469743125</v>
      </c>
      <c r="J34" s="313"/>
      <c r="K34" s="314"/>
      <c r="L34" s="418"/>
      <c r="M34" s="417"/>
      <c r="N34" s="4"/>
      <c r="P34" s="416"/>
      <c r="Q34" s="416"/>
    </row>
    <row r="35" spans="3:20" ht="15.75" thickBot="1" x14ac:dyDescent="0.3">
      <c r="C35" s="333" t="s">
        <v>25</v>
      </c>
      <c r="D35" s="334"/>
      <c r="E35" s="326">
        <f>+E31+J31</f>
        <v>564449053.44565821</v>
      </c>
      <c r="F35" s="326"/>
      <c r="G35" s="132">
        <f>+G15+G26+K15+K26</f>
        <v>1</v>
      </c>
      <c r="H35" s="39"/>
      <c r="I35" s="221"/>
      <c r="J35" s="221"/>
      <c r="K35" s="215"/>
    </row>
    <row r="36" spans="3:20" ht="15.75" thickBot="1" x14ac:dyDescent="0.3">
      <c r="C36" s="315" t="s">
        <v>22</v>
      </c>
      <c r="D36" s="316"/>
      <c r="E36" s="312">
        <f>+$E$35/($C$6)</f>
        <v>1806121.3792578338</v>
      </c>
      <c r="F36" s="313"/>
      <c r="G36" s="314"/>
      <c r="H36" s="39"/>
      <c r="I36" s="317" t="s">
        <v>1221</v>
      </c>
      <c r="J36" s="318"/>
      <c r="K36" s="319"/>
      <c r="N36" s="4"/>
      <c r="Q36" s="336"/>
      <c r="R36" s="336"/>
    </row>
    <row r="37" spans="3:20" ht="15.75" thickBot="1" x14ac:dyDescent="0.3">
      <c r="C37" s="315" t="s">
        <v>23</v>
      </c>
      <c r="D37" s="316"/>
      <c r="E37" s="312">
        <f>+$E$35/($C$7)</f>
        <v>1656992.0910622329</v>
      </c>
      <c r="F37" s="313"/>
      <c r="G37" s="314"/>
      <c r="H37" s="39"/>
      <c r="I37" s="320"/>
      <c r="J37" s="321"/>
      <c r="K37" s="322"/>
      <c r="N37" s="4"/>
      <c r="Q37" s="336"/>
      <c r="R37" s="336"/>
    </row>
    <row r="38" spans="3:20" ht="15.75" thickBot="1" x14ac:dyDescent="0.3">
      <c r="C38" s="315" t="s">
        <v>24</v>
      </c>
      <c r="D38" s="316"/>
      <c r="E38" s="312">
        <f>+$E$35/($C$8)</f>
        <v>1336227.1044118607</v>
      </c>
      <c r="F38" s="313"/>
      <c r="G38" s="314"/>
      <c r="H38" s="39"/>
      <c r="I38" s="323"/>
      <c r="J38" s="324"/>
      <c r="K38" s="325"/>
    </row>
    <row r="40" spans="3:20" ht="15.75" thickBot="1" x14ac:dyDescent="0.3"/>
    <row r="41" spans="3:20" s="180" customFormat="1" ht="15.75" customHeight="1" thickBot="1" x14ac:dyDescent="0.3">
      <c r="C41" s="309">
        <v>0</v>
      </c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1"/>
      <c r="P41" s="229"/>
      <c r="Q41" s="230" t="s">
        <v>498</v>
      </c>
      <c r="R41" s="230" t="s">
        <v>1132</v>
      </c>
      <c r="S41" s="230" t="s">
        <v>500</v>
      </c>
      <c r="T41" s="231" t="s">
        <v>1134</v>
      </c>
    </row>
    <row r="42" spans="3:20" s="180" customFormat="1" ht="30.75" thickBot="1" x14ac:dyDescent="0.3">
      <c r="C42" s="237"/>
      <c r="D42" s="238" t="str">
        <f>+'3. CD - Obra negra'!E363</f>
        <v>MATERIALES</v>
      </c>
      <c r="E42" s="238" t="str">
        <f>+'3. CD - Obra negra'!G363</f>
        <v>CANTIDAD</v>
      </c>
      <c r="F42" s="238" t="str">
        <f>+'3. CD - Obra negra'!H363</f>
        <v>UNIDAD</v>
      </c>
      <c r="G42" s="238" t="str">
        <f>+'3. CD - Obra negra'!J363</f>
        <v>GRUPO</v>
      </c>
      <c r="H42" s="238"/>
      <c r="I42" s="239" t="str">
        <f>+'3. CD - Obra negra'!L363</f>
        <v>V. UNITARIO</v>
      </c>
      <c r="J42" s="239" t="str">
        <f>+'3. CD - Obra negra'!M363</f>
        <v>V. TOTAL</v>
      </c>
      <c r="K42" s="240" t="str">
        <f>+'3. CD - Obra negra'!N363</f>
        <v>PORCENTAJE</v>
      </c>
      <c r="L42" s="238" t="str">
        <f>+'3. CD - Obra negra'!O363</f>
        <v>PROVEEDOR</v>
      </c>
      <c r="M42" s="238" t="s">
        <v>1133</v>
      </c>
      <c r="N42" s="241" t="s">
        <v>1135</v>
      </c>
      <c r="O42" s="228"/>
      <c r="P42" s="232" t="s">
        <v>478</v>
      </c>
      <c r="Q42" s="226" t="e">
        <f>+J136</f>
        <v>#REF!</v>
      </c>
      <c r="R42" s="226">
        <f>+'3. CD - Obra negra'!P352+'4. CD - Obra gris'!P82+'5, CD -Obra blanca'!P159</f>
        <v>232256500.79578707</v>
      </c>
      <c r="S42" s="226" t="e">
        <f>+Q42-R42</f>
        <v>#REF!</v>
      </c>
      <c r="T42" s="233" t="e">
        <f>(Q42/R42)</f>
        <v>#REF!</v>
      </c>
    </row>
    <row r="43" spans="3:20" s="180" customFormat="1" ht="30.75" thickBot="1" x14ac:dyDescent="0.3">
      <c r="D43" s="180" t="str">
        <f>+'3. CD - Obra negra'!E364</f>
        <v>Cemento para ciclópeo</v>
      </c>
      <c r="E43" s="168">
        <f>(SUMIFS('3. CD - Obra negra'!$G$364:$G$427,'3. CD - Obra negra'!$E$364:$E$427,'1. GENERAL'!D43))+(SUMIFS('4. CD - Obra gris'!$G$94:$G$123,'4. CD - Obra gris'!$E$94:$E$123,'1. GENERAL'!D43))+(SUMIFS('5, CD -Obra blanca'!$G$171:$G$200,'5, CD -Obra blanca'!$E$171:$E$200,'1. GENERAL'!D43))+(SUMIFS('5, CD -Obra blanca'!$G$205:$G$214,'5, CD -Obra blanca'!$E$205:$E$214,'1. GENERAL'!D43))</f>
        <v>2.3760000000000003</v>
      </c>
      <c r="F43" s="180" t="str">
        <f>+(VLOOKUP(D43,MATCASAOBRANEGRA,4,FALSE))</f>
        <v>BTO</v>
      </c>
      <c r="G43" s="180" t="str">
        <f>+(VLOOKUP(D43,MATCASAOBRANEGRA,6,FALSE))</f>
        <v>CONCRETO</v>
      </c>
      <c r="I43" s="224">
        <f>+(VLOOKUP(D43,MATCASAOBRANEGRA,8,FALSE))</f>
        <v>33000</v>
      </c>
      <c r="J43" s="224">
        <f>+I43*E43</f>
        <v>78408.000000000015</v>
      </c>
      <c r="K43" s="225">
        <f>+J43/$E$35</f>
        <v>1.3891067674108283E-4</v>
      </c>
      <c r="L43" s="180" t="str">
        <f>+'3. CD - Obra negra'!O364</f>
        <v>Ferretería cercana</v>
      </c>
      <c r="M43" s="180">
        <v>1</v>
      </c>
      <c r="N43" s="226">
        <f>(M43*I43)-J43</f>
        <v>-45408.000000000015</v>
      </c>
      <c r="O43" s="226"/>
      <c r="P43" s="234" t="s">
        <v>480</v>
      </c>
      <c r="Q43" s="235" t="e">
        <f>+J180</f>
        <v>#REF!</v>
      </c>
      <c r="R43" s="235">
        <f>+'3. CD - Obra negra'!Q352+'4. CD - Obra gris'!Q82+'5, CD -Obra blanca'!Q159</f>
        <v>228540301.01919997</v>
      </c>
      <c r="S43" s="235" t="e">
        <f>+Q43-R43</f>
        <v>#REF!</v>
      </c>
      <c r="T43" s="236" t="e">
        <f>+Q43/R43</f>
        <v>#REF!</v>
      </c>
    </row>
    <row r="44" spans="3:20" s="180" customFormat="1" ht="30.75" thickBot="1" x14ac:dyDescent="0.3">
      <c r="D44" s="180" t="str">
        <f>+'3. CD - Obra negra'!E365</f>
        <v>Cemento para mortero</v>
      </c>
      <c r="E44" s="168">
        <f>(SUMIFS('3. CD - Obra negra'!$G$364:$G$427,'3. CD - Obra negra'!$E$364:$E$427,'1. GENERAL'!D44))+(SUMIFS('4. CD - Obra gris'!$G$94:$G$123,'4. CD - Obra gris'!$E$94:$E$123,'1. GENERAL'!D44))+(SUMIFS('5, CD -Obra blanca'!$G$171:$G$200,'5, CD -Obra blanca'!$E$171:$E$200,'1. GENERAL'!D44))+(SUMIFS('5, CD -Obra blanca'!$G$205:$G$214,'5, CD -Obra blanca'!$E$205:$E$214,'1. GENERAL'!D44))</f>
        <v>0.95039999999999991</v>
      </c>
      <c r="F44" s="180" t="str">
        <f t="shared" ref="F44:F88" si="0">+(VLOOKUP(D44,MATCASAOBRANEGRA,4,FALSE))</f>
        <v>BTO</v>
      </c>
      <c r="G44" s="180" t="str">
        <f t="shared" ref="G44:G88" si="1">+(VLOOKUP(D44,MATCASAOBRANEGRA,6,FALSE))</f>
        <v>PAÑETE</v>
      </c>
      <c r="I44" s="224">
        <f t="shared" ref="I44:I88" si="2">+(VLOOKUP(D44,MATCASAOBRANEGRA,8,FALSE))</f>
        <v>33000</v>
      </c>
      <c r="J44" s="224">
        <f t="shared" ref="J44:J88" si="3">+I44*E44</f>
        <v>31363.199999999997</v>
      </c>
      <c r="K44" s="225">
        <f t="shared" ref="K44:K93" si="4">+J44/$E$35</f>
        <v>5.5564270696433116E-5</v>
      </c>
      <c r="L44" s="180" t="str">
        <f>+'3. CD - Obra negra'!O365</f>
        <v>Ferretería cercana</v>
      </c>
      <c r="M44" s="180">
        <v>62</v>
      </c>
      <c r="N44" s="226">
        <f t="shared" ref="N44:N93" si="5">(M44*I44)-J44</f>
        <v>2014636.8</v>
      </c>
      <c r="O44" s="226"/>
      <c r="P44" s="255" t="s">
        <v>254</v>
      </c>
      <c r="Q44" s="256" t="e">
        <f>+Q42+Q43</f>
        <v>#REF!</v>
      </c>
      <c r="R44" s="256">
        <f>+R42+R43</f>
        <v>460796801.81498706</v>
      </c>
      <c r="S44" s="256" t="e">
        <f>+Q44-R44</f>
        <v>#REF!</v>
      </c>
      <c r="T44" s="249" t="e">
        <f>+Q44/R44</f>
        <v>#REF!</v>
      </c>
    </row>
    <row r="45" spans="3:20" s="180" customFormat="1" ht="30" x14ac:dyDescent="0.25">
      <c r="D45" s="180" t="str">
        <f>+'3. CD - Obra negra'!E366</f>
        <v>Cemento para 2000PSI</v>
      </c>
      <c r="E45" s="168">
        <f>(SUMIFS('3. CD - Obra negra'!$G$364:$G$427,'3. CD - Obra negra'!$E$364:$E$427,'1. GENERAL'!D45))+(SUMIFS('4. CD - Obra gris'!$G$94:$G$123,'4. CD - Obra gris'!$E$94:$E$123,'1. GENERAL'!D45))+(SUMIFS('5, CD -Obra blanca'!$G$171:$G$200,'5, CD -Obra blanca'!$E$171:$E$200,'1. GENERAL'!D45))+(SUMIFS('5, CD -Obra blanca'!$G$205:$G$214,'5, CD -Obra blanca'!$E$205:$E$214,'1. GENERAL'!D45))</f>
        <v>0.75600000000000001</v>
      </c>
      <c r="F45" s="180" t="str">
        <f t="shared" si="0"/>
        <v>BTO</v>
      </c>
      <c r="G45" s="180" t="str">
        <f t="shared" si="1"/>
        <v>CONCRETO</v>
      </c>
      <c r="I45" s="224">
        <f t="shared" si="2"/>
        <v>33000</v>
      </c>
      <c r="J45" s="224">
        <f t="shared" si="3"/>
        <v>24948</v>
      </c>
      <c r="K45" s="225">
        <f t="shared" si="4"/>
        <v>4.4198851690344531E-5</v>
      </c>
      <c r="L45" s="180" t="str">
        <f>+'3. CD - Obra negra'!O367</f>
        <v>Ferretería cercana</v>
      </c>
      <c r="M45" s="180">
        <v>25</v>
      </c>
      <c r="N45" s="226">
        <f>(M45*I45)-J45</f>
        <v>800052</v>
      </c>
      <c r="O45" s="226"/>
      <c r="S45" s="180" t="s">
        <v>500</v>
      </c>
      <c r="T45" s="257" t="e">
        <f>+T44-100%</f>
        <v>#REF!</v>
      </c>
    </row>
    <row r="46" spans="3:20" s="180" customFormat="1" ht="30" x14ac:dyDescent="0.25">
      <c r="D46" s="180" t="str">
        <f>+'3. CD - Obra negra'!E367</f>
        <v>Cemento para 3000PSI</v>
      </c>
      <c r="E46" s="168">
        <f>(SUMIFS('3. CD - Obra negra'!$G$364:$G$427,'3. CD - Obra negra'!$E$364:$E$427,'1. GENERAL'!D46))+(SUMIFS('4. CD - Obra gris'!$G$94:$G$123,'4. CD - Obra gris'!$E$94:$E$123,'1. GENERAL'!D46))+(SUMIFS('5, CD -Obra blanca'!$G$171:$G$200,'5, CD -Obra blanca'!$E$171:$E$200,'1. GENERAL'!D46))+(SUMIFS('5, CD -Obra blanca'!$G$205:$G$214,'5, CD -Obra blanca'!$E$205:$E$214,'1. GENERAL'!D46))</f>
        <v>1.0584</v>
      </c>
      <c r="F46" s="180" t="str">
        <f t="shared" si="0"/>
        <v>BTO</v>
      </c>
      <c r="G46" s="180" t="str">
        <f t="shared" si="1"/>
        <v>CONCRETO</v>
      </c>
      <c r="I46" s="224">
        <f t="shared" si="2"/>
        <v>33000</v>
      </c>
      <c r="J46" s="224">
        <f t="shared" si="3"/>
        <v>34927.199999999997</v>
      </c>
      <c r="K46" s="225">
        <f t="shared" si="4"/>
        <v>6.1878392366482342E-5</v>
      </c>
      <c r="L46" s="180" t="str">
        <f>+'3. CD - Obra negra'!O368</f>
        <v>Ferretería cercana</v>
      </c>
      <c r="M46" s="180">
        <v>8</v>
      </c>
      <c r="N46" s="226">
        <f t="shared" si="5"/>
        <v>229072.8</v>
      </c>
      <c r="O46" s="226"/>
    </row>
    <row r="47" spans="3:20" s="180" customFormat="1" ht="30" x14ac:dyDescent="0.25">
      <c r="D47" s="180" t="str">
        <f>+'3. CD - Obra negra'!E368</f>
        <v>Piedra media zonga</v>
      </c>
      <c r="E47" s="168">
        <f>(SUMIFS('3. CD - Obra negra'!$G$364:$G$427,'3. CD - Obra negra'!$E$364:$E$427,'1. GENERAL'!D47))+(SUMIFS('4. CD - Obra gris'!$G$94:$G$123,'4. CD - Obra gris'!$E$94:$E$123,'1. GENERAL'!D47))+(SUMIFS('5, CD -Obra blanca'!$G$171:$G$200,'5, CD -Obra blanca'!$E$171:$E$200,'1. GENERAL'!D47))+(SUMIFS('5, CD -Obra blanca'!$G$205:$G$214,'5, CD -Obra blanca'!$E$205:$E$214,'1. GENERAL'!D47))</f>
        <v>0.19800000000000004</v>
      </c>
      <c r="F47" s="180" t="str">
        <f t="shared" si="0"/>
        <v>M3</v>
      </c>
      <c r="G47" s="180" t="str">
        <f t="shared" si="1"/>
        <v>CONCRETO</v>
      </c>
      <c r="I47" s="224">
        <f t="shared" si="2"/>
        <v>110000</v>
      </c>
      <c r="J47" s="224">
        <f t="shared" si="3"/>
        <v>21780.000000000004</v>
      </c>
      <c r="K47" s="225">
        <f t="shared" si="4"/>
        <v>3.8586299094745234E-5</v>
      </c>
      <c r="L47" s="180" t="str">
        <f>+'3. CD - Obra negra'!O369</f>
        <v>Ferretería cercana</v>
      </c>
      <c r="M47" s="180">
        <v>0.5</v>
      </c>
      <c r="N47" s="226">
        <f t="shared" si="5"/>
        <v>33220</v>
      </c>
      <c r="O47" s="226"/>
    </row>
    <row r="48" spans="3:20" s="180" customFormat="1" ht="30" x14ac:dyDescent="0.25">
      <c r="D48" s="180" t="str">
        <f>+'3. CD - Obra negra'!E369</f>
        <v>Mixto</v>
      </c>
      <c r="E48" s="168">
        <f>(SUMIFS('3. CD - Obra negra'!$G$364:$G$427,'3. CD - Obra negra'!$E$364:$E$427,'1. GENERAL'!D48))+(SUMIFS('4. CD - Obra gris'!$G$94:$G$123,'4. CD - Obra gris'!$E$94:$E$123,'1. GENERAL'!D48))+(SUMIFS('5, CD -Obra blanca'!$G$171:$G$200,'5, CD -Obra blanca'!$E$171:$E$200,'1. GENERAL'!D48))+(SUMIFS('5, CD -Obra blanca'!$G$205:$G$214,'5, CD -Obra blanca'!$E$205:$E$214,'1. GENERAL'!D48))</f>
        <v>1.3111200000000003</v>
      </c>
      <c r="F48" s="180" t="str">
        <f t="shared" si="0"/>
        <v>M3</v>
      </c>
      <c r="G48" s="180" t="str">
        <f t="shared" si="1"/>
        <v>CONCRETO</v>
      </c>
      <c r="I48" s="224">
        <f t="shared" si="2"/>
        <v>160000</v>
      </c>
      <c r="J48" s="224">
        <f t="shared" si="3"/>
        <v>209779.20000000004</v>
      </c>
      <c r="K48" s="225">
        <f t="shared" si="4"/>
        <v>3.7165302823950318E-4</v>
      </c>
      <c r="L48" s="180" t="str">
        <f>+'3. CD - Obra negra'!O370</f>
        <v>Ferretería cercana</v>
      </c>
      <c r="M48" s="180">
        <v>7.5</v>
      </c>
      <c r="N48" s="226">
        <f t="shared" si="5"/>
        <v>990220.79999999993</v>
      </c>
      <c r="O48" s="226"/>
      <c r="Q48" s="180" t="s">
        <v>1461</v>
      </c>
      <c r="R48" s="180" t="s">
        <v>1467</v>
      </c>
      <c r="S48" s="180" t="s">
        <v>1468</v>
      </c>
    </row>
    <row r="49" spans="4:20" s="180" customFormat="1" ht="30" x14ac:dyDescent="0.25">
      <c r="D49" s="180" t="str">
        <f>+'3. CD - Obra negra'!E370</f>
        <v>Arena de peña</v>
      </c>
      <c r="E49" s="168">
        <f>(SUMIFS('3. CD - Obra negra'!$G$364:$G$427,'3. CD - Obra negra'!$E$364:$E$427,'1. GENERAL'!D49))+(SUMIFS('4. CD - Obra gris'!$G$94:$G$123,'4. CD - Obra gris'!$E$94:$E$123,'1. GENERAL'!D49))+(SUMIFS('5, CD -Obra blanca'!$G$171:$G$200,'5, CD -Obra blanca'!$E$171:$E$200,'1. GENERAL'!D49))+(SUMIFS('5, CD -Obra blanca'!$G$205:$G$214,'5, CD -Obra blanca'!$E$205:$E$214,'1. GENERAL'!D49))</f>
        <v>0.18374399999999996</v>
      </c>
      <c r="F49" s="180" t="str">
        <f>+(VLOOKUP(D49,MATCASAEST,4,FALSE))</f>
        <v>M3</v>
      </c>
      <c r="G49" s="180" t="str">
        <f t="shared" si="1"/>
        <v>PAÑETE</v>
      </c>
      <c r="I49" s="224">
        <f t="shared" si="2"/>
        <v>140000</v>
      </c>
      <c r="J49" s="224">
        <f t="shared" si="3"/>
        <v>25724.159999999996</v>
      </c>
      <c r="K49" s="225">
        <f t="shared" si="4"/>
        <v>4.5573927076266353E-5</v>
      </c>
      <c r="L49" s="180" t="str">
        <f>+'3. CD - Obra negra'!O371</f>
        <v>Ferretería cercana</v>
      </c>
      <c r="M49" s="180">
        <v>12.5</v>
      </c>
      <c r="N49" s="226">
        <f t="shared" si="5"/>
        <v>1724275.84</v>
      </c>
      <c r="O49" s="226"/>
      <c r="Q49" s="180" t="s">
        <v>1462</v>
      </c>
      <c r="R49" s="180" t="e">
        <f>+'2. CANTIDADES'!#REF!+'2. CANTIDADES'!BK2+'2. CANTIDADES'!BS2+'2. CANTIDADES'!CA2+'2. CANTIDADES'!CI2+'2. CANTIDADES'!EI2+'2. CANTIDADES'!#REF!+'2. CANTIDADES'!#REF!</f>
        <v>#REF!</v>
      </c>
      <c r="S49" s="180">
        <f>+'5, CD -Obra blanca'!G82/6</f>
        <v>38.312750000000008</v>
      </c>
    </row>
    <row r="50" spans="4:20" s="180" customFormat="1" ht="30" x14ac:dyDescent="0.25">
      <c r="D50" s="180" t="str">
        <f>+'3. CD - Obra negra'!E371</f>
        <v>Arena semilavada</v>
      </c>
      <c r="E50" s="168">
        <f>(SUMIFS('3. CD - Obra negra'!$G$364:$G$427,'3. CD - Obra negra'!$E$364:$E$427,'1. GENERAL'!D50))+(SUMIFS('4. CD - Obra gris'!$G$94:$G$123,'4. CD - Obra gris'!$E$94:$E$123,'1. GENERAL'!D50))+(SUMIFS('5, CD -Obra blanca'!$G$171:$G$200,'5, CD -Obra blanca'!$E$171:$E$200,'1. GENERAL'!D50))+(SUMIFS('5, CD -Obra blanca'!$G$205:$G$214,'5, CD -Obra blanca'!$E$205:$E$214,'1. GENERAL'!D50))</f>
        <v>0</v>
      </c>
      <c r="F50" s="180" t="e">
        <f t="shared" si="0"/>
        <v>#N/A</v>
      </c>
      <c r="G50" s="180" t="str">
        <f t="shared" si="1"/>
        <v>PAÑETE</v>
      </c>
      <c r="I50" s="224">
        <f t="shared" si="2"/>
        <v>140000</v>
      </c>
      <c r="J50" s="224">
        <f t="shared" si="3"/>
        <v>0</v>
      </c>
      <c r="K50" s="225">
        <f t="shared" si="4"/>
        <v>0</v>
      </c>
      <c r="L50" s="180" t="str">
        <f>+'3. CD - Obra negra'!O372</f>
        <v>Ferretería cercana</v>
      </c>
      <c r="M50" s="180">
        <v>0.5</v>
      </c>
      <c r="N50" s="226">
        <f t="shared" si="5"/>
        <v>70000</v>
      </c>
      <c r="O50" s="226"/>
      <c r="Q50" s="180" t="s">
        <v>1463</v>
      </c>
      <c r="R50" s="180">
        <f>+'2. CANTIDADES'!BU2+'2. CANTIDADES'!CB2+'2. CANTIDADES'!CJ2</f>
        <v>14</v>
      </c>
    </row>
    <row r="51" spans="4:20" s="180" customFormat="1" ht="45" x14ac:dyDescent="0.25">
      <c r="D51" s="180" t="str">
        <f>+'3. CD - Obra negra'!E372</f>
        <v>Plástico calibre 6 polietileno</v>
      </c>
      <c r="E51" s="168">
        <f>(SUMIFS('3. CD - Obra negra'!$G$364:$G$427,'3. CD - Obra negra'!$E$364:$E$427,'1. GENERAL'!D51))+(SUMIFS('4. CD - Obra gris'!$G$94:$G$123,'4. CD - Obra gris'!$E$94:$E$123,'1. GENERAL'!D51))+(SUMIFS('5, CD -Obra blanca'!$G$171:$G$200,'5, CD -Obra blanca'!$E$171:$E$200,'1. GENERAL'!D51))+(SUMIFS('5, CD -Obra blanca'!$G$205:$G$214,'5, CD -Obra blanca'!$E$205:$E$214,'1. GENERAL'!D51))</f>
        <v>0</v>
      </c>
      <c r="F51" s="180" t="str">
        <f t="shared" si="0"/>
        <v>M2</v>
      </c>
      <c r="G51" s="180" t="str">
        <f t="shared" si="1"/>
        <v>AISLANTES</v>
      </c>
      <c r="I51" s="224">
        <f t="shared" si="2"/>
        <v>1700</v>
      </c>
      <c r="J51" s="224">
        <f t="shared" si="3"/>
        <v>0</v>
      </c>
      <c r="K51" s="225">
        <f t="shared" si="4"/>
        <v>0</v>
      </c>
      <c r="L51" s="180" t="str">
        <f>+'3. CD - Obra negra'!O373</f>
        <v>Ferretería cercana</v>
      </c>
      <c r="M51" s="180">
        <v>7</v>
      </c>
      <c r="N51" s="226">
        <f t="shared" si="5"/>
        <v>11900</v>
      </c>
      <c r="O51" s="226"/>
      <c r="Q51" s="180" t="s">
        <v>1464</v>
      </c>
      <c r="R51" s="180">
        <f>+'2. CANTIDADES'!BL2+'2. CANTIDADES'!BT2</f>
        <v>2</v>
      </c>
    </row>
    <row r="52" spans="4:20" s="180" customFormat="1" ht="30" x14ac:dyDescent="0.25">
      <c r="D52" s="180" t="str">
        <f>+'3. CD - Obra negra'!E373</f>
        <v>Varilla 1/2"</v>
      </c>
      <c r="E52" s="168">
        <f>(SUMIFS('3. CD - Obra negra'!$G$364:$G$427,'3. CD - Obra negra'!$E$364:$E$427,'1. GENERAL'!D52))+(SUMIFS('4. CD - Obra gris'!$G$94:$G$123,'4. CD - Obra gris'!$E$94:$E$123,'1. GENERAL'!D52))+(SUMIFS('5, CD -Obra blanca'!$G$171:$G$200,'5, CD -Obra blanca'!$E$171:$E$200,'1. GENERAL'!D52))+(SUMIFS('5, CD -Obra blanca'!$G$205:$G$214,'5, CD -Obra blanca'!$E$205:$E$214,'1. GENERAL'!D52))</f>
        <v>0</v>
      </c>
      <c r="F52" s="180" t="str">
        <f t="shared" si="0"/>
        <v>KG</v>
      </c>
      <c r="G52" s="180" t="str">
        <f t="shared" si="1"/>
        <v>ACERO</v>
      </c>
      <c r="I52" s="224">
        <f t="shared" si="2"/>
        <v>4000</v>
      </c>
      <c r="J52" s="224">
        <f t="shared" si="3"/>
        <v>0</v>
      </c>
      <c r="K52" s="225">
        <f t="shared" si="4"/>
        <v>0</v>
      </c>
      <c r="L52" s="180" t="str">
        <f>+'3. CD - Obra negra'!O374</f>
        <v>Ferretería cercana</v>
      </c>
      <c r="M52" s="180">
        <f>30*6</f>
        <v>180</v>
      </c>
      <c r="N52" s="226">
        <f t="shared" si="5"/>
        <v>720000</v>
      </c>
      <c r="O52" s="226"/>
      <c r="Q52" s="180" t="s">
        <v>1465</v>
      </c>
      <c r="R52" s="180">
        <f>+'2. CANTIDADES'!CC2</f>
        <v>5</v>
      </c>
      <c r="T52" s="180">
        <f>17*2</f>
        <v>34</v>
      </c>
    </row>
    <row r="53" spans="4:20" s="180" customFormat="1" ht="30" x14ac:dyDescent="0.25">
      <c r="D53" s="180" t="str">
        <f>+'3. CD - Obra negra'!E374</f>
        <v>Alambre negro No 18</v>
      </c>
      <c r="E53" s="168">
        <f>(SUMIFS('3. CD - Obra negra'!$G$364:$G$427,'3. CD - Obra negra'!$E$364:$E$427,'1. GENERAL'!D53))+(SUMIFS('4. CD - Obra gris'!$G$94:$G$123,'4. CD - Obra gris'!$E$94:$E$123,'1. GENERAL'!D53))+(SUMIFS('5, CD -Obra blanca'!$G$171:$G$200,'5, CD -Obra blanca'!$E$171:$E$200,'1. GENERAL'!D53))+(SUMIFS('5, CD -Obra blanca'!$G$205:$G$214,'5, CD -Obra blanca'!$E$205:$E$214,'1. GENERAL'!D53))</f>
        <v>0</v>
      </c>
      <c r="F53" s="180" t="str">
        <f t="shared" si="0"/>
        <v>KG</v>
      </c>
      <c r="G53" s="180" t="str">
        <f t="shared" si="1"/>
        <v>ACERO</v>
      </c>
      <c r="I53" s="224">
        <f t="shared" si="2"/>
        <v>8000</v>
      </c>
      <c r="J53" s="224">
        <f t="shared" si="3"/>
        <v>0</v>
      </c>
      <c r="K53" s="225">
        <f t="shared" si="4"/>
        <v>0</v>
      </c>
      <c r="L53" s="180" t="str">
        <f>+'3. CD - Obra negra'!O376</f>
        <v>Ferretería cercana</v>
      </c>
      <c r="M53" s="180">
        <v>12</v>
      </c>
      <c r="N53" s="226">
        <f t="shared" si="5"/>
        <v>96000</v>
      </c>
      <c r="O53" s="226"/>
      <c r="Q53" s="180" t="s">
        <v>1466</v>
      </c>
      <c r="R53" s="180">
        <f>+'2. CANTIDADES'!BM2</f>
        <v>0</v>
      </c>
      <c r="T53" s="180">
        <f>+T52/6</f>
        <v>5.666666666666667</v>
      </c>
    </row>
    <row r="54" spans="4:20" s="180" customFormat="1" ht="30" x14ac:dyDescent="0.25">
      <c r="D54" s="180" t="str">
        <f>+'3. CD - Obra negra'!E375</f>
        <v>Base B200</v>
      </c>
      <c r="E54" s="168">
        <f>(SUMIFS('3. CD - Obra negra'!$G$364:$G$427,'3. CD - Obra negra'!$E$364:$E$427,'1. GENERAL'!D54))+(SUMIFS('4. CD - Obra gris'!$G$94:$G$123,'4. CD - Obra gris'!$E$94:$E$123,'1. GENERAL'!D54))+(SUMIFS('5, CD -Obra blanca'!$G$171:$G$200,'5, CD -Obra blanca'!$E$171:$E$200,'1. GENERAL'!D54))+(SUMIFS('5, CD -Obra blanca'!$G$205:$G$214,'5, CD -Obra blanca'!$E$205:$E$214,'1. GENERAL'!D54))</f>
        <v>8.1640500000000014</v>
      </c>
      <c r="F54" s="180" t="str">
        <f t="shared" si="0"/>
        <v>M3</v>
      </c>
      <c r="G54" s="180" t="str">
        <f t="shared" si="1"/>
        <v>TERROSOS</v>
      </c>
      <c r="I54" s="224">
        <f t="shared" si="2"/>
        <v>95000</v>
      </c>
      <c r="J54" s="224">
        <f t="shared" si="3"/>
        <v>775584.75000000012</v>
      </c>
      <c r="K54" s="225">
        <f t="shared" si="4"/>
        <v>1.3740562505428469E-3</v>
      </c>
      <c r="L54" s="180" t="str">
        <f>+'3. CD - Obra negra'!O377</f>
        <v>Ferretería cercana</v>
      </c>
      <c r="M54" s="180">
        <v>1.5</v>
      </c>
      <c r="N54" s="226">
        <f t="shared" si="5"/>
        <v>-633084.75000000012</v>
      </c>
      <c r="O54" s="226"/>
      <c r="Q54" s="180" t="s">
        <v>1469</v>
      </c>
      <c r="R54" s="180">
        <v>16</v>
      </c>
    </row>
    <row r="55" spans="4:20" s="180" customFormat="1" x14ac:dyDescent="0.25">
      <c r="D55" s="180" t="str">
        <f>+'3. CD - Obra negra'!E376</f>
        <v>Varilla 3/8"</v>
      </c>
      <c r="E55" s="168">
        <f>(SUMIFS('3. CD - Obra negra'!$G$364:$G$427,'3. CD - Obra negra'!$E$364:$E$427,'1. GENERAL'!D55))+(SUMIFS('4. CD - Obra gris'!$G$94:$G$123,'4. CD - Obra gris'!$E$94:$E$123,'1. GENERAL'!D55))+(SUMIFS('5, CD -Obra blanca'!$G$171:$G$200,'5, CD -Obra blanca'!$E$171:$E$200,'1. GENERAL'!D55))+(SUMIFS('5, CD -Obra blanca'!$G$205:$G$214,'5, CD -Obra blanca'!$E$205:$E$214,'1. GENERAL'!D55))</f>
        <v>134.16480000000004</v>
      </c>
      <c r="F55" s="180" t="str">
        <f t="shared" si="0"/>
        <v>KG</v>
      </c>
      <c r="G55" s="180" t="str">
        <f t="shared" si="1"/>
        <v>ACERO</v>
      </c>
      <c r="I55" s="224">
        <f t="shared" si="2"/>
        <v>4000</v>
      </c>
      <c r="J55" s="224">
        <f t="shared" si="3"/>
        <v>536659.20000000019</v>
      </c>
      <c r="K55" s="225">
        <f t="shared" si="4"/>
        <v>9.5076640969452269E-4</v>
      </c>
      <c r="L55" s="180" t="e">
        <f>+'3. CD - Obra negra'!#REF!</f>
        <v>#REF!</v>
      </c>
      <c r="M55" s="180">
        <f>23*6</f>
        <v>138</v>
      </c>
      <c r="N55" s="226">
        <f t="shared" si="5"/>
        <v>15340.799999999814</v>
      </c>
      <c r="O55" s="226"/>
    </row>
    <row r="56" spans="4:20" s="180" customFormat="1" ht="45" x14ac:dyDescent="0.25">
      <c r="D56" s="180" t="str">
        <f>+'3. CD - Obra negra'!E377</f>
        <v>Guadua 12cm limpia e inmunizada</v>
      </c>
      <c r="E56" s="168">
        <f>(SUMIFS('3. CD - Obra negra'!$G$364:$G$427,'3. CD - Obra negra'!$E$364:$E$427,'1. GENERAL'!D56))+(SUMIFS('4. CD - Obra gris'!$G$94:$G$123,'4. CD - Obra gris'!$E$94:$E$123,'1. GENERAL'!D56))+(SUMIFS('5, CD -Obra blanca'!$G$171:$G$200,'5, CD -Obra blanca'!$E$171:$E$200,'1. GENERAL'!D56))+(SUMIFS('5, CD -Obra blanca'!$G$205:$G$214,'5, CD -Obra blanca'!$E$205:$E$214,'1. GENERAL'!D56))</f>
        <v>0</v>
      </c>
      <c r="F56" s="180" t="str">
        <f t="shared" si="0"/>
        <v>ML</v>
      </c>
      <c r="G56" s="180" t="str">
        <f t="shared" si="1"/>
        <v>GUADUA</v>
      </c>
      <c r="I56" s="224">
        <f t="shared" si="2"/>
        <v>4500</v>
      </c>
      <c r="J56" s="224">
        <f t="shared" si="3"/>
        <v>0</v>
      </c>
      <c r="K56" s="225">
        <f t="shared" si="4"/>
        <v>0</v>
      </c>
      <c r="L56" s="180" t="e">
        <f>+'3. CD - Obra negra'!#REF!</f>
        <v>#REF!</v>
      </c>
      <c r="M56" s="180">
        <f>192*6</f>
        <v>1152</v>
      </c>
      <c r="N56" s="226">
        <f t="shared" si="5"/>
        <v>5184000</v>
      </c>
      <c r="O56" s="226"/>
      <c r="Q56" s="180" t="s">
        <v>85</v>
      </c>
      <c r="R56" s="180" t="e">
        <f>SUM(R49:R55)</f>
        <v>#REF!</v>
      </c>
      <c r="S56" s="180">
        <f>SUM(S49:S55)</f>
        <v>38.312750000000008</v>
      </c>
    </row>
    <row r="57" spans="4:20" s="180" customFormat="1" ht="45" x14ac:dyDescent="0.25">
      <c r="D57" s="180" t="str">
        <f>+'3. CD - Obra negra'!E378</f>
        <v>Varilla roscada zincada 1/2"</v>
      </c>
      <c r="E57" s="168">
        <f>(SUMIFS('3. CD - Obra negra'!$G$364:$G$427,'3. CD - Obra negra'!$E$364:$E$427,'1. GENERAL'!D57))+(SUMIFS('4. CD - Obra gris'!$G$94:$G$123,'4. CD - Obra gris'!$E$94:$E$123,'1. GENERAL'!D57))+(SUMIFS('5, CD -Obra blanca'!$G$171:$G$200,'5, CD -Obra blanca'!$E$171:$E$200,'1. GENERAL'!D57))+(SUMIFS('5, CD -Obra blanca'!$G$205:$G$214,'5, CD -Obra blanca'!$E$205:$E$214,'1. GENERAL'!D57))</f>
        <v>0</v>
      </c>
      <c r="F57" s="180" t="str">
        <f t="shared" si="0"/>
        <v>ML</v>
      </c>
      <c r="G57" s="180" t="str">
        <f t="shared" si="1"/>
        <v>ACERO</v>
      </c>
      <c r="I57" s="224">
        <f t="shared" si="2"/>
        <v>6000</v>
      </c>
      <c r="J57" s="224">
        <f t="shared" si="3"/>
        <v>0</v>
      </c>
      <c r="K57" s="225">
        <f t="shared" si="4"/>
        <v>0</v>
      </c>
      <c r="L57" s="180" t="str">
        <f>+'3. CD - Obra negra'!O378</f>
        <v>Ferretería cercana</v>
      </c>
      <c r="M57" s="180">
        <v>401</v>
      </c>
      <c r="N57" s="226">
        <f t="shared" si="5"/>
        <v>2406000</v>
      </c>
      <c r="O57" s="226"/>
    </row>
    <row r="58" spans="4:20" s="180" customFormat="1" ht="45" x14ac:dyDescent="0.25">
      <c r="D58" s="180" t="str">
        <f>+'3. CD - Obra negra'!E379</f>
        <v>Tuerca+arandela zincada 1/2"</v>
      </c>
      <c r="E58" s="168">
        <f>(SUMIFS('3. CD - Obra negra'!$G$364:$G$427,'3. CD - Obra negra'!$E$364:$E$427,'1. GENERAL'!D58))+(SUMIFS('4. CD - Obra gris'!$G$94:$G$123,'4. CD - Obra gris'!$E$94:$E$123,'1. GENERAL'!D58))+(SUMIFS('5, CD -Obra blanca'!$G$171:$G$200,'5, CD -Obra blanca'!$E$171:$E$200,'1. GENERAL'!D58))+(SUMIFS('5, CD -Obra blanca'!$G$205:$G$214,'5, CD -Obra blanca'!$E$205:$E$214,'1. GENERAL'!D58))</f>
        <v>0</v>
      </c>
      <c r="F58" s="180" t="str">
        <f t="shared" si="0"/>
        <v>PAR</v>
      </c>
      <c r="G58" s="180" t="str">
        <f t="shared" si="1"/>
        <v>ACERO</v>
      </c>
      <c r="I58" s="224">
        <f t="shared" si="2"/>
        <v>830</v>
      </c>
      <c r="J58" s="224">
        <f t="shared" si="3"/>
        <v>0</v>
      </c>
      <c r="K58" s="225">
        <f t="shared" si="4"/>
        <v>0</v>
      </c>
      <c r="L58" s="180" t="e">
        <f>+'3. CD - Obra negra'!#REF!</f>
        <v>#REF!</v>
      </c>
      <c r="M58" s="180">
        <v>3202</v>
      </c>
      <c r="N58" s="226">
        <f t="shared" si="5"/>
        <v>2657660</v>
      </c>
      <c r="O58" s="226"/>
    </row>
    <row r="59" spans="4:20" s="180" customFormat="1" ht="45" x14ac:dyDescent="0.25">
      <c r="D59" s="180" t="str">
        <f>+'3. CD - Obra negra'!E380</f>
        <v>Varilla roscada zincada 3/8"</v>
      </c>
      <c r="E59" s="168">
        <f>(SUMIFS('3. CD - Obra negra'!$G$364:$G$427,'3. CD - Obra negra'!$E$364:$E$427,'1. GENERAL'!D59))+(SUMIFS('4. CD - Obra gris'!$G$94:$G$123,'4. CD - Obra gris'!$E$94:$E$123,'1. GENERAL'!D59))+(SUMIFS('5, CD -Obra blanca'!$G$171:$G$200,'5, CD -Obra blanca'!$E$171:$E$200,'1. GENERAL'!D59))+(SUMIFS('5, CD -Obra blanca'!$G$205:$G$214,'5, CD -Obra blanca'!$E$205:$E$214,'1. GENERAL'!D59))</f>
        <v>0</v>
      </c>
      <c r="F59" s="180" t="str">
        <f t="shared" si="0"/>
        <v>ML</v>
      </c>
      <c r="G59" s="180" t="str">
        <f t="shared" si="1"/>
        <v>ACERO</v>
      </c>
      <c r="I59" s="224">
        <f t="shared" si="2"/>
        <v>3500</v>
      </c>
      <c r="J59" s="224">
        <f t="shared" si="3"/>
        <v>0</v>
      </c>
      <c r="K59" s="225">
        <f t="shared" si="4"/>
        <v>0</v>
      </c>
      <c r="L59" s="180" t="str">
        <f>+'3. CD - Obra negra'!O379</f>
        <v>Guaduas El Paisa</v>
      </c>
      <c r="M59" s="180">
        <v>81</v>
      </c>
      <c r="N59" s="226">
        <f t="shared" si="5"/>
        <v>283500</v>
      </c>
      <c r="O59" s="226"/>
    </row>
    <row r="60" spans="4:20" s="180" customFormat="1" ht="45" x14ac:dyDescent="0.25">
      <c r="D60" s="180" t="str">
        <f>+'3. CD - Obra negra'!E381</f>
        <v>Tuerca+arandela zincada 3/8"</v>
      </c>
      <c r="E60" s="168">
        <f>(SUMIFS('3. CD - Obra negra'!$G$364:$G$427,'3. CD - Obra negra'!$E$364:$E$427,'1. GENERAL'!D60))+(SUMIFS('4. CD - Obra gris'!$G$94:$G$123,'4. CD - Obra gris'!$E$94:$E$123,'1. GENERAL'!D60))+(SUMIFS('5, CD -Obra blanca'!$G$171:$G$200,'5, CD -Obra blanca'!$E$171:$E$200,'1. GENERAL'!D60))+(SUMIFS('5, CD -Obra blanca'!$G$205:$G$214,'5, CD -Obra blanca'!$E$205:$E$214,'1. GENERAL'!D60))</f>
        <v>0</v>
      </c>
      <c r="F60" s="180" t="str">
        <f t="shared" si="0"/>
        <v>PAR</v>
      </c>
      <c r="G60" s="180" t="str">
        <f t="shared" si="1"/>
        <v>ACERO</v>
      </c>
      <c r="I60" s="224">
        <f t="shared" si="2"/>
        <v>330</v>
      </c>
      <c r="J60" s="224">
        <f t="shared" si="3"/>
        <v>0</v>
      </c>
      <c r="K60" s="225">
        <f t="shared" si="4"/>
        <v>0</v>
      </c>
      <c r="L60" s="180" t="str">
        <f>+'3. CD - Obra negra'!O380</f>
        <v>Mundial de tornillos</v>
      </c>
      <c r="M60" s="180">
        <v>643</v>
      </c>
      <c r="N60" s="226">
        <f t="shared" si="5"/>
        <v>212190</v>
      </c>
      <c r="O60" s="226"/>
    </row>
    <row r="61" spans="4:20" s="180" customFormat="1" ht="30" x14ac:dyDescent="0.25">
      <c r="D61" s="180" t="e">
        <f>+'3. CD - Obra negra'!E382</f>
        <v>#REF!</v>
      </c>
      <c r="E61" s="168">
        <f>(SUMIFS('3. CD - Obra negra'!$G$364:$G$427,'3. CD - Obra negra'!$E$364:$E$427,'1. GENERAL'!D61))+(SUMIFS('4. CD - Obra gris'!$G$94:$G$123,'4. CD - Obra gris'!$E$94:$E$123,'1. GENERAL'!D61))+(SUMIFS('5, CD -Obra blanca'!$G$171:$G$200,'5, CD -Obra blanca'!$E$171:$E$200,'1. GENERAL'!D61))+(SUMIFS('5, CD -Obra blanca'!$G$205:$G$214,'5, CD -Obra blanca'!$E$205:$E$214,'1. GENERAL'!D61))</f>
        <v>0</v>
      </c>
      <c r="F61" s="180" t="e">
        <f t="shared" si="0"/>
        <v>#REF!</v>
      </c>
      <c r="G61" s="180" t="e">
        <f t="shared" si="1"/>
        <v>#REF!</v>
      </c>
      <c r="I61" s="224" t="e">
        <f t="shared" si="2"/>
        <v>#REF!</v>
      </c>
      <c r="J61" s="224" t="e">
        <f t="shared" si="3"/>
        <v>#REF!</v>
      </c>
      <c r="K61" s="225" t="e">
        <f t="shared" si="4"/>
        <v>#REF!</v>
      </c>
      <c r="L61" s="180" t="str">
        <f>+'3. CD - Obra negra'!O381</f>
        <v>Mundial de tornillos</v>
      </c>
      <c r="M61" s="180">
        <v>102</v>
      </c>
      <c r="N61" s="226" t="e">
        <f t="shared" si="5"/>
        <v>#REF!</v>
      </c>
      <c r="O61" s="226"/>
    </row>
    <row r="62" spans="4:20" s="180" customFormat="1" ht="30" x14ac:dyDescent="0.25">
      <c r="D62" s="180" t="e">
        <f>+'3. CD - Obra negra'!E383</f>
        <v>#REF!</v>
      </c>
      <c r="E62" s="168">
        <f>(SUMIFS('3. CD - Obra negra'!$G$364:$G$427,'3. CD - Obra negra'!$E$364:$E$427,'1. GENERAL'!D62))+(SUMIFS('4. CD - Obra gris'!$G$94:$G$123,'4. CD - Obra gris'!$E$94:$E$123,'1. GENERAL'!D62))+(SUMIFS('5, CD -Obra blanca'!$G$171:$G$200,'5, CD -Obra blanca'!$E$171:$E$200,'1. GENERAL'!D62))+(SUMIFS('5, CD -Obra blanca'!$G$205:$G$214,'5, CD -Obra blanca'!$E$205:$E$214,'1. GENERAL'!D62))</f>
        <v>0</v>
      </c>
      <c r="F62" s="180" t="e">
        <f t="shared" si="0"/>
        <v>#REF!</v>
      </c>
      <c r="G62" s="180" t="e">
        <f t="shared" si="1"/>
        <v>#REF!</v>
      </c>
      <c r="I62" s="224" t="e">
        <f t="shared" si="2"/>
        <v>#REF!</v>
      </c>
      <c r="J62" s="224" t="e">
        <f t="shared" si="3"/>
        <v>#REF!</v>
      </c>
      <c r="K62" s="225" t="e">
        <f t="shared" si="4"/>
        <v>#REF!</v>
      </c>
      <c r="L62" s="180" t="str">
        <f>+'3. CD - Obra negra'!O382</f>
        <v>Ferretería cercana</v>
      </c>
      <c r="M62" s="180">
        <v>34</v>
      </c>
      <c r="N62" s="226" t="e">
        <f t="shared" si="5"/>
        <v>#REF!</v>
      </c>
      <c r="O62" s="226"/>
    </row>
    <row r="63" spans="4:20" s="180" customFormat="1" ht="30" x14ac:dyDescent="0.25">
      <c r="D63" s="180" t="e">
        <f>+'3. CD - Obra negra'!E384</f>
        <v>#REF!</v>
      </c>
      <c r="E63" s="168">
        <f>(SUMIFS('3. CD - Obra negra'!$G$364:$G$427,'3. CD - Obra negra'!$E$364:$E$427,'1. GENERAL'!D63))+(SUMIFS('4. CD - Obra gris'!$G$94:$G$123,'4. CD - Obra gris'!$E$94:$E$123,'1. GENERAL'!D63))+(SUMIFS('5, CD -Obra blanca'!$G$171:$G$200,'5, CD -Obra blanca'!$E$171:$E$200,'1. GENERAL'!D63))+(SUMIFS('5, CD -Obra blanca'!$G$205:$G$214,'5, CD -Obra blanca'!$E$205:$E$214,'1. GENERAL'!D63))</f>
        <v>0</v>
      </c>
      <c r="F63" s="180" t="e">
        <f t="shared" si="0"/>
        <v>#REF!</v>
      </c>
      <c r="G63" s="180" t="e">
        <f t="shared" si="1"/>
        <v>#REF!</v>
      </c>
      <c r="I63" s="224" t="e">
        <f t="shared" si="2"/>
        <v>#REF!</v>
      </c>
      <c r="J63" s="224" t="e">
        <f t="shared" si="3"/>
        <v>#REF!</v>
      </c>
      <c r="K63" s="225" t="e">
        <f t="shared" si="4"/>
        <v>#REF!</v>
      </c>
      <c r="L63" s="180" t="str">
        <f>+'3. CD - Obra negra'!O383</f>
        <v>Ferretería cercana</v>
      </c>
      <c r="M63" s="180">
        <v>203</v>
      </c>
      <c r="N63" s="226" t="e">
        <f t="shared" si="5"/>
        <v>#REF!</v>
      </c>
      <c r="O63" s="226"/>
    </row>
    <row r="64" spans="4:20" s="180" customFormat="1" ht="30" x14ac:dyDescent="0.25">
      <c r="D64" s="180" t="e">
        <f>+'3. CD - Obra negra'!E385</f>
        <v>#REF!</v>
      </c>
      <c r="E64" s="168">
        <f>(SUMIFS('3. CD - Obra negra'!$G$364:$G$427,'3. CD - Obra negra'!$E$364:$E$427,'1. GENERAL'!D64))+(SUMIFS('4. CD - Obra gris'!$G$94:$G$123,'4. CD - Obra gris'!$E$94:$E$123,'1. GENERAL'!D64))+(SUMIFS('5, CD -Obra blanca'!$G$171:$G$200,'5, CD -Obra blanca'!$E$171:$E$200,'1. GENERAL'!D64))+(SUMIFS('5, CD -Obra blanca'!$G$205:$G$214,'5, CD -Obra blanca'!$E$205:$E$214,'1. GENERAL'!D64))</f>
        <v>0</v>
      </c>
      <c r="F64" s="180" t="e">
        <f>+(VLOOKUP(D64,MATCASAOBRANEGRA,4,FALSE))</f>
        <v>#REF!</v>
      </c>
      <c r="G64" s="180" t="e">
        <f>+(VLOOKUP(D64,MATCASAOBRANEGRA,6,FALSE))</f>
        <v>#REF!</v>
      </c>
      <c r="I64" s="224" t="e">
        <f>+(VLOOKUP(D64,MATCASAOBRANEGRA,8,FALSE))</f>
        <v>#REF!</v>
      </c>
      <c r="J64" s="224" t="e">
        <f>+I64*E64</f>
        <v>#REF!</v>
      </c>
      <c r="K64" s="225" t="e">
        <f>+J64/$E$35</f>
        <v>#REF!</v>
      </c>
      <c r="L64" s="180" t="str">
        <f>+'3. CD - Obra negra'!O382</f>
        <v>Ferretería cercana</v>
      </c>
      <c r="M64" s="180">
        <v>11</v>
      </c>
      <c r="N64" s="226" t="e">
        <f>(M64*I64)-J64</f>
        <v>#REF!</v>
      </c>
      <c r="O64" s="226"/>
    </row>
    <row r="65" spans="4:15" s="180" customFormat="1" ht="30" x14ac:dyDescent="0.25">
      <c r="D65" s="180" t="e">
        <f>+'3. CD - Obra negra'!E386</f>
        <v>#REF!</v>
      </c>
      <c r="E65" s="168">
        <f>(SUMIFS('3. CD - Obra negra'!$G$364:$G$427,'3. CD - Obra negra'!$E$364:$E$427,'1. GENERAL'!D65))+(SUMIFS('4. CD - Obra gris'!$G$94:$G$123,'4. CD - Obra gris'!$E$94:$E$123,'1. GENERAL'!D65))+(SUMIFS('5, CD -Obra blanca'!$G$171:$G$200,'5, CD -Obra blanca'!$E$171:$E$200,'1. GENERAL'!D65))+(SUMIFS('5, CD -Obra blanca'!$G$205:$G$214,'5, CD -Obra blanca'!$E$205:$E$214,'1. GENERAL'!D65))</f>
        <v>0</v>
      </c>
      <c r="F65" s="180" t="e">
        <f>+(VLOOKUP(D65,MATCASAOBRANEGRA,4,FALSE))</f>
        <v>#REF!</v>
      </c>
      <c r="G65" s="180" t="e">
        <f>+(VLOOKUP(D65,MATCASAOBRANEGRA,6,FALSE))</f>
        <v>#REF!</v>
      </c>
      <c r="I65" s="224" t="e">
        <f>+(VLOOKUP(D65,MATCASAOBRANEGRA,8,FALSE))</f>
        <v>#REF!</v>
      </c>
      <c r="J65" s="224" t="e">
        <f>+I65*E65</f>
        <v>#REF!</v>
      </c>
      <c r="K65" s="225" t="e">
        <f>+J65/$E$35</f>
        <v>#REF!</v>
      </c>
      <c r="L65" s="180" t="str">
        <f>+'3. CD - Obra negra'!O385</f>
        <v>Ferretería cercana</v>
      </c>
      <c r="M65" s="180">
        <v>42</v>
      </c>
      <c r="N65" s="226" t="e">
        <f>(M65*I65)-J65</f>
        <v>#REF!</v>
      </c>
      <c r="O65" s="226"/>
    </row>
    <row r="66" spans="4:15" s="180" customFormat="1" ht="30" x14ac:dyDescent="0.25">
      <c r="D66" s="180" t="e">
        <f>+'3. CD - Obra negra'!E387</f>
        <v>#REF!</v>
      </c>
      <c r="E66" s="168">
        <f>(SUMIFS('3. CD - Obra negra'!$G$364:$G$427,'3. CD - Obra negra'!$E$364:$E$427,'1. GENERAL'!D66))+(SUMIFS('4. CD - Obra gris'!$G$94:$G$123,'4. CD - Obra gris'!$E$94:$E$123,'1. GENERAL'!D66))+(SUMIFS('5, CD -Obra blanca'!$G$171:$G$200,'5, CD -Obra blanca'!$E$171:$E$200,'1. GENERAL'!D66))+(SUMIFS('5, CD -Obra blanca'!$G$205:$G$214,'5, CD -Obra blanca'!$E$205:$E$214,'1. GENERAL'!D66))</f>
        <v>0</v>
      </c>
      <c r="F66" s="180" t="e">
        <f t="shared" si="0"/>
        <v>#REF!</v>
      </c>
      <c r="G66" s="180" t="e">
        <f t="shared" si="1"/>
        <v>#REF!</v>
      </c>
      <c r="I66" s="224" t="e">
        <f t="shared" si="2"/>
        <v>#REF!</v>
      </c>
      <c r="J66" s="224" t="e">
        <f t="shared" si="3"/>
        <v>#REF!</v>
      </c>
      <c r="K66" s="225" t="e">
        <f t="shared" si="4"/>
        <v>#REF!</v>
      </c>
      <c r="L66" s="180" t="str">
        <f>+'3. CD - Obra negra'!O384</f>
        <v>Ferretería cercana</v>
      </c>
      <c r="M66" s="180">
        <v>55</v>
      </c>
      <c r="N66" s="226" t="e">
        <f t="shared" si="5"/>
        <v>#REF!</v>
      </c>
      <c r="O66" s="226"/>
    </row>
    <row r="67" spans="4:15" s="180" customFormat="1" ht="30" x14ac:dyDescent="0.25">
      <c r="D67" s="180" t="e">
        <f>+'3. CD - Obra negra'!E388</f>
        <v>#REF!</v>
      </c>
      <c r="E67" s="168">
        <f>(SUMIFS('3. CD - Obra negra'!$G$364:$G$427,'3. CD - Obra negra'!$E$364:$E$427,'1. GENERAL'!D67))+(SUMIFS('4. CD - Obra gris'!$G$94:$G$123,'4. CD - Obra gris'!$E$94:$E$123,'1. GENERAL'!D67))+(SUMIFS('5, CD -Obra blanca'!$G$171:$G$200,'5, CD -Obra blanca'!$E$171:$E$200,'1. GENERAL'!D67))+(SUMIFS('5, CD -Obra blanca'!$G$205:$G$214,'5, CD -Obra blanca'!$E$205:$E$214,'1. GENERAL'!D67))</f>
        <v>0</v>
      </c>
      <c r="F67" s="180" t="e">
        <f t="shared" si="0"/>
        <v>#REF!</v>
      </c>
      <c r="G67" s="180" t="e">
        <f t="shared" si="1"/>
        <v>#REF!</v>
      </c>
      <c r="I67" s="224" t="e">
        <f t="shared" si="2"/>
        <v>#REF!</v>
      </c>
      <c r="J67" s="224" t="e">
        <f t="shared" si="3"/>
        <v>#REF!</v>
      </c>
      <c r="K67" s="225" t="e">
        <f t="shared" si="4"/>
        <v>#REF!</v>
      </c>
      <c r="L67" s="180" t="str">
        <f>+'3. CD - Obra negra'!O387</f>
        <v>Ferretería cercana</v>
      </c>
      <c r="M67" s="180">
        <v>72</v>
      </c>
      <c r="N67" s="226" t="e">
        <f t="shared" si="5"/>
        <v>#REF!</v>
      </c>
      <c r="O67" s="226"/>
    </row>
    <row r="68" spans="4:15" s="180" customFormat="1" ht="30" x14ac:dyDescent="0.25">
      <c r="D68" s="180" t="e">
        <f>+'3. CD - Obra negra'!E389</f>
        <v>#REF!</v>
      </c>
      <c r="E68" s="168">
        <f>(SUMIFS('3. CD - Obra negra'!$G$364:$G$427,'3. CD - Obra negra'!$E$364:$E$427,'1. GENERAL'!D68))+(SUMIFS('4. CD - Obra gris'!$G$94:$G$123,'4. CD - Obra gris'!$E$94:$E$123,'1. GENERAL'!D68))+(SUMIFS('5, CD -Obra blanca'!$G$171:$G$200,'5, CD -Obra blanca'!$E$171:$E$200,'1. GENERAL'!D68))+(SUMIFS('5, CD -Obra blanca'!$G$205:$G$214,'5, CD -Obra blanca'!$E$205:$E$214,'1. GENERAL'!D68))</f>
        <v>0</v>
      </c>
      <c r="F68" s="180" t="e">
        <f t="shared" si="0"/>
        <v>#REF!</v>
      </c>
      <c r="G68" s="180" t="e">
        <f t="shared" si="1"/>
        <v>#REF!</v>
      </c>
      <c r="I68" s="224" t="e">
        <f t="shared" si="2"/>
        <v>#REF!</v>
      </c>
      <c r="J68" s="224" t="e">
        <f t="shared" si="3"/>
        <v>#REF!</v>
      </c>
      <c r="K68" s="225" t="e">
        <f t="shared" si="4"/>
        <v>#REF!</v>
      </c>
      <c r="L68" s="180" t="str">
        <f>+'3. CD - Obra negra'!O388</f>
        <v>Ferretería cercana</v>
      </c>
      <c r="M68" s="168">
        <v>0</v>
      </c>
      <c r="N68" s="226" t="e">
        <f t="shared" si="5"/>
        <v>#REF!</v>
      </c>
      <c r="O68" s="226"/>
    </row>
    <row r="69" spans="4:15" s="180" customFormat="1" ht="30" x14ac:dyDescent="0.25">
      <c r="D69" s="180" t="e">
        <f>+'3. CD - Obra negra'!E390</f>
        <v>#REF!</v>
      </c>
      <c r="E69" s="168">
        <f>(SUMIFS('3. CD - Obra negra'!$G$364:$G$427,'3. CD - Obra negra'!$E$364:$E$427,'1. GENERAL'!D69))+(SUMIFS('4. CD - Obra gris'!$G$94:$G$123,'4. CD - Obra gris'!$E$94:$E$123,'1. GENERAL'!D69))+(SUMIFS('5, CD -Obra blanca'!$G$171:$G$200,'5, CD -Obra blanca'!$E$171:$E$200,'1. GENERAL'!D69))+(SUMIFS('5, CD -Obra blanca'!$G$205:$G$214,'5, CD -Obra blanca'!$E$205:$E$214,'1. GENERAL'!D69))</f>
        <v>0</v>
      </c>
      <c r="F69" s="180" t="e">
        <f t="shared" si="0"/>
        <v>#REF!</v>
      </c>
      <c r="G69" s="180" t="e">
        <f t="shared" si="1"/>
        <v>#REF!</v>
      </c>
      <c r="I69" s="224" t="e">
        <f t="shared" si="2"/>
        <v>#REF!</v>
      </c>
      <c r="J69" s="224" t="e">
        <f t="shared" si="3"/>
        <v>#REF!</v>
      </c>
      <c r="K69" s="225" t="e">
        <f t="shared" si="4"/>
        <v>#REF!</v>
      </c>
      <c r="L69" s="180" t="str">
        <f>+'3. CD - Obra negra'!O389</f>
        <v>Ferretería cercana</v>
      </c>
      <c r="M69" s="168">
        <f>+E69</f>
        <v>0</v>
      </c>
      <c r="N69" s="226" t="e">
        <f t="shared" si="5"/>
        <v>#REF!</v>
      </c>
      <c r="O69" s="226"/>
    </row>
    <row r="70" spans="4:15" s="180" customFormat="1" ht="30" x14ac:dyDescent="0.25">
      <c r="D70" s="180" t="e">
        <f>+'3. CD - Obra negra'!E391</f>
        <v>#REF!</v>
      </c>
      <c r="E70" s="168">
        <f>(SUMIFS('3. CD - Obra negra'!$G$364:$G$427,'3. CD - Obra negra'!$E$364:$E$427,'1. GENERAL'!D70))+(SUMIFS('4. CD - Obra gris'!$G$94:$G$123,'4. CD - Obra gris'!$E$94:$E$123,'1. GENERAL'!D70))+(SUMIFS('5, CD -Obra blanca'!$G$171:$G$200,'5, CD -Obra blanca'!$E$171:$E$200,'1. GENERAL'!D70))+(SUMIFS('5, CD -Obra blanca'!$G$205:$G$214,'5, CD -Obra blanca'!$E$205:$E$214,'1. GENERAL'!D70))</f>
        <v>0</v>
      </c>
      <c r="F70" s="180" t="e">
        <f t="shared" si="0"/>
        <v>#REF!</v>
      </c>
      <c r="G70" s="180" t="e">
        <f t="shared" si="1"/>
        <v>#REF!</v>
      </c>
      <c r="I70" s="224" t="e">
        <f t="shared" si="2"/>
        <v>#REF!</v>
      </c>
      <c r="J70" s="224" t="e">
        <f t="shared" si="3"/>
        <v>#REF!</v>
      </c>
      <c r="K70" s="225" t="e">
        <f t="shared" si="4"/>
        <v>#REF!</v>
      </c>
      <c r="L70" s="180" t="str">
        <f>+'3. CD - Obra negra'!O390</f>
        <v>Ferretería cercana</v>
      </c>
      <c r="M70" s="168">
        <f t="shared" ref="M70:M80" si="6">+E70</f>
        <v>0</v>
      </c>
      <c r="N70" s="226" t="e">
        <f t="shared" si="5"/>
        <v>#REF!</v>
      </c>
      <c r="O70" s="226"/>
    </row>
    <row r="71" spans="4:15" s="180" customFormat="1" ht="30" x14ac:dyDescent="0.25">
      <c r="D71" s="180" t="e">
        <f>+'3. CD - Obra negra'!E392</f>
        <v>#REF!</v>
      </c>
      <c r="E71" s="168">
        <f>(SUMIFS('3. CD - Obra negra'!$G$364:$G$427,'3. CD - Obra negra'!$E$364:$E$427,'1. GENERAL'!D71))+(SUMIFS('4. CD - Obra gris'!$G$94:$G$123,'4. CD - Obra gris'!$E$94:$E$123,'1. GENERAL'!D71))+(SUMIFS('5, CD -Obra blanca'!$G$171:$G$200,'5, CD -Obra blanca'!$E$171:$E$200,'1. GENERAL'!D71))+(SUMIFS('5, CD -Obra blanca'!$G$205:$G$214,'5, CD -Obra blanca'!$E$205:$E$214,'1. GENERAL'!D71))</f>
        <v>0</v>
      </c>
      <c r="F71" s="180" t="e">
        <f t="shared" si="0"/>
        <v>#REF!</v>
      </c>
      <c r="G71" s="180" t="e">
        <f t="shared" si="1"/>
        <v>#REF!</v>
      </c>
      <c r="I71" s="224" t="e">
        <f t="shared" si="2"/>
        <v>#REF!</v>
      </c>
      <c r="J71" s="224" t="e">
        <f t="shared" si="3"/>
        <v>#REF!</v>
      </c>
      <c r="K71" s="225" t="e">
        <f t="shared" si="4"/>
        <v>#REF!</v>
      </c>
      <c r="L71" s="180" t="str">
        <f>+'3. CD - Obra negra'!O391</f>
        <v>Ferretería cercana</v>
      </c>
      <c r="M71" s="168">
        <f t="shared" si="6"/>
        <v>0</v>
      </c>
      <c r="N71" s="226" t="e">
        <f t="shared" si="5"/>
        <v>#REF!</v>
      </c>
      <c r="O71" s="226"/>
    </row>
    <row r="72" spans="4:15" s="180" customFormat="1" ht="30" x14ac:dyDescent="0.25">
      <c r="D72" s="180" t="e">
        <f>+'3. CD - Obra negra'!E393</f>
        <v>#REF!</v>
      </c>
      <c r="E72" s="168">
        <f>(SUMIFS('3. CD - Obra negra'!$G$364:$G$427,'3. CD - Obra negra'!$E$364:$E$427,'1. GENERAL'!D72))+(SUMIFS('4. CD - Obra gris'!$G$94:$G$123,'4. CD - Obra gris'!$E$94:$E$123,'1. GENERAL'!D72))+(SUMIFS('5, CD -Obra blanca'!$G$171:$G$200,'5, CD -Obra blanca'!$E$171:$E$200,'1. GENERAL'!D72))+(SUMIFS('5, CD -Obra blanca'!$G$205:$G$214,'5, CD -Obra blanca'!$E$205:$E$214,'1. GENERAL'!D72))</f>
        <v>0</v>
      </c>
      <c r="F72" s="180" t="e">
        <f t="shared" si="0"/>
        <v>#REF!</v>
      </c>
      <c r="G72" s="180" t="e">
        <f t="shared" si="1"/>
        <v>#REF!</v>
      </c>
      <c r="I72" s="224" t="e">
        <f t="shared" si="2"/>
        <v>#REF!</v>
      </c>
      <c r="J72" s="224" t="e">
        <f t="shared" si="3"/>
        <v>#REF!</v>
      </c>
      <c r="K72" s="225" t="e">
        <f t="shared" si="4"/>
        <v>#REF!</v>
      </c>
      <c r="L72" s="180" t="str">
        <f>+'3. CD - Obra negra'!O392</f>
        <v>Ferretería cercana</v>
      </c>
      <c r="M72" s="168">
        <f t="shared" si="6"/>
        <v>0</v>
      </c>
      <c r="N72" s="226" t="e">
        <f t="shared" si="5"/>
        <v>#REF!</v>
      </c>
      <c r="O72" s="226"/>
    </row>
    <row r="73" spans="4:15" s="180" customFormat="1" ht="30" x14ac:dyDescent="0.25">
      <c r="D73" s="180" t="e">
        <f>+'3. CD - Obra negra'!E394</f>
        <v>#REF!</v>
      </c>
      <c r="E73" s="168">
        <f>(SUMIFS('3. CD - Obra negra'!$G$364:$G$427,'3. CD - Obra negra'!$E$364:$E$427,'1. GENERAL'!D73))+(SUMIFS('4. CD - Obra gris'!$G$94:$G$123,'4. CD - Obra gris'!$E$94:$E$123,'1. GENERAL'!D73))+(SUMIFS('5, CD -Obra blanca'!$G$171:$G$200,'5, CD -Obra blanca'!$E$171:$E$200,'1. GENERAL'!D73))+(SUMIFS('5, CD -Obra blanca'!$G$205:$G$214,'5, CD -Obra blanca'!$E$205:$E$214,'1. GENERAL'!D73))</f>
        <v>0</v>
      </c>
      <c r="F73" s="180" t="e">
        <f t="shared" si="0"/>
        <v>#REF!</v>
      </c>
      <c r="G73" s="180" t="e">
        <f t="shared" si="1"/>
        <v>#REF!</v>
      </c>
      <c r="I73" s="224" t="e">
        <f t="shared" si="2"/>
        <v>#REF!</v>
      </c>
      <c r="J73" s="224" t="e">
        <f t="shared" si="3"/>
        <v>#REF!</v>
      </c>
      <c r="K73" s="225" t="e">
        <f t="shared" si="4"/>
        <v>#REF!</v>
      </c>
      <c r="L73" s="180" t="str">
        <f>+'3. CD - Obra negra'!O393</f>
        <v>Ferretería cercana</v>
      </c>
      <c r="M73" s="168">
        <f t="shared" si="6"/>
        <v>0</v>
      </c>
      <c r="N73" s="226" t="e">
        <f t="shared" si="5"/>
        <v>#REF!</v>
      </c>
      <c r="O73" s="226"/>
    </row>
    <row r="74" spans="4:15" s="180" customFormat="1" ht="30" x14ac:dyDescent="0.25">
      <c r="D74" s="180" t="e">
        <f>+'3. CD - Obra negra'!E395</f>
        <v>#REF!</v>
      </c>
      <c r="E74" s="168">
        <f>(SUMIFS('3. CD - Obra negra'!$G$364:$G$427,'3. CD - Obra negra'!$E$364:$E$427,'1. GENERAL'!D74))+(SUMIFS('4. CD - Obra gris'!$G$94:$G$123,'4. CD - Obra gris'!$E$94:$E$123,'1. GENERAL'!D74))+(SUMIFS('5, CD -Obra blanca'!$G$171:$G$200,'5, CD -Obra blanca'!$E$171:$E$200,'1. GENERAL'!D74))+(SUMIFS('5, CD -Obra blanca'!$G$205:$G$214,'5, CD -Obra blanca'!$E$205:$E$214,'1. GENERAL'!D74))</f>
        <v>0</v>
      </c>
      <c r="F74" s="180" t="e">
        <f t="shared" si="0"/>
        <v>#REF!</v>
      </c>
      <c r="G74" s="180" t="e">
        <f t="shared" si="1"/>
        <v>#REF!</v>
      </c>
      <c r="I74" s="224" t="e">
        <f t="shared" si="2"/>
        <v>#REF!</v>
      </c>
      <c r="J74" s="224" t="e">
        <f t="shared" si="3"/>
        <v>#REF!</v>
      </c>
      <c r="K74" s="225" t="e">
        <f t="shared" si="4"/>
        <v>#REF!</v>
      </c>
      <c r="L74" s="180" t="str">
        <f>+'3. CD - Obra negra'!O394</f>
        <v>Ferretería cercana</v>
      </c>
      <c r="M74" s="168">
        <f t="shared" si="6"/>
        <v>0</v>
      </c>
      <c r="N74" s="226" t="e">
        <f t="shared" si="5"/>
        <v>#REF!</v>
      </c>
      <c r="O74" s="226"/>
    </row>
    <row r="75" spans="4:15" s="180" customFormat="1" ht="30" x14ac:dyDescent="0.25">
      <c r="D75" s="180" t="e">
        <f>+'3. CD - Obra negra'!E396</f>
        <v>#REF!</v>
      </c>
      <c r="E75" s="168">
        <f>(SUMIFS('3. CD - Obra negra'!$G$364:$G$427,'3. CD - Obra negra'!$E$364:$E$427,'1. GENERAL'!D75))+(SUMIFS('4. CD - Obra gris'!$G$94:$G$123,'4. CD - Obra gris'!$E$94:$E$123,'1. GENERAL'!D75))+(SUMIFS('5, CD -Obra blanca'!$G$171:$G$200,'5, CD -Obra blanca'!$E$171:$E$200,'1. GENERAL'!D75))+(SUMIFS('5, CD -Obra blanca'!$G$205:$G$214,'5, CD -Obra blanca'!$E$205:$E$214,'1. GENERAL'!D75))</f>
        <v>0</v>
      </c>
      <c r="F75" s="180" t="e">
        <f t="shared" si="0"/>
        <v>#REF!</v>
      </c>
      <c r="G75" s="180" t="e">
        <f t="shared" si="1"/>
        <v>#REF!</v>
      </c>
      <c r="I75" s="224" t="e">
        <f t="shared" si="2"/>
        <v>#REF!</v>
      </c>
      <c r="J75" s="224" t="e">
        <f t="shared" si="3"/>
        <v>#REF!</v>
      </c>
      <c r="K75" s="225" t="e">
        <f t="shared" si="4"/>
        <v>#REF!</v>
      </c>
      <c r="L75" s="180" t="str">
        <f>+'3. CD - Obra negra'!O395</f>
        <v>Ferretería cercana</v>
      </c>
      <c r="M75" s="168">
        <f t="shared" si="6"/>
        <v>0</v>
      </c>
      <c r="N75" s="226" t="e">
        <f t="shared" si="5"/>
        <v>#REF!</v>
      </c>
      <c r="O75" s="226"/>
    </row>
    <row r="76" spans="4:15" s="180" customFormat="1" ht="30" x14ac:dyDescent="0.25">
      <c r="D76" s="180" t="e">
        <f>+'3. CD - Obra negra'!E397</f>
        <v>#REF!</v>
      </c>
      <c r="E76" s="168">
        <f>(SUMIFS('3. CD - Obra negra'!$G$364:$G$427,'3. CD - Obra negra'!$E$364:$E$427,'1. GENERAL'!D76))+(SUMIFS('4. CD - Obra gris'!$G$94:$G$123,'4. CD - Obra gris'!$E$94:$E$123,'1. GENERAL'!D76))+(SUMIFS('5, CD -Obra blanca'!$G$171:$G$200,'5, CD -Obra blanca'!$E$171:$E$200,'1. GENERAL'!D76))+(SUMIFS('5, CD -Obra blanca'!$G$205:$G$214,'5, CD -Obra blanca'!$E$205:$E$214,'1. GENERAL'!D76))</f>
        <v>0</v>
      </c>
      <c r="F76" s="180" t="e">
        <f t="shared" si="0"/>
        <v>#REF!</v>
      </c>
      <c r="G76" s="180" t="e">
        <f t="shared" si="1"/>
        <v>#REF!</v>
      </c>
      <c r="I76" s="224" t="e">
        <f t="shared" si="2"/>
        <v>#REF!</v>
      </c>
      <c r="J76" s="224" t="e">
        <f t="shared" si="3"/>
        <v>#REF!</v>
      </c>
      <c r="K76" s="225" t="e">
        <f t="shared" si="4"/>
        <v>#REF!</v>
      </c>
      <c r="L76" s="180" t="str">
        <f>+'3. CD - Obra negra'!O396</f>
        <v>Ferretería cercana</v>
      </c>
      <c r="M76" s="168">
        <f t="shared" si="6"/>
        <v>0</v>
      </c>
      <c r="N76" s="226" t="e">
        <f t="shared" si="5"/>
        <v>#REF!</v>
      </c>
      <c r="O76" s="226"/>
    </row>
    <row r="77" spans="4:15" s="180" customFormat="1" ht="30" x14ac:dyDescent="0.25">
      <c r="D77" s="180" t="e">
        <f>+'3. CD - Obra negra'!E398</f>
        <v>#REF!</v>
      </c>
      <c r="E77" s="168">
        <f>(SUMIFS('3. CD - Obra negra'!$G$364:$G$427,'3. CD - Obra negra'!$E$364:$E$427,'1. GENERAL'!D77))+(SUMIFS('4. CD - Obra gris'!$G$94:$G$123,'4. CD - Obra gris'!$E$94:$E$123,'1. GENERAL'!D77))+(SUMIFS('5, CD -Obra blanca'!$G$171:$G$200,'5, CD -Obra blanca'!$E$171:$E$200,'1. GENERAL'!D77))+(SUMIFS('5, CD -Obra blanca'!$G$205:$G$214,'5, CD -Obra blanca'!$E$205:$E$214,'1. GENERAL'!D77))</f>
        <v>0</v>
      </c>
      <c r="F77" s="180" t="e">
        <f t="shared" si="0"/>
        <v>#REF!</v>
      </c>
      <c r="G77" s="180" t="e">
        <f t="shared" si="1"/>
        <v>#REF!</v>
      </c>
      <c r="I77" s="224" t="e">
        <f t="shared" si="2"/>
        <v>#REF!</v>
      </c>
      <c r="J77" s="224" t="e">
        <f t="shared" si="3"/>
        <v>#REF!</v>
      </c>
      <c r="K77" s="225" t="e">
        <f t="shared" si="4"/>
        <v>#REF!</v>
      </c>
      <c r="L77" s="180" t="str">
        <f>+'3. CD - Obra negra'!O397</f>
        <v>Ferretería cercana</v>
      </c>
      <c r="M77" s="168">
        <f t="shared" si="6"/>
        <v>0</v>
      </c>
      <c r="N77" s="226" t="e">
        <f t="shared" si="5"/>
        <v>#REF!</v>
      </c>
      <c r="O77" s="226"/>
    </row>
    <row r="78" spans="4:15" s="180" customFormat="1" ht="30" x14ac:dyDescent="0.25">
      <c r="D78" s="180" t="e">
        <f>+'3. CD - Obra negra'!E399</f>
        <v>#REF!</v>
      </c>
      <c r="E78" s="168">
        <f>(SUMIFS('3. CD - Obra negra'!$G$364:$G$427,'3. CD - Obra negra'!$E$364:$E$427,'1. GENERAL'!D78))+(SUMIFS('4. CD - Obra gris'!$G$94:$G$123,'4. CD - Obra gris'!$E$94:$E$123,'1. GENERAL'!D78))+(SUMIFS('5, CD -Obra blanca'!$G$171:$G$200,'5, CD -Obra blanca'!$E$171:$E$200,'1. GENERAL'!D78))+(SUMIFS('5, CD -Obra blanca'!$G$205:$G$214,'5, CD -Obra blanca'!$E$205:$E$214,'1. GENERAL'!D78))</f>
        <v>0</v>
      </c>
      <c r="F78" s="180" t="e">
        <f t="shared" si="0"/>
        <v>#REF!</v>
      </c>
      <c r="G78" s="180" t="e">
        <f t="shared" si="1"/>
        <v>#REF!</v>
      </c>
      <c r="I78" s="224" t="e">
        <f t="shared" si="2"/>
        <v>#REF!</v>
      </c>
      <c r="J78" s="224" t="e">
        <f t="shared" si="3"/>
        <v>#REF!</v>
      </c>
      <c r="K78" s="225" t="e">
        <f t="shared" si="4"/>
        <v>#REF!</v>
      </c>
      <c r="L78" s="180" t="str">
        <f>+'3. CD - Obra negra'!O398</f>
        <v>Ferretería cercana</v>
      </c>
      <c r="M78" s="168">
        <f t="shared" si="6"/>
        <v>0</v>
      </c>
      <c r="N78" s="226" t="e">
        <f t="shared" si="5"/>
        <v>#REF!</v>
      </c>
      <c r="O78" s="226"/>
    </row>
    <row r="79" spans="4:15" s="180" customFormat="1" ht="30" x14ac:dyDescent="0.25">
      <c r="D79" s="180" t="e">
        <f>+'3. CD - Obra negra'!E400</f>
        <v>#REF!</v>
      </c>
      <c r="E79" s="168">
        <f>(SUMIFS('3. CD - Obra negra'!$G$364:$G$427,'3. CD - Obra negra'!$E$364:$E$427,'1. GENERAL'!D79))+(SUMIFS('4. CD - Obra gris'!$G$94:$G$123,'4. CD - Obra gris'!$E$94:$E$123,'1. GENERAL'!D79))+(SUMIFS('5, CD -Obra blanca'!$G$171:$G$200,'5, CD -Obra blanca'!$E$171:$E$200,'1. GENERAL'!D79))+(SUMIFS('5, CD -Obra blanca'!$G$205:$G$214,'5, CD -Obra blanca'!$E$205:$E$214,'1. GENERAL'!D79))</f>
        <v>0</v>
      </c>
      <c r="F79" s="180" t="e">
        <f t="shared" si="0"/>
        <v>#REF!</v>
      </c>
      <c r="G79" s="180" t="e">
        <f t="shared" si="1"/>
        <v>#REF!</v>
      </c>
      <c r="I79" s="224" t="e">
        <f t="shared" si="2"/>
        <v>#REF!</v>
      </c>
      <c r="J79" s="224" t="e">
        <f t="shared" si="3"/>
        <v>#REF!</v>
      </c>
      <c r="K79" s="225" t="e">
        <f t="shared" si="4"/>
        <v>#REF!</v>
      </c>
      <c r="L79" s="180" t="str">
        <f>+'3. CD - Obra negra'!O399</f>
        <v>Ferretería cercana</v>
      </c>
      <c r="M79" s="168">
        <f t="shared" si="6"/>
        <v>0</v>
      </c>
      <c r="N79" s="226" t="e">
        <f t="shared" si="5"/>
        <v>#REF!</v>
      </c>
      <c r="O79" s="226"/>
    </row>
    <row r="80" spans="4:15" s="180" customFormat="1" ht="30" x14ac:dyDescent="0.25">
      <c r="D80" s="180" t="e">
        <f>+'3. CD - Obra negra'!E401</f>
        <v>#REF!</v>
      </c>
      <c r="E80" s="168">
        <f>(SUMIFS('3. CD - Obra negra'!$G$364:$G$427,'3. CD - Obra negra'!$E$364:$E$427,'1. GENERAL'!D80))+(SUMIFS('4. CD - Obra gris'!$G$94:$G$123,'4. CD - Obra gris'!$E$94:$E$123,'1. GENERAL'!D80))+(SUMIFS('5, CD -Obra blanca'!$G$171:$G$200,'5, CD -Obra blanca'!$E$171:$E$200,'1. GENERAL'!D80))+(SUMIFS('5, CD -Obra blanca'!$G$205:$G$214,'5, CD -Obra blanca'!$E$205:$E$214,'1. GENERAL'!D80))</f>
        <v>0</v>
      </c>
      <c r="F80" s="180" t="e">
        <f t="shared" si="0"/>
        <v>#REF!</v>
      </c>
      <c r="G80" s="180" t="e">
        <f t="shared" si="1"/>
        <v>#REF!</v>
      </c>
      <c r="I80" s="224" t="e">
        <f t="shared" si="2"/>
        <v>#REF!</v>
      </c>
      <c r="J80" s="224" t="e">
        <f t="shared" si="3"/>
        <v>#REF!</v>
      </c>
      <c r="K80" s="225" t="e">
        <f t="shared" si="4"/>
        <v>#REF!</v>
      </c>
      <c r="L80" s="180" t="str">
        <f>+'3. CD - Obra negra'!O400</f>
        <v>Ferretería cercana</v>
      </c>
      <c r="M80" s="168">
        <f t="shared" si="6"/>
        <v>0</v>
      </c>
      <c r="N80" s="226" t="e">
        <f t="shared" si="5"/>
        <v>#REF!</v>
      </c>
      <c r="O80" s="226"/>
    </row>
    <row r="81" spans="4:15" s="180" customFormat="1" ht="30" x14ac:dyDescent="0.25">
      <c r="D81" s="180" t="e">
        <f>+'3. CD - Obra negra'!E402</f>
        <v>#REF!</v>
      </c>
      <c r="E81" s="168">
        <f>(SUMIFS('3. CD - Obra negra'!$G$364:$G$427,'3. CD - Obra negra'!$E$364:$E$427,'1. GENERAL'!D81))+(SUMIFS('4. CD - Obra gris'!$G$94:$G$123,'4. CD - Obra gris'!$E$94:$E$123,'1. GENERAL'!D81))+(SUMIFS('5, CD -Obra blanca'!$G$171:$G$200,'5, CD -Obra blanca'!$E$171:$E$200,'1. GENERAL'!D81))+(SUMIFS('5, CD -Obra blanca'!$G$205:$G$214,'5, CD -Obra blanca'!$E$205:$E$214,'1. GENERAL'!D81))</f>
        <v>0</v>
      </c>
      <c r="F81" s="180" t="e">
        <f t="shared" si="0"/>
        <v>#REF!</v>
      </c>
      <c r="G81" s="180" t="e">
        <f t="shared" si="1"/>
        <v>#REF!</v>
      </c>
      <c r="I81" s="224" t="e">
        <f t="shared" si="2"/>
        <v>#REF!</v>
      </c>
      <c r="J81" s="224" t="e">
        <f t="shared" si="3"/>
        <v>#REF!</v>
      </c>
      <c r="K81" s="225" t="e">
        <f t="shared" si="4"/>
        <v>#REF!</v>
      </c>
      <c r="L81" s="180" t="str">
        <f>+'3. CD - Obra negra'!O401</f>
        <v>Ferretería cercana</v>
      </c>
      <c r="M81" s="168">
        <v>14</v>
      </c>
      <c r="N81" s="226" t="e">
        <f t="shared" si="5"/>
        <v>#REF!</v>
      </c>
      <c r="O81" s="226"/>
    </row>
    <row r="82" spans="4:15" s="180" customFormat="1" ht="30" x14ac:dyDescent="0.25">
      <c r="D82" s="180" t="e">
        <f>+'3. CD - Obra negra'!E403</f>
        <v>#REF!</v>
      </c>
      <c r="E82" s="168">
        <f>(SUMIFS('3. CD - Obra negra'!$G$364:$G$427,'3. CD - Obra negra'!$E$364:$E$427,'1. GENERAL'!D82))+(SUMIFS('4. CD - Obra gris'!$G$94:$G$123,'4. CD - Obra gris'!$E$94:$E$123,'1. GENERAL'!D82))+(SUMIFS('5, CD -Obra blanca'!$G$171:$G$200,'5, CD -Obra blanca'!$E$171:$E$200,'1. GENERAL'!D82))+(SUMIFS('5, CD -Obra blanca'!$G$205:$G$214,'5, CD -Obra blanca'!$E$205:$E$214,'1. GENERAL'!D82))</f>
        <v>0</v>
      </c>
      <c r="F82" s="180" t="e">
        <f t="shared" si="0"/>
        <v>#REF!</v>
      </c>
      <c r="G82" s="180" t="e">
        <f t="shared" si="1"/>
        <v>#REF!</v>
      </c>
      <c r="I82" s="224" t="e">
        <f t="shared" si="2"/>
        <v>#REF!</v>
      </c>
      <c r="J82" s="224" t="e">
        <f t="shared" si="3"/>
        <v>#REF!</v>
      </c>
      <c r="K82" s="225" t="e">
        <f t="shared" si="4"/>
        <v>#REF!</v>
      </c>
      <c r="L82" s="180" t="str">
        <f>+'3. CD - Obra negra'!O402</f>
        <v>Ferretería cercana</v>
      </c>
      <c r="M82" s="168">
        <v>18</v>
      </c>
      <c r="N82" s="226" t="e">
        <f t="shared" si="5"/>
        <v>#REF!</v>
      </c>
      <c r="O82" s="226"/>
    </row>
    <row r="83" spans="4:15" s="180" customFormat="1" ht="30" x14ac:dyDescent="0.25">
      <c r="D83" s="180" t="e">
        <f>+'3. CD - Obra negra'!E404</f>
        <v>#REF!</v>
      </c>
      <c r="E83" s="168">
        <f>(SUMIFS('3. CD - Obra negra'!$G$364:$G$427,'3. CD - Obra negra'!$E$364:$E$427,'1. GENERAL'!D83))+(SUMIFS('4. CD - Obra gris'!$G$94:$G$123,'4. CD - Obra gris'!$E$94:$E$123,'1. GENERAL'!D83))+(SUMIFS('5, CD -Obra blanca'!$G$171:$G$200,'5, CD -Obra blanca'!$E$171:$E$200,'1. GENERAL'!D83))+(SUMIFS('5, CD -Obra blanca'!$G$205:$G$214,'5, CD -Obra blanca'!$E$205:$E$214,'1. GENERAL'!D83))</f>
        <v>0</v>
      </c>
      <c r="F83" s="180" t="e">
        <f t="shared" si="0"/>
        <v>#REF!</v>
      </c>
      <c r="G83" s="180" t="e">
        <f t="shared" si="1"/>
        <v>#REF!</v>
      </c>
      <c r="I83" s="224" t="e">
        <f t="shared" si="2"/>
        <v>#REF!</v>
      </c>
      <c r="J83" s="224" t="e">
        <f t="shared" si="3"/>
        <v>#REF!</v>
      </c>
      <c r="K83" s="225" t="e">
        <f t="shared" si="4"/>
        <v>#REF!</v>
      </c>
      <c r="L83" s="180" t="str">
        <f>+'3. CD - Obra negra'!O403</f>
        <v>Ferretería cercana</v>
      </c>
      <c r="M83" s="168">
        <v>11</v>
      </c>
      <c r="N83" s="226" t="e">
        <f t="shared" si="5"/>
        <v>#REF!</v>
      </c>
      <c r="O83" s="226"/>
    </row>
    <row r="84" spans="4:15" s="180" customFormat="1" ht="30" x14ac:dyDescent="0.25">
      <c r="D84" s="180" t="e">
        <f>+'3. CD - Obra negra'!E405</f>
        <v>#REF!</v>
      </c>
      <c r="E84" s="168">
        <f>(SUMIFS('3. CD - Obra negra'!$G$364:$G$427,'3. CD - Obra negra'!$E$364:$E$427,'1. GENERAL'!D84))+(SUMIFS('4. CD - Obra gris'!$G$94:$G$123,'4. CD - Obra gris'!$E$94:$E$123,'1. GENERAL'!D84))+(SUMIFS('5, CD -Obra blanca'!$G$171:$G$200,'5, CD -Obra blanca'!$E$171:$E$200,'1. GENERAL'!D84))+(SUMIFS('5, CD -Obra blanca'!$G$205:$G$214,'5, CD -Obra blanca'!$E$205:$E$214,'1. GENERAL'!D84))</f>
        <v>0</v>
      </c>
      <c r="F84" s="180" t="e">
        <f t="shared" si="0"/>
        <v>#REF!</v>
      </c>
      <c r="G84" s="180" t="e">
        <f t="shared" si="1"/>
        <v>#REF!</v>
      </c>
      <c r="I84" s="224" t="e">
        <f t="shared" si="2"/>
        <v>#REF!</v>
      </c>
      <c r="J84" s="224" t="e">
        <f t="shared" si="3"/>
        <v>#REF!</v>
      </c>
      <c r="K84" s="225" t="e">
        <f t="shared" si="4"/>
        <v>#REF!</v>
      </c>
      <c r="L84" s="180" t="str">
        <f>+'3. CD - Obra negra'!O404</f>
        <v>Ferretería cercana</v>
      </c>
      <c r="M84" s="168">
        <f t="shared" ref="M84:M91" si="7">+E84</f>
        <v>0</v>
      </c>
      <c r="N84" s="226" t="e">
        <f t="shared" si="5"/>
        <v>#REF!</v>
      </c>
      <c r="O84" s="226"/>
    </row>
    <row r="85" spans="4:15" s="180" customFormat="1" ht="30" x14ac:dyDescent="0.25">
      <c r="D85" s="180" t="e">
        <f>+'3. CD - Obra negra'!E406</f>
        <v>#REF!</v>
      </c>
      <c r="E85" s="168">
        <f>(SUMIFS('3. CD - Obra negra'!$G$364:$G$427,'3. CD - Obra negra'!$E$364:$E$427,'1. GENERAL'!D85))+(SUMIFS('4. CD - Obra gris'!$G$94:$G$123,'4. CD - Obra gris'!$E$94:$E$123,'1. GENERAL'!D85))+(SUMIFS('5, CD -Obra blanca'!$G$171:$G$200,'5, CD -Obra blanca'!$E$171:$E$200,'1. GENERAL'!D85))+(SUMIFS('5, CD -Obra blanca'!$G$205:$G$214,'5, CD -Obra blanca'!$E$205:$E$214,'1. GENERAL'!D85))</f>
        <v>0</v>
      </c>
      <c r="F85" s="180" t="e">
        <f t="shared" si="0"/>
        <v>#REF!</v>
      </c>
      <c r="G85" s="180" t="e">
        <f t="shared" si="1"/>
        <v>#REF!</v>
      </c>
      <c r="I85" s="224" t="e">
        <f t="shared" si="2"/>
        <v>#REF!</v>
      </c>
      <c r="J85" s="224" t="e">
        <f t="shared" si="3"/>
        <v>#REF!</v>
      </c>
      <c r="K85" s="225" t="e">
        <f t="shared" si="4"/>
        <v>#REF!</v>
      </c>
      <c r="L85" s="180" t="str">
        <f>+'3. CD - Obra negra'!O405</f>
        <v>Ferretería cercana</v>
      </c>
      <c r="M85" s="168">
        <f t="shared" si="7"/>
        <v>0</v>
      </c>
      <c r="N85" s="226" t="e">
        <f t="shared" si="5"/>
        <v>#REF!</v>
      </c>
      <c r="O85" s="226"/>
    </row>
    <row r="86" spans="4:15" s="180" customFormat="1" ht="30" x14ac:dyDescent="0.25">
      <c r="D86" s="180" t="e">
        <f>+'3. CD - Obra negra'!E407</f>
        <v>#REF!</v>
      </c>
      <c r="E86" s="168">
        <f>(SUMIFS('3. CD - Obra negra'!$G$364:$G$427,'3. CD - Obra negra'!$E$364:$E$427,'1. GENERAL'!D86))+(SUMIFS('4. CD - Obra gris'!$G$94:$G$123,'4. CD - Obra gris'!$E$94:$E$123,'1. GENERAL'!D86))+(SUMIFS('5, CD -Obra blanca'!$G$171:$G$200,'5, CD -Obra blanca'!$E$171:$E$200,'1. GENERAL'!D86))+(SUMIFS('5, CD -Obra blanca'!$G$205:$G$214,'5, CD -Obra blanca'!$E$205:$E$214,'1. GENERAL'!D86))</f>
        <v>0</v>
      </c>
      <c r="F86" s="180" t="e">
        <f t="shared" si="0"/>
        <v>#REF!</v>
      </c>
      <c r="G86" s="180" t="e">
        <f t="shared" si="1"/>
        <v>#REF!</v>
      </c>
      <c r="I86" s="224" t="e">
        <f t="shared" si="2"/>
        <v>#REF!</v>
      </c>
      <c r="J86" s="224" t="e">
        <f t="shared" si="3"/>
        <v>#REF!</v>
      </c>
      <c r="K86" s="225" t="e">
        <f t="shared" si="4"/>
        <v>#REF!</v>
      </c>
      <c r="L86" s="180" t="str">
        <f>+'3. CD - Obra negra'!O406</f>
        <v>Ferretería cercana</v>
      </c>
      <c r="M86" s="168">
        <f t="shared" si="7"/>
        <v>0</v>
      </c>
      <c r="N86" s="226" t="e">
        <f t="shared" si="5"/>
        <v>#REF!</v>
      </c>
      <c r="O86" s="226"/>
    </row>
    <row r="87" spans="4:15" s="180" customFormat="1" ht="30" x14ac:dyDescent="0.25">
      <c r="D87" s="180" t="e">
        <f>+'3. CD - Obra negra'!E408</f>
        <v>#REF!</v>
      </c>
      <c r="E87" s="168">
        <f>(SUMIFS('3. CD - Obra negra'!$G$364:$G$427,'3. CD - Obra negra'!$E$364:$E$427,'1. GENERAL'!D87))+(SUMIFS('4. CD - Obra gris'!$G$94:$G$123,'4. CD - Obra gris'!$E$94:$E$123,'1. GENERAL'!D87))+(SUMIFS('5, CD -Obra blanca'!$G$171:$G$200,'5, CD -Obra blanca'!$E$171:$E$200,'1. GENERAL'!D87))+(SUMIFS('5, CD -Obra blanca'!$G$205:$G$214,'5, CD -Obra blanca'!$E$205:$E$214,'1. GENERAL'!D87))</f>
        <v>0</v>
      </c>
      <c r="F87" s="180" t="e">
        <f t="shared" si="0"/>
        <v>#REF!</v>
      </c>
      <c r="G87" s="180" t="e">
        <f t="shared" si="1"/>
        <v>#REF!</v>
      </c>
      <c r="I87" s="224" t="e">
        <f t="shared" si="2"/>
        <v>#REF!</v>
      </c>
      <c r="J87" s="224" t="e">
        <f t="shared" si="3"/>
        <v>#REF!</v>
      </c>
      <c r="K87" s="225" t="e">
        <f t="shared" si="4"/>
        <v>#REF!</v>
      </c>
      <c r="L87" s="180" t="str">
        <f>+'3. CD - Obra negra'!O407</f>
        <v>Ferretería cercana</v>
      </c>
      <c r="M87" s="168">
        <v>1126</v>
      </c>
      <c r="N87" s="226" t="e">
        <f t="shared" si="5"/>
        <v>#REF!</v>
      </c>
      <c r="O87" s="226"/>
    </row>
    <row r="88" spans="4:15" s="180" customFormat="1" ht="30" x14ac:dyDescent="0.25">
      <c r="D88" s="180" t="e">
        <f>+'3. CD - Obra negra'!E409</f>
        <v>#REF!</v>
      </c>
      <c r="E88" s="168">
        <f>(SUMIFS('3. CD - Obra negra'!$G$364:$G$427,'3. CD - Obra negra'!$E$364:$E$427,'1. GENERAL'!D88))+(SUMIFS('4. CD - Obra gris'!$G$94:$G$123,'4. CD - Obra gris'!$E$94:$E$123,'1. GENERAL'!D88))+(SUMIFS('5, CD -Obra blanca'!$G$171:$G$200,'5, CD -Obra blanca'!$E$171:$E$200,'1. GENERAL'!D88))+(SUMIFS('5, CD -Obra blanca'!$G$205:$G$214,'5, CD -Obra blanca'!$E$205:$E$214,'1. GENERAL'!D88))</f>
        <v>0</v>
      </c>
      <c r="F88" s="180" t="e">
        <f t="shared" si="0"/>
        <v>#REF!</v>
      </c>
      <c r="G88" s="180" t="e">
        <f t="shared" si="1"/>
        <v>#REF!</v>
      </c>
      <c r="I88" s="224" t="e">
        <f t="shared" si="2"/>
        <v>#REF!</v>
      </c>
      <c r="J88" s="224" t="e">
        <f t="shared" si="3"/>
        <v>#REF!</v>
      </c>
      <c r="K88" s="225" t="e">
        <f t="shared" si="4"/>
        <v>#REF!</v>
      </c>
      <c r="L88" s="180" t="str">
        <f>+'3. CD - Obra negra'!O408</f>
        <v>Ferretería cercana</v>
      </c>
      <c r="M88" s="168">
        <v>14.1</v>
      </c>
      <c r="N88" s="226" t="e">
        <f t="shared" si="5"/>
        <v>#REF!</v>
      </c>
      <c r="O88" s="226"/>
    </row>
    <row r="89" spans="4:15" s="180" customFormat="1" ht="30" x14ac:dyDescent="0.25">
      <c r="D89" s="180" t="e">
        <f>+'3. CD - Obra negra'!E410</f>
        <v>#REF!</v>
      </c>
      <c r="E89" s="168">
        <f>(SUMIFS('3. CD - Obra negra'!$G$364:$G$427,'3. CD - Obra negra'!$E$364:$E$427,'1. GENERAL'!D89))+(SUMIFS('4. CD - Obra gris'!$G$94:$G$123,'4. CD - Obra gris'!$E$94:$E$123,'1. GENERAL'!D89))+(SUMIFS('5, CD -Obra blanca'!$G$171:$G$200,'5, CD -Obra blanca'!$E$171:$E$200,'1. GENERAL'!D89))+(SUMIFS('5, CD -Obra blanca'!$G$205:$G$214,'5, CD -Obra blanca'!$E$205:$E$214,'1. GENERAL'!D89))</f>
        <v>0</v>
      </c>
      <c r="F89" s="180" t="e">
        <f>+(VLOOKUP(D89,MATCASAOBRANEGRA,4,FALSE))</f>
        <v>#REF!</v>
      </c>
      <c r="G89" s="180" t="e">
        <f>+(VLOOKUP(D89,MATCASAOBRANEGRA,6,FALSE))</f>
        <v>#REF!</v>
      </c>
      <c r="I89" s="224" t="e">
        <f>+(VLOOKUP(D89,MATCASAOBRANEGRA,8,FALSE))</f>
        <v>#REF!</v>
      </c>
      <c r="J89" s="224" t="e">
        <f t="shared" ref="J89:J101" si="8">+I89*E89</f>
        <v>#REF!</v>
      </c>
      <c r="K89" s="225" t="e">
        <f t="shared" si="4"/>
        <v>#REF!</v>
      </c>
      <c r="L89" s="180" t="str">
        <f>+'3. CD - Obra negra'!O409</f>
        <v>Ferretería cercana</v>
      </c>
      <c r="M89" s="168">
        <f t="shared" si="7"/>
        <v>0</v>
      </c>
      <c r="N89" s="226" t="e">
        <f t="shared" si="5"/>
        <v>#REF!</v>
      </c>
      <c r="O89" s="226"/>
    </row>
    <row r="90" spans="4:15" s="180" customFormat="1" ht="30" x14ac:dyDescent="0.25">
      <c r="D90" s="180" t="e">
        <f>+'3. CD - Obra negra'!E411</f>
        <v>#REF!</v>
      </c>
      <c r="E90" s="168">
        <f>(SUMIFS('3. CD - Obra negra'!$G$364:$G$427,'3. CD - Obra negra'!$E$364:$E$427,'1. GENERAL'!D90))+(SUMIFS('4. CD - Obra gris'!$G$94:$G$123,'4. CD - Obra gris'!$E$94:$E$123,'1. GENERAL'!D90))+(SUMIFS('5, CD -Obra blanca'!$G$171:$G$200,'5, CD -Obra blanca'!$E$171:$E$200,'1. GENERAL'!D90))+(SUMIFS('5, CD -Obra blanca'!$G$205:$G$214,'5, CD -Obra blanca'!$E$205:$E$214,'1. GENERAL'!D90))</f>
        <v>0</v>
      </c>
      <c r="F90" s="180" t="e">
        <f>+(VLOOKUP(D90,MATCASAOBRANEGRA,4,FALSE))</f>
        <v>#REF!</v>
      </c>
      <c r="G90" s="180" t="e">
        <f>+(VLOOKUP(D90,MATCASAOBRANEGRA,6,FALSE))</f>
        <v>#REF!</v>
      </c>
      <c r="I90" s="224" t="e">
        <f>+(VLOOKUP(D90,MATCASAOBRANEGRA,8,FALSE))</f>
        <v>#REF!</v>
      </c>
      <c r="J90" s="224" t="e">
        <f t="shared" si="8"/>
        <v>#REF!</v>
      </c>
      <c r="K90" s="225" t="e">
        <f t="shared" si="4"/>
        <v>#REF!</v>
      </c>
      <c r="L90" s="180" t="str">
        <f>+'3. CD - Obra negra'!O410</f>
        <v>Ferretería cercana</v>
      </c>
      <c r="M90" s="168">
        <v>18</v>
      </c>
      <c r="N90" s="226" t="e">
        <f t="shared" si="5"/>
        <v>#REF!</v>
      </c>
      <c r="O90" s="226"/>
    </row>
    <row r="91" spans="4:15" s="180" customFormat="1" ht="30" x14ac:dyDescent="0.25">
      <c r="D91" s="180" t="e">
        <f>+'3. CD - Obra negra'!E412</f>
        <v>#REF!</v>
      </c>
      <c r="E91" s="168">
        <f>(SUMIFS('3. CD - Obra negra'!$G$364:$G$427,'3. CD - Obra negra'!$E$364:$E$427,'1. GENERAL'!D91))+(SUMIFS('4. CD - Obra gris'!$G$94:$G$123,'4. CD - Obra gris'!$E$94:$E$123,'1. GENERAL'!D91))+(SUMIFS('5, CD -Obra blanca'!$G$171:$G$200,'5, CD -Obra blanca'!$E$171:$E$200,'1. GENERAL'!D91))+(SUMIFS('5, CD -Obra blanca'!$G$205:$G$214,'5, CD -Obra blanca'!$E$205:$E$214,'1. GENERAL'!D91))</f>
        <v>0</v>
      </c>
      <c r="F91" s="180" t="e">
        <f>+(VLOOKUP(D91,MATCASAOBRANEGRA,4,FALSE))</f>
        <v>#REF!</v>
      </c>
      <c r="G91" s="180" t="e">
        <f>+(VLOOKUP(D91,MATCASAOBRANEGRA,6,FALSE))</f>
        <v>#REF!</v>
      </c>
      <c r="I91" s="224" t="e">
        <f>+(VLOOKUP(D91,MATCASAOBRANEGRA,8,FALSE))</f>
        <v>#REF!</v>
      </c>
      <c r="J91" s="224" t="e">
        <f t="shared" si="8"/>
        <v>#REF!</v>
      </c>
      <c r="K91" s="225" t="e">
        <f t="shared" si="4"/>
        <v>#REF!</v>
      </c>
      <c r="L91" s="180" t="str">
        <f>+'3. CD - Obra negra'!O411</f>
        <v>Ferretería cercana</v>
      </c>
      <c r="M91" s="168">
        <f t="shared" si="7"/>
        <v>0</v>
      </c>
      <c r="N91" s="226" t="e">
        <f t="shared" si="5"/>
        <v>#REF!</v>
      </c>
      <c r="O91" s="226"/>
    </row>
    <row r="92" spans="4:15" s="180" customFormat="1" ht="30" x14ac:dyDescent="0.25">
      <c r="D92" s="180" t="str">
        <f>+'3. CD - Obra negra'!E414</f>
        <v>Sista FT 101</v>
      </c>
      <c r="E92" s="168">
        <f>(SUMIFS('3. CD - Obra negra'!$G$364:$G$427,'3. CD - Obra negra'!$E$364:$E$427,'1. GENERAL'!D92))+(SUMIFS('4. CD - Obra gris'!$G$94:$G$123,'4. CD - Obra gris'!$E$94:$E$123,'1. GENERAL'!D92))+(SUMIFS('5, CD -Obra blanca'!$G$171:$G$200,'5, CD -Obra blanca'!$E$171:$E$200,'1. GENERAL'!D92))+(SUMIFS('5, CD -Obra blanca'!$G$205:$G$214,'5, CD -Obra blanca'!$E$205:$E$214,'1. GENERAL'!D92))</f>
        <v>0</v>
      </c>
      <c r="F92" s="180" t="str">
        <f>+(VLOOKUP(D92,MATCASAOBRANEGRA,4,FALSE))</f>
        <v>UND</v>
      </c>
      <c r="G92" s="180" t="str">
        <f>+(VLOOKUP(D92,MATCASAOBRANEGRA,6,FALSE))</f>
        <v>VIDRIO</v>
      </c>
      <c r="I92" s="224">
        <f>+(VLOOKUP(D92,MATCASAOBRANEGRA,8,FALSE))</f>
        <v>38000</v>
      </c>
      <c r="J92" s="224">
        <f t="shared" si="8"/>
        <v>0</v>
      </c>
      <c r="K92" s="225">
        <f t="shared" si="4"/>
        <v>0</v>
      </c>
      <c r="L92" s="180" t="str">
        <f>+'3. CD - Obra negra'!O413</f>
        <v>Ferretería cercana</v>
      </c>
      <c r="M92" s="168">
        <v>2</v>
      </c>
      <c r="N92" s="226">
        <f t="shared" si="5"/>
        <v>76000</v>
      </c>
      <c r="O92" s="226"/>
    </row>
    <row r="93" spans="4:15" s="180" customFormat="1" ht="60" x14ac:dyDescent="0.25">
      <c r="D93" s="180" t="str">
        <f>+'3. CD - Obra negra'!E415</f>
        <v>Tornillo autoperforante capuchón 2"</v>
      </c>
      <c r="E93" s="168">
        <f>(SUMIFS('3. CD - Obra negra'!$G$364:$G$427,'3. CD - Obra negra'!$E$364:$E$427,'1. GENERAL'!D93))+(SUMIFS('4. CD - Obra gris'!$G$94:$G$123,'4. CD - Obra gris'!$E$94:$E$123,'1. GENERAL'!D93))+(SUMIFS('5, CD -Obra blanca'!$G$171:$G$200,'5, CD -Obra blanca'!$E$171:$E$200,'1. GENERAL'!D93))+(SUMIFS('5, CD -Obra blanca'!$G$205:$G$214,'5, CD -Obra blanca'!$E$205:$E$214,'1. GENERAL'!D93))</f>
        <v>0</v>
      </c>
      <c r="F93" s="180" t="str">
        <f>+(VLOOKUP(D93,MATCASAOBRANEGRA,4,FALSE))</f>
        <v>UND</v>
      </c>
      <c r="G93" s="180" t="str">
        <f>+(VLOOKUP(D93,MATCASAOBRANEGRA,6,FALSE))</f>
        <v>ACERO</v>
      </c>
      <c r="I93" s="224">
        <f>+(VLOOKUP(D93,MATCASAOBRANEGRA,8,FALSE))</f>
        <v>5250</v>
      </c>
      <c r="J93" s="224">
        <f t="shared" si="8"/>
        <v>0</v>
      </c>
      <c r="K93" s="225">
        <f t="shared" si="4"/>
        <v>0</v>
      </c>
      <c r="L93" s="180" t="str">
        <f>+'3. CD - Obra negra'!O414</f>
        <v>Ferretería cercana</v>
      </c>
      <c r="M93" s="168">
        <v>24</v>
      </c>
      <c r="N93" s="226">
        <f t="shared" si="5"/>
        <v>126000</v>
      </c>
      <c r="O93" s="226"/>
    </row>
    <row r="94" spans="4:15" s="180" customFormat="1" ht="45" x14ac:dyDescent="0.25">
      <c r="D94" s="180" t="str">
        <f>+'4. CD - Obra gris'!E99</f>
        <v>Llave manguera 1/2"</v>
      </c>
      <c r="E94" s="168">
        <f>(SUMIFS('3. CD - Obra negra'!$G$364:$G$427,'3. CD - Obra negra'!$E$364:$E$427,'1. GENERAL'!D94))+(SUMIFS('4. CD - Obra gris'!$G$94:$G$123,'4. CD - Obra gris'!$E$94:$E$123,'1. GENERAL'!D94))+(SUMIFS('5, CD -Obra blanca'!$G$171:$G$200,'5, CD -Obra blanca'!$E$171:$E$200,'1. GENERAL'!D94))+(SUMIFS('5, CD -Obra blanca'!$G$205:$G$214,'5, CD -Obra blanca'!$E$205:$E$214,'1. GENERAL'!D94))</f>
        <v>2</v>
      </c>
      <c r="F94" s="180" t="str">
        <f t="shared" ref="F94:F109" si="9">+(VLOOKUP(D94,MATCASAEST,4,FALSE))</f>
        <v>UND</v>
      </c>
      <c r="G94" s="180" t="str">
        <f t="shared" ref="G94:G109" si="10">+(VLOOKUP(D94,MATCASAEST,6,FALSE))</f>
        <v>POTABLE</v>
      </c>
      <c r="I94" s="224">
        <f t="shared" ref="I94:I109" si="11">+(VLOOKUP(D94,MATCASAEST,8,FALSE))</f>
        <v>62000</v>
      </c>
      <c r="J94" s="224">
        <f t="shared" si="8"/>
        <v>124000</v>
      </c>
      <c r="K94" s="225">
        <f t="shared" ref="K94:K107" si="12">+J94/$E$35</f>
        <v>2.1968324553482129E-4</v>
      </c>
      <c r="L94" s="180" t="str">
        <f>+'3. CD - Obra negra'!O415</f>
        <v>Ferretería cercana</v>
      </c>
      <c r="M94" s="168">
        <f>+E94</f>
        <v>2</v>
      </c>
      <c r="N94" s="226">
        <f>(M94*I94)-J94</f>
        <v>0</v>
      </c>
      <c r="O94" s="226"/>
    </row>
    <row r="95" spans="4:15" s="180" customFormat="1" ht="45" x14ac:dyDescent="0.25">
      <c r="D95" s="180" t="str">
        <f>+'4. CD - Obra gris'!E100</f>
        <v>Válvula bola PVCP 40cm 1/2"</v>
      </c>
      <c r="E95" s="168">
        <f>(SUMIFS('3. CD - Obra negra'!$G$364:$G$427,'3. CD - Obra negra'!$E$364:$E$427,'1. GENERAL'!D95))+(SUMIFS('4. CD - Obra gris'!$G$94:$G$123,'4. CD - Obra gris'!$E$94:$E$123,'1. GENERAL'!D95))+(SUMIFS('5, CD -Obra blanca'!$G$171:$G$200,'5, CD -Obra blanca'!$E$171:$E$200,'1. GENERAL'!D95))+(SUMIFS('5, CD -Obra blanca'!$G$205:$G$214,'5, CD -Obra blanca'!$E$205:$E$214,'1. GENERAL'!D95))</f>
        <v>4</v>
      </c>
      <c r="F95" s="180" t="str">
        <f t="shared" si="9"/>
        <v>UND</v>
      </c>
      <c r="G95" s="180" t="str">
        <f t="shared" si="10"/>
        <v>POTABLE</v>
      </c>
      <c r="I95" s="224">
        <f t="shared" si="11"/>
        <v>7000</v>
      </c>
      <c r="J95" s="224">
        <f t="shared" si="8"/>
        <v>28000</v>
      </c>
      <c r="K95" s="225">
        <f t="shared" si="12"/>
        <v>4.9605894153024162E-5</v>
      </c>
      <c r="L95" s="180">
        <f>+'3. CD - Obra negra'!O416</f>
        <v>0</v>
      </c>
      <c r="M95" s="168">
        <f>+E95</f>
        <v>4</v>
      </c>
      <c r="N95" s="226">
        <f>(M95*I95)-J95</f>
        <v>0</v>
      </c>
      <c r="O95" s="226"/>
    </row>
    <row r="96" spans="4:15" s="180" customFormat="1" ht="45" x14ac:dyDescent="0.25">
      <c r="D96" s="180" t="str">
        <f>+'4. CD - Obra gris'!E101</f>
        <v>Válvula bola CPVC 40cm 1/2"</v>
      </c>
      <c r="E96" s="168">
        <f>(SUMIFS('3. CD - Obra negra'!$G$364:$G$427,'3. CD - Obra negra'!$E$364:$E$427,'1. GENERAL'!D96))+(SUMIFS('4. CD - Obra gris'!$G$94:$G$123,'4. CD - Obra gris'!$E$94:$E$123,'1. GENERAL'!D96))+(SUMIFS('5, CD -Obra blanca'!$G$171:$G$200,'5, CD -Obra blanca'!$E$171:$E$200,'1. GENERAL'!D96))+(SUMIFS('5, CD -Obra blanca'!$G$205:$G$214,'5, CD -Obra blanca'!$E$205:$E$214,'1. GENERAL'!D96))</f>
        <v>4</v>
      </c>
      <c r="F96" s="180" t="str">
        <f t="shared" si="9"/>
        <v>UND</v>
      </c>
      <c r="G96" s="180" t="str">
        <f t="shared" si="10"/>
        <v>POTABLE</v>
      </c>
      <c r="I96" s="224">
        <f t="shared" si="11"/>
        <v>35000</v>
      </c>
      <c r="J96" s="224">
        <f t="shared" si="8"/>
        <v>140000</v>
      </c>
      <c r="K96" s="225">
        <f t="shared" si="12"/>
        <v>2.4802947076512082E-4</v>
      </c>
      <c r="L96" s="180">
        <f>+'3. CD - Obra negra'!O417</f>
        <v>0</v>
      </c>
      <c r="M96" s="168">
        <v>5</v>
      </c>
      <c r="N96" s="226">
        <f>(M96*I96)-J96</f>
        <v>35000</v>
      </c>
      <c r="O96" s="226"/>
    </row>
    <row r="97" spans="4:15" s="180" customFormat="1" ht="30" x14ac:dyDescent="0.25">
      <c r="D97" s="180" t="str">
        <f>+'4. CD - Obra gris'!E102</f>
        <v>Cinta teflón 1/2" x10m</v>
      </c>
      <c r="E97" s="168">
        <f>(SUMIFS('3. CD - Obra negra'!$G$364:$G$427,'3. CD - Obra negra'!$E$364:$E$427,'1. GENERAL'!D97))+(SUMIFS('4. CD - Obra gris'!$G$94:$G$123,'4. CD - Obra gris'!$E$94:$E$123,'1. GENERAL'!D97))+(SUMIFS('5, CD -Obra blanca'!$G$171:$G$200,'5, CD -Obra blanca'!$E$171:$E$200,'1. GENERAL'!D97))+(SUMIFS('5, CD -Obra blanca'!$G$205:$G$214,'5, CD -Obra blanca'!$E$205:$E$214,'1. GENERAL'!D97))</f>
        <v>1</v>
      </c>
      <c r="F97" s="180" t="str">
        <f t="shared" si="9"/>
        <v>UND</v>
      </c>
      <c r="G97" s="180" t="str">
        <f t="shared" si="10"/>
        <v>POTABLE</v>
      </c>
      <c r="I97" s="224">
        <f t="shared" si="11"/>
        <v>9000</v>
      </c>
      <c r="J97" s="224">
        <f t="shared" si="8"/>
        <v>9000</v>
      </c>
      <c r="K97" s="225">
        <f t="shared" si="12"/>
        <v>1.5944751692043481E-5</v>
      </c>
      <c r="L97" s="180">
        <f>+'3. CD - Obra negra'!O418</f>
        <v>0</v>
      </c>
      <c r="M97" s="168">
        <v>32</v>
      </c>
      <c r="N97" s="226">
        <f>(M97*I97)-J97</f>
        <v>279000</v>
      </c>
      <c r="O97" s="226"/>
    </row>
    <row r="98" spans="4:15" s="180" customFormat="1" ht="60" x14ac:dyDescent="0.25">
      <c r="D98" s="180" t="str">
        <f>+'4. CD - Obra gris'!E103</f>
        <v>Tablero trifásico 18 circuitos con puerta</v>
      </c>
      <c r="E98" s="168">
        <f>(SUMIFS('3. CD - Obra negra'!$G$364:$G$427,'3. CD - Obra negra'!$E$364:$E$427,'1. GENERAL'!D98))+(SUMIFS('4. CD - Obra gris'!$G$94:$G$123,'4. CD - Obra gris'!$E$94:$E$123,'1. GENERAL'!D98))+(SUMIFS('5, CD -Obra blanca'!$G$171:$G$200,'5, CD -Obra blanca'!$E$171:$E$200,'1. GENERAL'!D98))+(SUMIFS('5, CD -Obra blanca'!$G$205:$G$214,'5, CD -Obra blanca'!$E$205:$E$214,'1. GENERAL'!D98))</f>
        <v>1</v>
      </c>
      <c r="F98" s="180" t="str">
        <f t="shared" si="9"/>
        <v>UND</v>
      </c>
      <c r="G98" s="180" t="str">
        <f t="shared" si="10"/>
        <v>ELECTRICA</v>
      </c>
      <c r="I98" s="224">
        <f t="shared" si="11"/>
        <v>275000</v>
      </c>
      <c r="J98" s="224">
        <f t="shared" si="8"/>
        <v>275000</v>
      </c>
      <c r="K98" s="225">
        <f t="shared" si="12"/>
        <v>4.8720074614577301E-4</v>
      </c>
      <c r="L98" s="180" t="str">
        <f>+'3. CD - Obra negra'!O419</f>
        <v>PROVEEDOR</v>
      </c>
      <c r="M98" s="168">
        <f>+E98</f>
        <v>1</v>
      </c>
      <c r="N98" s="226">
        <f t="shared" ref="N98:N107" si="13">(M98*I98)-J98</f>
        <v>0</v>
      </c>
      <c r="O98" s="226"/>
    </row>
    <row r="99" spans="4:15" s="180" customFormat="1" ht="30" x14ac:dyDescent="0.25">
      <c r="D99" s="180" t="str">
        <f>+'4. CD - Obra gris'!E104</f>
        <v>Breaker 20A</v>
      </c>
      <c r="E99" s="168">
        <f>(SUMIFS('3. CD - Obra negra'!$G$364:$G$427,'3. CD - Obra negra'!$E$364:$E$427,'1. GENERAL'!D99))+(SUMIFS('4. CD - Obra gris'!$G$94:$G$123,'4. CD - Obra gris'!$E$94:$E$123,'1. GENERAL'!D99))+(SUMIFS('5, CD -Obra blanca'!$G$171:$G$200,'5, CD -Obra blanca'!$E$171:$E$200,'1. GENERAL'!D99))+(SUMIFS('5, CD -Obra blanca'!$G$205:$G$214,'5, CD -Obra blanca'!$E$205:$E$214,'1. GENERAL'!D99))</f>
        <v>18</v>
      </c>
      <c r="F99" s="180" t="str">
        <f t="shared" si="9"/>
        <v>UND</v>
      </c>
      <c r="G99" s="180" t="str">
        <f t="shared" si="10"/>
        <v>ELECTRICA</v>
      </c>
      <c r="I99" s="224">
        <f t="shared" si="11"/>
        <v>13000</v>
      </c>
      <c r="J99" s="224">
        <f t="shared" si="8"/>
        <v>234000</v>
      </c>
      <c r="K99" s="225">
        <f t="shared" si="12"/>
        <v>4.145635439931305E-4</v>
      </c>
      <c r="L99" s="180" t="str">
        <f>+'3. CD - Obra negra'!O420</f>
        <v>Ferretería cercana</v>
      </c>
      <c r="M99" s="168">
        <f>+E99</f>
        <v>18</v>
      </c>
      <c r="N99" s="226">
        <f t="shared" si="13"/>
        <v>0</v>
      </c>
      <c r="O99" s="226"/>
    </row>
    <row r="100" spans="4:15" s="180" customFormat="1" ht="30" x14ac:dyDescent="0.25">
      <c r="D100" s="180" t="str">
        <f>+'4. CD - Obra gris'!E105</f>
        <v>Lámpara de muro</v>
      </c>
      <c r="E100" s="168">
        <f>(SUMIFS('3. CD - Obra negra'!$G$364:$G$427,'3. CD - Obra negra'!$E$364:$E$427,'1. GENERAL'!D100))+(SUMIFS('4. CD - Obra gris'!$G$94:$G$123,'4. CD - Obra gris'!$E$94:$E$123,'1. GENERAL'!D100))+(SUMIFS('5, CD -Obra blanca'!$G$171:$G$200,'5, CD -Obra blanca'!$E$171:$E$200,'1. GENERAL'!D100))+(SUMIFS('5, CD -Obra blanca'!$G$205:$G$214,'5, CD -Obra blanca'!$E$205:$E$214,'1. GENERAL'!D100))</f>
        <v>7</v>
      </c>
      <c r="F100" s="180" t="str">
        <f t="shared" si="9"/>
        <v>UND</v>
      </c>
      <c r="G100" s="180" t="str">
        <f t="shared" si="10"/>
        <v>ELECTRICA</v>
      </c>
      <c r="I100" s="224">
        <f t="shared" si="11"/>
        <v>70000</v>
      </c>
      <c r="J100" s="224">
        <f t="shared" si="8"/>
        <v>490000</v>
      </c>
      <c r="K100" s="225">
        <f t="shared" si="12"/>
        <v>8.681031476779229E-4</v>
      </c>
      <c r="L100" s="180" t="str">
        <f>+'3. CD - Obra negra'!O421</f>
        <v>Ferretería cercana</v>
      </c>
      <c r="M100" s="168">
        <f>+E100</f>
        <v>7</v>
      </c>
      <c r="N100" s="226">
        <f>(M100*I100)-J100</f>
        <v>0</v>
      </c>
      <c r="O100" s="226"/>
    </row>
    <row r="101" spans="4:15" s="180" customFormat="1" ht="30" x14ac:dyDescent="0.25">
      <c r="D101" s="180" t="str">
        <f>+'4. CD - Obra gris'!E106</f>
        <v>Interruptor sencillo</v>
      </c>
      <c r="E101" s="168">
        <f>(SUMIFS('3. CD - Obra negra'!$G$364:$G$427,'3. CD - Obra negra'!$E$364:$E$427,'1. GENERAL'!D101))+(SUMIFS('4. CD - Obra gris'!$G$94:$G$123,'4. CD - Obra gris'!$E$94:$E$123,'1. GENERAL'!D101))+(SUMIFS('5, CD -Obra blanca'!$G$171:$G$200,'5, CD -Obra blanca'!$E$171:$E$200,'1. GENERAL'!D101))+(SUMIFS('5, CD -Obra blanca'!$G$205:$G$214,'5, CD -Obra blanca'!$E$205:$E$214,'1. GENERAL'!D101))</f>
        <v>4</v>
      </c>
      <c r="F101" s="180" t="str">
        <f t="shared" si="9"/>
        <v>UND</v>
      </c>
      <c r="G101" s="180" t="str">
        <f t="shared" si="10"/>
        <v>ELECTRICA</v>
      </c>
      <c r="I101" s="224">
        <f t="shared" si="11"/>
        <v>12000</v>
      </c>
      <c r="J101" s="224">
        <f t="shared" si="8"/>
        <v>48000</v>
      </c>
      <c r="K101" s="225">
        <f t="shared" si="12"/>
        <v>8.5038675690898572E-5</v>
      </c>
      <c r="L101" s="180" t="str">
        <f>+'3. CD - Obra negra'!O422</f>
        <v>Ferretería cercana</v>
      </c>
      <c r="M101" s="168">
        <f>+E101</f>
        <v>4</v>
      </c>
      <c r="N101" s="226">
        <f t="shared" si="13"/>
        <v>0</v>
      </c>
      <c r="O101" s="226"/>
    </row>
    <row r="102" spans="4:15" s="180" customFormat="1" ht="45" x14ac:dyDescent="0.25">
      <c r="D102" s="180" t="str">
        <f>+'4. CD - Obra gris'!E107</f>
        <v>Interruptor triple conmutable</v>
      </c>
      <c r="E102" s="168">
        <f>(SUMIFS('3. CD - Obra negra'!$G$364:$G$427,'3. CD - Obra negra'!$E$364:$E$427,'1. GENERAL'!D102))+(SUMIFS('4. CD - Obra gris'!$G$94:$G$123,'4. CD - Obra gris'!$E$94:$E$123,'1. GENERAL'!D102))+(SUMIFS('5, CD -Obra blanca'!$G$171:$G$200,'5, CD -Obra blanca'!$E$171:$E$200,'1. GENERAL'!D102))+(SUMIFS('5, CD -Obra blanca'!$G$205:$G$214,'5, CD -Obra blanca'!$E$205:$E$214,'1. GENERAL'!D102))</f>
        <v>2</v>
      </c>
      <c r="F102" s="180" t="str">
        <f t="shared" si="9"/>
        <v>UND</v>
      </c>
      <c r="G102" s="180" t="str">
        <f t="shared" si="10"/>
        <v>ELECTRICA</v>
      </c>
      <c r="I102" s="224">
        <f t="shared" si="11"/>
        <v>34000</v>
      </c>
      <c r="J102" s="224">
        <f t="shared" ref="J102:J107" si="14">+I102*E102</f>
        <v>68000</v>
      </c>
      <c r="K102" s="225">
        <f t="shared" si="12"/>
        <v>1.2047145722877297E-4</v>
      </c>
      <c r="L102" s="180" t="str">
        <f>+'3. CD - Obra negra'!O423</f>
        <v>Ferretería cercana</v>
      </c>
      <c r="M102" s="168">
        <v>1</v>
      </c>
      <c r="N102" s="226">
        <f t="shared" si="13"/>
        <v>-34000</v>
      </c>
      <c r="O102" s="226"/>
    </row>
    <row r="103" spans="4:15" s="180" customFormat="1" ht="30" x14ac:dyDescent="0.25">
      <c r="D103" s="180" t="str">
        <f>+'4. CD - Obra gris'!E108</f>
        <v>Caja octagonal</v>
      </c>
      <c r="E103" s="168">
        <f>(SUMIFS('3. CD - Obra negra'!$G$364:$G$427,'3. CD - Obra negra'!$E$364:$E$427,'1. GENERAL'!D103))+(SUMIFS('4. CD - Obra gris'!$G$94:$G$123,'4. CD - Obra gris'!$E$94:$E$123,'1. GENERAL'!D103))+(SUMIFS('5, CD -Obra blanca'!$G$171:$G$200,'5, CD -Obra blanca'!$E$171:$E$200,'1. GENERAL'!D103))+(SUMIFS('5, CD -Obra blanca'!$G$205:$G$214,'5, CD -Obra blanca'!$E$205:$E$214,'1. GENERAL'!D103))</f>
        <v>25</v>
      </c>
      <c r="F103" s="180" t="str">
        <f t="shared" si="9"/>
        <v>UND</v>
      </c>
      <c r="G103" s="180" t="str">
        <f t="shared" si="10"/>
        <v>ELECTRICA</v>
      </c>
      <c r="I103" s="224">
        <f t="shared" si="11"/>
        <v>2500</v>
      </c>
      <c r="J103" s="224">
        <f t="shared" si="14"/>
        <v>62500</v>
      </c>
      <c r="K103" s="225">
        <f t="shared" si="12"/>
        <v>1.1072744230585751E-4</v>
      </c>
      <c r="L103" s="180" t="str">
        <f>+'3. CD - Obra negra'!O424</f>
        <v>Ferretería cercana</v>
      </c>
      <c r="M103" s="168">
        <f>+E103</f>
        <v>25</v>
      </c>
      <c r="N103" s="226">
        <f t="shared" si="13"/>
        <v>0</v>
      </c>
      <c r="O103" s="226"/>
    </row>
    <row r="104" spans="4:15" s="180" customFormat="1" ht="30" x14ac:dyDescent="0.25">
      <c r="D104" s="180" t="str">
        <f>+'4. CD - Obra gris'!E109</f>
        <v>Caja 5800 PVC</v>
      </c>
      <c r="E104" s="168">
        <f>(SUMIFS('3. CD - Obra negra'!$G$364:$G$427,'3. CD - Obra negra'!$E$364:$E$427,'1. GENERAL'!D104))+(SUMIFS('4. CD - Obra gris'!$G$94:$G$123,'4. CD - Obra gris'!$E$94:$E$123,'1. GENERAL'!D104))+(SUMIFS('5, CD -Obra blanca'!$G$171:$G$200,'5, CD -Obra blanca'!$E$171:$E$200,'1. GENERAL'!D104))+(SUMIFS('5, CD -Obra blanca'!$G$205:$G$214,'5, CD -Obra blanca'!$E$205:$E$214,'1. GENERAL'!D104))</f>
        <v>41</v>
      </c>
      <c r="F104" s="180" t="str">
        <f t="shared" si="9"/>
        <v>UND</v>
      </c>
      <c r="G104" s="180" t="str">
        <f t="shared" si="10"/>
        <v>ELECTRICA</v>
      </c>
      <c r="I104" s="224">
        <f t="shared" si="11"/>
        <v>2100</v>
      </c>
      <c r="J104" s="224">
        <f t="shared" si="14"/>
        <v>86100</v>
      </c>
      <c r="K104" s="225">
        <f t="shared" si="12"/>
        <v>1.525381245205493E-4</v>
      </c>
      <c r="L104" s="180" t="str">
        <f>+'3. CD - Obra negra'!O425</f>
        <v>Ferretería cercana</v>
      </c>
      <c r="M104" s="168">
        <f>+E104</f>
        <v>41</v>
      </c>
      <c r="N104" s="226">
        <f t="shared" si="13"/>
        <v>0</v>
      </c>
      <c r="O104" s="226"/>
    </row>
    <row r="105" spans="4:15" s="180" customFormat="1" ht="30" x14ac:dyDescent="0.25">
      <c r="D105" s="180" t="str">
        <f>+'4. CD - Obra gris'!E110</f>
        <v>Toma doble</v>
      </c>
      <c r="E105" s="168">
        <f>(SUMIFS('3. CD - Obra negra'!$G$364:$G$427,'3. CD - Obra negra'!$E$364:$E$427,'1. GENERAL'!D105))+(SUMIFS('4. CD - Obra gris'!$G$94:$G$123,'4. CD - Obra gris'!$E$94:$E$123,'1. GENERAL'!D105))+(SUMIFS('5, CD -Obra blanca'!$G$171:$G$200,'5, CD -Obra blanca'!$E$171:$E$200,'1. GENERAL'!D105))+(SUMIFS('5, CD -Obra blanca'!$G$205:$G$214,'5, CD -Obra blanca'!$E$205:$E$214,'1. GENERAL'!D105))</f>
        <v>24</v>
      </c>
      <c r="F105" s="180" t="str">
        <f t="shared" si="9"/>
        <v>UND</v>
      </c>
      <c r="G105" s="180" t="str">
        <f t="shared" si="10"/>
        <v>ELECTRICA</v>
      </c>
      <c r="I105" s="224">
        <f t="shared" si="11"/>
        <v>8000</v>
      </c>
      <c r="J105" s="224">
        <f t="shared" si="14"/>
        <v>192000</v>
      </c>
      <c r="K105" s="225">
        <f t="shared" si="12"/>
        <v>3.4015470276359429E-4</v>
      </c>
      <c r="L105" s="180" t="str">
        <f>+'3. CD - Obra negra'!O426</f>
        <v>Ferretería cercana</v>
      </c>
      <c r="M105" s="168">
        <f>+E105</f>
        <v>24</v>
      </c>
      <c r="N105" s="226">
        <f t="shared" si="13"/>
        <v>0</v>
      </c>
      <c r="O105" s="226"/>
    </row>
    <row r="106" spans="4:15" s="180" customFormat="1" ht="45" x14ac:dyDescent="0.25">
      <c r="D106" s="180" t="str">
        <f>+'4. CD - Obra gris'!E111</f>
        <v>Toma doble autoprotegida GFCI</v>
      </c>
      <c r="E106" s="168">
        <f>(SUMIFS('3. CD - Obra negra'!$G$364:$G$427,'3. CD - Obra negra'!$E$364:$E$427,'1. GENERAL'!D106))+(SUMIFS('4. CD - Obra gris'!$G$94:$G$123,'4. CD - Obra gris'!$E$94:$E$123,'1. GENERAL'!D106))+(SUMIFS('5, CD -Obra blanca'!$G$171:$G$200,'5, CD -Obra blanca'!$E$171:$E$200,'1. GENERAL'!D106))+(SUMIFS('5, CD -Obra blanca'!$G$205:$G$214,'5, CD -Obra blanca'!$E$205:$E$214,'1. GENERAL'!D106))</f>
        <v>16</v>
      </c>
      <c r="F106" s="180" t="str">
        <f t="shared" si="9"/>
        <v>UND</v>
      </c>
      <c r="G106" s="180" t="str">
        <f t="shared" si="10"/>
        <v>ELECTRICA</v>
      </c>
      <c r="I106" s="224">
        <f t="shared" si="11"/>
        <v>55000</v>
      </c>
      <c r="J106" s="224">
        <f t="shared" si="14"/>
        <v>880000</v>
      </c>
      <c r="K106" s="225">
        <f t="shared" si="12"/>
        <v>1.5590423876664736E-3</v>
      </c>
      <c r="L106" s="180" t="str">
        <f>+'3. CD - Obra negra'!O427</f>
        <v>Ferretería cercana</v>
      </c>
      <c r="M106" s="168">
        <f>+E106</f>
        <v>16</v>
      </c>
      <c r="N106" s="226">
        <f t="shared" si="13"/>
        <v>0</v>
      </c>
      <c r="O106" s="226"/>
    </row>
    <row r="107" spans="4:15" s="180" customFormat="1" ht="30" x14ac:dyDescent="0.25">
      <c r="D107" s="180" t="str">
        <f>+'4. CD - Obra gris'!E112</f>
        <v>Salida Rj45 Ethernet</v>
      </c>
      <c r="E107" s="168">
        <f>(SUMIFS('3. CD - Obra negra'!$G$364:$G$427,'3. CD - Obra negra'!$E$364:$E$427,'1. GENERAL'!D107))+(SUMIFS('4. CD - Obra gris'!$G$94:$G$123,'4. CD - Obra gris'!$E$94:$E$123,'1. GENERAL'!D107))+(SUMIFS('5, CD -Obra blanca'!$G$171:$G$200,'5, CD -Obra blanca'!$E$171:$E$200,'1. GENERAL'!D107))+(SUMIFS('5, CD -Obra blanca'!$G$205:$G$214,'5, CD -Obra blanca'!$E$205:$E$214,'1. GENERAL'!D107))</f>
        <v>1</v>
      </c>
      <c r="F107" s="180" t="str">
        <f t="shared" si="9"/>
        <v>UND</v>
      </c>
      <c r="G107" s="180" t="str">
        <f t="shared" si="10"/>
        <v>ELECTRICA</v>
      </c>
      <c r="I107" s="224">
        <f t="shared" si="11"/>
        <v>40000</v>
      </c>
      <c r="J107" s="224">
        <f t="shared" si="14"/>
        <v>40000</v>
      </c>
      <c r="K107" s="225">
        <f t="shared" si="12"/>
        <v>7.0865563075748808E-5</v>
      </c>
      <c r="L107" s="180">
        <f>+'3. CD - Obra negra'!O428</f>
        <v>0</v>
      </c>
      <c r="M107" s="168">
        <f>+E107</f>
        <v>1</v>
      </c>
      <c r="N107" s="226">
        <f t="shared" si="13"/>
        <v>0</v>
      </c>
      <c r="O107" s="226"/>
    </row>
    <row r="108" spans="4:15" s="180" customFormat="1" x14ac:dyDescent="0.25">
      <c r="D108" s="180" t="e">
        <f>+'4. CD - Obra gris'!E114</f>
        <v>#REF!</v>
      </c>
      <c r="E108" s="168">
        <f>(SUMIFS('3. CD - Obra negra'!$G$364:$G$427,'3. CD - Obra negra'!$E$364:$E$427,'1. GENERAL'!D108))+(SUMIFS('4. CD - Obra gris'!$G$94:$G$123,'4. CD - Obra gris'!$E$94:$E$123,'1. GENERAL'!D108))+(SUMIFS('5, CD -Obra blanca'!$G$171:$G$200,'5, CD -Obra blanca'!$E$171:$E$200,'1. GENERAL'!D108))+(SUMIFS('5, CD -Obra blanca'!$G$205:$G$214,'5, CD -Obra blanca'!$E$205:$E$214,'1. GENERAL'!D108))</f>
        <v>0</v>
      </c>
      <c r="F108" s="180" t="e">
        <f t="shared" si="9"/>
        <v>#REF!</v>
      </c>
      <c r="G108" s="180" t="e">
        <f t="shared" si="10"/>
        <v>#REF!</v>
      </c>
      <c r="I108" s="224" t="e">
        <f t="shared" si="11"/>
        <v>#REF!</v>
      </c>
      <c r="J108" s="224" t="e">
        <f t="shared" ref="J108:J134" si="15">+I108*E108</f>
        <v>#REF!</v>
      </c>
      <c r="K108" s="225" t="e">
        <f t="shared" ref="K108:K132" si="16">+J108/$E$35</f>
        <v>#REF!</v>
      </c>
      <c r="L108" s="180" t="e">
        <f>+'3. CD - Obra negra'!#REF!</f>
        <v>#REF!</v>
      </c>
      <c r="M108" s="168">
        <v>201</v>
      </c>
      <c r="N108" s="226" t="e">
        <f>(M108*I108)-J108</f>
        <v>#REF!</v>
      </c>
      <c r="O108" s="226"/>
    </row>
    <row r="109" spans="4:15" s="180" customFormat="1" x14ac:dyDescent="0.25">
      <c r="D109" s="180" t="e">
        <f>+'4. CD - Obra gris'!E115</f>
        <v>#REF!</v>
      </c>
      <c r="E109" s="168">
        <f>(SUMIFS('3. CD - Obra negra'!$G$364:$G$427,'3. CD - Obra negra'!$E$364:$E$427,'1. GENERAL'!D109))+(SUMIFS('4. CD - Obra gris'!$G$94:$G$123,'4. CD - Obra gris'!$E$94:$E$123,'1. GENERAL'!D109))+(SUMIFS('5, CD -Obra blanca'!$G$171:$G$200,'5, CD -Obra blanca'!$E$171:$E$200,'1. GENERAL'!D109))+(SUMIFS('5, CD -Obra blanca'!$G$205:$G$214,'5, CD -Obra blanca'!$E$205:$E$214,'1. GENERAL'!D109))</f>
        <v>0</v>
      </c>
      <c r="F109" s="180" t="e">
        <f t="shared" si="9"/>
        <v>#REF!</v>
      </c>
      <c r="G109" s="180" t="e">
        <f t="shared" si="10"/>
        <v>#REF!</v>
      </c>
      <c r="I109" s="224" t="e">
        <f t="shared" si="11"/>
        <v>#REF!</v>
      </c>
      <c r="J109" s="224" t="e">
        <f t="shared" si="15"/>
        <v>#REF!</v>
      </c>
      <c r="K109" s="225" t="e">
        <f t="shared" si="16"/>
        <v>#REF!</v>
      </c>
      <c r="L109" s="180" t="e">
        <f>+'3. CD - Obra negra'!#REF!</f>
        <v>#REF!</v>
      </c>
      <c r="M109" s="168">
        <v>6</v>
      </c>
      <c r="N109" s="226" t="e">
        <f>(M109*I109)-J109</f>
        <v>#REF!</v>
      </c>
      <c r="O109" s="226"/>
    </row>
    <row r="110" spans="4:15" s="180" customFormat="1" x14ac:dyDescent="0.25">
      <c r="D110" s="180" t="e">
        <f>+'4. CD - Obra gris'!E117</f>
        <v>#REF!</v>
      </c>
      <c r="E110" s="168">
        <f>(SUMIFS('3. CD - Obra negra'!$G$364:$G$427,'3. CD - Obra negra'!$E$364:$E$427,'1. GENERAL'!D110))+(SUMIFS('4. CD - Obra gris'!$G$94:$G$123,'4. CD - Obra gris'!$E$94:$E$123,'1. GENERAL'!D110))+(SUMIFS('5, CD -Obra blanca'!$G$171:$G$200,'5, CD -Obra blanca'!$E$171:$E$200,'1. GENERAL'!D110))+(SUMIFS('5, CD -Obra blanca'!$G$205:$G$214,'5, CD -Obra blanca'!$E$205:$E$214,'1. GENERAL'!D110))</f>
        <v>0</v>
      </c>
      <c r="F110" s="180" t="e">
        <f>+(VLOOKUP(D110,MATCASAEST,4,FALSE))</f>
        <v>#REF!</v>
      </c>
      <c r="G110" s="180" t="e">
        <f>+(VLOOKUP(D110,MATCASAEST,6,FALSE))</f>
        <v>#REF!</v>
      </c>
      <c r="I110" s="224" t="e">
        <f>+(VLOOKUP(D110,MATCASAEST,8,FALSE))</f>
        <v>#REF!</v>
      </c>
      <c r="J110" s="224" t="e">
        <f t="shared" si="15"/>
        <v>#REF!</v>
      </c>
      <c r="K110" s="225" t="e">
        <f t="shared" si="16"/>
        <v>#REF!</v>
      </c>
      <c r="L110" s="180" t="e">
        <f>+'3. CD - Obra negra'!#REF!</f>
        <v>#REF!</v>
      </c>
      <c r="M110" s="168">
        <v>2</v>
      </c>
      <c r="N110" s="226" t="e">
        <f>(M110*I110)-J110</f>
        <v>#REF!</v>
      </c>
      <c r="O110" s="226"/>
    </row>
    <row r="111" spans="4:15" s="180" customFormat="1" ht="60" x14ac:dyDescent="0.25">
      <c r="D111" s="180" t="str">
        <f>+'5, CD -Obra blanca'!E176</f>
        <v xml:space="preserve">Pintura Koraza exterior blanco </v>
      </c>
      <c r="E111" s="168">
        <f>(SUMIFS('3. CD - Obra negra'!$G$364:$G$427,'3. CD - Obra negra'!$E$364:$E$427,'1. GENERAL'!D111))+(SUMIFS('4. CD - Obra gris'!$G$94:$G$123,'4. CD - Obra gris'!$E$94:$E$123,'1. GENERAL'!D111))+(SUMIFS('5, CD -Obra blanca'!$G$171:$G$200,'5, CD -Obra blanca'!$E$171:$E$200,'1. GENERAL'!D111))+(SUMIFS('5, CD -Obra blanca'!$G$205:$G$214,'5, CD -Obra blanca'!$E$205:$E$214,'1. GENERAL'!D111))</f>
        <v>0</v>
      </c>
      <c r="F111" s="180" t="str">
        <f t="shared" ref="F111:F132" si="17">+(VLOOKUP(D111,MATCASAACAB,4,FALSE))</f>
        <v>GL</v>
      </c>
      <c r="G111" s="180" t="str">
        <f t="shared" ref="G111:G132" si="18">+(VLOOKUP(D111,MATCASAACAB,6,FALSE))</f>
        <v>PINTURA</v>
      </c>
      <c r="I111" s="224">
        <f t="shared" ref="I111:I132" si="19">+(VLOOKUP(D111,MATCASAACAB,8,FALSE))</f>
        <v>140000</v>
      </c>
      <c r="J111" s="224">
        <f t="shared" si="15"/>
        <v>0</v>
      </c>
      <c r="K111" s="225">
        <f t="shared" si="16"/>
        <v>0</v>
      </c>
      <c r="L111" s="180" t="e">
        <f>+'3. CD - Obra negra'!#REF!</f>
        <v>#REF!</v>
      </c>
      <c r="M111" s="168">
        <v>1</v>
      </c>
      <c r="N111" s="226">
        <f>(M111*I111)-J111</f>
        <v>140000</v>
      </c>
      <c r="O111" s="226"/>
    </row>
    <row r="112" spans="4:15" s="180" customFormat="1" ht="45" x14ac:dyDescent="0.25">
      <c r="D112" s="180" t="str">
        <f>+'5, CD -Obra blanca'!E177</f>
        <v>Pintura interior Tipo 3 pintuco</v>
      </c>
      <c r="E112" s="168">
        <f>(SUMIFS('3. CD - Obra negra'!$G$364:$G$427,'3. CD - Obra negra'!$E$364:$E$427,'1. GENERAL'!D112))+(SUMIFS('4. CD - Obra gris'!$G$94:$G$123,'4. CD - Obra gris'!$E$94:$E$123,'1. GENERAL'!D112))+(SUMIFS('5, CD -Obra blanca'!$G$171:$G$200,'5, CD -Obra blanca'!$E$171:$E$200,'1. GENERAL'!D112))+(SUMIFS('5, CD -Obra blanca'!$G$205:$G$214,'5, CD -Obra blanca'!$E$205:$E$214,'1. GENERAL'!D112))</f>
        <v>0</v>
      </c>
      <c r="F112" s="180" t="str">
        <f t="shared" si="17"/>
        <v>GL</v>
      </c>
      <c r="G112" s="180" t="str">
        <f t="shared" si="18"/>
        <v>PINTURA</v>
      </c>
      <c r="I112" s="224">
        <f t="shared" si="19"/>
        <v>40000</v>
      </c>
      <c r="J112" s="224">
        <f t="shared" si="15"/>
        <v>0</v>
      </c>
      <c r="K112" s="225">
        <f t="shared" si="16"/>
        <v>0</v>
      </c>
      <c r="L112" s="180" t="e">
        <f>+'3. CD - Obra negra'!#REF!</f>
        <v>#REF!</v>
      </c>
      <c r="M112" s="168">
        <v>13</v>
      </c>
      <c r="N112" s="226">
        <f>(M112*I112)-J112</f>
        <v>520000</v>
      </c>
      <c r="O112" s="226"/>
    </row>
    <row r="113" spans="4:15" s="180" customFormat="1" ht="45" x14ac:dyDescent="0.25">
      <c r="D113" s="180" t="str">
        <f>+'5, CD -Obra blanca'!E178</f>
        <v>Pintura interior Tipo 2 pintuco</v>
      </c>
      <c r="E113" s="168">
        <f>(SUMIFS('3. CD - Obra negra'!$G$364:$G$427,'3. CD - Obra negra'!$E$364:$E$427,'1. GENERAL'!D113))+(SUMIFS('4. CD - Obra gris'!$G$94:$G$123,'4. CD - Obra gris'!$E$94:$E$123,'1. GENERAL'!D113))+(SUMIFS('5, CD -Obra blanca'!$G$171:$G$200,'5, CD -Obra blanca'!$E$171:$E$200,'1. GENERAL'!D113))+(SUMIFS('5, CD -Obra blanca'!$G$205:$G$214,'5, CD -Obra blanca'!$E$205:$E$214,'1. GENERAL'!D113))</f>
        <v>0</v>
      </c>
      <c r="F113" s="180" t="str">
        <f t="shared" si="17"/>
        <v>GL</v>
      </c>
      <c r="G113" s="180" t="str">
        <f t="shared" si="18"/>
        <v>PINTURA</v>
      </c>
      <c r="I113" s="224">
        <f t="shared" si="19"/>
        <v>70000</v>
      </c>
      <c r="J113" s="224">
        <f t="shared" si="15"/>
        <v>0</v>
      </c>
      <c r="K113" s="225">
        <f t="shared" si="16"/>
        <v>0</v>
      </c>
      <c r="L113" s="180" t="e">
        <f>+'3. CD - Obra negra'!#REF!</f>
        <v>#REF!</v>
      </c>
      <c r="M113" s="168">
        <v>8</v>
      </c>
      <c r="N113" s="226">
        <f t="shared" ref="N113:N124" si="20">(M113*I113)-J113</f>
        <v>560000</v>
      </c>
      <c r="O113" s="226"/>
    </row>
    <row r="114" spans="4:15" s="180" customFormat="1" x14ac:dyDescent="0.25">
      <c r="D114" s="180" t="e">
        <f>+'5, CD -Obra blanca'!E179</f>
        <v>#REF!</v>
      </c>
      <c r="E114" s="168">
        <f>(SUMIFS('3. CD - Obra negra'!$G$364:$G$427,'3. CD - Obra negra'!$E$364:$E$427,'1. GENERAL'!D114))+(SUMIFS('4. CD - Obra gris'!$G$94:$G$123,'4. CD - Obra gris'!$E$94:$E$123,'1. GENERAL'!D114))+(SUMIFS('5, CD -Obra blanca'!$G$171:$G$200,'5, CD -Obra blanca'!$E$171:$E$200,'1. GENERAL'!D114))+(SUMIFS('5, CD -Obra blanca'!$G$205:$G$214,'5, CD -Obra blanca'!$E$205:$E$214,'1. GENERAL'!D114))</f>
        <v>0</v>
      </c>
      <c r="F114" s="180" t="e">
        <f t="shared" si="17"/>
        <v>#REF!</v>
      </c>
      <c r="G114" s="180" t="e">
        <f t="shared" si="18"/>
        <v>#REF!</v>
      </c>
      <c r="I114" s="224" t="e">
        <f t="shared" si="19"/>
        <v>#REF!</v>
      </c>
      <c r="J114" s="224" t="e">
        <f t="shared" si="15"/>
        <v>#REF!</v>
      </c>
      <c r="K114" s="225" t="e">
        <f t="shared" si="16"/>
        <v>#REF!</v>
      </c>
      <c r="L114" s="180">
        <f>+'3. CD - Obra negra'!O428</f>
        <v>0</v>
      </c>
      <c r="M114" s="180">
        <v>34</v>
      </c>
      <c r="N114" s="226" t="e">
        <f t="shared" si="20"/>
        <v>#REF!</v>
      </c>
      <c r="O114" s="226"/>
    </row>
    <row r="115" spans="4:15" s="180" customFormat="1" ht="60" x14ac:dyDescent="0.25">
      <c r="D115" s="180" t="str">
        <f>+'5, CD -Obra blanca'!E180</f>
        <v>Enchape cerámico antideslizante</v>
      </c>
      <c r="E115" s="168">
        <f>(SUMIFS('3. CD - Obra negra'!$G$364:$G$427,'3. CD - Obra negra'!$E$364:$E$427,'1. GENERAL'!D115))+(SUMIFS('4. CD - Obra gris'!$G$94:$G$123,'4. CD - Obra gris'!$E$94:$E$123,'1. GENERAL'!D115))+(SUMIFS('5, CD -Obra blanca'!$G$171:$G$200,'5, CD -Obra blanca'!$E$171:$E$200,'1. GENERAL'!D115))+(SUMIFS('5, CD -Obra blanca'!$G$205:$G$214,'5, CD -Obra blanca'!$E$205:$E$214,'1. GENERAL'!D115))</f>
        <v>0</v>
      </c>
      <c r="F115" s="180" t="str">
        <f t="shared" si="17"/>
        <v>M2</v>
      </c>
      <c r="G115" s="180" t="str">
        <f t="shared" si="18"/>
        <v>ENCHAPE</v>
      </c>
      <c r="I115" s="224">
        <f t="shared" si="19"/>
        <v>65000</v>
      </c>
      <c r="J115" s="224">
        <f t="shared" si="15"/>
        <v>0</v>
      </c>
      <c r="K115" s="225">
        <f t="shared" si="16"/>
        <v>0</v>
      </c>
      <c r="L115" s="180">
        <f>+'3. CD - Obra negra'!O429</f>
        <v>0</v>
      </c>
      <c r="M115" s="180">
        <v>87</v>
      </c>
      <c r="N115" s="226">
        <f t="shared" si="20"/>
        <v>5655000</v>
      </c>
      <c r="O115" s="226"/>
    </row>
    <row r="116" spans="4:15" s="180" customFormat="1" ht="45" x14ac:dyDescent="0.25">
      <c r="D116" s="180" t="str">
        <f>+'5, CD -Obra blanca'!E181</f>
        <v>Boquilla concolor 2kg (rend 0,8m2)</v>
      </c>
      <c r="E116" s="168">
        <f>(SUMIFS('3. CD - Obra negra'!$G$364:$G$427,'3. CD - Obra negra'!$E$364:$E$427,'1. GENERAL'!D116))+(SUMIFS('4. CD - Obra gris'!$G$94:$G$123,'4. CD - Obra gris'!$E$94:$E$123,'1. GENERAL'!D116))+(SUMIFS('5, CD -Obra blanca'!$G$171:$G$200,'5, CD -Obra blanca'!$E$171:$E$200,'1. GENERAL'!D116))+(SUMIFS('5, CD -Obra blanca'!$G$205:$G$214,'5, CD -Obra blanca'!$E$205:$E$214,'1. GENERAL'!D116))</f>
        <v>0</v>
      </c>
      <c r="F116" s="180" t="str">
        <f t="shared" si="17"/>
        <v>UND</v>
      </c>
      <c r="G116" s="180" t="str">
        <f t="shared" si="18"/>
        <v>ENCHAPE</v>
      </c>
      <c r="I116" s="224">
        <f t="shared" si="19"/>
        <v>16000</v>
      </c>
      <c r="J116" s="224">
        <f t="shared" si="15"/>
        <v>0</v>
      </c>
      <c r="K116" s="225">
        <f t="shared" si="16"/>
        <v>0</v>
      </c>
      <c r="L116" s="180">
        <f>+'3. CD - Obra negra'!O430</f>
        <v>0</v>
      </c>
      <c r="M116" s="180">
        <v>11</v>
      </c>
      <c r="N116" s="226">
        <f t="shared" si="20"/>
        <v>176000</v>
      </c>
      <c r="O116" s="226"/>
    </row>
    <row r="117" spans="4:15" s="180" customFormat="1" ht="45" x14ac:dyDescent="0.25">
      <c r="D117" s="180" t="str">
        <f>+'5, CD -Obra blanca'!E182</f>
        <v>Pegante cerámico PEGACOR</v>
      </c>
      <c r="E117" s="168">
        <f>(SUMIFS('3. CD - Obra negra'!$G$364:$G$427,'3. CD - Obra negra'!$E$364:$E$427,'1. GENERAL'!D117))+(SUMIFS('4. CD - Obra gris'!$G$94:$G$123,'4. CD - Obra gris'!$E$94:$E$123,'1. GENERAL'!D117))+(SUMIFS('5, CD -Obra blanca'!$G$171:$G$200,'5, CD -Obra blanca'!$E$171:$E$200,'1. GENERAL'!D117))+(SUMIFS('5, CD -Obra blanca'!$G$205:$G$214,'5, CD -Obra blanca'!$E$205:$E$214,'1. GENERAL'!D117))</f>
        <v>0</v>
      </c>
      <c r="F117" s="180" t="str">
        <f t="shared" si="17"/>
        <v>GL</v>
      </c>
      <c r="G117" s="180" t="str">
        <f t="shared" si="18"/>
        <v>ENCHAPE</v>
      </c>
      <c r="I117" s="224">
        <f t="shared" si="19"/>
        <v>7000</v>
      </c>
      <c r="J117" s="224">
        <f t="shared" si="15"/>
        <v>0</v>
      </c>
      <c r="K117" s="225">
        <f t="shared" si="16"/>
        <v>0</v>
      </c>
      <c r="L117" s="180">
        <f>+'3. CD - Obra negra'!O431</f>
        <v>0</v>
      </c>
      <c r="M117" s="168">
        <v>103</v>
      </c>
      <c r="N117" s="226">
        <f t="shared" si="20"/>
        <v>721000</v>
      </c>
      <c r="O117" s="226"/>
    </row>
    <row r="118" spans="4:15" s="180" customFormat="1" ht="30" x14ac:dyDescent="0.25">
      <c r="D118" s="180" t="str">
        <f>+'5, CD -Obra blanca'!E183</f>
        <v>Cemento blanco 40kg</v>
      </c>
      <c r="E118" s="168">
        <f>(SUMIFS('3. CD - Obra negra'!$G$364:$G$427,'3. CD - Obra negra'!$E$364:$E$427,'1. GENERAL'!D118))+(SUMIFS('4. CD - Obra gris'!$G$94:$G$123,'4. CD - Obra gris'!$E$94:$E$123,'1. GENERAL'!D118))+(SUMIFS('5, CD -Obra blanca'!$G$171:$G$200,'5, CD -Obra blanca'!$E$171:$E$200,'1. GENERAL'!D118))+(SUMIFS('5, CD -Obra blanca'!$G$205:$G$214,'5, CD -Obra blanca'!$E$205:$E$214,'1. GENERAL'!D118))</f>
        <v>0</v>
      </c>
      <c r="F118" s="180" t="str">
        <f t="shared" si="17"/>
        <v>BTO</v>
      </c>
      <c r="G118" s="180" t="str">
        <f t="shared" si="18"/>
        <v>PETREOS</v>
      </c>
      <c r="I118" s="224">
        <f t="shared" si="19"/>
        <v>75000</v>
      </c>
      <c r="J118" s="224">
        <f t="shared" si="15"/>
        <v>0</v>
      </c>
      <c r="K118" s="225">
        <f t="shared" si="16"/>
        <v>0</v>
      </c>
      <c r="L118" s="180" t="str">
        <f>+'3. CD - Obra negra'!O432</f>
        <v>PROVEEDOR</v>
      </c>
      <c r="M118" s="168">
        <v>6</v>
      </c>
      <c r="N118" s="226">
        <f t="shared" si="20"/>
        <v>450000</v>
      </c>
      <c r="O118" s="226"/>
    </row>
    <row r="119" spans="4:15" s="180" customFormat="1" ht="30" x14ac:dyDescent="0.25">
      <c r="D119" s="180" t="str">
        <f>+'5, CD -Obra blanca'!E184</f>
        <v>Acronal</v>
      </c>
      <c r="E119" s="168">
        <f>(SUMIFS('3. CD - Obra negra'!$G$364:$G$427,'3. CD - Obra negra'!$E$364:$E$427,'1. GENERAL'!D119))+(SUMIFS('4. CD - Obra gris'!$G$94:$G$123,'4. CD - Obra gris'!$E$94:$E$123,'1. GENERAL'!D119))+(SUMIFS('5, CD -Obra blanca'!$G$171:$G$200,'5, CD -Obra blanca'!$E$171:$E$200,'1. GENERAL'!D119))+(SUMIFS('5, CD -Obra blanca'!$G$205:$G$214,'5, CD -Obra blanca'!$E$205:$E$214,'1. GENERAL'!D119))</f>
        <v>0</v>
      </c>
      <c r="F119" s="180" t="str">
        <f t="shared" si="17"/>
        <v>GL</v>
      </c>
      <c r="G119" s="180" t="str">
        <f t="shared" si="18"/>
        <v>ADITIVOS</v>
      </c>
      <c r="I119" s="224">
        <f t="shared" si="19"/>
        <v>53000</v>
      </c>
      <c r="J119" s="224">
        <f t="shared" si="15"/>
        <v>0</v>
      </c>
      <c r="K119" s="225">
        <f t="shared" si="16"/>
        <v>0</v>
      </c>
      <c r="L119" s="180" t="str">
        <f>+'3. CD - Obra negra'!O433</f>
        <v>Maestro local</v>
      </c>
      <c r="M119" s="168">
        <v>3</v>
      </c>
      <c r="N119" s="226">
        <f t="shared" si="20"/>
        <v>159000</v>
      </c>
      <c r="O119" s="226"/>
    </row>
    <row r="120" spans="4:15" s="180" customFormat="1" ht="30" x14ac:dyDescent="0.25">
      <c r="D120" s="180" t="str">
        <f>+'5, CD -Obra blanca'!E185</f>
        <v>Piso estiba reciclada</v>
      </c>
      <c r="E120" s="168">
        <f>(SUMIFS('3. CD - Obra negra'!$G$364:$G$427,'3. CD - Obra negra'!$E$364:$E$427,'1. GENERAL'!D120))+(SUMIFS('4. CD - Obra gris'!$G$94:$G$123,'4. CD - Obra gris'!$E$94:$E$123,'1. GENERAL'!D120))+(SUMIFS('5, CD -Obra blanca'!$G$171:$G$200,'5, CD -Obra blanca'!$E$171:$E$200,'1. GENERAL'!D120))+(SUMIFS('5, CD -Obra blanca'!$G$205:$G$214,'5, CD -Obra blanca'!$E$205:$E$214,'1. GENERAL'!D120))</f>
        <v>0</v>
      </c>
      <c r="F120" s="180" t="str">
        <f t="shared" si="17"/>
        <v>M2</v>
      </c>
      <c r="G120" s="180" t="str">
        <f t="shared" si="18"/>
        <v>MADERA</v>
      </c>
      <c r="I120" s="224">
        <f t="shared" si="19"/>
        <v>45000</v>
      </c>
      <c r="J120" s="224">
        <f t="shared" si="15"/>
        <v>0</v>
      </c>
      <c r="K120" s="225">
        <f t="shared" si="16"/>
        <v>0</v>
      </c>
      <c r="L120" s="180" t="str">
        <f>+'3. CD - Obra negra'!O434</f>
        <v>Maestro local</v>
      </c>
      <c r="M120" s="168">
        <v>127</v>
      </c>
      <c r="N120" s="226">
        <f t="shared" si="20"/>
        <v>5715000</v>
      </c>
      <c r="O120" s="226"/>
    </row>
    <row r="121" spans="4:15" s="180" customFormat="1" ht="45" x14ac:dyDescent="0.25">
      <c r="D121" s="180" t="str">
        <f>+'5, CD -Obra blanca'!E186</f>
        <v>Alistado de piso en amarillo</v>
      </c>
      <c r="E121" s="168">
        <f>(SUMIFS('3. CD - Obra negra'!$G$364:$G$427,'3. CD - Obra negra'!$E$364:$E$427,'1. GENERAL'!D121))+(SUMIFS('4. CD - Obra gris'!$G$94:$G$123,'4. CD - Obra gris'!$E$94:$E$123,'1. GENERAL'!D121))+(SUMIFS('5, CD -Obra blanca'!$G$171:$G$200,'5, CD -Obra blanca'!$E$171:$E$200,'1. GENERAL'!D121))+(SUMIFS('5, CD -Obra blanca'!$G$205:$G$214,'5, CD -Obra blanca'!$E$205:$E$214,'1. GENERAL'!D121))</f>
        <v>0</v>
      </c>
      <c r="F121" s="180" t="str">
        <f t="shared" si="17"/>
        <v>ML</v>
      </c>
      <c r="G121" s="180" t="str">
        <f t="shared" si="18"/>
        <v>MADERA</v>
      </c>
      <c r="I121" s="224">
        <f t="shared" si="19"/>
        <v>7000</v>
      </c>
      <c r="J121" s="224">
        <f t="shared" si="15"/>
        <v>0</v>
      </c>
      <c r="K121" s="225">
        <f t="shared" si="16"/>
        <v>0</v>
      </c>
      <c r="L121" s="180" t="str">
        <f>+'3. CD - Obra negra'!O435</f>
        <v>Maestro local</v>
      </c>
      <c r="M121" s="168">
        <v>381</v>
      </c>
      <c r="N121" s="226">
        <f t="shared" si="20"/>
        <v>2667000</v>
      </c>
      <c r="O121" s="226"/>
    </row>
    <row r="122" spans="4:15" s="180" customFormat="1" ht="30" x14ac:dyDescent="0.25">
      <c r="D122" s="180" t="str">
        <f>+'5, CD -Obra blanca'!E187</f>
        <v>Tornillo drywall #8 2"</v>
      </c>
      <c r="E122" s="168">
        <f>(SUMIFS('3. CD - Obra negra'!$G$364:$G$427,'3. CD - Obra negra'!$E$364:$E$427,'1. GENERAL'!D122))+(SUMIFS('4. CD - Obra gris'!$G$94:$G$123,'4. CD - Obra gris'!$E$94:$E$123,'1. GENERAL'!D122))+(SUMIFS('5, CD -Obra blanca'!$G$171:$G$200,'5, CD -Obra blanca'!$E$171:$E$200,'1. GENERAL'!D122))+(SUMIFS('5, CD -Obra blanca'!$G$205:$G$214,'5, CD -Obra blanca'!$E$205:$E$214,'1. GENERAL'!D122))</f>
        <v>0</v>
      </c>
      <c r="F122" s="180" t="str">
        <f t="shared" si="17"/>
        <v>UND</v>
      </c>
      <c r="G122" s="180" t="str">
        <f t="shared" si="18"/>
        <v>ACERO</v>
      </c>
      <c r="I122" s="224">
        <f t="shared" si="19"/>
        <v>98</v>
      </c>
      <c r="J122" s="224">
        <f t="shared" si="15"/>
        <v>0</v>
      </c>
      <c r="K122" s="225">
        <f t="shared" si="16"/>
        <v>0</v>
      </c>
      <c r="L122" s="180" t="str">
        <f>+'3. CD - Obra negra'!O436</f>
        <v>Maestro local</v>
      </c>
      <c r="M122" s="168">
        <v>3626</v>
      </c>
      <c r="N122" s="226">
        <f t="shared" si="20"/>
        <v>355348</v>
      </c>
      <c r="O122" s="226"/>
    </row>
    <row r="123" spans="4:15" s="180" customFormat="1" ht="30" x14ac:dyDescent="0.25">
      <c r="D123" s="180" t="str">
        <f>+'5, CD -Obra blanca'!E188</f>
        <v>Ventanería en guadua</v>
      </c>
      <c r="E123" s="168">
        <f>(SUMIFS('3. CD - Obra negra'!$G$364:$G$427,'3. CD - Obra negra'!$E$364:$E$427,'1. GENERAL'!D123))+(SUMIFS('4. CD - Obra gris'!$G$94:$G$123,'4. CD - Obra gris'!$E$94:$E$123,'1. GENERAL'!D123))+(SUMIFS('5, CD -Obra blanca'!$G$171:$G$200,'5, CD -Obra blanca'!$E$171:$E$200,'1. GENERAL'!D123))+(SUMIFS('5, CD -Obra blanca'!$G$205:$G$214,'5, CD -Obra blanca'!$E$205:$E$214,'1. GENERAL'!D123))</f>
        <v>0</v>
      </c>
      <c r="F123" s="180" t="str">
        <f t="shared" si="17"/>
        <v>M2</v>
      </c>
      <c r="G123" s="180" t="str">
        <f t="shared" si="18"/>
        <v>GUADUA</v>
      </c>
      <c r="I123" s="224">
        <f t="shared" si="19"/>
        <v>150000</v>
      </c>
      <c r="J123" s="224">
        <f t="shared" si="15"/>
        <v>0</v>
      </c>
      <c r="K123" s="225">
        <f t="shared" si="16"/>
        <v>0</v>
      </c>
      <c r="L123" s="180" t="str">
        <f>+'3. CD - Obra negra'!O437</f>
        <v>Maestro local</v>
      </c>
      <c r="M123" s="168">
        <v>34.5</v>
      </c>
      <c r="N123" s="226">
        <f t="shared" si="20"/>
        <v>5175000</v>
      </c>
      <c r="O123" s="226"/>
    </row>
    <row r="124" spans="4:15" s="180" customFormat="1" ht="45" x14ac:dyDescent="0.25">
      <c r="D124" s="180" t="str">
        <f>+'5, CD -Obra blanca'!E189</f>
        <v>Guadua 8cm limpia e inmunizada</v>
      </c>
      <c r="E124" s="168">
        <f>(SUMIFS('3. CD - Obra negra'!$G$364:$G$427,'3. CD - Obra negra'!$E$364:$E$427,'1. GENERAL'!D124))+(SUMIFS('4. CD - Obra gris'!$G$94:$G$123,'4. CD - Obra gris'!$E$94:$E$123,'1. GENERAL'!D124))+(SUMIFS('5, CD -Obra blanca'!$G$171:$G$200,'5, CD -Obra blanca'!$E$171:$E$200,'1. GENERAL'!D124))+(SUMIFS('5, CD -Obra blanca'!$G$205:$G$214,'5, CD -Obra blanca'!$E$205:$E$214,'1. GENERAL'!D124))</f>
        <v>0</v>
      </c>
      <c r="F124" s="180" t="str">
        <f t="shared" si="17"/>
        <v>ML</v>
      </c>
      <c r="G124" s="180" t="str">
        <f t="shared" si="18"/>
        <v>GUADUA</v>
      </c>
      <c r="I124" s="224">
        <f t="shared" si="19"/>
        <v>4500</v>
      </c>
      <c r="J124" s="224">
        <f t="shared" si="15"/>
        <v>0</v>
      </c>
      <c r="K124" s="225">
        <f t="shared" si="16"/>
        <v>0</v>
      </c>
      <c r="L124" s="180" t="str">
        <f>+'3. CD - Obra negra'!O438</f>
        <v>Maestro local</v>
      </c>
      <c r="M124" s="168">
        <f>29*6</f>
        <v>174</v>
      </c>
      <c r="N124" s="226">
        <f t="shared" si="20"/>
        <v>783000</v>
      </c>
      <c r="O124" s="226"/>
    </row>
    <row r="125" spans="4:15" s="180" customFormat="1" ht="30" x14ac:dyDescent="0.25">
      <c r="D125" s="180" t="str">
        <f>+'5, CD -Obra blanca'!E191</f>
        <v>Espejo claro 4mm</v>
      </c>
      <c r="E125" s="168">
        <f>(SUMIFS('3. CD - Obra negra'!$G$364:$G$427,'3. CD - Obra negra'!$E$364:$E$427,'1. GENERAL'!D125))+(SUMIFS('4. CD - Obra gris'!$G$94:$G$123,'4. CD - Obra gris'!$E$94:$E$123,'1. GENERAL'!D125))+(SUMIFS('5, CD -Obra blanca'!$G$171:$G$200,'5, CD -Obra blanca'!$E$171:$E$200,'1. GENERAL'!D125))+(SUMIFS('5, CD -Obra blanca'!$G$205:$G$214,'5, CD -Obra blanca'!$E$205:$E$214,'1. GENERAL'!D125))</f>
        <v>0</v>
      </c>
      <c r="F125" s="180" t="str">
        <f t="shared" si="17"/>
        <v>M2</v>
      </c>
      <c r="G125" s="180" t="str">
        <f t="shared" si="18"/>
        <v>VIDRIO</v>
      </c>
      <c r="I125" s="224">
        <f t="shared" si="19"/>
        <v>90000</v>
      </c>
      <c r="J125" s="224">
        <f t="shared" si="15"/>
        <v>0</v>
      </c>
      <c r="K125" s="225">
        <f t="shared" si="16"/>
        <v>0</v>
      </c>
      <c r="L125" s="180" t="str">
        <f>+'3. CD - Obra negra'!O442</f>
        <v>Maestro local</v>
      </c>
      <c r="M125" s="168">
        <v>5</v>
      </c>
      <c r="N125" s="226">
        <f t="shared" ref="N125:N134" si="21">(M125*I125)-J125</f>
        <v>450000</v>
      </c>
      <c r="O125" s="226"/>
    </row>
    <row r="126" spans="4:15" s="180" customFormat="1" ht="34.15" customHeight="1" x14ac:dyDescent="0.25">
      <c r="D126" s="180" t="str">
        <f>+'5, CD -Obra blanca'!E192</f>
        <v>División vidrio templado 5mm</v>
      </c>
      <c r="E126" s="168">
        <f>(SUMIFS('3. CD - Obra negra'!$G$364:$G$427,'3. CD - Obra negra'!$E$364:$E$427,'1. GENERAL'!D126))+(SUMIFS('4. CD - Obra gris'!$G$94:$G$123,'4. CD - Obra gris'!$E$94:$E$123,'1. GENERAL'!D126))+(SUMIFS('5, CD -Obra blanca'!$G$171:$G$200,'5, CD -Obra blanca'!$E$171:$E$200,'1. GENERAL'!D126))+(SUMIFS('5, CD -Obra blanca'!$G$205:$G$214,'5, CD -Obra blanca'!$E$205:$E$214,'1. GENERAL'!D126))</f>
        <v>0</v>
      </c>
      <c r="F126" s="180" t="str">
        <f t="shared" si="17"/>
        <v>M2</v>
      </c>
      <c r="G126" s="180" t="str">
        <f t="shared" si="18"/>
        <v>VIDRIO</v>
      </c>
      <c r="I126" s="224">
        <f t="shared" si="19"/>
        <v>220000</v>
      </c>
      <c r="J126" s="224">
        <f t="shared" si="15"/>
        <v>0</v>
      </c>
      <c r="K126" s="225">
        <f t="shared" si="16"/>
        <v>0</v>
      </c>
      <c r="L126" s="180" t="str">
        <f>+'3. CD - Obra negra'!O443</f>
        <v>Maestro local</v>
      </c>
      <c r="M126" s="168">
        <f>+E126</f>
        <v>0</v>
      </c>
      <c r="N126" s="226">
        <f t="shared" si="21"/>
        <v>0</v>
      </c>
      <c r="O126" s="226"/>
    </row>
    <row r="127" spans="4:15" s="180" customFormat="1" ht="30" x14ac:dyDescent="0.25">
      <c r="D127" s="180" t="str">
        <f>+'5, CD -Obra blanca'!E193</f>
        <v>Mesón cocina</v>
      </c>
      <c r="E127" s="168">
        <f>(SUMIFS('3. CD - Obra negra'!$G$364:$G$427,'3. CD - Obra negra'!$E$364:$E$427,'1. GENERAL'!D127))+(SUMIFS('4. CD - Obra gris'!$G$94:$G$123,'4. CD - Obra gris'!$E$94:$E$123,'1. GENERAL'!D127))+(SUMIFS('5, CD -Obra blanca'!$G$171:$G$200,'5, CD -Obra blanca'!$E$171:$E$200,'1. GENERAL'!D127))+(SUMIFS('5, CD -Obra blanca'!$G$205:$G$214,'5, CD -Obra blanca'!$E$205:$E$214,'1. GENERAL'!D127))</f>
        <v>0</v>
      </c>
      <c r="F127" s="180" t="str">
        <f t="shared" si="17"/>
        <v>M2</v>
      </c>
      <c r="G127" s="180" t="str">
        <f t="shared" si="18"/>
        <v>MOBILIARIO</v>
      </c>
      <c r="I127" s="224">
        <f t="shared" si="19"/>
        <v>550000</v>
      </c>
      <c r="J127" s="224">
        <f t="shared" si="15"/>
        <v>0</v>
      </c>
      <c r="K127" s="225">
        <f t="shared" si="16"/>
        <v>0</v>
      </c>
      <c r="L127" s="180" t="str">
        <f>+'3. CD - Obra negra'!O444</f>
        <v>Maestro local</v>
      </c>
      <c r="M127" s="168">
        <f t="shared" ref="M127:M133" si="22">+E127</f>
        <v>0</v>
      </c>
      <c r="N127" s="226">
        <f t="shared" si="21"/>
        <v>0</v>
      </c>
      <c r="O127" s="226"/>
    </row>
    <row r="128" spans="4:15" s="180" customFormat="1" ht="45" x14ac:dyDescent="0.25">
      <c r="D128" s="180" t="str">
        <f>+'5, CD -Obra blanca'!E194</f>
        <v>Puerta ventana en guadua</v>
      </c>
      <c r="E128" s="168">
        <f>(SUMIFS('3. CD - Obra negra'!$G$364:$G$427,'3. CD - Obra negra'!$E$364:$E$427,'1. GENERAL'!D128))+(SUMIFS('4. CD - Obra gris'!$G$94:$G$123,'4. CD - Obra gris'!$E$94:$E$123,'1. GENERAL'!D128))+(SUMIFS('5, CD -Obra blanca'!$G$171:$G$200,'5, CD -Obra blanca'!$E$171:$E$200,'1. GENERAL'!D128))+(SUMIFS('5, CD -Obra blanca'!$G$205:$G$214,'5, CD -Obra blanca'!$E$205:$E$214,'1. GENERAL'!D128))</f>
        <v>0</v>
      </c>
      <c r="F128" s="180" t="str">
        <f t="shared" si="17"/>
        <v>M2</v>
      </c>
      <c r="G128" s="180" t="str">
        <f t="shared" si="18"/>
        <v>GUADUA</v>
      </c>
      <c r="I128" s="224">
        <f t="shared" si="19"/>
        <v>250000</v>
      </c>
      <c r="J128" s="224">
        <f t="shared" si="15"/>
        <v>0</v>
      </c>
      <c r="K128" s="225">
        <f t="shared" si="16"/>
        <v>0</v>
      </c>
      <c r="L128" s="180" t="str">
        <f>+'3. CD - Obra negra'!O445</f>
        <v>Maestro local</v>
      </c>
      <c r="M128" s="168">
        <f t="shared" si="22"/>
        <v>0</v>
      </c>
      <c r="N128" s="226">
        <f t="shared" si="21"/>
        <v>0</v>
      </c>
      <c r="O128" s="226"/>
    </row>
    <row r="129" spans="3:15" s="180" customFormat="1" ht="30" x14ac:dyDescent="0.25">
      <c r="D129" s="180" t="str">
        <f>+'5, CD -Obra blanca'!E195</f>
        <v xml:space="preserve">Sanitario ahorrador regular </v>
      </c>
      <c r="E129" s="168">
        <f>(SUMIFS('3. CD - Obra negra'!$G$364:$G$427,'3. CD - Obra negra'!$E$364:$E$427,'1. GENERAL'!D129))+(SUMIFS('4. CD - Obra gris'!$G$94:$G$123,'4. CD - Obra gris'!$E$94:$E$123,'1. GENERAL'!D129))+(SUMIFS('5, CD -Obra blanca'!$G$171:$G$200,'5, CD -Obra blanca'!$E$171:$E$200,'1. GENERAL'!D129))+(SUMIFS('5, CD -Obra blanca'!$G$205:$G$214,'5, CD -Obra blanca'!$E$205:$E$214,'1. GENERAL'!D129))</f>
        <v>0</v>
      </c>
      <c r="F129" s="180" t="str">
        <f t="shared" si="17"/>
        <v>UND</v>
      </c>
      <c r="G129" s="180" t="str">
        <f t="shared" si="18"/>
        <v>MOBILIARIO</v>
      </c>
      <c r="I129" s="224">
        <f t="shared" si="19"/>
        <v>650000</v>
      </c>
      <c r="J129" s="224">
        <f t="shared" si="15"/>
        <v>0</v>
      </c>
      <c r="K129" s="225">
        <f t="shared" si="16"/>
        <v>0</v>
      </c>
      <c r="L129" s="180" t="str">
        <f>+'3. CD - Obra negra'!O446</f>
        <v>Maestro local</v>
      </c>
      <c r="M129" s="168">
        <f t="shared" si="22"/>
        <v>0</v>
      </c>
      <c r="N129" s="226">
        <f t="shared" si="21"/>
        <v>0</v>
      </c>
      <c r="O129" s="226"/>
    </row>
    <row r="130" spans="3:15" s="180" customFormat="1" ht="30" x14ac:dyDescent="0.25">
      <c r="D130" s="180" t="str">
        <f>+'5, CD -Obra blanca'!E196</f>
        <v>Grifo lavamanos sencillo</v>
      </c>
      <c r="E130" s="168">
        <f>(SUMIFS('3. CD - Obra negra'!$G$364:$G$427,'3. CD - Obra negra'!$E$364:$E$427,'1. GENERAL'!D130))+(SUMIFS('4. CD - Obra gris'!$G$94:$G$123,'4. CD - Obra gris'!$E$94:$E$123,'1. GENERAL'!D130))+(SUMIFS('5, CD -Obra blanca'!$G$171:$G$200,'5, CD -Obra blanca'!$E$171:$E$200,'1. GENERAL'!D130))+(SUMIFS('5, CD -Obra blanca'!$G$205:$G$214,'5, CD -Obra blanca'!$E$205:$E$214,'1. GENERAL'!D130))</f>
        <v>0</v>
      </c>
      <c r="F130" s="180" t="str">
        <f t="shared" si="17"/>
        <v>UND</v>
      </c>
      <c r="G130" s="180" t="str">
        <f t="shared" si="18"/>
        <v>MOBILIARIO</v>
      </c>
      <c r="I130" s="224">
        <f t="shared" si="19"/>
        <v>70000</v>
      </c>
      <c r="J130" s="224">
        <f t="shared" si="15"/>
        <v>0</v>
      </c>
      <c r="K130" s="225">
        <f t="shared" si="16"/>
        <v>0</v>
      </c>
      <c r="L130" s="180" t="str">
        <f>+'3. CD - Obra negra'!O447</f>
        <v>Maestro local</v>
      </c>
      <c r="M130" s="168">
        <f t="shared" si="22"/>
        <v>0</v>
      </c>
      <c r="N130" s="226">
        <f t="shared" si="21"/>
        <v>0</v>
      </c>
      <c r="O130" s="226"/>
    </row>
    <row r="131" spans="3:15" s="180" customFormat="1" ht="30" x14ac:dyDescent="0.25">
      <c r="D131" s="180" t="str">
        <f>+'5, CD -Obra blanca'!E197</f>
        <v>Lavamanos</v>
      </c>
      <c r="E131" s="168">
        <f>(SUMIFS('3. CD - Obra negra'!$G$364:$G$427,'3. CD - Obra negra'!$E$364:$E$427,'1. GENERAL'!D131))+(SUMIFS('4. CD - Obra gris'!$G$94:$G$123,'4. CD - Obra gris'!$E$94:$E$123,'1. GENERAL'!D131))+(SUMIFS('5, CD -Obra blanca'!$G$171:$G$200,'5, CD -Obra blanca'!$E$171:$E$200,'1. GENERAL'!D131))+(SUMIFS('5, CD -Obra blanca'!$G$205:$G$214,'5, CD -Obra blanca'!$E$205:$E$214,'1. GENERAL'!D131))</f>
        <v>0</v>
      </c>
      <c r="F131" s="180" t="str">
        <f t="shared" si="17"/>
        <v>UND</v>
      </c>
      <c r="G131" s="180" t="str">
        <f t="shared" si="18"/>
        <v>MOBILIARIO</v>
      </c>
      <c r="I131" s="224">
        <f t="shared" si="19"/>
        <v>250000</v>
      </c>
      <c r="J131" s="224">
        <f t="shared" si="15"/>
        <v>0</v>
      </c>
      <c r="K131" s="225">
        <f t="shared" si="16"/>
        <v>0</v>
      </c>
      <c r="L131" s="180" t="str">
        <f>+'3. CD - Obra negra'!O448</f>
        <v>Maestro guaduero</v>
      </c>
      <c r="M131" s="168">
        <f t="shared" si="22"/>
        <v>0</v>
      </c>
      <c r="N131" s="226">
        <f t="shared" si="21"/>
        <v>0</v>
      </c>
      <c r="O131" s="226"/>
    </row>
    <row r="132" spans="3:15" s="180" customFormat="1" ht="30" x14ac:dyDescent="0.25">
      <c r="D132" s="180" t="str">
        <f>+'5, CD -Obra blanca'!E198</f>
        <v>Regadera Teleducha</v>
      </c>
      <c r="E132" s="168">
        <f>(SUMIFS('3. CD - Obra negra'!$G$364:$G$427,'3. CD - Obra negra'!$E$364:$E$427,'1. GENERAL'!D132))+(SUMIFS('4. CD - Obra gris'!$G$94:$G$123,'4. CD - Obra gris'!$E$94:$E$123,'1. GENERAL'!D132))+(SUMIFS('5, CD -Obra blanca'!$G$171:$G$200,'5, CD -Obra blanca'!$E$171:$E$200,'1. GENERAL'!D132))+(SUMIFS('5, CD -Obra blanca'!$G$205:$G$214,'5, CD -Obra blanca'!$E$205:$E$214,'1. GENERAL'!D132))</f>
        <v>0</v>
      </c>
      <c r="F132" s="180" t="str">
        <f t="shared" si="17"/>
        <v>UND</v>
      </c>
      <c r="G132" s="180" t="str">
        <f t="shared" si="18"/>
        <v>MOBILIARIO</v>
      </c>
      <c r="I132" s="224">
        <f t="shared" si="19"/>
        <v>250000</v>
      </c>
      <c r="J132" s="224">
        <f t="shared" si="15"/>
        <v>0</v>
      </c>
      <c r="K132" s="225">
        <f t="shared" si="16"/>
        <v>0</v>
      </c>
      <c r="L132" s="180" t="str">
        <f>+'3. CD - Obra negra'!O449</f>
        <v>Maestro guaduero</v>
      </c>
      <c r="M132" s="168">
        <f t="shared" si="22"/>
        <v>0</v>
      </c>
      <c r="N132" s="226">
        <f t="shared" si="21"/>
        <v>0</v>
      </c>
      <c r="O132" s="226"/>
    </row>
    <row r="133" spans="3:15" s="180" customFormat="1" ht="30" x14ac:dyDescent="0.25">
      <c r="D133" s="180" t="str">
        <f>+'5, CD -Obra blanca'!E199</f>
        <v>Pomo regular</v>
      </c>
      <c r="E133" s="168">
        <f>(SUMIFS('3. CD - Obra negra'!$G$364:$G$427,'3. CD - Obra negra'!$E$364:$E$427,'1. GENERAL'!D133))+(SUMIFS('4. CD - Obra gris'!$G$94:$G$123,'4. CD - Obra gris'!$E$94:$E$123,'1. GENERAL'!D133))+(SUMIFS('5, CD -Obra blanca'!$G$171:$G$200,'5, CD -Obra blanca'!$E$171:$E$200,'1. GENERAL'!D133))+(SUMIFS('5, CD -Obra blanca'!$G$205:$G$214,'5, CD -Obra blanca'!$E$205:$E$214,'1. GENERAL'!D133))</f>
        <v>0</v>
      </c>
      <c r="F133" s="180" t="str">
        <f>+(VLOOKUP(D133,MATCASAACAB,4,FALSE))</f>
        <v>UND</v>
      </c>
      <c r="G133" s="180" t="str">
        <f>+(VLOOKUP(D133,MATCASAACAB,6,FALSE))</f>
        <v>MOBILIARIO</v>
      </c>
      <c r="I133" s="224">
        <f>+(VLOOKUP(D133,MATCASAACAB,8,FALSE))</f>
        <v>150000</v>
      </c>
      <c r="J133" s="224">
        <f t="shared" si="15"/>
        <v>0</v>
      </c>
      <c r="K133" s="225">
        <f>+J133/$E$35</f>
        <v>0</v>
      </c>
      <c r="L133" s="180" t="str">
        <f>+'3. CD - Obra negra'!O450</f>
        <v>Maestro local</v>
      </c>
      <c r="M133" s="168">
        <f t="shared" si="22"/>
        <v>0</v>
      </c>
      <c r="N133" s="226">
        <f t="shared" si="21"/>
        <v>0</v>
      </c>
      <c r="O133" s="226"/>
    </row>
    <row r="134" spans="3:15" s="180" customFormat="1" ht="30" x14ac:dyDescent="0.25">
      <c r="D134" s="180" t="str">
        <f>+'5, CD -Obra blanca'!E200</f>
        <v>Profilán</v>
      </c>
      <c r="E134" s="168">
        <f>(SUMIFS('3. CD - Obra negra'!$G$364:$G$427,'3. CD - Obra negra'!$E$364:$E$427,'1. GENERAL'!D134))+(SUMIFS('4. CD - Obra gris'!$G$94:$G$123,'4. CD - Obra gris'!$E$94:$E$123,'1. GENERAL'!D134))+(SUMIFS('5, CD -Obra blanca'!$G$171:$G$200,'5, CD -Obra blanca'!$E$171:$E$200,'1. GENERAL'!D134))+(SUMIFS('5, CD -Obra blanca'!$G$205:$G$214,'5, CD -Obra blanca'!$E$205:$E$214,'1. GENERAL'!D134))</f>
        <v>0</v>
      </c>
      <c r="F134" s="180" t="str">
        <f>+(VLOOKUP(D134,MATCASAACAB,4,FALSE))</f>
        <v>GL</v>
      </c>
      <c r="G134" s="180" t="str">
        <f>+(VLOOKUP(D134,MATCASAACAB,6,FALSE))</f>
        <v>AISLANTES</v>
      </c>
      <c r="I134" s="224">
        <f>+(VLOOKUP(D134,MATCASAACAB,8,FALSE))</f>
        <v>350000</v>
      </c>
      <c r="J134" s="224">
        <f t="shared" si="15"/>
        <v>0</v>
      </c>
      <c r="K134" s="225">
        <f>+J134/$E$35</f>
        <v>0</v>
      </c>
      <c r="L134" s="180" t="str">
        <f>+'3. CD - Obra negra'!O451</f>
        <v>Plomero local</v>
      </c>
      <c r="M134" s="180">
        <v>20</v>
      </c>
      <c r="N134" s="226">
        <f t="shared" si="21"/>
        <v>7000000</v>
      </c>
      <c r="O134" s="226"/>
    </row>
    <row r="135" spans="3:15" s="180" customFormat="1" ht="15.75" thickBot="1" x14ac:dyDescent="0.3">
      <c r="E135" s="168"/>
      <c r="F135" s="226"/>
      <c r="G135" s="226"/>
      <c r="I135" s="224"/>
      <c r="J135" s="224"/>
      <c r="K135" s="225"/>
    </row>
    <row r="136" spans="3:15" s="180" customFormat="1" ht="15.75" thickBot="1" x14ac:dyDescent="0.3">
      <c r="E136" s="168"/>
      <c r="F136" s="226"/>
      <c r="G136" s="226"/>
      <c r="I136" s="224"/>
      <c r="J136" s="242" t="e">
        <f>SUM(J43:J135)</f>
        <v>#REF!</v>
      </c>
      <c r="K136" s="243" t="e">
        <f>SUM(K43:K135)</f>
        <v>#REF!</v>
      </c>
      <c r="L136" s="244"/>
      <c r="M136" s="244"/>
      <c r="N136" s="245" t="e">
        <f>SUM(N43:N135)</f>
        <v>#REF!</v>
      </c>
      <c r="O136" s="224"/>
    </row>
    <row r="137" spans="3:15" s="180" customFormat="1" x14ac:dyDescent="0.25">
      <c r="I137" s="224"/>
      <c r="J137" s="224"/>
      <c r="K137" s="225"/>
    </row>
    <row r="138" spans="3:15" s="180" customFormat="1" ht="15.75" thickBot="1" x14ac:dyDescent="0.3">
      <c r="I138" s="224"/>
      <c r="J138" s="224"/>
      <c r="K138" s="225"/>
    </row>
    <row r="139" spans="3:15" s="180" customFormat="1" ht="15.75" thickBot="1" x14ac:dyDescent="0.3">
      <c r="C139" s="309" t="s">
        <v>1131</v>
      </c>
      <c r="D139" s="310"/>
      <c r="E139" s="310"/>
      <c r="F139" s="310"/>
      <c r="G139" s="310"/>
      <c r="H139" s="310"/>
      <c r="I139" s="310"/>
      <c r="J139" s="310"/>
      <c r="K139" s="310"/>
      <c r="L139" s="311"/>
    </row>
    <row r="140" spans="3:15" s="180" customFormat="1" ht="30.75" thickBot="1" x14ac:dyDescent="0.3">
      <c r="C140" s="234" t="str">
        <f>+'3. CD - Obra negra'!C432</f>
        <v>EDIFICIO</v>
      </c>
      <c r="D140" s="246" t="str">
        <f>+'3. CD - Obra negra'!E432</f>
        <v>MANO DE OBRA</v>
      </c>
      <c r="E140" s="246" t="str">
        <f>+'3. CD - Obra negra'!G432</f>
        <v>CANTIDAD</v>
      </c>
      <c r="F140" s="246" t="str">
        <f>+'3. CD - Obra negra'!H432</f>
        <v>UNIDAD</v>
      </c>
      <c r="G140" s="246" t="str">
        <f>+'3. CD - Obra negra'!J432</f>
        <v>GRUPO</v>
      </c>
      <c r="H140" s="246"/>
      <c r="I140" s="247" t="str">
        <f>+'3. CD - Obra negra'!L432</f>
        <v>V. UNITARIO</v>
      </c>
      <c r="J140" s="247" t="str">
        <f>+'3. CD - Obra negra'!M432</f>
        <v>V. TOTAL</v>
      </c>
      <c r="K140" s="247" t="str">
        <f>+'3. CD - Obra negra'!N432</f>
        <v>PORCENTAJE</v>
      </c>
      <c r="L140" s="248" t="str" cm="1">
        <f t="array" ref="L140:M140">+'3. CD - Obra negra'!O432:P432</f>
        <v>PROVEEDOR</v>
      </c>
      <c r="M140" s="180">
        <v>0</v>
      </c>
    </row>
    <row r="141" spans="3:15" s="180" customFormat="1" ht="30" x14ac:dyDescent="0.25">
      <c r="D141" s="180" t="str">
        <f>+'3. CD - Obra negra'!E433</f>
        <v>Replanteo arquitectura</v>
      </c>
      <c r="E141" s="168">
        <f>(SUMIFS('3. CD - Obra negra'!$G$433:$G$458,'3. CD - Obra negra'!$E$433:$E$458,'1. GENERAL'!D141))+(SUMIFS('3. CD - Obra negra'!$G$463:$G$463,'3. CD - Obra negra'!$E$463:$E$463,'1. GENERAL'!D141))+(SUMIFS('4. CD - Obra gris'!$G$129:$G$134,'4. CD - Obra gris'!$E$129:$E$134,'1. GENERAL'!D141))+(SUMIFS('5, CD -Obra blanca'!$G$220:$G$230,'5, CD -Obra blanca'!$E$220:$E$230,'1. GENERAL'!D141))+(SUMIFS('5, CD -Obra blanca'!$G$235:$G$237,'5, CD -Obra blanca'!$E$235:$E$237,'1. GENERAL'!D141))</f>
        <v>0</v>
      </c>
      <c r="F141" s="180" t="str">
        <f>+(VLOOKUP(D141,MANOCASAOBRANEGRA,4,FALSE))</f>
        <v>M2</v>
      </c>
      <c r="G141" s="180" t="str">
        <f>+(VLOOKUP(D141,MANOCASAOBRANEGRA,6,FALSE))</f>
        <v>PRELIMINARES</v>
      </c>
      <c r="I141" s="224">
        <f>+(VLOOKUP(D141,MANOCASAOBRANEGRA,8,FALSE))</f>
        <v>5000</v>
      </c>
      <c r="J141" s="224">
        <f>+I141*E141</f>
        <v>0</v>
      </c>
      <c r="K141" s="225">
        <f>+J141/$E$35</f>
        <v>0</v>
      </c>
      <c r="L141" s="180" t="str" cm="1">
        <f t="array" ref="L141:M141">+'3. CD - Obra negra'!O433:P433</f>
        <v>Maestro local</v>
      </c>
      <c r="M141" s="180">
        <v>0</v>
      </c>
    </row>
    <row r="142" spans="3:15" s="180" customFormat="1" ht="30" x14ac:dyDescent="0.25">
      <c r="D142" s="180" t="str">
        <f>+'3. CD - Obra negra'!E434</f>
        <v>Descapote</v>
      </c>
      <c r="E142" s="168">
        <f>(SUMIFS('3. CD - Obra negra'!$G$433:$G$458,'3. CD - Obra negra'!$E$433:$E$458,'1. GENERAL'!D142))+(SUMIFS('3. CD - Obra negra'!$G$463:$G$463,'3. CD - Obra negra'!$E$463:$E$463,'1. GENERAL'!D142))+(SUMIFS('4. CD - Obra gris'!$G$129:$G$134,'4. CD - Obra gris'!$E$129:$E$134,'1. GENERAL'!D142))+(SUMIFS('5, CD -Obra blanca'!$G$220:$G$230,'5, CD -Obra blanca'!$E$220:$E$230,'1. GENERAL'!D142))+(SUMIFS('5, CD -Obra blanca'!$G$235:$G$237,'5, CD -Obra blanca'!$E$235:$E$237,'1. GENERAL'!D142))</f>
        <v>0</v>
      </c>
      <c r="F142" s="180" t="str">
        <f t="shared" ref="F142:F166" si="23">+(VLOOKUP(D142,MANOCASAOBRANEGRA,4,FALSE))</f>
        <v>M2</v>
      </c>
      <c r="G142" s="180" t="str">
        <f t="shared" ref="G142:G166" si="24">+(VLOOKUP(D142,MANOCASAOBRANEGRA,6,FALSE))</f>
        <v>PRELIMINARES</v>
      </c>
      <c r="I142" s="224">
        <f t="shared" ref="I142:I166" si="25">+(VLOOKUP(D142,MANOCASAOBRANEGRA,8,FALSE))</f>
        <v>5000</v>
      </c>
      <c r="J142" s="224">
        <f>+I142*E142</f>
        <v>0</v>
      </c>
      <c r="K142" s="225">
        <f>+J142/$E$35</f>
        <v>0</v>
      </c>
      <c r="L142" s="180" t="str" cm="1">
        <f t="array" ref="L142:M142">+'3. CD - Obra negra'!O434:P434</f>
        <v>Maestro local</v>
      </c>
      <c r="M142" s="180">
        <v>0</v>
      </c>
    </row>
    <row r="143" spans="3:15" s="180" customFormat="1" ht="30" x14ac:dyDescent="0.25">
      <c r="D143" s="180" t="str">
        <f>+'3. CD - Obra negra'!E435</f>
        <v>Excavación manual</v>
      </c>
      <c r="E143" s="168">
        <f>(SUMIFS('3. CD - Obra negra'!$G$433:$G$458,'3. CD - Obra negra'!$E$433:$E$458,'1. GENERAL'!D143))+(SUMIFS('3. CD - Obra negra'!$G$463:$G$463,'3. CD - Obra negra'!$E$463:$E$463,'1. GENERAL'!D143))+(SUMIFS('4. CD - Obra gris'!$G$129:$G$134,'4. CD - Obra gris'!$E$129:$E$134,'1. GENERAL'!D143))+(SUMIFS('5, CD -Obra blanca'!$G$220:$G$230,'5, CD -Obra blanca'!$E$220:$E$230,'1. GENERAL'!D143))+(SUMIFS('5, CD -Obra blanca'!$G$235:$G$237,'5, CD -Obra blanca'!$E$235:$E$237,'1. GENERAL'!D143))</f>
        <v>7.9200000000000008</v>
      </c>
      <c r="F143" s="180" t="str">
        <f t="shared" si="23"/>
        <v>M3</v>
      </c>
      <c r="G143" s="180" t="str">
        <f t="shared" si="24"/>
        <v>CIMIENTOS</v>
      </c>
      <c r="I143" s="224">
        <f t="shared" si="25"/>
        <v>26000</v>
      </c>
      <c r="J143" s="224">
        <f>+I143*E143</f>
        <v>205920.00000000003</v>
      </c>
      <c r="K143" s="225">
        <f>+J143/$E$35</f>
        <v>3.648159187139549E-4</v>
      </c>
      <c r="L143" s="180" t="str" cm="1">
        <f t="array" ref="L143:M143">+'3. CD - Obra negra'!O435:P435</f>
        <v>Maestro local</v>
      </c>
      <c r="M143" s="180">
        <v>0</v>
      </c>
    </row>
    <row r="144" spans="3:15" s="180" customFormat="1" ht="30" x14ac:dyDescent="0.25">
      <c r="D144" s="180" t="str">
        <f>+'3. CD - Obra negra'!E436</f>
        <v>Trasiego material</v>
      </c>
      <c r="E144" s="168">
        <f>(SUMIFS('3. CD - Obra negra'!$G$433:$G$458,'3. CD - Obra negra'!$E$433:$E$458,'1. GENERAL'!D144))+(SUMIFS('3. CD - Obra negra'!$G$463:$G$463,'3. CD - Obra negra'!$E$463:$E$463,'1. GENERAL'!D144))+(SUMIFS('4. CD - Obra gris'!$G$129:$G$134,'4. CD - Obra gris'!$E$129:$E$134,'1. GENERAL'!D144))+(SUMIFS('5, CD -Obra blanca'!$G$220:$G$230,'5, CD -Obra blanca'!$E$220:$E$230,'1. GENERAL'!D144))+(SUMIFS('5, CD -Obra blanca'!$G$235:$G$237,'5, CD -Obra blanca'!$E$235:$E$237,'1. GENERAL'!D144))</f>
        <v>0</v>
      </c>
      <c r="F144" s="180" t="str">
        <f t="shared" si="23"/>
        <v>M3</v>
      </c>
      <c r="G144" s="180" t="str">
        <f t="shared" si="24"/>
        <v>CIMIENTOS</v>
      </c>
      <c r="I144" s="224">
        <f t="shared" si="25"/>
        <v>15000</v>
      </c>
      <c r="J144" s="224">
        <f>+I144*E144</f>
        <v>0</v>
      </c>
      <c r="K144" s="225">
        <f>+J144/$E$35</f>
        <v>0</v>
      </c>
      <c r="L144" s="180" t="str" cm="1">
        <f t="array" ref="L144:M144">+'3. CD - Obra negra'!O436:P436</f>
        <v>Maestro local</v>
      </c>
      <c r="M144" s="180">
        <v>0</v>
      </c>
    </row>
    <row r="145" spans="4:18" s="180" customFormat="1" ht="30" x14ac:dyDescent="0.25">
      <c r="D145" s="180" t="e">
        <f>+'3. CD - Obra negra'!E437</f>
        <v>#REF!</v>
      </c>
      <c r="E145" s="168">
        <f>(SUMIFS('3. CD - Obra negra'!$G$433:$G$458,'3. CD - Obra negra'!$E$433:$E$458,'1. GENERAL'!D145))+(SUMIFS('3. CD - Obra negra'!$G$463:$G$463,'3. CD - Obra negra'!$E$463:$E$463,'1. GENERAL'!D145))+(SUMIFS('4. CD - Obra gris'!$G$129:$G$134,'4. CD - Obra gris'!$E$129:$E$134,'1. GENERAL'!D145))+(SUMIFS('5, CD -Obra blanca'!$G$220:$G$230,'5, CD -Obra blanca'!$E$220:$E$230,'1. GENERAL'!D145))+(SUMIFS('5, CD -Obra blanca'!$G$235:$G$237,'5, CD -Obra blanca'!$E$235:$E$237,'1. GENERAL'!D145))</f>
        <v>0</v>
      </c>
      <c r="F145" s="180" t="e">
        <f t="shared" si="23"/>
        <v>#REF!</v>
      </c>
      <c r="G145" s="180" t="e">
        <f t="shared" si="24"/>
        <v>#REF!</v>
      </c>
      <c r="I145" s="224" t="e">
        <f t="shared" si="25"/>
        <v>#REF!</v>
      </c>
      <c r="J145" s="224" t="e">
        <f t="shared" ref="J145:J151" si="26">+I145*E145</f>
        <v>#REF!</v>
      </c>
      <c r="K145" s="225" t="e">
        <f t="shared" ref="K145:K167" si="27">+J145/$E$35</f>
        <v>#REF!</v>
      </c>
      <c r="L145" s="180" t="str" cm="1">
        <f t="array" ref="L145:M145">+'3. CD - Obra negra'!O436:P436</f>
        <v>Maestro local</v>
      </c>
      <c r="M145" s="180">
        <v>0</v>
      </c>
    </row>
    <row r="146" spans="4:18" s="180" customFormat="1" ht="30" x14ac:dyDescent="0.25">
      <c r="D146" s="180" t="e">
        <f>+'3. CD - Obra negra'!E438</f>
        <v>#REF!</v>
      </c>
      <c r="E146" s="168">
        <f>(SUMIFS('3. CD - Obra negra'!$G$433:$G$458,'3. CD - Obra negra'!$E$433:$E$458,'1. GENERAL'!D146))+(SUMIFS('3. CD - Obra negra'!$G$463:$G$463,'3. CD - Obra negra'!$E$463:$E$463,'1. GENERAL'!D146))+(SUMIFS('4. CD - Obra gris'!$G$129:$G$134,'4. CD - Obra gris'!$E$129:$E$134,'1. GENERAL'!D146))+(SUMIFS('5, CD -Obra blanca'!$G$220:$G$230,'5, CD -Obra blanca'!$E$220:$E$230,'1. GENERAL'!D146))+(SUMIFS('5, CD -Obra blanca'!$G$235:$G$237,'5, CD -Obra blanca'!$E$235:$E$237,'1. GENERAL'!D146))</f>
        <v>0</v>
      </c>
      <c r="F146" s="180" t="e">
        <f t="shared" si="23"/>
        <v>#REF!</v>
      </c>
      <c r="G146" s="180" t="e">
        <f t="shared" si="24"/>
        <v>#REF!</v>
      </c>
      <c r="I146" s="224" t="e">
        <f t="shared" si="25"/>
        <v>#REF!</v>
      </c>
      <c r="J146" s="224" t="e">
        <f t="shared" si="26"/>
        <v>#REF!</v>
      </c>
      <c r="K146" s="225" t="e">
        <f t="shared" si="27"/>
        <v>#REF!</v>
      </c>
      <c r="L146" s="180" t="str" cm="1">
        <f t="array" ref="L146:M146">+'3. CD - Obra negra'!O437:P437</f>
        <v>Maestro local</v>
      </c>
      <c r="M146" s="180">
        <v>0</v>
      </c>
    </row>
    <row r="147" spans="4:18" s="180" customFormat="1" ht="30" customHeight="1" x14ac:dyDescent="0.25">
      <c r="D147" s="180" t="e">
        <f>+'3. CD - Obra negra'!E439</f>
        <v>#REF!</v>
      </c>
      <c r="E147" s="168">
        <f>(SUMIFS('3. CD - Obra negra'!$G$433:$G$458,'3. CD - Obra negra'!$E$433:$E$458,'1. GENERAL'!D147))+(SUMIFS('3. CD - Obra negra'!$G$463:$G$463,'3. CD - Obra negra'!$E$463:$E$463,'1. GENERAL'!D147))+(SUMIFS('4. CD - Obra gris'!$G$129:$G$134,'4. CD - Obra gris'!$E$129:$E$134,'1. GENERAL'!D147))+(SUMIFS('5, CD -Obra blanca'!$G$220:$G$230,'5, CD -Obra blanca'!$E$220:$E$230,'1. GENERAL'!D147))+(SUMIFS('5, CD -Obra blanca'!$G$235:$G$237,'5, CD -Obra blanca'!$E$235:$E$237,'1. GENERAL'!D147))</f>
        <v>0</v>
      </c>
      <c r="F147" s="180" t="e">
        <f t="shared" si="23"/>
        <v>#REF!</v>
      </c>
      <c r="G147" s="180" t="e">
        <f t="shared" si="24"/>
        <v>#REF!</v>
      </c>
      <c r="I147" s="224" t="e">
        <f t="shared" si="25"/>
        <v>#REF!</v>
      </c>
      <c r="J147" s="224" t="e">
        <f t="shared" si="26"/>
        <v>#REF!</v>
      </c>
      <c r="K147" s="225" t="e">
        <f t="shared" si="27"/>
        <v>#REF!</v>
      </c>
      <c r="L147" s="180" t="str" cm="1">
        <f t="array" ref="L147:M147">+'3. CD - Obra negra'!O438:P438</f>
        <v>Maestro local</v>
      </c>
      <c r="M147" s="180">
        <v>0</v>
      </c>
    </row>
    <row r="148" spans="4:18" s="180" customFormat="1" ht="30" customHeight="1" x14ac:dyDescent="0.25">
      <c r="D148" s="180" t="str">
        <f>+'3. CD - Obra negra'!E440</f>
        <v>Figuración hierro</v>
      </c>
      <c r="E148" s="168">
        <f>(SUMIFS('3. CD - Obra negra'!$G$433:$G$458,'3. CD - Obra negra'!$E$433:$E$458,'1. GENERAL'!D148))+(SUMIFS('3. CD - Obra negra'!$G$463:$G$463,'3. CD - Obra negra'!$E$463:$E$463,'1. GENERAL'!D148))+(SUMIFS('4. CD - Obra gris'!$G$129:$G$134,'4. CD - Obra gris'!$E$129:$E$134,'1. GENERAL'!D148))+(SUMIFS('5, CD -Obra blanca'!$G$220:$G$230,'5, CD -Obra blanca'!$E$220:$E$230,'1. GENERAL'!D148))+(SUMIFS('5, CD -Obra blanca'!$G$235:$G$237,'5, CD -Obra blanca'!$E$235:$E$237,'1. GENERAL'!D148))</f>
        <v>0</v>
      </c>
      <c r="F148" s="180" t="str">
        <f t="shared" si="23"/>
        <v>KG</v>
      </c>
      <c r="G148" s="180" t="str">
        <f t="shared" si="24"/>
        <v>CIMIENTOS</v>
      </c>
      <c r="I148" s="224">
        <f t="shared" si="25"/>
        <v>700</v>
      </c>
      <c r="J148" s="224">
        <f t="shared" si="26"/>
        <v>0</v>
      </c>
      <c r="K148" s="225">
        <f t="shared" si="27"/>
        <v>0</v>
      </c>
      <c r="L148" s="180" t="str" cm="1">
        <f t="array" ref="L148:M148">+'3. CD - Obra negra'!O439:P439</f>
        <v>Maestro local</v>
      </c>
      <c r="M148" s="180">
        <v>0</v>
      </c>
    </row>
    <row r="149" spans="4:18" s="180" customFormat="1" ht="27" customHeight="1" x14ac:dyDescent="0.25">
      <c r="D149" s="180" t="str">
        <f>+'3. CD - Obra negra'!E441</f>
        <v>Alquiler canguro</v>
      </c>
      <c r="E149" s="168">
        <f>(SUMIFS('3. CD - Obra negra'!$G$433:$G$458,'3. CD - Obra negra'!$E$433:$E$458,'1. GENERAL'!D149))+(SUMIFS('3. CD - Obra negra'!$G$463:$G$463,'3. CD - Obra negra'!$E$463:$E$463,'1. GENERAL'!D149))+(SUMIFS('4. CD - Obra gris'!$G$129:$G$134,'4. CD - Obra gris'!$E$129:$E$134,'1. GENERAL'!D149))+(SUMIFS('5, CD -Obra blanca'!$G$220:$G$230,'5, CD -Obra blanca'!$E$220:$E$230,'1. GENERAL'!D149))+(SUMIFS('5, CD -Obra blanca'!$G$235:$G$237,'5, CD -Obra blanca'!$E$235:$E$237,'1. GENERAL'!D149))</f>
        <v>0</v>
      </c>
      <c r="F149" s="180" t="str">
        <f t="shared" si="23"/>
        <v>DÍA</v>
      </c>
      <c r="G149" s="180" t="str">
        <f t="shared" si="24"/>
        <v>EQUIPOS</v>
      </c>
      <c r="I149" s="224">
        <f t="shared" si="25"/>
        <v>95000</v>
      </c>
      <c r="J149" s="224">
        <f t="shared" si="26"/>
        <v>0</v>
      </c>
      <c r="K149" s="225">
        <f t="shared" si="27"/>
        <v>0</v>
      </c>
      <c r="L149" s="180" t="str" cm="1">
        <f t="array" ref="L149:M149">+'3. CD - Obra negra'!O440:P440</f>
        <v>Maestro local</v>
      </c>
      <c r="M149" s="180">
        <v>0</v>
      </c>
    </row>
    <row r="150" spans="4:18" s="180" customFormat="1" ht="32.450000000000003" customHeight="1" x14ac:dyDescent="0.25">
      <c r="D150" s="180" t="e">
        <f>+'3. CD - Obra negra'!E442</f>
        <v>#REF!</v>
      </c>
      <c r="E150" s="168">
        <f>(SUMIFS('3. CD - Obra negra'!$G$433:$G$458,'3. CD - Obra negra'!$E$433:$E$458,'1. GENERAL'!D150))+(SUMIFS('3. CD - Obra negra'!$G$463:$G$463,'3. CD - Obra negra'!$E$463:$E$463,'1. GENERAL'!D150))+(SUMIFS('4. CD - Obra gris'!$G$129:$G$134,'4. CD - Obra gris'!$E$129:$E$134,'1. GENERAL'!D150))+(SUMIFS('5, CD -Obra blanca'!$G$220:$G$230,'5, CD -Obra blanca'!$E$220:$E$230,'1. GENERAL'!D150))+(SUMIFS('5, CD -Obra blanca'!$G$235:$G$237,'5, CD -Obra blanca'!$E$235:$E$237,'1. GENERAL'!D150))</f>
        <v>0</v>
      </c>
      <c r="F150" s="180" t="e">
        <f t="shared" si="23"/>
        <v>#REF!</v>
      </c>
      <c r="G150" s="180" t="e">
        <f t="shared" si="24"/>
        <v>#REF!</v>
      </c>
      <c r="I150" s="224" t="e">
        <f t="shared" si="25"/>
        <v>#REF!</v>
      </c>
      <c r="J150" s="224" t="e">
        <f t="shared" si="26"/>
        <v>#REF!</v>
      </c>
      <c r="K150" s="225" t="e">
        <f t="shared" si="27"/>
        <v>#REF!</v>
      </c>
      <c r="L150" s="180" t="str" cm="1">
        <f t="array" ref="L150:M150">+'3. CD - Obra negra'!O441:P441</f>
        <v>Maestro local</v>
      </c>
      <c r="M150" s="180">
        <v>0</v>
      </c>
    </row>
    <row r="151" spans="4:18" s="180" customFormat="1" ht="31.15" customHeight="1" x14ac:dyDescent="0.25">
      <c r="D151" s="180" t="e">
        <f>+'3. CD - Obra negra'!E443</f>
        <v>#REF!</v>
      </c>
      <c r="E151" s="168">
        <f>(SUMIFS('3. CD - Obra negra'!$G$433:$G$458,'3. CD - Obra negra'!$E$433:$E$458,'1. GENERAL'!D151))+(SUMIFS('3. CD - Obra negra'!$G$463:$G$463,'3. CD - Obra negra'!$E$463:$E$463,'1. GENERAL'!D151))+(SUMIFS('4. CD - Obra gris'!$G$129:$G$134,'4. CD - Obra gris'!$E$129:$E$134,'1. GENERAL'!D151))+(SUMIFS('5, CD -Obra blanca'!$G$220:$G$230,'5, CD -Obra blanca'!$E$220:$E$230,'1. GENERAL'!D151))+(SUMIFS('5, CD -Obra blanca'!$G$235:$G$237,'5, CD -Obra blanca'!$E$235:$E$237,'1. GENERAL'!D151))</f>
        <v>0</v>
      </c>
      <c r="F151" s="180" t="e">
        <f t="shared" si="23"/>
        <v>#REF!</v>
      </c>
      <c r="G151" s="180" t="e">
        <f t="shared" si="24"/>
        <v>#REF!</v>
      </c>
      <c r="I151" s="224" t="e">
        <f t="shared" si="25"/>
        <v>#REF!</v>
      </c>
      <c r="J151" s="224" t="e">
        <f t="shared" si="26"/>
        <v>#REF!</v>
      </c>
      <c r="K151" s="225" t="e">
        <f t="shared" si="27"/>
        <v>#REF!</v>
      </c>
      <c r="L151" s="180" t="str" cm="1">
        <f t="array" ref="L151:M151">+'3. CD - Obra negra'!O442:P442</f>
        <v>Maestro local</v>
      </c>
      <c r="M151" s="180">
        <v>0</v>
      </c>
    </row>
    <row r="152" spans="4:18" s="180" customFormat="1" ht="33" customHeight="1" x14ac:dyDescent="0.25">
      <c r="D152" s="180" t="str">
        <f>+'3. CD - Obra negra'!E444</f>
        <v>Compactación recebo</v>
      </c>
      <c r="E152" s="168">
        <f>(SUMIFS('3. CD - Obra negra'!$G$433:$G$458,'3. CD - Obra negra'!$E$433:$E$458,'1. GENERAL'!D152))+(SUMIFS('3. CD - Obra negra'!$G$463:$G$463,'3. CD - Obra negra'!$E$463:$E$463,'1. GENERAL'!D152))+(SUMIFS('4. CD - Obra gris'!$G$129:$G$134,'4. CD - Obra gris'!$E$129:$E$134,'1. GENERAL'!D152))+(SUMIFS('5, CD -Obra blanca'!$G$220:$G$230,'5, CD -Obra blanca'!$E$220:$E$230,'1. GENERAL'!D152))+(SUMIFS('5, CD -Obra blanca'!$G$235:$G$237,'5, CD -Obra blanca'!$E$235:$E$237,'1. GENERAL'!D152))</f>
        <v>0.20625000000000002</v>
      </c>
      <c r="F152" s="180" t="str">
        <f t="shared" si="23"/>
        <v>M3</v>
      </c>
      <c r="G152" s="180" t="str">
        <f t="shared" si="24"/>
        <v>CIMIENTOS</v>
      </c>
      <c r="I152" s="224">
        <f t="shared" si="25"/>
        <v>34000</v>
      </c>
      <c r="J152" s="224">
        <f t="shared" ref="J152:J160" si="28">+I152*E152</f>
        <v>7012.5000000000009</v>
      </c>
      <c r="K152" s="225">
        <f t="shared" si="27"/>
        <v>1.2423619026717214E-5</v>
      </c>
      <c r="L152" s="180" t="str" cm="1">
        <f t="array" ref="L152:M152">+'3. CD - Obra negra'!O443:P443</f>
        <v>Maestro local</v>
      </c>
      <c r="M152" s="180">
        <v>0</v>
      </c>
    </row>
    <row r="153" spans="4:18" s="180" customFormat="1" ht="31.15" customHeight="1" x14ac:dyDescent="0.25">
      <c r="D153" s="180" t="str">
        <f>+'3. CD - Obra negra'!E445</f>
        <v>Concreto ciclopeo</v>
      </c>
      <c r="E153" s="168">
        <f>(SUMIFS('3. CD - Obra negra'!$G$433:$G$458,'3. CD - Obra negra'!$E$433:$E$458,'1. GENERAL'!D153))+(SUMIFS('3. CD - Obra negra'!$G$463:$G$463,'3. CD - Obra negra'!$E$463:$E$463,'1. GENERAL'!D153))+(SUMIFS('4. CD - Obra gris'!$G$129:$G$134,'4. CD - Obra gris'!$E$129:$E$134,'1. GENERAL'!D153))+(SUMIFS('5, CD -Obra blanca'!$G$220:$G$230,'5, CD -Obra blanca'!$E$220:$E$230,'1. GENERAL'!D153))+(SUMIFS('5, CD -Obra blanca'!$G$235:$G$237,'5, CD -Obra blanca'!$E$235:$E$237,'1. GENERAL'!D153))</f>
        <v>0</v>
      </c>
      <c r="F153" s="180" t="str">
        <f t="shared" si="23"/>
        <v>M2</v>
      </c>
      <c r="G153" s="180" t="str">
        <f t="shared" si="24"/>
        <v>CIMIENTOS</v>
      </c>
      <c r="I153" s="224">
        <f t="shared" si="25"/>
        <v>20000</v>
      </c>
      <c r="J153" s="224">
        <f t="shared" si="28"/>
        <v>0</v>
      </c>
      <c r="K153" s="225">
        <f t="shared" si="27"/>
        <v>0</v>
      </c>
      <c r="L153" s="180" t="str" cm="1">
        <f t="array" ref="L153:M153">+'3. CD - Obra negra'!O444:P444</f>
        <v>Maestro local</v>
      </c>
      <c r="M153" s="180">
        <v>0</v>
      </c>
    </row>
    <row r="154" spans="4:18" s="180" customFormat="1" ht="30" x14ac:dyDescent="0.25">
      <c r="D154" s="180" t="str">
        <f>+'3. CD - Obra negra'!E446</f>
        <v>Fabricación zapata &gt;50x50</v>
      </c>
      <c r="E154" s="168">
        <f>(SUMIFS('3. CD - Obra negra'!$G$433:$G$458,'3. CD - Obra negra'!$E$433:$E$458,'1. GENERAL'!D154))+(SUMIFS('3. CD - Obra negra'!$G$463:$G$463,'3. CD - Obra negra'!$E$463:$E$463,'1. GENERAL'!D154))+(SUMIFS('4. CD - Obra gris'!$G$129:$G$134,'4. CD - Obra gris'!$E$129:$E$134,'1. GENERAL'!D154))+(SUMIFS('5, CD -Obra blanca'!$G$220:$G$230,'5, CD -Obra blanca'!$E$220:$E$230,'1. GENERAL'!D154))+(SUMIFS('5, CD -Obra blanca'!$G$235:$G$237,'5, CD -Obra blanca'!$E$235:$E$237,'1. GENERAL'!D154))</f>
        <v>0</v>
      </c>
      <c r="F154" s="180" t="str">
        <f t="shared" si="23"/>
        <v>UND</v>
      </c>
      <c r="G154" s="180" t="str">
        <f t="shared" si="24"/>
        <v>CIMIENTOS</v>
      </c>
      <c r="I154" s="224">
        <f t="shared" si="25"/>
        <v>200000</v>
      </c>
      <c r="J154" s="224">
        <f t="shared" si="28"/>
        <v>0</v>
      </c>
      <c r="K154" s="225">
        <f t="shared" si="27"/>
        <v>0</v>
      </c>
      <c r="L154" s="180" t="str" cm="1">
        <f t="array" ref="L154:M154">+'3. CD - Obra negra'!O448:P448</f>
        <v>Maestro guaduero</v>
      </c>
      <c r="M154" s="180">
        <v>0</v>
      </c>
    </row>
    <row r="155" spans="4:18" s="180" customFormat="1" ht="45" x14ac:dyDescent="0.25">
      <c r="D155" s="180" t="str">
        <f>+'3. CD - Obra negra'!E447</f>
        <v>Alquiler formaleta columna</v>
      </c>
      <c r="E155" s="168">
        <f>(SUMIFS('3. CD - Obra negra'!$G$433:$G$458,'3. CD - Obra negra'!$E$433:$E$458,'1. GENERAL'!D155))+(SUMIFS('3. CD - Obra negra'!$G$463:$G$463,'3. CD - Obra negra'!$E$463:$E$463,'1. GENERAL'!D155))+(SUMIFS('4. CD - Obra gris'!$G$129:$G$134,'4. CD - Obra gris'!$E$129:$E$134,'1. GENERAL'!D155))+(SUMIFS('5, CD -Obra blanca'!$G$220:$G$230,'5, CD -Obra blanca'!$E$220:$E$230,'1. GENERAL'!D155))+(SUMIFS('5, CD -Obra blanca'!$G$235:$G$237,'5, CD -Obra blanca'!$E$235:$E$237,'1. GENERAL'!D155))</f>
        <v>0</v>
      </c>
      <c r="F155" s="180" t="str">
        <f t="shared" si="23"/>
        <v>ML/DÍA</v>
      </c>
      <c r="G155" s="180" t="str">
        <f t="shared" si="24"/>
        <v>FORMALETA</v>
      </c>
      <c r="I155" s="224">
        <f t="shared" si="25"/>
        <v>25000</v>
      </c>
      <c r="J155" s="224">
        <f t="shared" si="28"/>
        <v>0</v>
      </c>
      <c r="K155" s="225">
        <f t="shared" si="27"/>
        <v>0</v>
      </c>
      <c r="L155" s="180" t="str" cm="1">
        <f t="array" ref="L155:M155">+'3. CD - Obra negra'!O449:P449</f>
        <v>Maestro guaduero</v>
      </c>
      <c r="M155" s="180">
        <v>0</v>
      </c>
      <c r="Q155" s="224"/>
    </row>
    <row r="156" spans="4:18" s="180" customFormat="1" ht="31.15" customHeight="1" x14ac:dyDescent="0.25">
      <c r="D156" s="180" t="str">
        <f>+'3. CD - Obra negra'!E448</f>
        <v>Fabricación columna &lt;2M</v>
      </c>
      <c r="E156" s="168">
        <f>(SUMIFS('3. CD - Obra negra'!$G$433:$G$458,'3. CD - Obra negra'!$E$433:$E$458,'1. GENERAL'!D156))+(SUMIFS('3. CD - Obra negra'!$G$463:$G$463,'3. CD - Obra negra'!$E$463:$E$463,'1. GENERAL'!D156))+(SUMIFS('4. CD - Obra gris'!$G$129:$G$134,'4. CD - Obra gris'!$E$129:$E$134,'1. GENERAL'!D156))+(SUMIFS('5, CD -Obra blanca'!$G$220:$G$230,'5, CD -Obra blanca'!$E$220:$E$230,'1. GENERAL'!D156))+(SUMIFS('5, CD -Obra blanca'!$G$235:$G$237,'5, CD -Obra blanca'!$E$235:$E$237,'1. GENERAL'!D156))</f>
        <v>0</v>
      </c>
      <c r="F156" s="180" t="str">
        <f t="shared" si="23"/>
        <v>UND</v>
      </c>
      <c r="G156" s="180" t="str">
        <f t="shared" si="24"/>
        <v>CIMIENTOS</v>
      </c>
      <c r="I156" s="224">
        <f t="shared" si="25"/>
        <v>120000</v>
      </c>
      <c r="J156" s="224">
        <f t="shared" si="28"/>
        <v>0</v>
      </c>
      <c r="K156" s="225">
        <f t="shared" si="27"/>
        <v>0</v>
      </c>
      <c r="L156" s="180" t="str" cm="1">
        <f t="array" ref="L156:M156">+'3. CD - Obra negra'!O450:P450</f>
        <v>Maestro local</v>
      </c>
      <c r="M156" s="180">
        <v>0</v>
      </c>
      <c r="Q156" s="224"/>
    </row>
    <row r="157" spans="4:18" s="180" customFormat="1" ht="45" x14ac:dyDescent="0.25">
      <c r="D157" s="180" t="str">
        <f>+'3. CD - Obra negra'!E449</f>
        <v>Estructura de entrepiso en guadua</v>
      </c>
      <c r="E157" s="168">
        <f>(SUMIFS('3. CD - Obra negra'!$G$433:$G$458,'3. CD - Obra negra'!$E$433:$E$458,'1. GENERAL'!D157))+(SUMIFS('3. CD - Obra negra'!$G$463:$G$463,'3. CD - Obra negra'!$E$463:$E$463,'1. GENERAL'!D157))+(SUMIFS('4. CD - Obra gris'!$G$129:$G$134,'4. CD - Obra gris'!$E$129:$E$134,'1. GENERAL'!D157))+(SUMIFS('5, CD -Obra blanca'!$G$220:$G$230,'5, CD -Obra blanca'!$E$220:$E$230,'1. GENERAL'!D157))+(SUMIFS('5, CD -Obra blanca'!$G$235:$G$237,'5, CD -Obra blanca'!$E$235:$E$237,'1. GENERAL'!D157))</f>
        <v>0</v>
      </c>
      <c r="F157" s="180" t="str">
        <f t="shared" si="23"/>
        <v>M2</v>
      </c>
      <c r="G157" s="180" t="str">
        <f t="shared" si="24"/>
        <v>I.GUADUA</v>
      </c>
      <c r="I157" s="224">
        <f t="shared" si="25"/>
        <v>110400</v>
      </c>
      <c r="J157" s="224">
        <f t="shared" si="28"/>
        <v>0</v>
      </c>
      <c r="K157" s="225">
        <f t="shared" si="27"/>
        <v>0</v>
      </c>
      <c r="L157" s="180" t="e" cm="1">
        <f t="array" ref="L157">+'3. CD - Obra negra'!#REF!</f>
        <v>#REF!</v>
      </c>
      <c r="Q157" s="224"/>
    </row>
    <row r="158" spans="4:18" s="180" customFormat="1" ht="48.6" customHeight="1" x14ac:dyDescent="0.25">
      <c r="D158" s="180" t="str">
        <f>+'3. CD - Obra negra'!E450</f>
        <v>Alquiler de andamios + planchón</v>
      </c>
      <c r="E158" s="168">
        <f>(SUMIFS('3. CD - Obra negra'!$G$433:$G$458,'3. CD - Obra negra'!$E$433:$E$458,'1. GENERAL'!D158))+(SUMIFS('3. CD - Obra negra'!$G$463:$G$463,'3. CD - Obra negra'!$E$463:$E$463,'1. GENERAL'!D158))+(SUMIFS('4. CD - Obra gris'!$G$129:$G$134,'4. CD - Obra gris'!$E$129:$E$134,'1. GENERAL'!D158))+(SUMIFS('5, CD -Obra blanca'!$G$220:$G$230,'5, CD -Obra blanca'!$E$220:$E$230,'1. GENERAL'!D158))+(SUMIFS('5, CD -Obra blanca'!$G$235:$G$237,'5, CD -Obra blanca'!$E$235:$E$237,'1. GENERAL'!D158))</f>
        <v>0</v>
      </c>
      <c r="F158" s="180" t="str">
        <f t="shared" si="23"/>
        <v>DÍA</v>
      </c>
      <c r="G158" s="180" t="str">
        <f t="shared" si="24"/>
        <v>EQUIPOS</v>
      </c>
      <c r="I158" s="224">
        <f t="shared" si="25"/>
        <v>25000</v>
      </c>
      <c r="J158" s="224">
        <f t="shared" si="28"/>
        <v>0</v>
      </c>
      <c r="K158" s="225">
        <f t="shared" si="27"/>
        <v>0</v>
      </c>
      <c r="L158" s="180" t="str" cm="1">
        <f t="array" ref="L158:M158">+'3. CD - Obra negra'!O451:P451</f>
        <v>Plomero local</v>
      </c>
      <c r="M158" s="180">
        <v>0</v>
      </c>
      <c r="Q158" s="226"/>
      <c r="R158" s="224"/>
    </row>
    <row r="159" spans="4:18" s="180" customFormat="1" ht="36.6" customHeight="1" x14ac:dyDescent="0.25">
      <c r="D159" s="180" t="e">
        <f>+'3. CD - Obra negra'!E451</f>
        <v>#REF!</v>
      </c>
      <c r="E159" s="168">
        <f>(SUMIFS('3. CD - Obra negra'!$G$433:$G$458,'3. CD - Obra negra'!$E$433:$E$458,'1. GENERAL'!D159))+(SUMIFS('3. CD - Obra negra'!$G$463:$G$463,'3. CD - Obra negra'!$E$463:$E$463,'1. GENERAL'!D159))+(SUMIFS('4. CD - Obra gris'!$G$129:$G$134,'4. CD - Obra gris'!$E$129:$E$134,'1. GENERAL'!D159))+(SUMIFS('5, CD -Obra blanca'!$G$220:$G$230,'5, CD -Obra blanca'!$E$220:$E$230,'1. GENERAL'!D159))+(SUMIFS('5, CD -Obra blanca'!$G$235:$G$237,'5, CD -Obra blanca'!$E$235:$E$237,'1. GENERAL'!D159))</f>
        <v>0</v>
      </c>
      <c r="F159" s="180" t="e">
        <f t="shared" si="23"/>
        <v>#REF!</v>
      </c>
      <c r="G159" s="180" t="e">
        <f t="shared" si="24"/>
        <v>#REF!</v>
      </c>
      <c r="I159" s="224" t="e">
        <f t="shared" si="25"/>
        <v>#REF!</v>
      </c>
      <c r="J159" s="224" t="e">
        <f t="shared" si="28"/>
        <v>#REF!</v>
      </c>
      <c r="K159" s="225" t="e">
        <f t="shared" si="27"/>
        <v>#REF!</v>
      </c>
      <c r="L159" s="180" t="e" cm="1">
        <f t="array" ref="L159">+'3. CD - Obra negra'!#REF!</f>
        <v>#REF!</v>
      </c>
    </row>
    <row r="160" spans="4:18" s="180" customFormat="1" ht="30" customHeight="1" x14ac:dyDescent="0.25">
      <c r="D160" s="180" t="e">
        <f>+'3. CD - Obra negra'!E452</f>
        <v>#REF!</v>
      </c>
      <c r="E160" s="168">
        <f>(SUMIFS('3. CD - Obra negra'!$G$433:$G$458,'3. CD - Obra negra'!$E$433:$E$458,'1. GENERAL'!D160))+(SUMIFS('3. CD - Obra negra'!$G$463:$G$463,'3. CD - Obra negra'!$E$463:$E$463,'1. GENERAL'!D160))+(SUMIFS('4. CD - Obra gris'!$G$129:$G$134,'4. CD - Obra gris'!$E$129:$E$134,'1. GENERAL'!D160))+(SUMIFS('5, CD -Obra blanca'!$G$220:$G$230,'5, CD -Obra blanca'!$E$220:$E$230,'1. GENERAL'!D160))+(SUMIFS('5, CD -Obra blanca'!$G$235:$G$237,'5, CD -Obra blanca'!$E$235:$E$237,'1. GENERAL'!D160))</f>
        <v>0</v>
      </c>
      <c r="F160" s="180" t="e">
        <f t="shared" si="23"/>
        <v>#REF!</v>
      </c>
      <c r="G160" s="180" t="e">
        <f t="shared" si="24"/>
        <v>#REF!</v>
      </c>
      <c r="I160" s="224" t="e">
        <f t="shared" si="25"/>
        <v>#REF!</v>
      </c>
      <c r="J160" s="224" t="e">
        <f t="shared" si="28"/>
        <v>#REF!</v>
      </c>
      <c r="K160" s="227" t="e">
        <f t="shared" si="27"/>
        <v>#REF!</v>
      </c>
      <c r="L160" s="180" t="str" cm="1">
        <f t="array" ref="L160:M160">+'3. CD - Obra negra'!O452:P452</f>
        <v>Plomero local</v>
      </c>
      <c r="M160" s="180">
        <v>0</v>
      </c>
    </row>
    <row r="161" spans="4:13" s="180" customFormat="1" ht="30" x14ac:dyDescent="0.25">
      <c r="D161" s="180" t="e">
        <f>+'3. CD - Obra negra'!E453</f>
        <v>#REF!</v>
      </c>
      <c r="E161" s="168">
        <f>(SUMIFS('3. CD - Obra negra'!$G$433:$G$458,'3. CD - Obra negra'!$E$433:$E$458,'1. GENERAL'!D161))+(SUMIFS('3. CD - Obra negra'!$G$463:$G$463,'3. CD - Obra negra'!$E$463:$E$463,'1. GENERAL'!D161))+(SUMIFS('4. CD - Obra gris'!$G$129:$G$134,'4. CD - Obra gris'!$E$129:$E$134,'1. GENERAL'!D161))+(SUMIFS('5, CD -Obra blanca'!$G$220:$G$230,'5, CD -Obra blanca'!$E$220:$E$230,'1. GENERAL'!D161))+(SUMIFS('5, CD -Obra blanca'!$G$235:$G$237,'5, CD -Obra blanca'!$E$235:$E$237,'1. GENERAL'!D161))</f>
        <v>0</v>
      </c>
      <c r="F161" s="180" t="e">
        <f t="shared" si="23"/>
        <v>#REF!</v>
      </c>
      <c r="G161" s="180" t="e">
        <f t="shared" si="24"/>
        <v>#REF!</v>
      </c>
      <c r="I161" s="224" t="e">
        <f t="shared" si="25"/>
        <v>#REF!</v>
      </c>
      <c r="J161" s="224" t="e">
        <f t="shared" ref="J161:J178" si="29">+I161*E161</f>
        <v>#REF!</v>
      </c>
      <c r="K161" s="225" t="e">
        <f>+J161/$E$35</f>
        <v>#REF!</v>
      </c>
      <c r="L161" s="180" t="str" cm="1">
        <f t="array" ref="L161:M161">+'3. CD - Obra negra'!O453:P453</f>
        <v>Plomero local</v>
      </c>
      <c r="M161" s="180">
        <v>0</v>
      </c>
    </row>
    <row r="162" spans="4:13" s="180" customFormat="1" ht="30" x14ac:dyDescent="0.25">
      <c r="D162" s="180" t="e">
        <f>+'3. CD - Obra negra'!E454</f>
        <v>#REF!</v>
      </c>
      <c r="E162" s="168">
        <f>(SUMIFS('3. CD - Obra negra'!$G$433:$G$458,'3. CD - Obra negra'!$E$433:$E$458,'1. GENERAL'!D162))+(SUMIFS('3. CD - Obra negra'!$G$463:$G$463,'3. CD - Obra negra'!$E$463:$E$463,'1. GENERAL'!D162))+(SUMIFS('4. CD - Obra gris'!$G$129:$G$134,'4. CD - Obra gris'!$E$129:$E$134,'1. GENERAL'!D162))+(SUMIFS('5, CD -Obra blanca'!$G$220:$G$230,'5, CD -Obra blanca'!$E$220:$E$230,'1. GENERAL'!D162))+(SUMIFS('5, CD -Obra blanca'!$G$235:$G$237,'5, CD -Obra blanca'!$E$235:$E$237,'1. GENERAL'!D162))</f>
        <v>0</v>
      </c>
      <c r="F162" s="180" t="e">
        <f t="shared" si="23"/>
        <v>#REF!</v>
      </c>
      <c r="G162" s="180" t="e">
        <f t="shared" si="24"/>
        <v>#REF!</v>
      </c>
      <c r="I162" s="224" t="e">
        <f t="shared" si="25"/>
        <v>#REF!</v>
      </c>
      <c r="J162" s="224" t="e">
        <f t="shared" si="29"/>
        <v>#REF!</v>
      </c>
      <c r="K162" s="225" t="e">
        <f t="shared" si="27"/>
        <v>#REF!</v>
      </c>
      <c r="L162" s="180" t="str" cm="1">
        <f t="array" ref="L162:M162">+'3. CD - Obra negra'!O454:P454</f>
        <v>Plomero local</v>
      </c>
      <c r="M162" s="180">
        <v>0</v>
      </c>
    </row>
    <row r="163" spans="4:13" s="180" customFormat="1" ht="30" x14ac:dyDescent="0.25">
      <c r="D163" s="180" t="e">
        <f>+'3. CD - Obra negra'!E455</f>
        <v>#REF!</v>
      </c>
      <c r="E163" s="168">
        <f>(SUMIFS('3. CD - Obra negra'!$G$433:$G$458,'3. CD - Obra negra'!$E$433:$E$458,'1. GENERAL'!D163))+(SUMIFS('3. CD - Obra negra'!$G$463:$G$463,'3. CD - Obra negra'!$E$463:$E$463,'1. GENERAL'!D163))+(SUMIFS('4. CD - Obra gris'!$G$129:$G$134,'4. CD - Obra gris'!$E$129:$E$134,'1. GENERAL'!D163))+(SUMIFS('5, CD -Obra blanca'!$G$220:$G$230,'5, CD -Obra blanca'!$E$220:$E$230,'1. GENERAL'!D163))+(SUMIFS('5, CD -Obra blanca'!$G$235:$G$237,'5, CD -Obra blanca'!$E$235:$E$237,'1. GENERAL'!D163))</f>
        <v>0</v>
      </c>
      <c r="F163" s="180" t="e">
        <f t="shared" si="23"/>
        <v>#REF!</v>
      </c>
      <c r="G163" s="180" t="e">
        <f t="shared" si="24"/>
        <v>#REF!</v>
      </c>
      <c r="I163" s="224" t="e">
        <f t="shared" si="25"/>
        <v>#REF!</v>
      </c>
      <c r="J163" s="224" t="e">
        <f t="shared" si="29"/>
        <v>#REF!</v>
      </c>
      <c r="K163" s="225" t="e">
        <f t="shared" si="27"/>
        <v>#REF!</v>
      </c>
      <c r="L163" s="180" t="str" cm="1">
        <f t="array" ref="L163:M163">+'3. CD - Obra negra'!O455:P455</f>
        <v>Plomero local</v>
      </c>
      <c r="M163" s="180">
        <v>0</v>
      </c>
    </row>
    <row r="164" spans="4:13" s="180" customFormat="1" ht="30" x14ac:dyDescent="0.25">
      <c r="D164" s="180" t="e">
        <f>+'3. CD - Obra negra'!E456</f>
        <v>#REF!</v>
      </c>
      <c r="E164" s="168">
        <f>(SUMIFS('3. CD - Obra negra'!$G$433:$G$458,'3. CD - Obra negra'!$E$433:$E$458,'1. GENERAL'!D164))+(SUMIFS('3. CD - Obra negra'!$G$463:$G$463,'3. CD - Obra negra'!$E$463:$E$463,'1. GENERAL'!D164))+(SUMIFS('4. CD - Obra gris'!$G$129:$G$134,'4. CD - Obra gris'!$E$129:$E$134,'1. GENERAL'!D164))+(SUMIFS('5, CD -Obra blanca'!$G$220:$G$230,'5, CD -Obra blanca'!$E$220:$E$230,'1. GENERAL'!D164))+(SUMIFS('5, CD -Obra blanca'!$G$235:$G$237,'5, CD -Obra blanca'!$E$235:$E$237,'1. GENERAL'!D164))</f>
        <v>0</v>
      </c>
      <c r="F164" s="180" t="e">
        <f t="shared" si="23"/>
        <v>#REF!</v>
      </c>
      <c r="G164" s="180" t="e">
        <f t="shared" si="24"/>
        <v>#REF!</v>
      </c>
      <c r="I164" s="224" t="e">
        <f t="shared" si="25"/>
        <v>#REF!</v>
      </c>
      <c r="J164" s="224" t="e">
        <f t="shared" si="29"/>
        <v>#REF!</v>
      </c>
      <c r="K164" s="225" t="e">
        <f t="shared" si="27"/>
        <v>#REF!</v>
      </c>
      <c r="L164" s="180" t="str" cm="1">
        <f t="array" ref="L164:M164">+'3. CD - Obra negra'!O456:P456</f>
        <v>Electricista local</v>
      </c>
      <c r="M164" s="180">
        <v>0</v>
      </c>
    </row>
    <row r="165" spans="4:13" s="180" customFormat="1" ht="30" x14ac:dyDescent="0.25">
      <c r="D165" s="180" t="e">
        <f>+'3. CD - Obra negra'!E457</f>
        <v>#REF!</v>
      </c>
      <c r="E165" s="168">
        <f>(SUMIFS('3. CD - Obra negra'!$G$433:$G$458,'3. CD - Obra negra'!$E$433:$E$458,'1. GENERAL'!D165))+(SUMIFS('3. CD - Obra negra'!$G$463:$G$463,'3. CD - Obra negra'!$E$463:$E$463,'1. GENERAL'!D165))+(SUMIFS('4. CD - Obra gris'!$G$129:$G$134,'4. CD - Obra gris'!$E$129:$E$134,'1. GENERAL'!D165))+(SUMIFS('5, CD -Obra blanca'!$G$220:$G$230,'5, CD -Obra blanca'!$E$220:$E$230,'1. GENERAL'!D165))+(SUMIFS('5, CD -Obra blanca'!$G$235:$G$237,'5, CD -Obra blanca'!$E$235:$E$237,'1. GENERAL'!D165))</f>
        <v>0</v>
      </c>
      <c r="F165" s="180" t="e">
        <f t="shared" si="23"/>
        <v>#REF!</v>
      </c>
      <c r="G165" s="180" t="e">
        <f t="shared" si="24"/>
        <v>#REF!</v>
      </c>
      <c r="I165" s="224" t="e">
        <f t="shared" si="25"/>
        <v>#REF!</v>
      </c>
      <c r="J165" s="224" t="e">
        <f t="shared" si="29"/>
        <v>#REF!</v>
      </c>
      <c r="K165" s="225" t="e">
        <f t="shared" si="27"/>
        <v>#REF!</v>
      </c>
      <c r="L165" s="180" t="str" cm="1">
        <f t="array" ref="L165:M165">+'3. CD - Obra negra'!O457:P457</f>
        <v>Electricista local</v>
      </c>
      <c r="M165" s="180">
        <v>0</v>
      </c>
    </row>
    <row r="166" spans="4:13" s="180" customFormat="1" ht="30" x14ac:dyDescent="0.25">
      <c r="D166" s="180" t="str">
        <f>+'3. CD - Obra negra'!E458</f>
        <v>Instalación policarbonato</v>
      </c>
      <c r="E166" s="168">
        <f>(SUMIFS('3. CD - Obra negra'!$G$433:$G$458,'3. CD - Obra negra'!$E$433:$E$458,'1. GENERAL'!D166))+(SUMIFS('3. CD - Obra negra'!$G$463:$G$463,'3. CD - Obra negra'!$E$463:$E$463,'1. GENERAL'!D166))+(SUMIFS('4. CD - Obra gris'!$G$129:$G$134,'4. CD - Obra gris'!$E$129:$E$134,'1. GENERAL'!D166))+(SUMIFS('5, CD -Obra blanca'!$G$220:$G$230,'5, CD -Obra blanca'!$E$220:$E$230,'1. GENERAL'!D166))+(SUMIFS('5, CD -Obra blanca'!$G$235:$G$237,'5, CD -Obra blanca'!$E$235:$E$237,'1. GENERAL'!D166))</f>
        <v>0</v>
      </c>
      <c r="F166" s="180" t="str">
        <f t="shared" si="23"/>
        <v>M2</v>
      </c>
      <c r="G166" s="180" t="str">
        <f t="shared" si="24"/>
        <v>ACABADOS</v>
      </c>
      <c r="I166" s="224">
        <f t="shared" si="25"/>
        <v>10000</v>
      </c>
      <c r="J166" s="224">
        <f t="shared" si="29"/>
        <v>0</v>
      </c>
      <c r="K166" s="225">
        <f t="shared" si="27"/>
        <v>0</v>
      </c>
      <c r="L166" s="180" t="e" cm="1">
        <f t="array" ref="L166">+'3. CD - Obra negra'!#REF!</f>
        <v>#REF!</v>
      </c>
    </row>
    <row r="167" spans="4:13" s="180" customFormat="1" ht="30.6" customHeight="1" x14ac:dyDescent="0.25">
      <c r="D167" s="180" t="str">
        <f>+'4. CD - Obra gris'!E129</f>
        <v>Punto hidráulico</v>
      </c>
      <c r="E167" s="168">
        <f>(SUMIFS('3. CD - Obra negra'!$G$433:$G$458,'3. CD - Obra negra'!$E$433:$E$458,'1. GENERAL'!D167))+(SUMIFS('3. CD - Obra negra'!$G$463:$G$463,'3. CD - Obra negra'!$E$463:$E$463,'1. GENERAL'!D167))+(SUMIFS('4. CD - Obra gris'!$G$129:$G$134,'4. CD - Obra gris'!$E$129:$E$134,'1. GENERAL'!D167))+(SUMIFS('5, CD -Obra blanca'!$G$220:$G$230,'5, CD -Obra blanca'!$E$220:$E$230,'1. GENERAL'!D167))+(SUMIFS('5, CD -Obra blanca'!$G$235:$G$237,'5, CD -Obra blanca'!$E$235:$E$237,'1. GENERAL'!D167))</f>
        <v>10</v>
      </c>
      <c r="F167" s="180" t="str">
        <f t="shared" ref="F167:F172" si="30">+(VLOOKUP(D167,MANOCASAEST,4,FALSE))</f>
        <v>PTO</v>
      </c>
      <c r="G167" s="180" t="str">
        <f t="shared" ref="G167:G172" si="31">+(VLOOKUP(D167,MANOCASAEST,6,FALSE))</f>
        <v>I.POTABLE</v>
      </c>
      <c r="I167" s="224">
        <f t="shared" ref="I167:I172" si="32">+(VLOOKUP(D167,MANOCASAEST,8,FALSE))</f>
        <v>55000</v>
      </c>
      <c r="J167" s="224">
        <f t="shared" si="29"/>
        <v>550000</v>
      </c>
      <c r="K167" s="225">
        <f t="shared" si="27"/>
        <v>9.7440149229154603E-4</v>
      </c>
      <c r="L167" s="180" t="e" cm="1">
        <f t="array" ref="L167">+'5, CD -Obra blanca'!#REF!</f>
        <v>#REF!</v>
      </c>
    </row>
    <row r="168" spans="4:13" s="180" customFormat="1" ht="30.6" customHeight="1" x14ac:dyDescent="0.25">
      <c r="D168" s="180" t="str">
        <f>+'4. CD - Obra gris'!E130</f>
        <v>Instalación tablero 6 circuitos</v>
      </c>
      <c r="E168" s="168">
        <f>(SUMIFS('3. CD - Obra negra'!$G$433:$G$458,'3. CD - Obra negra'!$E$433:$E$458,'1. GENERAL'!D168))+(SUMIFS('3. CD - Obra negra'!$G$463:$G$463,'3. CD - Obra negra'!$E$463:$E$463,'1. GENERAL'!D168))+(SUMIFS('4. CD - Obra gris'!$G$129:$G$134,'4. CD - Obra gris'!$E$129:$E$134,'1. GENERAL'!D168))+(SUMIFS('5, CD -Obra blanca'!$G$220:$G$230,'5, CD -Obra blanca'!$E$220:$E$230,'1. GENERAL'!D168))+(SUMIFS('5, CD -Obra blanca'!$G$235:$G$237,'5, CD -Obra blanca'!$E$235:$E$237,'1. GENERAL'!D168))</f>
        <v>1.5</v>
      </c>
      <c r="F168" s="180" t="str">
        <f t="shared" si="30"/>
        <v>PTO</v>
      </c>
      <c r="G168" s="180" t="str">
        <f t="shared" si="31"/>
        <v>I.ELECTRICA</v>
      </c>
      <c r="I168" s="224">
        <f t="shared" si="32"/>
        <v>330000</v>
      </c>
      <c r="J168" s="224">
        <f t="shared" si="29"/>
        <v>495000</v>
      </c>
      <c r="K168" s="225">
        <f t="shared" ref="K168:K178" si="33">+J168/$E$35</f>
        <v>8.7696134306239142E-4</v>
      </c>
      <c r="L168" s="180" t="e" cm="1">
        <f t="array" ref="L168">+'5, CD -Obra blanca'!#REF!</f>
        <v>#REF!</v>
      </c>
    </row>
    <row r="169" spans="4:13" s="180" customFormat="1" ht="30" x14ac:dyDescent="0.25">
      <c r="D169" s="180" t="str">
        <f>+'4. CD - Obra gris'!E131</f>
        <v>Punto eléctrico</v>
      </c>
      <c r="E169" s="168">
        <f>(SUMIFS('3. CD - Obra negra'!$G$433:$G$458,'3. CD - Obra negra'!$E$433:$E$458,'1. GENERAL'!D169))+(SUMIFS('3. CD - Obra negra'!$G$463:$G$463,'3. CD - Obra negra'!$E$463:$E$463,'1. GENERAL'!D169))+(SUMIFS('4. CD - Obra gris'!$G$129:$G$134,'4. CD - Obra gris'!$E$129:$E$134,'1. GENERAL'!D169))+(SUMIFS('5, CD -Obra blanca'!$G$220:$G$230,'5, CD -Obra blanca'!$E$220:$E$230,'1. GENERAL'!D169))+(SUMIFS('5, CD -Obra blanca'!$G$235:$G$237,'5, CD -Obra blanca'!$E$235:$E$237,'1. GENERAL'!D169))</f>
        <v>84</v>
      </c>
      <c r="F169" s="180" t="str">
        <f t="shared" si="30"/>
        <v>PTO</v>
      </c>
      <c r="G169" s="180" t="str">
        <f t="shared" si="31"/>
        <v>I.ELECTRICA</v>
      </c>
      <c r="I169" s="224">
        <f t="shared" si="32"/>
        <v>55000</v>
      </c>
      <c r="J169" s="224">
        <f t="shared" si="29"/>
        <v>4620000</v>
      </c>
      <c r="K169" s="225">
        <f t="shared" si="33"/>
        <v>8.1849725352489862E-3</v>
      </c>
      <c r="L169" s="180" t="e" cm="1">
        <f t="array" ref="L169">+'5, CD -Obra blanca'!#REF!</f>
        <v>#REF!</v>
      </c>
    </row>
    <row r="170" spans="4:13" s="180" customFormat="1" x14ac:dyDescent="0.25">
      <c r="D170" s="180" t="str">
        <f>+'4. CD - Obra gris'!E132</f>
        <v>Esterillado</v>
      </c>
      <c r="E170" s="168">
        <f>(SUMIFS('3. CD - Obra negra'!$G$433:$G$458,'3. CD - Obra negra'!$E$433:$E$458,'1. GENERAL'!D170))+(SUMIFS('3. CD - Obra negra'!$G$463:$G$463,'3. CD - Obra negra'!$E$463:$E$463,'1. GENERAL'!D170))+(SUMIFS('4. CD - Obra gris'!$G$129:$G$134,'4. CD - Obra gris'!$E$129:$E$134,'1. GENERAL'!D170))+(SUMIFS('5, CD -Obra blanca'!$G$220:$G$230,'5, CD -Obra blanca'!$E$220:$E$230,'1. GENERAL'!D170))+(SUMIFS('5, CD -Obra blanca'!$G$235:$G$237,'5, CD -Obra blanca'!$E$235:$E$237,'1. GENERAL'!D170))</f>
        <v>0</v>
      </c>
      <c r="F170" s="180" t="str">
        <f t="shared" si="30"/>
        <v>M2</v>
      </c>
      <c r="G170" s="180" t="str">
        <f t="shared" si="31"/>
        <v>I.GUADUA</v>
      </c>
      <c r="I170" s="224">
        <f t="shared" si="32"/>
        <v>12500</v>
      </c>
      <c r="J170" s="224">
        <f t="shared" si="29"/>
        <v>0</v>
      </c>
      <c r="K170" s="225">
        <f t="shared" si="33"/>
        <v>0</v>
      </c>
      <c r="L170" s="180" t="e" cm="1">
        <f t="array" ref="L170">+'5, CD -Obra blanca'!#REF!</f>
        <v>#REF!</v>
      </c>
    </row>
    <row r="171" spans="4:13" s="180" customFormat="1" x14ac:dyDescent="0.25">
      <c r="D171" s="180" t="e">
        <f>+'4. CD - Obra gris'!E133</f>
        <v>#REF!</v>
      </c>
      <c r="E171" s="168">
        <f>(SUMIFS('3. CD - Obra negra'!$G$433:$G$458,'3. CD - Obra negra'!$E$433:$E$458,'1. GENERAL'!D171))+(SUMIFS('3. CD - Obra negra'!$G$463:$G$463,'3. CD - Obra negra'!$E$463:$E$463,'1. GENERAL'!D171))+(SUMIFS('4. CD - Obra gris'!$G$129:$G$134,'4. CD - Obra gris'!$E$129:$E$134,'1. GENERAL'!D171))+(SUMIFS('5, CD -Obra blanca'!$G$220:$G$230,'5, CD -Obra blanca'!$E$220:$E$230,'1. GENERAL'!D171))+(SUMIFS('5, CD -Obra blanca'!$G$235:$G$237,'5, CD -Obra blanca'!$E$235:$E$237,'1. GENERAL'!D171))</f>
        <v>0</v>
      </c>
      <c r="F171" s="180" t="e">
        <f t="shared" si="30"/>
        <v>#REF!</v>
      </c>
      <c r="G171" s="180" t="e">
        <f t="shared" si="31"/>
        <v>#REF!</v>
      </c>
      <c r="I171" s="224" t="e">
        <f t="shared" si="32"/>
        <v>#REF!</v>
      </c>
      <c r="J171" s="224" t="e">
        <f t="shared" si="29"/>
        <v>#REF!</v>
      </c>
      <c r="K171" s="225" t="e">
        <f t="shared" si="33"/>
        <v>#REF!</v>
      </c>
      <c r="L171" s="180" t="e" cm="1">
        <f t="array" ref="L171">+'5, CD -Obra blanca'!#REF!</f>
        <v>#REF!</v>
      </c>
    </row>
    <row r="172" spans="4:13" s="180" customFormat="1" x14ac:dyDescent="0.25">
      <c r="D172" s="180" t="e">
        <f>+'4. CD - Obra gris'!E134</f>
        <v>#REF!</v>
      </c>
      <c r="E172" s="168">
        <f>(SUMIFS('3. CD - Obra negra'!$G$433:$G$458,'3. CD - Obra negra'!$E$433:$E$458,'1. GENERAL'!D172))+(SUMIFS('3. CD - Obra negra'!$G$463:$G$463,'3. CD - Obra negra'!$E$463:$E$463,'1. GENERAL'!D172))+(SUMIFS('4. CD - Obra gris'!$G$129:$G$134,'4. CD - Obra gris'!$E$129:$E$134,'1. GENERAL'!D172))+(SUMIFS('5, CD -Obra blanca'!$G$220:$G$230,'5, CD -Obra blanca'!$E$220:$E$230,'1. GENERAL'!D172))+(SUMIFS('5, CD -Obra blanca'!$G$235:$G$237,'5, CD -Obra blanca'!$E$235:$E$237,'1. GENERAL'!D172))</f>
        <v>0</v>
      </c>
      <c r="F172" s="180" t="e">
        <f t="shared" si="30"/>
        <v>#REF!</v>
      </c>
      <c r="G172" s="180" t="e">
        <f t="shared" si="31"/>
        <v>#REF!</v>
      </c>
      <c r="I172" s="224" t="e">
        <f t="shared" si="32"/>
        <v>#REF!</v>
      </c>
      <c r="J172" s="224" t="e">
        <f t="shared" si="29"/>
        <v>#REF!</v>
      </c>
      <c r="K172" s="225" t="e">
        <f t="shared" si="33"/>
        <v>#REF!</v>
      </c>
      <c r="L172" s="180" t="e" cm="1">
        <f t="array" ref="L172">+'5, CD -Obra blanca'!#REF!</f>
        <v>#REF!</v>
      </c>
    </row>
    <row r="173" spans="4:13" s="180" customFormat="1" x14ac:dyDescent="0.25">
      <c r="D173" s="180" t="e">
        <f>+'5, CD -Obra blanca'!E220</f>
        <v>#REF!</v>
      </c>
      <c r="E173" s="168">
        <f>(SUMIFS('3. CD - Obra negra'!$G$433:$G$458,'3. CD - Obra negra'!$E$433:$E$458,'1. GENERAL'!D173))+(SUMIFS('3. CD - Obra negra'!$G$463:$G$463,'3. CD - Obra negra'!$E$463:$E$463,'1. GENERAL'!D173))+(SUMIFS('4. CD - Obra gris'!$G$129:$G$134,'4. CD - Obra gris'!$E$129:$E$134,'1. GENERAL'!D173))+(SUMIFS('5, CD -Obra blanca'!$G$220:$G$230,'5, CD -Obra blanca'!$E$220:$E$230,'1. GENERAL'!D173))+(SUMIFS('5, CD -Obra blanca'!$G$235:$G$237,'5, CD -Obra blanca'!$E$235:$E$237,'1. GENERAL'!D173))</f>
        <v>0</v>
      </c>
      <c r="F173" s="180" t="e">
        <f t="shared" ref="F173:F178" si="34">+(VLOOKUP(D173,MANOCASAACAB,4,FALSE))</f>
        <v>#REF!</v>
      </c>
      <c r="G173" s="180" t="e">
        <f t="shared" ref="G173:G178" si="35">+(VLOOKUP(D173,MANOCASAACAB,6,FALSE))</f>
        <v>#REF!</v>
      </c>
      <c r="I173" s="224" t="e">
        <f t="shared" ref="I173:I178" si="36">+(VLOOKUP(D173,MANOCASAACAB,8,FALSE))</f>
        <v>#REF!</v>
      </c>
      <c r="J173" s="224" t="e">
        <f t="shared" si="29"/>
        <v>#REF!</v>
      </c>
      <c r="K173" s="225" t="e">
        <f t="shared" si="33"/>
        <v>#REF!</v>
      </c>
      <c r="L173" s="180" t="e" cm="1">
        <f t="array" ref="L173">+'5, CD -Obra blanca'!#REF!</f>
        <v>#REF!</v>
      </c>
    </row>
    <row r="174" spans="4:13" s="180" customFormat="1" ht="28.15" customHeight="1" x14ac:dyDescent="0.25">
      <c r="D174" s="180" t="str">
        <f>+'5, CD -Obra blanca'!E224</f>
        <v>Afinado esmaltado losa</v>
      </c>
      <c r="E174" s="168">
        <f>(SUMIFS('3. CD - Obra negra'!$G$433:$G$458,'3. CD - Obra negra'!$E$433:$E$458,'1. GENERAL'!D174))+(SUMIFS('3. CD - Obra negra'!$G$463:$G$463,'3. CD - Obra negra'!$E$463:$E$463,'1. GENERAL'!D174))+(SUMIFS('4. CD - Obra gris'!$G$129:$G$134,'4. CD - Obra gris'!$E$129:$E$134,'1. GENERAL'!D174))+(SUMIFS('5, CD -Obra blanca'!$G$220:$G$230,'5, CD -Obra blanca'!$E$220:$E$230,'1. GENERAL'!D174))+(SUMIFS('5, CD -Obra blanca'!$G$235:$G$237,'5, CD -Obra blanca'!$E$235:$E$237,'1. GENERAL'!D174))</f>
        <v>0</v>
      </c>
      <c r="F174" s="180" t="str">
        <f t="shared" si="34"/>
        <v>M2</v>
      </c>
      <c r="G174" s="180" t="str">
        <f t="shared" si="35"/>
        <v>ACABADOS</v>
      </c>
      <c r="I174" s="224">
        <f t="shared" si="36"/>
        <v>18000</v>
      </c>
      <c r="J174" s="224">
        <f t="shared" si="29"/>
        <v>0</v>
      </c>
      <c r="K174" s="225">
        <f t="shared" si="33"/>
        <v>0</v>
      </c>
      <c r="L174" s="180" t="e" cm="1">
        <f t="array" ref="L174">+'5, CD -Obra blanca'!#REF!</f>
        <v>#REF!</v>
      </c>
    </row>
    <row r="175" spans="4:13" s="180" customFormat="1" ht="30" x14ac:dyDescent="0.25">
      <c r="D175" s="180" t="str">
        <f>+'5, CD -Obra blanca'!E225</f>
        <v>Piso en madera</v>
      </c>
      <c r="E175" s="168">
        <f>(SUMIFS('3. CD - Obra negra'!$G$433:$G$458,'3. CD - Obra negra'!$E$433:$E$458,'1. GENERAL'!D175))+(SUMIFS('3. CD - Obra negra'!$G$463:$G$463,'3. CD - Obra negra'!$E$463:$E$463,'1. GENERAL'!D175))+(SUMIFS('4. CD - Obra gris'!$G$129:$G$134,'4. CD - Obra gris'!$E$129:$E$134,'1. GENERAL'!D175))+(SUMIFS('5, CD -Obra blanca'!$G$220:$G$230,'5, CD -Obra blanca'!$E$220:$E$230,'1. GENERAL'!D175))+(SUMIFS('5, CD -Obra blanca'!$G$235:$G$237,'5, CD -Obra blanca'!$E$235:$E$237,'1. GENERAL'!D175))</f>
        <v>0</v>
      </c>
      <c r="F175" s="180" t="str">
        <f t="shared" si="34"/>
        <v>M2</v>
      </c>
      <c r="G175" s="180" t="str">
        <f t="shared" si="35"/>
        <v>I.MADERA</v>
      </c>
      <c r="I175" s="224">
        <f t="shared" si="36"/>
        <v>60000</v>
      </c>
      <c r="J175" s="224">
        <f t="shared" si="29"/>
        <v>0</v>
      </c>
      <c r="K175" s="225">
        <f t="shared" si="33"/>
        <v>0</v>
      </c>
      <c r="L175" s="180" t="e" cm="1">
        <f t="array" ref="L175">+'5, CD -Obra blanca'!#REF!</f>
        <v>#REF!</v>
      </c>
    </row>
    <row r="176" spans="4:13" s="180" customFormat="1" ht="32.450000000000003" customHeight="1" x14ac:dyDescent="0.25">
      <c r="D176" s="180" t="str">
        <f>+'5, CD -Obra blanca'!E227</f>
        <v>Instalación baranda</v>
      </c>
      <c r="E176" s="168">
        <f>(SUMIFS('3. CD - Obra negra'!$G$433:$G$458,'3. CD - Obra negra'!$E$433:$E$458,'1. GENERAL'!D176))+(SUMIFS('3. CD - Obra negra'!$G$463:$G$463,'3. CD - Obra negra'!$E$463:$E$463,'1. GENERAL'!D176))+(SUMIFS('4. CD - Obra gris'!$G$129:$G$134,'4. CD - Obra gris'!$E$129:$E$134,'1. GENERAL'!D176))+(SUMIFS('5, CD -Obra blanca'!$G$220:$G$230,'5, CD -Obra blanca'!$E$220:$E$230,'1. GENERAL'!D176))+(SUMIFS('5, CD -Obra blanca'!$G$235:$G$237,'5, CD -Obra blanca'!$E$235:$E$237,'1. GENERAL'!D176))</f>
        <v>0</v>
      </c>
      <c r="F176" s="180" t="str">
        <f t="shared" si="34"/>
        <v>ML</v>
      </c>
      <c r="G176" s="180" t="str">
        <f t="shared" si="35"/>
        <v>ACABADOS</v>
      </c>
      <c r="I176" s="224">
        <f t="shared" si="36"/>
        <v>70000</v>
      </c>
      <c r="J176" s="224">
        <f t="shared" si="29"/>
        <v>0</v>
      </c>
      <c r="K176" s="225">
        <f t="shared" si="33"/>
        <v>0</v>
      </c>
      <c r="L176" s="180" t="e" cm="1">
        <f t="array" ref="L176">+'5, CD -Obra blanca'!#REF!</f>
        <v>#REF!</v>
      </c>
    </row>
    <row r="177" spans="4:12" s="180" customFormat="1" ht="28.9" customHeight="1" x14ac:dyDescent="0.25">
      <c r="D177" s="180" t="str">
        <f>+'5, CD -Obra blanca'!E229</f>
        <v>Instalación aparato</v>
      </c>
      <c r="E177" s="168">
        <f>(SUMIFS('3. CD - Obra negra'!$G$433:$G$458,'3. CD - Obra negra'!$E$433:$E$458,'1. GENERAL'!D177))+(SUMIFS('3. CD - Obra negra'!$G$463:$G$463,'3. CD - Obra negra'!$E$463:$E$463,'1. GENERAL'!D177))+(SUMIFS('4. CD - Obra gris'!$G$129:$G$134,'4. CD - Obra gris'!$E$129:$E$134,'1. GENERAL'!D177))+(SUMIFS('5, CD -Obra blanca'!$G$220:$G$230,'5, CD -Obra blanca'!$E$220:$E$230,'1. GENERAL'!D177))+(SUMIFS('5, CD -Obra blanca'!$G$235:$G$237,'5, CD -Obra blanca'!$E$235:$E$237,'1. GENERAL'!D177))</f>
        <v>0</v>
      </c>
      <c r="F177" s="180" t="str">
        <f t="shared" si="34"/>
        <v>UND</v>
      </c>
      <c r="G177" s="180" t="str">
        <f t="shared" si="35"/>
        <v>I.POTABLE</v>
      </c>
      <c r="I177" s="224">
        <f t="shared" si="36"/>
        <v>35000</v>
      </c>
      <c r="J177" s="224">
        <f t="shared" si="29"/>
        <v>0</v>
      </c>
      <c r="K177" s="225">
        <f t="shared" si="33"/>
        <v>0</v>
      </c>
      <c r="L177" s="180" t="e" cm="1">
        <f t="array" ref="L177">+'5, CD -Obra blanca'!#REF!</f>
        <v>#REF!</v>
      </c>
    </row>
    <row r="178" spans="4:12" s="180" customFormat="1" x14ac:dyDescent="0.25">
      <c r="D178" s="180" t="str">
        <f>+'5, CD -Obra blanca'!E230</f>
        <v>Jornal aseo</v>
      </c>
      <c r="E178" s="168">
        <f>(SUMIFS('3. CD - Obra negra'!$G$433:$G$458,'3. CD - Obra negra'!$E$433:$E$458,'1. GENERAL'!D178))+(SUMIFS('3. CD - Obra negra'!$G$463:$G$463,'3. CD - Obra negra'!$E$463:$E$463,'1. GENERAL'!D178))+(SUMIFS('4. CD - Obra gris'!$G$129:$G$134,'4. CD - Obra gris'!$E$129:$E$134,'1. GENERAL'!D178))+(SUMIFS('5, CD -Obra blanca'!$G$220:$G$230,'5, CD -Obra blanca'!$E$220:$E$230,'1. GENERAL'!D178))+(SUMIFS('5, CD -Obra blanca'!$G$235:$G$237,'5, CD -Obra blanca'!$E$235:$E$237,'1. GENERAL'!D178))</f>
        <v>0</v>
      </c>
      <c r="F178" s="180" t="str">
        <f t="shared" si="34"/>
        <v>DÍA</v>
      </c>
      <c r="G178" s="180" t="str">
        <f t="shared" si="35"/>
        <v>REMATES</v>
      </c>
      <c r="I178" s="224">
        <f t="shared" si="36"/>
        <v>70000</v>
      </c>
      <c r="J178" s="224">
        <f t="shared" si="29"/>
        <v>0</v>
      </c>
      <c r="K178" s="225">
        <f t="shared" si="33"/>
        <v>0</v>
      </c>
      <c r="L178" s="180" t="e" cm="1">
        <f t="array" ref="L178">+'5, CD -Obra blanca'!#REF!</f>
        <v>#REF!</v>
      </c>
    </row>
    <row r="179" spans="4:12" s="180" customFormat="1" ht="15.75" thickBot="1" x14ac:dyDescent="0.3">
      <c r="E179" s="168"/>
      <c r="F179" s="226"/>
      <c r="G179" s="226"/>
      <c r="I179" s="224"/>
      <c r="J179" s="224"/>
      <c r="K179" s="225"/>
    </row>
    <row r="180" spans="4:12" s="180" customFormat="1" ht="15.75" thickBot="1" x14ac:dyDescent="0.3">
      <c r="E180" s="168"/>
      <c r="F180" s="226"/>
      <c r="G180" s="226"/>
      <c r="I180" s="224"/>
      <c r="J180" s="242" t="e">
        <f>SUM(J141:J179)</f>
        <v>#REF!</v>
      </c>
      <c r="K180" s="249" t="e">
        <f>SUM(K141:K179)</f>
        <v>#REF!</v>
      </c>
    </row>
    <row r="181" spans="4:12" s="180" customFormat="1" x14ac:dyDescent="0.25">
      <c r="I181" s="224"/>
      <c r="J181" s="224"/>
      <c r="K181" s="225"/>
    </row>
    <row r="182" spans="4:12" s="180" customFormat="1" x14ac:dyDescent="0.25">
      <c r="I182" s="224"/>
      <c r="J182" s="224"/>
      <c r="K182" s="225"/>
    </row>
    <row r="183" spans="4:12" s="180" customFormat="1" x14ac:dyDescent="0.25">
      <c r="I183" s="224"/>
      <c r="J183" s="224"/>
      <c r="K183" s="225"/>
    </row>
    <row r="184" spans="4:12" s="180" customFormat="1" x14ac:dyDescent="0.25">
      <c r="I184" s="224"/>
      <c r="J184" s="224"/>
      <c r="K184" s="225"/>
    </row>
    <row r="185" spans="4:12" s="180" customFormat="1" x14ac:dyDescent="0.25">
      <c r="I185" s="224"/>
      <c r="J185" s="224"/>
      <c r="K185" s="225"/>
    </row>
    <row r="186" spans="4:12" s="180" customFormat="1" x14ac:dyDescent="0.25">
      <c r="I186" s="224"/>
      <c r="J186" s="224"/>
      <c r="K186" s="225"/>
    </row>
    <row r="187" spans="4:12" s="180" customFormat="1" x14ac:dyDescent="0.25">
      <c r="I187" s="224"/>
      <c r="J187" s="224"/>
      <c r="K187" s="225"/>
    </row>
    <row r="188" spans="4:12" s="180" customFormat="1" x14ac:dyDescent="0.25">
      <c r="I188" s="224"/>
      <c r="J188" s="224"/>
      <c r="K188" s="225"/>
    </row>
    <row r="189" spans="4:12" s="180" customFormat="1" x14ac:dyDescent="0.25">
      <c r="I189" s="224"/>
      <c r="J189" s="224"/>
      <c r="K189" s="225"/>
    </row>
    <row r="190" spans="4:12" s="180" customFormat="1" x14ac:dyDescent="0.25">
      <c r="I190" s="224"/>
      <c r="J190" s="224"/>
      <c r="K190" s="225"/>
    </row>
    <row r="191" spans="4:12" s="180" customFormat="1" x14ac:dyDescent="0.25">
      <c r="I191" s="224"/>
      <c r="J191" s="224"/>
      <c r="K191" s="225"/>
    </row>
    <row r="192" spans="4:12" s="180" customFormat="1" x14ac:dyDescent="0.25">
      <c r="I192" s="224"/>
      <c r="J192" s="224"/>
      <c r="K192" s="225"/>
    </row>
    <row r="193" spans="9:11" s="180" customFormat="1" x14ac:dyDescent="0.25">
      <c r="I193" s="224"/>
      <c r="J193" s="224"/>
      <c r="K193" s="225"/>
    </row>
    <row r="194" spans="9:11" s="180" customFormat="1" x14ac:dyDescent="0.25">
      <c r="I194" s="224"/>
      <c r="J194" s="224"/>
      <c r="K194" s="225"/>
    </row>
    <row r="195" spans="9:11" s="180" customFormat="1" x14ac:dyDescent="0.25">
      <c r="I195" s="224"/>
      <c r="J195" s="224"/>
      <c r="K195" s="225"/>
    </row>
    <row r="196" spans="9:11" s="180" customFormat="1" x14ac:dyDescent="0.25">
      <c r="I196" s="224"/>
      <c r="J196" s="224"/>
      <c r="K196" s="225"/>
    </row>
    <row r="197" spans="9:11" s="180" customFormat="1" x14ac:dyDescent="0.25">
      <c r="I197" s="224"/>
      <c r="J197" s="224"/>
      <c r="K197" s="225"/>
    </row>
    <row r="198" spans="9:11" s="180" customFormat="1" x14ac:dyDescent="0.25">
      <c r="I198" s="224"/>
      <c r="J198" s="224"/>
      <c r="K198" s="225"/>
    </row>
    <row r="199" spans="9:11" s="180" customFormat="1" x14ac:dyDescent="0.25">
      <c r="I199" s="224"/>
      <c r="J199" s="224"/>
      <c r="K199" s="225"/>
    </row>
    <row r="200" spans="9:11" s="180" customFormat="1" x14ac:dyDescent="0.25">
      <c r="I200" s="224"/>
      <c r="J200" s="224"/>
      <c r="K200" s="225"/>
    </row>
    <row r="201" spans="9:11" s="180" customFormat="1" x14ac:dyDescent="0.25">
      <c r="I201" s="224"/>
      <c r="J201" s="224"/>
      <c r="K201" s="225"/>
    </row>
    <row r="202" spans="9:11" s="180" customFormat="1" x14ac:dyDescent="0.25">
      <c r="I202" s="224"/>
      <c r="J202" s="224"/>
      <c r="K202" s="225"/>
    </row>
    <row r="203" spans="9:11" s="180" customFormat="1" x14ac:dyDescent="0.25">
      <c r="I203" s="224"/>
      <c r="J203" s="224"/>
      <c r="K203" s="225"/>
    </row>
    <row r="204" spans="9:11" s="180" customFormat="1" x14ac:dyDescent="0.25">
      <c r="I204" s="224"/>
      <c r="J204" s="224"/>
      <c r="K204" s="225"/>
    </row>
    <row r="205" spans="9:11" s="180" customFormat="1" x14ac:dyDescent="0.25">
      <c r="I205" s="224"/>
      <c r="J205" s="224"/>
      <c r="K205" s="225"/>
    </row>
    <row r="206" spans="9:11" s="180" customFormat="1" x14ac:dyDescent="0.25">
      <c r="I206" s="224"/>
      <c r="J206" s="224"/>
      <c r="K206" s="225"/>
    </row>
    <row r="207" spans="9:11" s="180" customFormat="1" x14ac:dyDescent="0.25">
      <c r="I207" s="224"/>
      <c r="J207" s="224"/>
      <c r="K207" s="225"/>
    </row>
    <row r="208" spans="9:11" s="180" customFormat="1" x14ac:dyDescent="0.25">
      <c r="I208" s="224"/>
      <c r="J208" s="224"/>
      <c r="K208" s="225"/>
    </row>
    <row r="209" spans="9:11" s="180" customFormat="1" x14ac:dyDescent="0.25">
      <c r="I209" s="224"/>
      <c r="J209" s="224"/>
      <c r="K209" s="225"/>
    </row>
    <row r="210" spans="9:11" s="180" customFormat="1" x14ac:dyDescent="0.25">
      <c r="I210" s="224"/>
      <c r="J210" s="224"/>
      <c r="K210" s="225"/>
    </row>
    <row r="211" spans="9:11" s="180" customFormat="1" x14ac:dyDescent="0.25">
      <c r="I211" s="224"/>
      <c r="J211" s="224"/>
      <c r="K211" s="225"/>
    </row>
    <row r="212" spans="9:11" s="180" customFormat="1" x14ac:dyDescent="0.25">
      <c r="I212" s="224"/>
      <c r="J212" s="224"/>
      <c r="K212" s="225"/>
    </row>
    <row r="213" spans="9:11" s="180" customFormat="1" x14ac:dyDescent="0.25">
      <c r="I213" s="224"/>
      <c r="J213" s="224"/>
      <c r="K213" s="225"/>
    </row>
    <row r="214" spans="9:11" s="180" customFormat="1" x14ac:dyDescent="0.25">
      <c r="I214" s="224"/>
      <c r="J214" s="224"/>
      <c r="K214" s="225"/>
    </row>
    <row r="215" spans="9:11" s="180" customFormat="1" x14ac:dyDescent="0.25">
      <c r="I215" s="224"/>
      <c r="J215" s="224"/>
      <c r="K215" s="225"/>
    </row>
    <row r="216" spans="9:11" s="180" customFormat="1" x14ac:dyDescent="0.25">
      <c r="I216" s="224"/>
      <c r="J216" s="224"/>
      <c r="K216" s="225"/>
    </row>
    <row r="217" spans="9:11" s="180" customFormat="1" x14ac:dyDescent="0.25">
      <c r="I217" s="224"/>
      <c r="J217" s="224"/>
      <c r="K217" s="225"/>
    </row>
    <row r="218" spans="9:11" s="180" customFormat="1" x14ac:dyDescent="0.25">
      <c r="I218" s="224"/>
      <c r="J218" s="224"/>
      <c r="K218" s="225"/>
    </row>
    <row r="219" spans="9:11" s="180" customFormat="1" x14ac:dyDescent="0.25">
      <c r="I219" s="224"/>
      <c r="J219" s="224"/>
      <c r="K219" s="225"/>
    </row>
    <row r="220" spans="9:11" s="180" customFormat="1" x14ac:dyDescent="0.25">
      <c r="I220" s="224"/>
      <c r="J220" s="224"/>
      <c r="K220" s="225"/>
    </row>
    <row r="221" spans="9:11" s="180" customFormat="1" x14ac:dyDescent="0.25">
      <c r="I221" s="224"/>
      <c r="J221" s="224"/>
      <c r="K221" s="225"/>
    </row>
    <row r="222" spans="9:11" s="180" customFormat="1" x14ac:dyDescent="0.25">
      <c r="I222" s="224"/>
      <c r="J222" s="224"/>
      <c r="K222" s="225"/>
    </row>
    <row r="223" spans="9:11" s="180" customFormat="1" x14ac:dyDescent="0.25">
      <c r="I223" s="224"/>
      <c r="J223" s="224"/>
      <c r="K223" s="225"/>
    </row>
    <row r="224" spans="9:11" s="180" customFormat="1" x14ac:dyDescent="0.25">
      <c r="I224" s="224"/>
      <c r="J224" s="224"/>
      <c r="K224" s="225"/>
    </row>
    <row r="225" spans="9:11" s="180" customFormat="1" x14ac:dyDescent="0.25">
      <c r="I225" s="224"/>
      <c r="J225" s="224"/>
      <c r="K225" s="225"/>
    </row>
    <row r="226" spans="9:11" s="180" customFormat="1" x14ac:dyDescent="0.25">
      <c r="I226" s="224"/>
      <c r="J226" s="224"/>
      <c r="K226" s="225"/>
    </row>
    <row r="227" spans="9:11" s="180" customFormat="1" x14ac:dyDescent="0.25">
      <c r="I227" s="224"/>
      <c r="J227" s="224"/>
      <c r="K227" s="225"/>
    </row>
    <row r="228" spans="9:11" s="180" customFormat="1" x14ac:dyDescent="0.25">
      <c r="I228" s="224"/>
      <c r="J228" s="224"/>
      <c r="K228" s="225"/>
    </row>
    <row r="229" spans="9:11" s="180" customFormat="1" x14ac:dyDescent="0.25">
      <c r="I229" s="224"/>
      <c r="J229" s="224"/>
      <c r="K229" s="225"/>
    </row>
    <row r="230" spans="9:11" s="180" customFormat="1" x14ac:dyDescent="0.25">
      <c r="I230" s="224"/>
      <c r="J230" s="224"/>
      <c r="K230" s="225"/>
    </row>
    <row r="231" spans="9:11" s="180" customFormat="1" x14ac:dyDescent="0.25">
      <c r="I231" s="224"/>
      <c r="J231" s="224"/>
      <c r="K231" s="225"/>
    </row>
    <row r="232" spans="9:11" s="180" customFormat="1" x14ac:dyDescent="0.25">
      <c r="I232" s="224"/>
      <c r="J232" s="224"/>
      <c r="K232" s="225"/>
    </row>
    <row r="233" spans="9:11" s="180" customFormat="1" x14ac:dyDescent="0.25">
      <c r="I233" s="224"/>
      <c r="J233" s="224"/>
      <c r="K233" s="225"/>
    </row>
    <row r="234" spans="9:11" s="180" customFormat="1" x14ac:dyDescent="0.25">
      <c r="I234" s="224"/>
      <c r="J234" s="224"/>
      <c r="K234" s="225"/>
    </row>
    <row r="235" spans="9:11" s="180" customFormat="1" x14ac:dyDescent="0.25">
      <c r="I235" s="224"/>
      <c r="J235" s="224"/>
      <c r="K235" s="225"/>
    </row>
    <row r="236" spans="9:11" s="180" customFormat="1" x14ac:dyDescent="0.25">
      <c r="I236" s="224"/>
      <c r="J236" s="224"/>
      <c r="K236" s="225"/>
    </row>
    <row r="237" spans="9:11" s="180" customFormat="1" x14ac:dyDescent="0.25">
      <c r="I237" s="224"/>
      <c r="J237" s="224"/>
      <c r="K237" s="225"/>
    </row>
    <row r="238" spans="9:11" s="180" customFormat="1" x14ac:dyDescent="0.25">
      <c r="I238" s="224"/>
      <c r="J238" s="224"/>
      <c r="K238" s="225"/>
    </row>
    <row r="239" spans="9:11" s="180" customFormat="1" x14ac:dyDescent="0.25">
      <c r="I239" s="224"/>
      <c r="J239" s="224"/>
      <c r="K239" s="225"/>
    </row>
    <row r="240" spans="9:11" s="180" customFormat="1" x14ac:dyDescent="0.25">
      <c r="I240" s="224"/>
      <c r="J240" s="224"/>
      <c r="K240" s="225"/>
    </row>
    <row r="241" spans="9:11" s="180" customFormat="1" x14ac:dyDescent="0.25">
      <c r="I241" s="224"/>
      <c r="J241" s="224"/>
      <c r="K241" s="225"/>
    </row>
    <row r="242" spans="9:11" s="180" customFormat="1" x14ac:dyDescent="0.25">
      <c r="I242" s="224"/>
      <c r="J242" s="224"/>
      <c r="K242" s="225"/>
    </row>
    <row r="243" spans="9:11" s="180" customFormat="1" x14ac:dyDescent="0.25">
      <c r="I243" s="224"/>
      <c r="J243" s="224"/>
      <c r="K243" s="225"/>
    </row>
    <row r="244" spans="9:11" s="180" customFormat="1" x14ac:dyDescent="0.25">
      <c r="I244" s="224"/>
      <c r="J244" s="224"/>
      <c r="K244" s="225"/>
    </row>
    <row r="245" spans="9:11" s="180" customFormat="1" x14ac:dyDescent="0.25">
      <c r="I245" s="224"/>
      <c r="J245" s="224"/>
      <c r="K245" s="225"/>
    </row>
    <row r="246" spans="9:11" s="180" customFormat="1" x14ac:dyDescent="0.25">
      <c r="I246" s="224"/>
      <c r="J246" s="224"/>
      <c r="K246" s="225"/>
    </row>
    <row r="247" spans="9:11" s="180" customFormat="1" x14ac:dyDescent="0.25">
      <c r="I247" s="224"/>
      <c r="J247" s="224"/>
      <c r="K247" s="225"/>
    </row>
    <row r="248" spans="9:11" s="180" customFormat="1" x14ac:dyDescent="0.25">
      <c r="I248" s="224"/>
      <c r="J248" s="224"/>
      <c r="K248" s="225"/>
    </row>
    <row r="249" spans="9:11" s="180" customFormat="1" x14ac:dyDescent="0.25">
      <c r="I249" s="224"/>
      <c r="J249" s="224"/>
      <c r="K249" s="225"/>
    </row>
    <row r="250" spans="9:11" s="180" customFormat="1" x14ac:dyDescent="0.25">
      <c r="I250" s="224"/>
      <c r="J250" s="224"/>
      <c r="K250" s="225"/>
    </row>
    <row r="251" spans="9:11" s="180" customFormat="1" x14ac:dyDescent="0.25">
      <c r="I251" s="224"/>
      <c r="J251" s="224"/>
      <c r="K251" s="225"/>
    </row>
    <row r="252" spans="9:11" s="180" customFormat="1" x14ac:dyDescent="0.25">
      <c r="I252" s="224"/>
      <c r="J252" s="224"/>
      <c r="K252" s="225"/>
    </row>
    <row r="253" spans="9:11" s="180" customFormat="1" x14ac:dyDescent="0.25">
      <c r="I253" s="224"/>
      <c r="J253" s="224"/>
      <c r="K253" s="225"/>
    </row>
    <row r="254" spans="9:11" s="180" customFormat="1" x14ac:dyDescent="0.25">
      <c r="I254" s="224"/>
      <c r="J254" s="224"/>
      <c r="K254" s="225"/>
    </row>
    <row r="255" spans="9:11" s="180" customFormat="1" x14ac:dyDescent="0.25">
      <c r="I255" s="224"/>
      <c r="J255" s="224"/>
      <c r="K255" s="225"/>
    </row>
    <row r="256" spans="9:11" s="180" customFormat="1" x14ac:dyDescent="0.25">
      <c r="I256" s="224"/>
      <c r="J256" s="224"/>
      <c r="K256" s="225"/>
    </row>
    <row r="257" spans="9:11" s="180" customFormat="1" x14ac:dyDescent="0.25">
      <c r="I257" s="224"/>
      <c r="J257" s="224"/>
      <c r="K257" s="225"/>
    </row>
    <row r="258" spans="9:11" s="180" customFormat="1" x14ac:dyDescent="0.25">
      <c r="I258" s="224"/>
      <c r="J258" s="224"/>
      <c r="K258" s="225"/>
    </row>
    <row r="259" spans="9:11" s="180" customFormat="1" x14ac:dyDescent="0.25">
      <c r="I259" s="224"/>
      <c r="J259" s="224"/>
      <c r="K259" s="225"/>
    </row>
    <row r="260" spans="9:11" s="180" customFormat="1" x14ac:dyDescent="0.25">
      <c r="I260" s="224"/>
      <c r="J260" s="224"/>
      <c r="K260" s="225"/>
    </row>
    <row r="261" spans="9:11" s="180" customFormat="1" x14ac:dyDescent="0.25">
      <c r="I261" s="224"/>
      <c r="J261" s="224"/>
      <c r="K261" s="225"/>
    </row>
    <row r="262" spans="9:11" s="180" customFormat="1" x14ac:dyDescent="0.25">
      <c r="I262" s="224"/>
      <c r="J262" s="224"/>
      <c r="K262" s="225"/>
    </row>
    <row r="263" spans="9:11" s="180" customFormat="1" x14ac:dyDescent="0.25">
      <c r="I263" s="224"/>
      <c r="J263" s="224"/>
      <c r="K263" s="225"/>
    </row>
    <row r="264" spans="9:11" s="180" customFormat="1" x14ac:dyDescent="0.25">
      <c r="I264" s="224"/>
      <c r="J264" s="224"/>
      <c r="K264" s="225"/>
    </row>
    <row r="265" spans="9:11" s="180" customFormat="1" x14ac:dyDescent="0.25">
      <c r="I265" s="224"/>
      <c r="J265" s="224"/>
      <c r="K265" s="225"/>
    </row>
    <row r="266" spans="9:11" s="180" customFormat="1" x14ac:dyDescent="0.25">
      <c r="I266" s="224"/>
      <c r="J266" s="224"/>
      <c r="K266" s="225"/>
    </row>
    <row r="267" spans="9:11" s="180" customFormat="1" x14ac:dyDescent="0.25">
      <c r="I267" s="224"/>
      <c r="J267" s="224"/>
      <c r="K267" s="225"/>
    </row>
    <row r="268" spans="9:11" s="180" customFormat="1" x14ac:dyDescent="0.25">
      <c r="I268" s="224"/>
      <c r="J268" s="224"/>
      <c r="K268" s="225"/>
    </row>
    <row r="269" spans="9:11" s="180" customFormat="1" x14ac:dyDescent="0.25">
      <c r="I269" s="224"/>
      <c r="J269" s="224"/>
      <c r="K269" s="225"/>
    </row>
    <row r="270" spans="9:11" s="180" customFormat="1" x14ac:dyDescent="0.25">
      <c r="I270" s="224"/>
      <c r="J270" s="224"/>
      <c r="K270" s="225"/>
    </row>
    <row r="271" spans="9:11" s="180" customFormat="1" x14ac:dyDescent="0.25">
      <c r="I271" s="224"/>
      <c r="J271" s="224"/>
      <c r="K271" s="225"/>
    </row>
    <row r="272" spans="9:11" s="180" customFormat="1" x14ac:dyDescent="0.25">
      <c r="I272" s="224"/>
      <c r="J272" s="224"/>
      <c r="K272" s="225"/>
    </row>
    <row r="273" spans="9:11" s="180" customFormat="1" x14ac:dyDescent="0.25">
      <c r="I273" s="224"/>
      <c r="J273" s="224"/>
      <c r="K273" s="225"/>
    </row>
    <row r="274" spans="9:11" s="180" customFormat="1" x14ac:dyDescent="0.25">
      <c r="I274" s="224"/>
      <c r="J274" s="224"/>
      <c r="K274" s="225"/>
    </row>
    <row r="275" spans="9:11" s="180" customFormat="1" x14ac:dyDescent="0.25">
      <c r="I275" s="224"/>
      <c r="J275" s="224"/>
      <c r="K275" s="225"/>
    </row>
    <row r="276" spans="9:11" s="180" customFormat="1" x14ac:dyDescent="0.25">
      <c r="I276" s="224"/>
      <c r="J276" s="224"/>
      <c r="K276" s="225"/>
    </row>
    <row r="277" spans="9:11" s="180" customFormat="1" x14ac:dyDescent="0.25">
      <c r="I277" s="224"/>
      <c r="J277" s="224"/>
      <c r="K277" s="225"/>
    </row>
    <row r="278" spans="9:11" s="180" customFormat="1" x14ac:dyDescent="0.25">
      <c r="I278" s="224"/>
      <c r="J278" s="224"/>
      <c r="K278" s="225"/>
    </row>
    <row r="279" spans="9:11" s="180" customFormat="1" x14ac:dyDescent="0.25">
      <c r="I279" s="224"/>
      <c r="J279" s="224"/>
      <c r="K279" s="225"/>
    </row>
    <row r="280" spans="9:11" s="180" customFormat="1" x14ac:dyDescent="0.25">
      <c r="I280" s="224"/>
      <c r="J280" s="224"/>
      <c r="K280" s="225"/>
    </row>
    <row r="281" spans="9:11" s="180" customFormat="1" x14ac:dyDescent="0.25">
      <c r="I281" s="224"/>
      <c r="J281" s="224"/>
      <c r="K281" s="225"/>
    </row>
    <row r="282" spans="9:11" s="180" customFormat="1" x14ac:dyDescent="0.25">
      <c r="I282" s="224"/>
      <c r="J282" s="224"/>
      <c r="K282" s="225"/>
    </row>
    <row r="283" spans="9:11" s="180" customFormat="1" x14ac:dyDescent="0.25">
      <c r="I283" s="224"/>
      <c r="J283" s="224"/>
      <c r="K283" s="225"/>
    </row>
    <row r="284" spans="9:11" s="180" customFormat="1" x14ac:dyDescent="0.25">
      <c r="I284" s="224"/>
      <c r="J284" s="224"/>
      <c r="K284" s="225"/>
    </row>
    <row r="285" spans="9:11" s="180" customFormat="1" x14ac:dyDescent="0.25">
      <c r="I285" s="224"/>
      <c r="J285" s="224"/>
      <c r="K285" s="225"/>
    </row>
    <row r="286" spans="9:11" s="180" customFormat="1" x14ac:dyDescent="0.25">
      <c r="I286" s="224"/>
      <c r="J286" s="224"/>
      <c r="K286" s="225"/>
    </row>
    <row r="287" spans="9:11" s="180" customFormat="1" x14ac:dyDescent="0.25">
      <c r="I287" s="224"/>
      <c r="J287" s="224"/>
      <c r="K287" s="225"/>
    </row>
    <row r="288" spans="9:11" s="180" customFormat="1" x14ac:dyDescent="0.25">
      <c r="I288" s="224"/>
      <c r="J288" s="224"/>
      <c r="K288" s="225"/>
    </row>
    <row r="289" spans="9:11" s="180" customFormat="1" x14ac:dyDescent="0.25">
      <c r="I289" s="224"/>
      <c r="J289" s="224"/>
      <c r="K289" s="225"/>
    </row>
    <row r="290" spans="9:11" s="180" customFormat="1" x14ac:dyDescent="0.25">
      <c r="I290" s="224"/>
      <c r="J290" s="224"/>
      <c r="K290" s="225"/>
    </row>
    <row r="291" spans="9:11" s="180" customFormat="1" x14ac:dyDescent="0.25">
      <c r="I291" s="224"/>
      <c r="J291" s="224"/>
      <c r="K291" s="225"/>
    </row>
    <row r="292" spans="9:11" s="180" customFormat="1" x14ac:dyDescent="0.25">
      <c r="I292" s="224"/>
      <c r="J292" s="224"/>
      <c r="K292" s="225"/>
    </row>
    <row r="293" spans="9:11" s="180" customFormat="1" x14ac:dyDescent="0.25">
      <c r="I293" s="224"/>
      <c r="J293" s="224"/>
      <c r="K293" s="225"/>
    </row>
    <row r="294" spans="9:11" s="180" customFormat="1" x14ac:dyDescent="0.25">
      <c r="I294" s="224"/>
      <c r="J294" s="224"/>
      <c r="K294" s="225"/>
    </row>
    <row r="295" spans="9:11" s="180" customFormat="1" x14ac:dyDescent="0.25">
      <c r="I295" s="224"/>
      <c r="J295" s="224"/>
      <c r="K295" s="225"/>
    </row>
    <row r="296" spans="9:11" s="180" customFormat="1" x14ac:dyDescent="0.25">
      <c r="I296" s="224"/>
      <c r="J296" s="224"/>
      <c r="K296" s="225"/>
    </row>
    <row r="297" spans="9:11" s="180" customFormat="1" x14ac:dyDescent="0.25">
      <c r="I297" s="224"/>
      <c r="J297" s="224"/>
      <c r="K297" s="225"/>
    </row>
    <row r="298" spans="9:11" s="180" customFormat="1" x14ac:dyDescent="0.25">
      <c r="I298" s="224"/>
      <c r="J298" s="224"/>
      <c r="K298" s="225"/>
    </row>
    <row r="299" spans="9:11" s="180" customFormat="1" x14ac:dyDescent="0.25">
      <c r="I299" s="224"/>
      <c r="J299" s="224"/>
      <c r="K299" s="225"/>
    </row>
    <row r="300" spans="9:11" s="180" customFormat="1" x14ac:dyDescent="0.25">
      <c r="I300" s="224"/>
      <c r="J300" s="224"/>
      <c r="K300" s="225"/>
    </row>
    <row r="301" spans="9:11" s="180" customFormat="1" x14ac:dyDescent="0.25">
      <c r="I301" s="224"/>
      <c r="J301" s="224"/>
      <c r="K301" s="225"/>
    </row>
    <row r="302" spans="9:11" s="180" customFormat="1" x14ac:dyDescent="0.25">
      <c r="I302" s="224"/>
      <c r="J302" s="224"/>
      <c r="K302" s="225"/>
    </row>
    <row r="303" spans="9:11" s="180" customFormat="1" x14ac:dyDescent="0.25">
      <c r="I303" s="224"/>
      <c r="J303" s="224"/>
      <c r="K303" s="225"/>
    </row>
    <row r="304" spans="9:11" s="180" customFormat="1" x14ac:dyDescent="0.25">
      <c r="I304" s="224"/>
      <c r="J304" s="224"/>
      <c r="K304" s="225"/>
    </row>
    <row r="305" spans="9:11" s="180" customFormat="1" x14ac:dyDescent="0.25">
      <c r="I305" s="224"/>
      <c r="J305" s="224"/>
      <c r="K305" s="225"/>
    </row>
    <row r="306" spans="9:11" s="180" customFormat="1" x14ac:dyDescent="0.25">
      <c r="I306" s="224"/>
      <c r="J306" s="224"/>
      <c r="K306" s="225"/>
    </row>
    <row r="307" spans="9:11" s="180" customFormat="1" x14ac:dyDescent="0.25">
      <c r="I307" s="224"/>
      <c r="J307" s="224"/>
      <c r="K307" s="225"/>
    </row>
    <row r="308" spans="9:11" s="180" customFormat="1" x14ac:dyDescent="0.25">
      <c r="I308" s="224"/>
      <c r="J308" s="224"/>
      <c r="K308" s="225"/>
    </row>
    <row r="309" spans="9:11" s="180" customFormat="1" x14ac:dyDescent="0.25">
      <c r="I309" s="224"/>
      <c r="J309" s="224"/>
      <c r="K309" s="225"/>
    </row>
    <row r="310" spans="9:11" s="180" customFormat="1" x14ac:dyDescent="0.25">
      <c r="I310" s="224"/>
      <c r="J310" s="224"/>
      <c r="K310" s="225"/>
    </row>
    <row r="311" spans="9:11" s="180" customFormat="1" x14ac:dyDescent="0.25">
      <c r="I311" s="224"/>
      <c r="J311" s="224"/>
      <c r="K311" s="225"/>
    </row>
    <row r="312" spans="9:11" s="180" customFormat="1" x14ac:dyDescent="0.25">
      <c r="I312" s="224"/>
      <c r="J312" s="224"/>
      <c r="K312" s="225"/>
    </row>
    <row r="313" spans="9:11" s="180" customFormat="1" x14ac:dyDescent="0.25">
      <c r="I313" s="224"/>
      <c r="J313" s="224"/>
      <c r="K313" s="225"/>
    </row>
    <row r="314" spans="9:11" s="180" customFormat="1" x14ac:dyDescent="0.25">
      <c r="I314" s="224"/>
      <c r="J314" s="224"/>
      <c r="K314" s="225"/>
    </row>
    <row r="315" spans="9:11" s="180" customFormat="1" x14ac:dyDescent="0.25">
      <c r="I315" s="224"/>
      <c r="J315" s="224"/>
      <c r="K315" s="225"/>
    </row>
    <row r="316" spans="9:11" s="180" customFormat="1" x14ac:dyDescent="0.25">
      <c r="I316" s="224"/>
      <c r="J316" s="224"/>
      <c r="K316" s="225"/>
    </row>
    <row r="317" spans="9:11" s="180" customFormat="1" x14ac:dyDescent="0.25">
      <c r="I317" s="224"/>
      <c r="J317" s="224"/>
      <c r="K317" s="225"/>
    </row>
    <row r="318" spans="9:11" s="180" customFormat="1" x14ac:dyDescent="0.25">
      <c r="I318" s="224"/>
      <c r="J318" s="224"/>
      <c r="K318" s="225"/>
    </row>
    <row r="319" spans="9:11" s="180" customFormat="1" x14ac:dyDescent="0.25">
      <c r="I319" s="224"/>
      <c r="J319" s="224"/>
      <c r="K319" s="225"/>
    </row>
    <row r="320" spans="9:11" s="180" customFormat="1" x14ac:dyDescent="0.25">
      <c r="I320" s="224"/>
      <c r="J320" s="224"/>
      <c r="K320" s="225"/>
    </row>
    <row r="321" spans="9:11" s="180" customFormat="1" x14ac:dyDescent="0.25">
      <c r="I321" s="224"/>
      <c r="J321" s="224"/>
      <c r="K321" s="225"/>
    </row>
    <row r="322" spans="9:11" s="180" customFormat="1" x14ac:dyDescent="0.25">
      <c r="I322" s="224"/>
      <c r="J322" s="224"/>
      <c r="K322" s="225"/>
    </row>
    <row r="323" spans="9:11" s="180" customFormat="1" x14ac:dyDescent="0.25">
      <c r="I323" s="224"/>
      <c r="J323" s="224"/>
      <c r="K323" s="225"/>
    </row>
    <row r="324" spans="9:11" s="180" customFormat="1" x14ac:dyDescent="0.25">
      <c r="I324" s="224"/>
      <c r="J324" s="224"/>
      <c r="K324" s="225"/>
    </row>
    <row r="325" spans="9:11" s="180" customFormat="1" x14ac:dyDescent="0.25">
      <c r="I325" s="224"/>
      <c r="J325" s="224"/>
      <c r="K325" s="225"/>
    </row>
    <row r="326" spans="9:11" s="180" customFormat="1" x14ac:dyDescent="0.25">
      <c r="I326" s="224"/>
      <c r="J326" s="224"/>
      <c r="K326" s="225"/>
    </row>
    <row r="327" spans="9:11" s="180" customFormat="1" x14ac:dyDescent="0.25">
      <c r="I327" s="224"/>
      <c r="J327" s="224"/>
      <c r="K327" s="225"/>
    </row>
    <row r="328" spans="9:11" s="180" customFormat="1" x14ac:dyDescent="0.25">
      <c r="I328" s="224"/>
      <c r="J328" s="224"/>
      <c r="K328" s="225"/>
    </row>
    <row r="329" spans="9:11" s="180" customFormat="1" x14ac:dyDescent="0.25">
      <c r="I329" s="224"/>
      <c r="J329" s="224"/>
      <c r="K329" s="225"/>
    </row>
    <row r="330" spans="9:11" s="180" customFormat="1" x14ac:dyDescent="0.25">
      <c r="I330" s="224"/>
      <c r="J330" s="224"/>
      <c r="K330" s="225"/>
    </row>
    <row r="331" spans="9:11" s="180" customFormat="1" x14ac:dyDescent="0.25">
      <c r="I331" s="224"/>
      <c r="J331" s="224"/>
      <c r="K331" s="225"/>
    </row>
    <row r="332" spans="9:11" s="180" customFormat="1" x14ac:dyDescent="0.25">
      <c r="I332" s="224"/>
      <c r="J332" s="224"/>
      <c r="K332" s="225"/>
    </row>
    <row r="333" spans="9:11" s="180" customFormat="1" x14ac:dyDescent="0.25">
      <c r="I333" s="224"/>
      <c r="J333" s="224"/>
      <c r="K333" s="225"/>
    </row>
    <row r="334" spans="9:11" s="180" customFormat="1" x14ac:dyDescent="0.25">
      <c r="I334" s="224"/>
      <c r="J334" s="224"/>
      <c r="K334" s="225"/>
    </row>
    <row r="335" spans="9:11" s="180" customFormat="1" x14ac:dyDescent="0.25">
      <c r="I335" s="224"/>
      <c r="J335" s="224"/>
      <c r="K335" s="225"/>
    </row>
    <row r="336" spans="9:11" s="180" customFormat="1" x14ac:dyDescent="0.25">
      <c r="I336" s="224"/>
      <c r="J336" s="224"/>
      <c r="K336" s="225"/>
    </row>
    <row r="337" spans="9:11" s="180" customFormat="1" x14ac:dyDescent="0.25">
      <c r="I337" s="224"/>
      <c r="J337" s="224"/>
      <c r="K337" s="225"/>
    </row>
    <row r="338" spans="9:11" s="180" customFormat="1" x14ac:dyDescent="0.25">
      <c r="I338" s="224"/>
      <c r="J338" s="224"/>
      <c r="K338" s="225"/>
    </row>
    <row r="339" spans="9:11" s="180" customFormat="1" x14ac:dyDescent="0.25">
      <c r="I339" s="224"/>
      <c r="J339" s="224"/>
      <c r="K339" s="225"/>
    </row>
    <row r="340" spans="9:11" s="180" customFormat="1" x14ac:dyDescent="0.25">
      <c r="I340" s="224"/>
      <c r="J340" s="224"/>
      <c r="K340" s="225"/>
    </row>
    <row r="341" spans="9:11" s="180" customFormat="1" x14ac:dyDescent="0.25">
      <c r="I341" s="224"/>
      <c r="J341" s="224"/>
      <c r="K341" s="225"/>
    </row>
    <row r="342" spans="9:11" s="180" customFormat="1" x14ac:dyDescent="0.25">
      <c r="I342" s="224"/>
      <c r="J342" s="224"/>
      <c r="K342" s="225"/>
    </row>
    <row r="343" spans="9:11" s="180" customFormat="1" x14ac:dyDescent="0.25">
      <c r="I343" s="224"/>
      <c r="J343" s="224"/>
      <c r="K343" s="225"/>
    </row>
    <row r="344" spans="9:11" s="180" customFormat="1" x14ac:dyDescent="0.25">
      <c r="I344" s="224"/>
      <c r="J344" s="224"/>
      <c r="K344" s="225"/>
    </row>
    <row r="345" spans="9:11" s="180" customFormat="1" x14ac:dyDescent="0.25">
      <c r="I345" s="224"/>
      <c r="J345" s="224"/>
      <c r="K345" s="225"/>
    </row>
    <row r="346" spans="9:11" s="180" customFormat="1" x14ac:dyDescent="0.25">
      <c r="I346" s="224"/>
      <c r="J346" s="224"/>
      <c r="K346" s="225"/>
    </row>
    <row r="347" spans="9:11" s="180" customFormat="1" x14ac:dyDescent="0.25">
      <c r="I347" s="224"/>
      <c r="J347" s="224"/>
      <c r="K347" s="225"/>
    </row>
    <row r="348" spans="9:11" s="180" customFormat="1" x14ac:dyDescent="0.25">
      <c r="I348" s="224"/>
      <c r="J348" s="224"/>
      <c r="K348" s="225"/>
    </row>
    <row r="349" spans="9:11" s="180" customFormat="1" x14ac:dyDescent="0.25">
      <c r="I349" s="224"/>
      <c r="J349" s="224"/>
      <c r="K349" s="225"/>
    </row>
    <row r="350" spans="9:11" s="180" customFormat="1" x14ac:dyDescent="0.25">
      <c r="I350" s="224"/>
      <c r="J350" s="224"/>
      <c r="K350" s="225"/>
    </row>
    <row r="351" spans="9:11" s="180" customFormat="1" x14ac:dyDescent="0.25">
      <c r="I351" s="224"/>
      <c r="J351" s="224"/>
      <c r="K351" s="225"/>
    </row>
    <row r="352" spans="9:11" s="180" customFormat="1" x14ac:dyDescent="0.25">
      <c r="I352" s="224"/>
      <c r="J352" s="224"/>
      <c r="K352" s="225"/>
    </row>
    <row r="353" spans="9:11" s="180" customFormat="1" x14ac:dyDescent="0.25">
      <c r="I353" s="224"/>
      <c r="J353" s="224"/>
      <c r="K353" s="225"/>
    </row>
    <row r="354" spans="9:11" s="180" customFormat="1" x14ac:dyDescent="0.25">
      <c r="I354" s="224"/>
      <c r="J354" s="224"/>
      <c r="K354" s="225"/>
    </row>
    <row r="355" spans="9:11" s="180" customFormat="1" x14ac:dyDescent="0.25">
      <c r="I355" s="224"/>
      <c r="J355" s="224"/>
      <c r="K355" s="225"/>
    </row>
    <row r="356" spans="9:11" s="180" customFormat="1" x14ac:dyDescent="0.25">
      <c r="I356" s="224"/>
      <c r="J356" s="224"/>
      <c r="K356" s="225"/>
    </row>
    <row r="357" spans="9:11" s="180" customFormat="1" x14ac:dyDescent="0.25">
      <c r="I357" s="224"/>
      <c r="J357" s="224"/>
      <c r="K357" s="225"/>
    </row>
    <row r="358" spans="9:11" s="180" customFormat="1" x14ac:dyDescent="0.25">
      <c r="I358" s="224"/>
      <c r="J358" s="224"/>
      <c r="K358" s="225"/>
    </row>
    <row r="359" spans="9:11" s="180" customFormat="1" x14ac:dyDescent="0.25">
      <c r="I359" s="224"/>
      <c r="J359" s="224"/>
      <c r="K359" s="225"/>
    </row>
    <row r="360" spans="9:11" s="180" customFormat="1" x14ac:dyDescent="0.25">
      <c r="I360" s="224"/>
      <c r="J360" s="224"/>
      <c r="K360" s="225"/>
    </row>
    <row r="361" spans="9:11" s="180" customFormat="1" x14ac:dyDescent="0.25">
      <c r="I361" s="224"/>
      <c r="J361" s="224"/>
      <c r="K361" s="225"/>
    </row>
    <row r="362" spans="9:11" s="180" customFormat="1" x14ac:dyDescent="0.25">
      <c r="I362" s="224"/>
      <c r="J362" s="224"/>
      <c r="K362" s="225"/>
    </row>
    <row r="363" spans="9:11" s="180" customFormat="1" x14ac:dyDescent="0.25">
      <c r="I363" s="224"/>
      <c r="J363" s="224"/>
      <c r="K363" s="225"/>
    </row>
    <row r="364" spans="9:11" s="180" customFormat="1" x14ac:dyDescent="0.25">
      <c r="I364" s="224"/>
      <c r="J364" s="224"/>
      <c r="K364" s="225"/>
    </row>
    <row r="365" spans="9:11" s="180" customFormat="1" x14ac:dyDescent="0.25">
      <c r="I365" s="224"/>
      <c r="J365" s="224"/>
      <c r="K365" s="225"/>
    </row>
    <row r="366" spans="9:11" s="180" customFormat="1" x14ac:dyDescent="0.25">
      <c r="I366" s="224"/>
      <c r="J366" s="224"/>
      <c r="K366" s="225"/>
    </row>
    <row r="367" spans="9:11" s="180" customFormat="1" x14ac:dyDescent="0.25">
      <c r="I367" s="224"/>
      <c r="J367" s="224"/>
      <c r="K367" s="225"/>
    </row>
    <row r="368" spans="9:11" s="180" customFormat="1" x14ac:dyDescent="0.25">
      <c r="I368" s="224"/>
      <c r="J368" s="224"/>
      <c r="K368" s="225"/>
    </row>
    <row r="369" spans="9:11" s="180" customFormat="1" x14ac:dyDescent="0.25">
      <c r="I369" s="224"/>
      <c r="J369" s="224"/>
      <c r="K369" s="225"/>
    </row>
    <row r="370" spans="9:11" s="180" customFormat="1" x14ac:dyDescent="0.25">
      <c r="I370" s="224"/>
      <c r="J370" s="224"/>
      <c r="K370" s="225"/>
    </row>
    <row r="371" spans="9:11" s="180" customFormat="1" x14ac:dyDescent="0.25">
      <c r="I371" s="224"/>
      <c r="J371" s="224"/>
      <c r="K371" s="225"/>
    </row>
    <row r="372" spans="9:11" s="180" customFormat="1" x14ac:dyDescent="0.25">
      <c r="I372" s="224"/>
      <c r="J372" s="224"/>
      <c r="K372" s="225"/>
    </row>
    <row r="373" spans="9:11" s="180" customFormat="1" x14ac:dyDescent="0.25">
      <c r="I373" s="224"/>
      <c r="J373" s="224"/>
      <c r="K373" s="225"/>
    </row>
    <row r="374" spans="9:11" s="180" customFormat="1" x14ac:dyDescent="0.25">
      <c r="I374" s="224"/>
      <c r="J374" s="224"/>
      <c r="K374" s="225"/>
    </row>
    <row r="375" spans="9:11" s="180" customFormat="1" x14ac:dyDescent="0.25">
      <c r="I375" s="224"/>
      <c r="J375" s="224"/>
      <c r="K375" s="225"/>
    </row>
    <row r="376" spans="9:11" s="180" customFormat="1" x14ac:dyDescent="0.25">
      <c r="I376" s="224"/>
      <c r="J376" s="224"/>
      <c r="K376" s="225"/>
    </row>
    <row r="377" spans="9:11" s="180" customFormat="1" x14ac:dyDescent="0.25">
      <c r="I377" s="224"/>
      <c r="J377" s="224"/>
      <c r="K377" s="225"/>
    </row>
    <row r="378" spans="9:11" s="180" customFormat="1" x14ac:dyDescent="0.25">
      <c r="I378" s="224"/>
      <c r="J378" s="224"/>
      <c r="K378" s="225"/>
    </row>
    <row r="379" spans="9:11" s="180" customFormat="1" x14ac:dyDescent="0.25">
      <c r="I379" s="224"/>
      <c r="J379" s="224"/>
      <c r="K379" s="225"/>
    </row>
    <row r="380" spans="9:11" s="180" customFormat="1" x14ac:dyDescent="0.25">
      <c r="I380" s="224"/>
      <c r="J380" s="224"/>
      <c r="K380" s="225"/>
    </row>
    <row r="381" spans="9:11" s="180" customFormat="1" x14ac:dyDescent="0.25">
      <c r="I381" s="224"/>
      <c r="J381" s="224"/>
      <c r="K381" s="225"/>
    </row>
    <row r="382" spans="9:11" s="180" customFormat="1" x14ac:dyDescent="0.25">
      <c r="I382" s="224"/>
      <c r="J382" s="224"/>
      <c r="K382" s="225"/>
    </row>
    <row r="383" spans="9:11" s="180" customFormat="1" x14ac:dyDescent="0.25">
      <c r="I383" s="224"/>
      <c r="J383" s="224"/>
      <c r="K383" s="225"/>
    </row>
    <row r="384" spans="9:11" s="180" customFormat="1" x14ac:dyDescent="0.25">
      <c r="I384" s="224"/>
      <c r="J384" s="224"/>
      <c r="K384" s="225"/>
    </row>
    <row r="385" spans="9:11" s="180" customFormat="1" x14ac:dyDescent="0.25">
      <c r="I385" s="224"/>
      <c r="J385" s="224"/>
      <c r="K385" s="225"/>
    </row>
    <row r="386" spans="9:11" s="180" customFormat="1" x14ac:dyDescent="0.25">
      <c r="I386" s="224"/>
      <c r="J386" s="224"/>
      <c r="K386" s="225"/>
    </row>
    <row r="387" spans="9:11" s="180" customFormat="1" x14ac:dyDescent="0.25">
      <c r="I387" s="224"/>
      <c r="J387" s="224"/>
      <c r="K387" s="225"/>
    </row>
    <row r="388" spans="9:11" s="180" customFormat="1" x14ac:dyDescent="0.25">
      <c r="I388" s="224"/>
      <c r="J388" s="224"/>
      <c r="K388" s="225"/>
    </row>
    <row r="389" spans="9:11" s="180" customFormat="1" x14ac:dyDescent="0.25">
      <c r="I389" s="224"/>
      <c r="J389" s="224"/>
      <c r="K389" s="225"/>
    </row>
    <row r="390" spans="9:11" s="180" customFormat="1" x14ac:dyDescent="0.25">
      <c r="I390" s="224"/>
      <c r="J390" s="224"/>
      <c r="K390" s="225"/>
    </row>
    <row r="391" spans="9:11" s="180" customFormat="1" x14ac:dyDescent="0.25">
      <c r="I391" s="224"/>
      <c r="J391" s="224"/>
      <c r="K391" s="225"/>
    </row>
    <row r="392" spans="9:11" s="180" customFormat="1" x14ac:dyDescent="0.25">
      <c r="I392" s="224"/>
      <c r="J392" s="224"/>
      <c r="K392" s="225"/>
    </row>
    <row r="393" spans="9:11" s="180" customFormat="1" x14ac:dyDescent="0.25">
      <c r="I393" s="224"/>
      <c r="J393" s="224"/>
      <c r="K393" s="225"/>
    </row>
    <row r="394" spans="9:11" s="180" customFormat="1" x14ac:dyDescent="0.25">
      <c r="I394" s="224"/>
      <c r="J394" s="224"/>
      <c r="K394" s="225"/>
    </row>
    <row r="395" spans="9:11" s="180" customFormat="1" x14ac:dyDescent="0.25">
      <c r="I395" s="224"/>
      <c r="J395" s="224"/>
      <c r="K395" s="225"/>
    </row>
    <row r="396" spans="9:11" s="180" customFormat="1" x14ac:dyDescent="0.25">
      <c r="I396" s="224"/>
      <c r="J396" s="224"/>
      <c r="K396" s="225"/>
    </row>
    <row r="397" spans="9:11" s="180" customFormat="1" x14ac:dyDescent="0.25">
      <c r="I397" s="224"/>
      <c r="J397" s="224"/>
      <c r="K397" s="225"/>
    </row>
    <row r="398" spans="9:11" s="180" customFormat="1" x14ac:dyDescent="0.25">
      <c r="I398" s="224"/>
      <c r="J398" s="224"/>
      <c r="K398" s="225"/>
    </row>
    <row r="399" spans="9:11" s="180" customFormat="1" x14ac:dyDescent="0.25">
      <c r="I399" s="224"/>
      <c r="J399" s="224"/>
      <c r="K399" s="225"/>
    </row>
    <row r="400" spans="9:11" s="180" customFormat="1" x14ac:dyDescent="0.25">
      <c r="I400" s="224"/>
      <c r="J400" s="224"/>
      <c r="K400" s="225"/>
    </row>
    <row r="401" spans="9:11" s="180" customFormat="1" x14ac:dyDescent="0.25">
      <c r="I401" s="224"/>
      <c r="J401" s="224"/>
      <c r="K401" s="225"/>
    </row>
    <row r="402" spans="9:11" s="180" customFormat="1" x14ac:dyDescent="0.25">
      <c r="I402" s="224"/>
      <c r="J402" s="224"/>
      <c r="K402" s="225"/>
    </row>
    <row r="403" spans="9:11" s="180" customFormat="1" x14ac:dyDescent="0.25">
      <c r="I403" s="224"/>
      <c r="J403" s="224"/>
      <c r="K403" s="225"/>
    </row>
    <row r="404" spans="9:11" s="180" customFormat="1" x14ac:dyDescent="0.25">
      <c r="I404" s="224"/>
      <c r="J404" s="224"/>
      <c r="K404" s="225"/>
    </row>
    <row r="405" spans="9:11" s="180" customFormat="1" x14ac:dyDescent="0.25">
      <c r="I405" s="224"/>
      <c r="J405" s="224"/>
      <c r="K405" s="225"/>
    </row>
    <row r="406" spans="9:11" s="180" customFormat="1" x14ac:dyDescent="0.25">
      <c r="I406" s="224"/>
      <c r="J406" s="224"/>
      <c r="K406" s="225"/>
    </row>
    <row r="407" spans="9:11" s="180" customFormat="1" x14ac:dyDescent="0.25">
      <c r="I407" s="224"/>
      <c r="J407" s="224"/>
      <c r="K407" s="225"/>
    </row>
    <row r="408" spans="9:11" s="180" customFormat="1" x14ac:dyDescent="0.25">
      <c r="I408" s="224"/>
      <c r="J408" s="224"/>
      <c r="K408" s="225"/>
    </row>
    <row r="409" spans="9:11" s="180" customFormat="1" x14ac:dyDescent="0.25">
      <c r="I409" s="224"/>
      <c r="J409" s="224"/>
      <c r="K409" s="225"/>
    </row>
    <row r="410" spans="9:11" s="180" customFormat="1" x14ac:dyDescent="0.25">
      <c r="I410" s="224"/>
      <c r="J410" s="224"/>
      <c r="K410" s="225"/>
    </row>
    <row r="411" spans="9:11" s="180" customFormat="1" x14ac:dyDescent="0.25">
      <c r="I411" s="224"/>
      <c r="J411" s="224"/>
      <c r="K411" s="225"/>
    </row>
    <row r="412" spans="9:11" s="180" customFormat="1" x14ac:dyDescent="0.25">
      <c r="I412" s="224"/>
      <c r="J412" s="224"/>
      <c r="K412" s="225"/>
    </row>
    <row r="413" spans="9:11" s="180" customFormat="1" x14ac:dyDescent="0.25">
      <c r="I413" s="224"/>
      <c r="J413" s="224"/>
      <c r="K413" s="225"/>
    </row>
    <row r="414" spans="9:11" s="180" customFormat="1" x14ac:dyDescent="0.25">
      <c r="I414" s="224"/>
      <c r="J414" s="224"/>
      <c r="K414" s="225"/>
    </row>
    <row r="415" spans="9:11" s="180" customFormat="1" x14ac:dyDescent="0.25">
      <c r="I415" s="224"/>
      <c r="J415" s="224"/>
      <c r="K415" s="225"/>
    </row>
    <row r="416" spans="9:11" s="180" customFormat="1" x14ac:dyDescent="0.25">
      <c r="I416" s="224"/>
      <c r="J416" s="224"/>
      <c r="K416" s="225"/>
    </row>
    <row r="417" spans="9:11" s="180" customFormat="1" x14ac:dyDescent="0.25">
      <c r="I417" s="224"/>
      <c r="J417" s="224"/>
      <c r="K417" s="225"/>
    </row>
    <row r="418" spans="9:11" s="180" customFormat="1" x14ac:dyDescent="0.25">
      <c r="I418" s="224"/>
      <c r="J418" s="224"/>
      <c r="K418" s="225"/>
    </row>
    <row r="419" spans="9:11" s="180" customFormat="1" x14ac:dyDescent="0.25">
      <c r="I419" s="224"/>
      <c r="J419" s="224"/>
      <c r="K419" s="225"/>
    </row>
    <row r="420" spans="9:11" s="180" customFormat="1" x14ac:dyDescent="0.25">
      <c r="I420" s="224"/>
      <c r="J420" s="224"/>
      <c r="K420" s="225"/>
    </row>
    <row r="421" spans="9:11" s="180" customFormat="1" x14ac:dyDescent="0.25">
      <c r="I421" s="224"/>
      <c r="J421" s="224"/>
      <c r="K421" s="225"/>
    </row>
    <row r="422" spans="9:11" s="180" customFormat="1" x14ac:dyDescent="0.25">
      <c r="I422" s="224"/>
      <c r="J422" s="224"/>
      <c r="K422" s="225"/>
    </row>
    <row r="423" spans="9:11" s="180" customFormat="1" x14ac:dyDescent="0.25">
      <c r="I423" s="224"/>
      <c r="J423" s="224"/>
      <c r="K423" s="225"/>
    </row>
    <row r="424" spans="9:11" s="180" customFormat="1" x14ac:dyDescent="0.25">
      <c r="I424" s="224"/>
      <c r="J424" s="224"/>
      <c r="K424" s="225"/>
    </row>
    <row r="425" spans="9:11" s="180" customFormat="1" x14ac:dyDescent="0.25">
      <c r="I425" s="224"/>
      <c r="J425" s="224"/>
      <c r="K425" s="225"/>
    </row>
    <row r="426" spans="9:11" s="180" customFormat="1" x14ac:dyDescent="0.25">
      <c r="I426" s="224"/>
      <c r="J426" s="224"/>
      <c r="K426" s="225"/>
    </row>
    <row r="427" spans="9:11" s="180" customFormat="1" x14ac:dyDescent="0.25">
      <c r="I427" s="224"/>
      <c r="J427" s="224"/>
      <c r="K427" s="225"/>
    </row>
    <row r="428" spans="9:11" s="180" customFormat="1" x14ac:dyDescent="0.25">
      <c r="I428" s="224"/>
      <c r="J428" s="224"/>
      <c r="K428" s="225"/>
    </row>
    <row r="429" spans="9:11" s="180" customFormat="1" x14ac:dyDescent="0.25">
      <c r="I429" s="224"/>
      <c r="J429" s="224"/>
      <c r="K429" s="225"/>
    </row>
    <row r="430" spans="9:11" s="180" customFormat="1" x14ac:dyDescent="0.25">
      <c r="I430" s="224"/>
      <c r="J430" s="224"/>
      <c r="K430" s="225"/>
    </row>
    <row r="431" spans="9:11" s="180" customFormat="1" x14ac:dyDescent="0.25">
      <c r="I431" s="224"/>
      <c r="J431" s="224"/>
      <c r="K431" s="225"/>
    </row>
    <row r="432" spans="9:11" s="180" customFormat="1" x14ac:dyDescent="0.25">
      <c r="I432" s="224"/>
      <c r="J432" s="224"/>
      <c r="K432" s="225"/>
    </row>
    <row r="433" spans="9:11" s="180" customFormat="1" x14ac:dyDescent="0.25">
      <c r="I433" s="224"/>
      <c r="J433" s="224"/>
      <c r="K433" s="225"/>
    </row>
    <row r="434" spans="9:11" s="180" customFormat="1" x14ac:dyDescent="0.25">
      <c r="I434" s="224"/>
      <c r="J434" s="224"/>
      <c r="K434" s="225"/>
    </row>
    <row r="435" spans="9:11" s="180" customFormat="1" x14ac:dyDescent="0.25">
      <c r="I435" s="224"/>
      <c r="J435" s="224"/>
      <c r="K435" s="225"/>
    </row>
    <row r="436" spans="9:11" s="180" customFormat="1" x14ac:dyDescent="0.25">
      <c r="I436" s="224"/>
      <c r="J436" s="224"/>
      <c r="K436" s="225"/>
    </row>
    <row r="437" spans="9:11" s="180" customFormat="1" x14ac:dyDescent="0.25">
      <c r="I437" s="224"/>
      <c r="J437" s="224"/>
      <c r="K437" s="225"/>
    </row>
    <row r="438" spans="9:11" s="180" customFormat="1" x14ac:dyDescent="0.25">
      <c r="I438" s="224"/>
      <c r="J438" s="224"/>
      <c r="K438" s="225"/>
    </row>
    <row r="439" spans="9:11" s="180" customFormat="1" x14ac:dyDescent="0.25">
      <c r="I439" s="224"/>
      <c r="J439" s="224"/>
      <c r="K439" s="225"/>
    </row>
    <row r="440" spans="9:11" s="180" customFormat="1" x14ac:dyDescent="0.25">
      <c r="I440" s="224"/>
      <c r="J440" s="224"/>
      <c r="K440" s="225"/>
    </row>
    <row r="441" spans="9:11" s="180" customFormat="1" x14ac:dyDescent="0.25">
      <c r="I441" s="224"/>
      <c r="J441" s="224"/>
      <c r="K441" s="225"/>
    </row>
    <row r="442" spans="9:11" s="180" customFormat="1" x14ac:dyDescent="0.25">
      <c r="I442" s="224"/>
      <c r="J442" s="224"/>
      <c r="K442" s="225"/>
    </row>
    <row r="443" spans="9:11" s="180" customFormat="1" x14ac:dyDescent="0.25">
      <c r="I443" s="224"/>
      <c r="J443" s="224"/>
      <c r="K443" s="225"/>
    </row>
    <row r="444" spans="9:11" s="180" customFormat="1" x14ac:dyDescent="0.25">
      <c r="I444" s="224"/>
      <c r="J444" s="224"/>
      <c r="K444" s="225"/>
    </row>
    <row r="445" spans="9:11" s="180" customFormat="1" x14ac:dyDescent="0.25">
      <c r="I445" s="224"/>
      <c r="J445" s="224"/>
      <c r="K445" s="225"/>
    </row>
    <row r="446" spans="9:11" s="180" customFormat="1" x14ac:dyDescent="0.25">
      <c r="I446" s="224"/>
      <c r="J446" s="224"/>
      <c r="K446" s="225"/>
    </row>
    <row r="447" spans="9:11" s="180" customFormat="1" x14ac:dyDescent="0.25">
      <c r="I447" s="224"/>
      <c r="J447" s="224"/>
      <c r="K447" s="225"/>
    </row>
    <row r="448" spans="9:11" s="180" customFormat="1" x14ac:dyDescent="0.25">
      <c r="I448" s="224"/>
      <c r="J448" s="224"/>
      <c r="K448" s="225"/>
    </row>
    <row r="449" spans="9:11" s="180" customFormat="1" x14ac:dyDescent="0.25">
      <c r="I449" s="224"/>
      <c r="J449" s="224"/>
      <c r="K449" s="225"/>
    </row>
    <row r="450" spans="9:11" s="180" customFormat="1" x14ac:dyDescent="0.25">
      <c r="I450" s="224"/>
      <c r="J450" s="224"/>
      <c r="K450" s="225"/>
    </row>
    <row r="451" spans="9:11" s="180" customFormat="1" x14ac:dyDescent="0.25">
      <c r="I451" s="224"/>
      <c r="J451" s="224"/>
      <c r="K451" s="225"/>
    </row>
    <row r="452" spans="9:11" s="180" customFormat="1" x14ac:dyDescent="0.25">
      <c r="I452" s="224"/>
      <c r="J452" s="224"/>
      <c r="K452" s="225"/>
    </row>
    <row r="453" spans="9:11" s="180" customFormat="1" x14ac:dyDescent="0.25">
      <c r="I453" s="224"/>
      <c r="J453" s="224"/>
      <c r="K453" s="225"/>
    </row>
    <row r="454" spans="9:11" s="180" customFormat="1" x14ac:dyDescent="0.25">
      <c r="I454" s="224"/>
      <c r="J454" s="224"/>
      <c r="K454" s="225"/>
    </row>
    <row r="455" spans="9:11" s="180" customFormat="1" x14ac:dyDescent="0.25">
      <c r="I455" s="224"/>
      <c r="J455" s="224"/>
      <c r="K455" s="225"/>
    </row>
    <row r="456" spans="9:11" s="180" customFormat="1" x14ac:dyDescent="0.25">
      <c r="I456" s="224"/>
      <c r="J456" s="224"/>
      <c r="K456" s="225"/>
    </row>
    <row r="457" spans="9:11" s="180" customFormat="1" x14ac:dyDescent="0.25">
      <c r="I457" s="224"/>
      <c r="J457" s="224"/>
      <c r="K457" s="225"/>
    </row>
    <row r="458" spans="9:11" s="180" customFormat="1" x14ac:dyDescent="0.25">
      <c r="I458" s="224"/>
      <c r="J458" s="224"/>
      <c r="K458" s="225"/>
    </row>
    <row r="459" spans="9:11" s="180" customFormat="1" x14ac:dyDescent="0.25">
      <c r="I459" s="224"/>
      <c r="J459" s="224"/>
      <c r="K459" s="225"/>
    </row>
    <row r="460" spans="9:11" s="180" customFormat="1" x14ac:dyDescent="0.25">
      <c r="I460" s="224"/>
      <c r="J460" s="224"/>
      <c r="K460" s="225"/>
    </row>
    <row r="461" spans="9:11" s="180" customFormat="1" x14ac:dyDescent="0.25">
      <c r="I461" s="224"/>
      <c r="J461" s="224"/>
      <c r="K461" s="225"/>
    </row>
    <row r="462" spans="9:11" s="180" customFormat="1" x14ac:dyDescent="0.25">
      <c r="I462" s="224"/>
      <c r="J462" s="224"/>
      <c r="K462" s="225"/>
    </row>
    <row r="463" spans="9:11" s="180" customFormat="1" x14ac:dyDescent="0.25">
      <c r="I463" s="224"/>
      <c r="J463" s="224"/>
      <c r="K463" s="225"/>
    </row>
    <row r="464" spans="9:11" s="180" customFormat="1" x14ac:dyDescent="0.25">
      <c r="I464" s="224"/>
      <c r="J464" s="224"/>
      <c r="K464" s="225"/>
    </row>
    <row r="465" spans="9:11" s="180" customFormat="1" x14ac:dyDescent="0.25">
      <c r="I465" s="224"/>
      <c r="J465" s="224"/>
      <c r="K465" s="225"/>
    </row>
    <row r="466" spans="9:11" s="180" customFormat="1" x14ac:dyDescent="0.25">
      <c r="I466" s="224"/>
      <c r="J466" s="224"/>
      <c r="K466" s="225"/>
    </row>
    <row r="467" spans="9:11" s="180" customFormat="1" x14ac:dyDescent="0.25">
      <c r="I467" s="224"/>
      <c r="J467" s="224"/>
      <c r="K467" s="225"/>
    </row>
    <row r="468" spans="9:11" s="180" customFormat="1" x14ac:dyDescent="0.25">
      <c r="I468" s="224"/>
      <c r="J468" s="224"/>
      <c r="K468" s="225"/>
    </row>
    <row r="469" spans="9:11" s="180" customFormat="1" x14ac:dyDescent="0.25">
      <c r="I469" s="224"/>
      <c r="J469" s="224"/>
      <c r="K469" s="225"/>
    </row>
    <row r="470" spans="9:11" s="180" customFormat="1" x14ac:dyDescent="0.25">
      <c r="I470" s="224"/>
      <c r="J470" s="224"/>
      <c r="K470" s="225"/>
    </row>
    <row r="471" spans="9:11" s="180" customFormat="1" x14ac:dyDescent="0.25">
      <c r="I471" s="224"/>
      <c r="J471" s="224"/>
      <c r="K471" s="225"/>
    </row>
    <row r="472" spans="9:11" s="180" customFormat="1" x14ac:dyDescent="0.25">
      <c r="I472" s="224"/>
      <c r="J472" s="224"/>
      <c r="K472" s="225"/>
    </row>
    <row r="473" spans="9:11" s="180" customFormat="1" x14ac:dyDescent="0.25">
      <c r="I473" s="224"/>
      <c r="J473" s="224"/>
      <c r="K473" s="225"/>
    </row>
    <row r="474" spans="9:11" s="180" customFormat="1" x14ac:dyDescent="0.25">
      <c r="I474" s="224"/>
      <c r="J474" s="224"/>
      <c r="K474" s="225"/>
    </row>
    <row r="475" spans="9:11" s="180" customFormat="1" x14ac:dyDescent="0.25">
      <c r="I475" s="224"/>
      <c r="J475" s="224"/>
      <c r="K475" s="225"/>
    </row>
    <row r="476" spans="9:11" s="180" customFormat="1" x14ac:dyDescent="0.25">
      <c r="I476" s="224"/>
      <c r="J476" s="224"/>
      <c r="K476" s="225"/>
    </row>
    <row r="477" spans="9:11" s="180" customFormat="1" x14ac:dyDescent="0.25">
      <c r="I477" s="224"/>
      <c r="J477" s="224"/>
      <c r="K477" s="225"/>
    </row>
    <row r="478" spans="9:11" s="180" customFormat="1" x14ac:dyDescent="0.25">
      <c r="I478" s="224"/>
      <c r="J478" s="224"/>
      <c r="K478" s="225"/>
    </row>
    <row r="479" spans="9:11" s="180" customFormat="1" x14ac:dyDescent="0.25">
      <c r="I479" s="224"/>
      <c r="J479" s="224"/>
      <c r="K479" s="225"/>
    </row>
    <row r="480" spans="9:11" s="180" customFormat="1" x14ac:dyDescent="0.25">
      <c r="I480" s="224"/>
      <c r="J480" s="224"/>
      <c r="K480" s="225"/>
    </row>
    <row r="481" spans="9:11" s="180" customFormat="1" x14ac:dyDescent="0.25">
      <c r="I481" s="224"/>
      <c r="J481" s="224"/>
      <c r="K481" s="225"/>
    </row>
    <row r="482" spans="9:11" s="180" customFormat="1" x14ac:dyDescent="0.25">
      <c r="I482" s="224"/>
      <c r="J482" s="224"/>
      <c r="K482" s="225"/>
    </row>
    <row r="483" spans="9:11" s="180" customFormat="1" x14ac:dyDescent="0.25">
      <c r="I483" s="224"/>
      <c r="J483" s="224"/>
      <c r="K483" s="225"/>
    </row>
    <row r="484" spans="9:11" s="180" customFormat="1" x14ac:dyDescent="0.25">
      <c r="I484" s="224"/>
      <c r="J484" s="224"/>
      <c r="K484" s="225"/>
    </row>
    <row r="485" spans="9:11" s="180" customFormat="1" x14ac:dyDescent="0.25">
      <c r="I485" s="224"/>
      <c r="J485" s="224"/>
      <c r="K485" s="225"/>
    </row>
    <row r="486" spans="9:11" s="180" customFormat="1" x14ac:dyDescent="0.25">
      <c r="I486" s="224"/>
      <c r="J486" s="224"/>
      <c r="K486" s="225"/>
    </row>
    <row r="487" spans="9:11" s="180" customFormat="1" x14ac:dyDescent="0.25">
      <c r="I487" s="224"/>
      <c r="J487" s="224"/>
      <c r="K487" s="225"/>
    </row>
    <row r="488" spans="9:11" s="180" customFormat="1" x14ac:dyDescent="0.25">
      <c r="I488" s="224"/>
      <c r="J488" s="224"/>
      <c r="K488" s="225"/>
    </row>
    <row r="489" spans="9:11" s="180" customFormat="1" x14ac:dyDescent="0.25">
      <c r="I489" s="224"/>
      <c r="J489" s="224"/>
      <c r="K489" s="225"/>
    </row>
    <row r="490" spans="9:11" s="180" customFormat="1" x14ac:dyDescent="0.25">
      <c r="I490" s="224"/>
      <c r="J490" s="224"/>
      <c r="K490" s="225"/>
    </row>
    <row r="491" spans="9:11" s="180" customFormat="1" x14ac:dyDescent="0.25">
      <c r="I491" s="224"/>
      <c r="J491" s="224"/>
      <c r="K491" s="225"/>
    </row>
    <row r="492" spans="9:11" s="180" customFormat="1" x14ac:dyDescent="0.25">
      <c r="I492" s="224"/>
      <c r="J492" s="224"/>
      <c r="K492" s="225"/>
    </row>
    <row r="493" spans="9:11" s="180" customFormat="1" x14ac:dyDescent="0.25">
      <c r="I493" s="224"/>
      <c r="J493" s="224"/>
      <c r="K493" s="225"/>
    </row>
    <row r="494" spans="9:11" s="180" customFormat="1" x14ac:dyDescent="0.25">
      <c r="I494" s="224"/>
      <c r="J494" s="224"/>
      <c r="K494" s="225"/>
    </row>
    <row r="495" spans="9:11" s="180" customFormat="1" x14ac:dyDescent="0.25">
      <c r="I495" s="224"/>
      <c r="J495" s="224"/>
      <c r="K495" s="225"/>
    </row>
    <row r="496" spans="9:11" s="180" customFormat="1" x14ac:dyDescent="0.25">
      <c r="I496" s="224"/>
      <c r="J496" s="224"/>
      <c r="K496" s="225"/>
    </row>
    <row r="497" spans="9:11" s="180" customFormat="1" x14ac:dyDescent="0.25">
      <c r="I497" s="224"/>
      <c r="J497" s="224"/>
      <c r="K497" s="225"/>
    </row>
    <row r="498" spans="9:11" s="180" customFormat="1" x14ac:dyDescent="0.25">
      <c r="I498" s="224"/>
      <c r="J498" s="224"/>
      <c r="K498" s="225"/>
    </row>
    <row r="499" spans="9:11" s="180" customFormat="1" x14ac:dyDescent="0.25">
      <c r="I499" s="224"/>
      <c r="J499" s="224"/>
      <c r="K499" s="225"/>
    </row>
    <row r="500" spans="9:11" s="180" customFormat="1" x14ac:dyDescent="0.25">
      <c r="I500" s="224"/>
      <c r="J500" s="224"/>
      <c r="K500" s="225"/>
    </row>
    <row r="501" spans="9:11" s="180" customFormat="1" x14ac:dyDescent="0.25">
      <c r="I501" s="224"/>
      <c r="J501" s="224"/>
      <c r="K501" s="225"/>
    </row>
    <row r="502" spans="9:11" s="180" customFormat="1" x14ac:dyDescent="0.25">
      <c r="I502" s="224"/>
      <c r="J502" s="224"/>
      <c r="K502" s="225"/>
    </row>
    <row r="503" spans="9:11" s="180" customFormat="1" x14ac:dyDescent="0.25">
      <c r="I503" s="224"/>
      <c r="J503" s="224"/>
      <c r="K503" s="225"/>
    </row>
    <row r="504" spans="9:11" s="180" customFormat="1" x14ac:dyDescent="0.25">
      <c r="I504" s="224"/>
      <c r="J504" s="224"/>
      <c r="K504" s="225"/>
    </row>
    <row r="505" spans="9:11" s="180" customFormat="1" x14ac:dyDescent="0.25">
      <c r="I505" s="224"/>
      <c r="J505" s="224"/>
      <c r="K505" s="225"/>
    </row>
    <row r="506" spans="9:11" s="180" customFormat="1" x14ac:dyDescent="0.25">
      <c r="I506" s="224"/>
      <c r="J506" s="224"/>
      <c r="K506" s="225"/>
    </row>
    <row r="507" spans="9:11" s="180" customFormat="1" x14ac:dyDescent="0.25">
      <c r="I507" s="224"/>
      <c r="J507" s="224"/>
      <c r="K507" s="225"/>
    </row>
    <row r="508" spans="9:11" s="180" customFormat="1" x14ac:dyDescent="0.25">
      <c r="I508" s="224"/>
      <c r="J508" s="224"/>
      <c r="K508" s="225"/>
    </row>
    <row r="509" spans="9:11" s="180" customFormat="1" x14ac:dyDescent="0.25">
      <c r="I509" s="224"/>
      <c r="J509" s="224"/>
      <c r="K509" s="225"/>
    </row>
    <row r="510" spans="9:11" s="180" customFormat="1" x14ac:dyDescent="0.25">
      <c r="I510" s="224"/>
      <c r="J510" s="224"/>
      <c r="K510" s="225"/>
    </row>
    <row r="511" spans="9:11" s="180" customFormat="1" x14ac:dyDescent="0.25">
      <c r="I511" s="224"/>
      <c r="J511" s="224"/>
      <c r="K511" s="225"/>
    </row>
    <row r="512" spans="9:11" s="180" customFormat="1" x14ac:dyDescent="0.25">
      <c r="I512" s="224"/>
      <c r="J512" s="224"/>
      <c r="K512" s="225"/>
    </row>
    <row r="513" spans="9:11" s="180" customFormat="1" x14ac:dyDescent="0.25">
      <c r="I513" s="224"/>
      <c r="J513" s="224"/>
      <c r="K513" s="225"/>
    </row>
    <row r="514" spans="9:11" s="180" customFormat="1" x14ac:dyDescent="0.25">
      <c r="I514" s="224"/>
      <c r="J514" s="224"/>
      <c r="K514" s="225"/>
    </row>
    <row r="515" spans="9:11" s="180" customFormat="1" x14ac:dyDescent="0.25">
      <c r="I515" s="224"/>
      <c r="J515" s="224"/>
      <c r="K515" s="225"/>
    </row>
    <row r="516" spans="9:11" s="180" customFormat="1" x14ac:dyDescent="0.25">
      <c r="I516" s="224"/>
      <c r="J516" s="224"/>
      <c r="K516" s="225"/>
    </row>
    <row r="517" spans="9:11" s="180" customFormat="1" x14ac:dyDescent="0.25">
      <c r="I517" s="224"/>
      <c r="J517" s="224"/>
      <c r="K517" s="225"/>
    </row>
    <row r="518" spans="9:11" s="180" customFormat="1" x14ac:dyDescent="0.25">
      <c r="I518" s="224"/>
      <c r="J518" s="224"/>
      <c r="K518" s="225"/>
    </row>
    <row r="519" spans="9:11" s="180" customFormat="1" x14ac:dyDescent="0.25">
      <c r="I519" s="224"/>
      <c r="J519" s="224"/>
      <c r="K519" s="225"/>
    </row>
    <row r="520" spans="9:11" s="180" customFormat="1" x14ac:dyDescent="0.25">
      <c r="I520" s="224"/>
      <c r="J520" s="224"/>
      <c r="K520" s="225"/>
    </row>
    <row r="521" spans="9:11" s="180" customFormat="1" x14ac:dyDescent="0.25">
      <c r="I521" s="224"/>
      <c r="J521" s="224"/>
      <c r="K521" s="225"/>
    </row>
    <row r="522" spans="9:11" s="180" customFormat="1" x14ac:dyDescent="0.25">
      <c r="I522" s="224"/>
      <c r="J522" s="224"/>
      <c r="K522" s="225"/>
    </row>
    <row r="523" spans="9:11" s="180" customFormat="1" x14ac:dyDescent="0.25">
      <c r="I523" s="224"/>
      <c r="J523" s="224"/>
      <c r="K523" s="225"/>
    </row>
    <row r="524" spans="9:11" s="180" customFormat="1" x14ac:dyDescent="0.25">
      <c r="I524" s="224"/>
      <c r="J524" s="224"/>
      <c r="K524" s="225"/>
    </row>
    <row r="525" spans="9:11" s="180" customFormat="1" x14ac:dyDescent="0.25">
      <c r="I525" s="224"/>
      <c r="J525" s="224"/>
      <c r="K525" s="225"/>
    </row>
    <row r="526" spans="9:11" s="180" customFormat="1" x14ac:dyDescent="0.25">
      <c r="I526" s="224"/>
      <c r="J526" s="224"/>
      <c r="K526" s="225"/>
    </row>
    <row r="527" spans="9:11" s="180" customFormat="1" x14ac:dyDescent="0.25">
      <c r="I527" s="224"/>
      <c r="J527" s="224"/>
      <c r="K527" s="225"/>
    </row>
    <row r="528" spans="9:11" s="180" customFormat="1" x14ac:dyDescent="0.25">
      <c r="I528" s="224"/>
      <c r="J528" s="224"/>
      <c r="K528" s="225"/>
    </row>
    <row r="529" spans="9:11" s="180" customFormat="1" x14ac:dyDescent="0.25">
      <c r="I529" s="224"/>
      <c r="J529" s="224"/>
      <c r="K529" s="225"/>
    </row>
    <row r="530" spans="9:11" s="180" customFormat="1" x14ac:dyDescent="0.25">
      <c r="I530" s="224"/>
      <c r="J530" s="224"/>
      <c r="K530" s="225"/>
    </row>
    <row r="531" spans="9:11" s="180" customFormat="1" x14ac:dyDescent="0.25">
      <c r="I531" s="224"/>
      <c r="J531" s="224"/>
      <c r="K531" s="225"/>
    </row>
    <row r="532" spans="9:11" s="180" customFormat="1" x14ac:dyDescent="0.25">
      <c r="I532" s="224"/>
      <c r="J532" s="224"/>
      <c r="K532" s="225"/>
    </row>
    <row r="533" spans="9:11" s="180" customFormat="1" x14ac:dyDescent="0.25">
      <c r="I533" s="224"/>
      <c r="J533" s="224"/>
      <c r="K533" s="225"/>
    </row>
    <row r="534" spans="9:11" s="180" customFormat="1" x14ac:dyDescent="0.25">
      <c r="I534" s="224"/>
      <c r="J534" s="224"/>
      <c r="K534" s="225"/>
    </row>
    <row r="535" spans="9:11" s="180" customFormat="1" x14ac:dyDescent="0.25">
      <c r="I535" s="224"/>
      <c r="J535" s="224"/>
      <c r="K535" s="225"/>
    </row>
    <row r="536" spans="9:11" s="180" customFormat="1" x14ac:dyDescent="0.25">
      <c r="I536" s="224"/>
      <c r="J536" s="224"/>
      <c r="K536" s="225"/>
    </row>
    <row r="537" spans="9:11" s="180" customFormat="1" x14ac:dyDescent="0.25">
      <c r="I537" s="224"/>
      <c r="J537" s="224"/>
      <c r="K537" s="225"/>
    </row>
    <row r="538" spans="9:11" s="180" customFormat="1" x14ac:dyDescent="0.25">
      <c r="I538" s="224"/>
      <c r="J538" s="224"/>
      <c r="K538" s="225"/>
    </row>
    <row r="539" spans="9:11" s="180" customFormat="1" x14ac:dyDescent="0.25">
      <c r="I539" s="224"/>
      <c r="J539" s="224"/>
      <c r="K539" s="225"/>
    </row>
    <row r="540" spans="9:11" s="180" customFormat="1" x14ac:dyDescent="0.25">
      <c r="I540" s="224"/>
      <c r="J540" s="224"/>
      <c r="K540" s="225"/>
    </row>
    <row r="541" spans="9:11" s="180" customFormat="1" x14ac:dyDescent="0.25">
      <c r="I541" s="224"/>
      <c r="J541" s="224"/>
      <c r="K541" s="225"/>
    </row>
    <row r="542" spans="9:11" s="180" customFormat="1" x14ac:dyDescent="0.25">
      <c r="I542" s="224"/>
      <c r="J542" s="224"/>
      <c r="K542" s="225"/>
    </row>
    <row r="543" spans="9:11" s="180" customFormat="1" x14ac:dyDescent="0.25">
      <c r="I543" s="224"/>
      <c r="J543" s="224"/>
      <c r="K543" s="225"/>
    </row>
    <row r="544" spans="9:11" s="180" customFormat="1" x14ac:dyDescent="0.25">
      <c r="I544" s="224"/>
      <c r="J544" s="224"/>
      <c r="K544" s="225"/>
    </row>
    <row r="545" spans="9:11" s="180" customFormat="1" x14ac:dyDescent="0.25">
      <c r="I545" s="224"/>
      <c r="J545" s="224"/>
      <c r="K545" s="225"/>
    </row>
    <row r="546" spans="9:11" s="180" customFormat="1" x14ac:dyDescent="0.25">
      <c r="I546" s="224"/>
      <c r="J546" s="224"/>
      <c r="K546" s="225"/>
    </row>
    <row r="547" spans="9:11" s="180" customFormat="1" x14ac:dyDescent="0.25">
      <c r="I547" s="224"/>
      <c r="J547" s="224"/>
      <c r="K547" s="225"/>
    </row>
    <row r="548" spans="9:11" s="180" customFormat="1" x14ac:dyDescent="0.25">
      <c r="I548" s="224"/>
      <c r="J548" s="224"/>
      <c r="K548" s="225"/>
    </row>
    <row r="549" spans="9:11" s="180" customFormat="1" x14ac:dyDescent="0.25">
      <c r="I549" s="224"/>
      <c r="J549" s="224"/>
      <c r="K549" s="225"/>
    </row>
    <row r="550" spans="9:11" s="180" customFormat="1" x14ac:dyDescent="0.25">
      <c r="I550" s="224"/>
      <c r="J550" s="224"/>
      <c r="K550" s="225"/>
    </row>
    <row r="551" spans="9:11" s="180" customFormat="1" x14ac:dyDescent="0.25">
      <c r="I551" s="224"/>
      <c r="J551" s="224"/>
      <c r="K551" s="225"/>
    </row>
    <row r="552" spans="9:11" s="180" customFormat="1" x14ac:dyDescent="0.25">
      <c r="I552" s="224"/>
      <c r="J552" s="224"/>
      <c r="K552" s="225"/>
    </row>
    <row r="553" spans="9:11" s="180" customFormat="1" x14ac:dyDescent="0.25">
      <c r="I553" s="224"/>
      <c r="J553" s="224"/>
      <c r="K553" s="225"/>
    </row>
    <row r="554" spans="9:11" s="180" customFormat="1" x14ac:dyDescent="0.25">
      <c r="I554" s="224"/>
      <c r="J554" s="224"/>
      <c r="K554" s="225"/>
    </row>
    <row r="555" spans="9:11" s="180" customFormat="1" x14ac:dyDescent="0.25">
      <c r="I555" s="224"/>
      <c r="J555" s="224"/>
      <c r="K555" s="225"/>
    </row>
    <row r="556" spans="9:11" s="180" customFormat="1" x14ac:dyDescent="0.25">
      <c r="I556" s="224"/>
      <c r="J556" s="224"/>
      <c r="K556" s="225"/>
    </row>
    <row r="557" spans="9:11" s="180" customFormat="1" x14ac:dyDescent="0.25">
      <c r="I557" s="224"/>
      <c r="J557" s="224"/>
      <c r="K557" s="225"/>
    </row>
    <row r="558" spans="9:11" s="180" customFormat="1" x14ac:dyDescent="0.25">
      <c r="I558" s="224"/>
      <c r="J558" s="224"/>
      <c r="K558" s="225"/>
    </row>
    <row r="559" spans="9:11" s="180" customFormat="1" x14ac:dyDescent="0.25">
      <c r="I559" s="224"/>
      <c r="J559" s="224"/>
      <c r="K559" s="225"/>
    </row>
    <row r="560" spans="9:11" s="180" customFormat="1" x14ac:dyDescent="0.25">
      <c r="I560" s="224"/>
      <c r="J560" s="224"/>
      <c r="K560" s="225"/>
    </row>
    <row r="561" spans="9:11" s="180" customFormat="1" x14ac:dyDescent="0.25">
      <c r="I561" s="224"/>
      <c r="J561" s="224"/>
      <c r="K561" s="225"/>
    </row>
    <row r="562" spans="9:11" s="180" customFormat="1" x14ac:dyDescent="0.25">
      <c r="I562" s="224"/>
      <c r="J562" s="224"/>
      <c r="K562" s="225"/>
    </row>
    <row r="563" spans="9:11" s="180" customFormat="1" x14ac:dyDescent="0.25">
      <c r="I563" s="224"/>
      <c r="J563" s="224"/>
      <c r="K563" s="225"/>
    </row>
    <row r="564" spans="9:11" s="180" customFormat="1" x14ac:dyDescent="0.25">
      <c r="I564" s="224"/>
      <c r="J564" s="224"/>
      <c r="K564" s="225"/>
    </row>
    <row r="565" spans="9:11" s="180" customFormat="1" x14ac:dyDescent="0.25">
      <c r="I565" s="224"/>
      <c r="J565" s="224"/>
      <c r="K565" s="225"/>
    </row>
    <row r="566" spans="9:11" s="180" customFormat="1" x14ac:dyDescent="0.25">
      <c r="I566" s="224"/>
      <c r="J566" s="224"/>
      <c r="K566" s="225"/>
    </row>
    <row r="567" spans="9:11" s="180" customFormat="1" x14ac:dyDescent="0.25">
      <c r="I567" s="224"/>
      <c r="J567" s="224"/>
      <c r="K567" s="225"/>
    </row>
    <row r="568" spans="9:11" s="180" customFormat="1" x14ac:dyDescent="0.25">
      <c r="I568" s="224"/>
      <c r="J568" s="224"/>
      <c r="K568" s="225"/>
    </row>
    <row r="569" spans="9:11" s="180" customFormat="1" x14ac:dyDescent="0.25">
      <c r="I569" s="224"/>
      <c r="J569" s="224"/>
      <c r="K569" s="225"/>
    </row>
    <row r="570" spans="9:11" s="180" customFormat="1" x14ac:dyDescent="0.25">
      <c r="I570" s="224"/>
      <c r="J570" s="224"/>
      <c r="K570" s="225"/>
    </row>
    <row r="571" spans="9:11" s="180" customFormat="1" x14ac:dyDescent="0.25">
      <c r="I571" s="224"/>
      <c r="J571" s="224"/>
      <c r="K571" s="225"/>
    </row>
  </sheetData>
  <mergeCells count="49">
    <mergeCell ref="C27:D27"/>
    <mergeCell ref="C10:G10"/>
    <mergeCell ref="C5:G5"/>
    <mergeCell ref="Q36:R36"/>
    <mergeCell ref="C26:D26"/>
    <mergeCell ref="Q37:R37"/>
    <mergeCell ref="I5:K5"/>
    <mergeCell ref="C28:D28"/>
    <mergeCell ref="C29:D29"/>
    <mergeCell ref="C31:D31"/>
    <mergeCell ref="I10:K10"/>
    <mergeCell ref="C19:G19"/>
    <mergeCell ref="I19:K19"/>
    <mergeCell ref="I30:K30"/>
    <mergeCell ref="C15:D15"/>
    <mergeCell ref="C16:D16"/>
    <mergeCell ref="C17:D17"/>
    <mergeCell ref="C18:D18"/>
    <mergeCell ref="J2:K2"/>
    <mergeCell ref="C32:D32"/>
    <mergeCell ref="C33:D33"/>
    <mergeCell ref="C34:D34"/>
    <mergeCell ref="E35:F35"/>
    <mergeCell ref="C11:D11"/>
    <mergeCell ref="C12:D12"/>
    <mergeCell ref="C13:D13"/>
    <mergeCell ref="C20:D20"/>
    <mergeCell ref="B2:C2"/>
    <mergeCell ref="B3:C3"/>
    <mergeCell ref="D2:G2"/>
    <mergeCell ref="C35:D35"/>
    <mergeCell ref="D3:G3"/>
    <mergeCell ref="E31:F31"/>
    <mergeCell ref="C30:G30"/>
    <mergeCell ref="C139:L139"/>
    <mergeCell ref="C41:N41"/>
    <mergeCell ref="E33:G33"/>
    <mergeCell ref="E34:G34"/>
    <mergeCell ref="I32:K32"/>
    <mergeCell ref="I33:K33"/>
    <mergeCell ref="I34:K34"/>
    <mergeCell ref="E32:G32"/>
    <mergeCell ref="C36:D36"/>
    <mergeCell ref="E36:G36"/>
    <mergeCell ref="C37:D37"/>
    <mergeCell ref="E37:G37"/>
    <mergeCell ref="C38:D38"/>
    <mergeCell ref="E38:G38"/>
    <mergeCell ref="I36:K38"/>
  </mergeCells>
  <conditionalFormatting sqref="K43:K134 K141:K178">
    <cfRule type="cellIs" dxfId="17" priority="2" operator="greaterThan">
      <formula>0.01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8B286-CF50-488B-8B34-FEFC06EC06DE}">
  <sheetPr codeName="Hoja3"/>
  <dimension ref="A1:AGC715"/>
  <sheetViews>
    <sheetView topLeftCell="RO1" zoomScale="70" zoomScaleNormal="70" workbookViewId="0">
      <selection activeCell="ACZ41" sqref="ACZ41"/>
    </sheetView>
  </sheetViews>
  <sheetFormatPr baseColWidth="10" defaultColWidth="9.140625" defaultRowHeight="15" x14ac:dyDescent="0.25"/>
  <cols>
    <col min="1" max="1" width="9.140625" style="2"/>
    <col min="2" max="2" width="23.28515625" style="26" customWidth="1"/>
    <col min="3" max="3" width="30.85546875" style="26" customWidth="1"/>
    <col min="4" max="4" width="25.42578125" style="26" customWidth="1"/>
    <col min="5" max="5" width="17.28515625" style="26" customWidth="1"/>
    <col min="6" max="7" width="16.85546875" style="26" customWidth="1"/>
    <col min="8" max="9" width="14.140625" style="26" customWidth="1"/>
    <col min="10" max="10" width="9.140625" style="2"/>
    <col min="11" max="11" width="17" style="2" customWidth="1"/>
    <col min="12" max="12" width="35.5703125" style="2" customWidth="1"/>
    <col min="13" max="13" width="30" style="2" customWidth="1"/>
    <col min="14" max="14" width="13.5703125" style="2" customWidth="1"/>
    <col min="15" max="21" width="13.42578125" style="2" customWidth="1"/>
    <col min="22" max="22" width="9.140625" style="2"/>
    <col min="23" max="23" width="17" style="2" customWidth="1"/>
    <col min="24" max="24" width="35.5703125" style="2" customWidth="1"/>
    <col min="25" max="25" width="30" style="2" customWidth="1"/>
    <col min="26" max="26" width="13.5703125" style="2" customWidth="1"/>
    <col min="27" max="33" width="13.42578125" style="2" customWidth="1"/>
    <col min="34" max="34" width="9.140625" style="2"/>
    <col min="35" max="35" width="17" style="2" customWidth="1"/>
    <col min="36" max="36" width="35.5703125" style="2" customWidth="1"/>
    <col min="37" max="37" width="30" style="2" customWidth="1"/>
    <col min="38" max="38" width="13.5703125" style="2" customWidth="1"/>
    <col min="39" max="45" width="13.42578125" style="2" customWidth="1"/>
    <col min="46" max="46" width="9.140625" style="2"/>
    <col min="47" max="47" width="17" style="2" customWidth="1"/>
    <col min="48" max="48" width="35.5703125" style="2" customWidth="1"/>
    <col min="49" max="49" width="30" style="2" customWidth="1"/>
    <col min="50" max="50" width="13.5703125" style="2" customWidth="1"/>
    <col min="51" max="57" width="13.42578125" style="2" customWidth="1"/>
    <col min="58" max="58" width="14" style="26" customWidth="1"/>
    <col min="59" max="59" width="23.28515625" style="26" customWidth="1"/>
    <col min="60" max="60" width="17.140625" style="26" customWidth="1"/>
    <col min="61" max="61" width="29.42578125" style="26" customWidth="1"/>
    <col min="62" max="63" width="16.85546875" style="26" customWidth="1"/>
    <col min="64" max="65" width="14.140625" style="26" customWidth="1"/>
    <col min="66" max="66" width="14" style="26" customWidth="1"/>
    <col min="67" max="67" width="23.28515625" style="26" customWidth="1"/>
    <col min="68" max="68" width="24.7109375" style="26" customWidth="1"/>
    <col min="69" max="69" width="26" style="26" customWidth="1"/>
    <col min="70" max="71" width="16.85546875" style="26" customWidth="1"/>
    <col min="72" max="73" width="14.140625" style="26" customWidth="1"/>
    <col min="74" max="74" width="14" style="26" customWidth="1"/>
    <col min="75" max="75" width="23.28515625" style="26" customWidth="1"/>
    <col min="76" max="76" width="28.7109375" style="26" customWidth="1"/>
    <col min="77" max="77" width="25.7109375" style="26" customWidth="1"/>
    <col min="78" max="79" width="16.85546875" style="26" customWidth="1"/>
    <col min="80" max="80" width="14.140625" style="26" customWidth="1"/>
    <col min="81" max="82" width="14" style="26" customWidth="1"/>
    <col min="83" max="83" width="23.28515625" style="26" customWidth="1"/>
    <col min="84" max="84" width="37.42578125" style="26" customWidth="1"/>
    <col min="85" max="85" width="19.5703125" style="26" customWidth="1"/>
    <col min="86" max="86" width="16.85546875" style="26" customWidth="1"/>
    <col min="87" max="89" width="14.140625" style="26" customWidth="1"/>
    <col min="90" max="90" width="14" style="26" customWidth="1"/>
    <col min="91" max="91" width="23.28515625" style="26" customWidth="1"/>
    <col min="92" max="92" width="28.7109375" style="26" customWidth="1"/>
    <col min="93" max="93" width="25.7109375" style="26" customWidth="1"/>
    <col min="94" max="95" width="16.85546875" style="26" customWidth="1"/>
    <col min="96" max="96" width="14.140625" style="26" customWidth="1"/>
    <col min="97" max="98" width="14" style="26" customWidth="1"/>
    <col min="99" max="99" width="23.28515625" style="26" customWidth="1"/>
    <col min="100" max="100" width="37.42578125" style="26" customWidth="1"/>
    <col min="101" max="101" width="19.5703125" style="26" customWidth="1"/>
    <col min="102" max="102" width="16.85546875" style="26" customWidth="1"/>
    <col min="103" max="105" width="14.140625" style="26" customWidth="1"/>
    <col min="106" max="106" width="14" style="26" customWidth="1"/>
    <col min="107" max="107" width="23.28515625" style="26" customWidth="1"/>
    <col min="108" max="108" width="37.42578125" style="26" customWidth="1"/>
    <col min="109" max="109" width="19.5703125" style="26" customWidth="1"/>
    <col min="110" max="110" width="16.85546875" style="26" customWidth="1"/>
    <col min="111" max="112" width="14.140625" style="26" customWidth="1"/>
    <col min="113" max="113" width="14" style="26" customWidth="1"/>
    <col min="114" max="114" width="23.28515625" style="26" customWidth="1"/>
    <col min="115" max="115" width="37.42578125" style="26" customWidth="1"/>
    <col min="116" max="116" width="19.5703125" style="26" customWidth="1"/>
    <col min="117" max="117" width="16.85546875" style="26" customWidth="1"/>
    <col min="118" max="119" width="14.140625" style="26" customWidth="1"/>
    <col min="120" max="120" width="14" style="26" customWidth="1"/>
    <col min="121" max="121" width="23.28515625" style="26" customWidth="1"/>
    <col min="122" max="122" width="37.42578125" style="26" customWidth="1"/>
    <col min="123" max="123" width="19.5703125" style="26" customWidth="1"/>
    <col min="124" max="124" width="16.85546875" style="26" customWidth="1"/>
    <col min="125" max="126" width="14.140625" style="26" customWidth="1"/>
    <col min="127" max="127" width="14" style="26" customWidth="1"/>
    <col min="128" max="128" width="23.28515625" style="26" customWidth="1"/>
    <col min="129" max="129" width="37.42578125" style="26" customWidth="1"/>
    <col min="130" max="130" width="19.5703125" style="26" customWidth="1"/>
    <col min="131" max="131" width="16.85546875" style="26" customWidth="1"/>
    <col min="132" max="133" width="14.140625" style="26" customWidth="1"/>
    <col min="134" max="134" width="14" style="26" customWidth="1"/>
    <col min="135" max="135" width="23.28515625" style="26" customWidth="1"/>
    <col min="136" max="136" width="37.42578125" style="26" customWidth="1"/>
    <col min="137" max="137" width="19.5703125" style="26" customWidth="1"/>
    <col min="138" max="138" width="16.85546875" style="26" customWidth="1"/>
    <col min="139" max="141" width="14.140625" style="26" customWidth="1"/>
    <col min="142" max="142" width="14" style="26" customWidth="1"/>
    <col min="143" max="143" width="23.28515625" style="26" customWidth="1"/>
    <col min="144" max="144" width="37.42578125" style="26" customWidth="1"/>
    <col min="145" max="145" width="19.5703125" style="26" customWidth="1"/>
    <col min="146" max="146" width="16.85546875" style="26" customWidth="1"/>
    <col min="147" max="149" width="14.140625" style="26" customWidth="1"/>
    <col min="150" max="150" width="14" style="26" customWidth="1"/>
    <col min="151" max="151" width="23.28515625" style="26" customWidth="1"/>
    <col min="152" max="152" width="37.42578125" style="26" customWidth="1"/>
    <col min="153" max="153" width="19.5703125" style="26" customWidth="1"/>
    <col min="154" max="154" width="16.85546875" style="26" customWidth="1"/>
    <col min="155" max="157" width="14.140625" style="26" customWidth="1"/>
    <col min="158" max="158" width="14" style="26" customWidth="1"/>
    <col min="159" max="159" width="23.28515625" style="26" customWidth="1"/>
    <col min="160" max="160" width="37.42578125" style="26" customWidth="1"/>
    <col min="161" max="161" width="19.5703125" style="26" customWidth="1"/>
    <col min="162" max="162" width="16.85546875" style="26" customWidth="1"/>
    <col min="163" max="165" width="14.140625" style="26" customWidth="1"/>
    <col min="166" max="166" width="14" style="26" customWidth="1"/>
    <col min="167" max="167" width="23.28515625" style="26" customWidth="1"/>
    <col min="168" max="168" width="37.42578125" style="26" customWidth="1"/>
    <col min="169" max="169" width="19.5703125" style="26" customWidth="1"/>
    <col min="170" max="171" width="16.85546875" style="26" customWidth="1"/>
    <col min="172" max="173" width="14.140625" style="26" customWidth="1"/>
    <col min="174" max="174" width="14" style="26" customWidth="1"/>
    <col min="175" max="175" width="23.28515625" style="26" customWidth="1"/>
    <col min="176" max="176" width="37.42578125" style="26" customWidth="1"/>
    <col min="177" max="177" width="19.5703125" style="26" customWidth="1"/>
    <col min="178" max="179" width="16.85546875" style="26" customWidth="1"/>
    <col min="180" max="181" width="14.140625" style="26" customWidth="1"/>
    <col min="182" max="182" width="14" style="26" customWidth="1"/>
    <col min="183" max="183" width="23.28515625" style="26" customWidth="1"/>
    <col min="184" max="184" width="37.42578125" style="26" customWidth="1"/>
    <col min="185" max="185" width="19.5703125" style="26" customWidth="1"/>
    <col min="186" max="187" width="16.85546875" style="26" customWidth="1"/>
    <col min="188" max="189" width="14.140625" style="26" customWidth="1"/>
    <col min="190" max="190" width="14" style="26" customWidth="1"/>
    <col min="191" max="191" width="23.28515625" style="26" customWidth="1"/>
    <col min="192" max="192" width="37.42578125" style="26" customWidth="1"/>
    <col min="193" max="193" width="19.5703125" style="26" customWidth="1"/>
    <col min="194" max="195" width="16.85546875" style="26" customWidth="1"/>
    <col min="196" max="197" width="14.140625" style="26" customWidth="1"/>
    <col min="198" max="198" width="14" style="26" customWidth="1"/>
    <col min="199" max="199" width="17" style="2" customWidth="1"/>
    <col min="200" max="200" width="34" style="2" customWidth="1"/>
    <col min="201" max="201" width="30" style="2" customWidth="1"/>
    <col min="202" max="207" width="13.42578125" style="2" customWidth="1"/>
    <col min="208" max="208" width="14" style="26" customWidth="1"/>
    <col min="209" max="209" width="17" style="2" customWidth="1"/>
    <col min="210" max="210" width="34" style="2" customWidth="1"/>
    <col min="211" max="211" width="30" style="2" customWidth="1"/>
    <col min="212" max="217" width="13.42578125" style="2" customWidth="1"/>
    <col min="218" max="218" width="14" style="26" customWidth="1"/>
    <col min="219" max="219" width="17" style="2" customWidth="1"/>
    <col min="220" max="220" width="34" style="2" customWidth="1"/>
    <col min="221" max="221" width="30" style="2" customWidth="1"/>
    <col min="222" max="228" width="13.42578125" style="2" customWidth="1"/>
    <col min="229" max="229" width="17" style="2" customWidth="1"/>
    <col min="230" max="230" width="34" style="2" customWidth="1"/>
    <col min="231" max="231" width="30" style="2" customWidth="1"/>
    <col min="232" max="238" width="13.42578125" style="2" customWidth="1"/>
    <col min="239" max="239" width="17" style="2" customWidth="1"/>
    <col min="240" max="240" width="34" style="2" customWidth="1"/>
    <col min="241" max="241" width="30" style="2" customWidth="1"/>
    <col min="242" max="248" width="13.42578125" style="2" customWidth="1"/>
    <col min="249" max="249" width="17" style="2" customWidth="1"/>
    <col min="250" max="250" width="35.5703125" style="2" customWidth="1"/>
    <col min="251" max="251" width="30" style="2" customWidth="1"/>
    <col min="252" max="252" width="13.5703125" style="2" customWidth="1"/>
    <col min="253" max="257" width="13.42578125" style="2" customWidth="1"/>
    <col min="258" max="258" width="9.140625" style="2"/>
    <col min="259" max="259" width="17" style="2" customWidth="1"/>
    <col min="260" max="260" width="35.5703125" style="2" customWidth="1"/>
    <col min="261" max="261" width="30" style="2" customWidth="1"/>
    <col min="262" max="262" width="13.5703125" style="2" customWidth="1"/>
    <col min="263" max="267" width="13.42578125" style="2" customWidth="1"/>
    <col min="268" max="268" width="9.140625" style="2"/>
    <col min="269" max="269" width="17" style="2" customWidth="1"/>
    <col min="270" max="270" width="35.5703125" style="2" customWidth="1"/>
    <col min="271" max="271" width="30" style="2" customWidth="1"/>
    <col min="272" max="272" width="13.5703125" style="2" customWidth="1"/>
    <col min="273" max="277" width="13.42578125" style="2" customWidth="1"/>
    <col min="278" max="278" width="9.140625" style="2"/>
    <col min="279" max="279" width="17" style="2" customWidth="1"/>
    <col min="280" max="280" width="35.5703125" style="2" customWidth="1"/>
    <col min="281" max="281" width="30" style="2" customWidth="1"/>
    <col min="282" max="282" width="13.5703125" style="2" customWidth="1"/>
    <col min="283" max="287" width="13.42578125" style="2" customWidth="1"/>
    <col min="288" max="288" width="9.140625" style="2"/>
    <col min="289" max="289" width="17" style="2" customWidth="1"/>
    <col min="290" max="290" width="35.5703125" style="2" customWidth="1"/>
    <col min="291" max="291" width="30" style="2" customWidth="1"/>
    <col min="292" max="292" width="13.5703125" style="2" customWidth="1"/>
    <col min="293" max="297" width="13.42578125" style="2" customWidth="1"/>
    <col min="298" max="298" width="9.140625" style="2"/>
    <col min="299" max="299" width="17" style="2" customWidth="1"/>
    <col min="300" max="300" width="35.5703125" style="2" customWidth="1"/>
    <col min="301" max="301" width="30" style="2" customWidth="1"/>
    <col min="302" max="302" width="13.5703125" style="2" customWidth="1"/>
    <col min="303" max="307" width="13.42578125" style="2" customWidth="1"/>
    <col min="308" max="308" width="9.140625" style="2"/>
    <col min="309" max="309" width="17" style="2" customWidth="1"/>
    <col min="310" max="310" width="35.5703125" style="2" customWidth="1"/>
    <col min="311" max="311" width="30" style="2" customWidth="1"/>
    <col min="312" max="312" width="13.5703125" style="2" customWidth="1"/>
    <col min="313" max="317" width="13.42578125" style="2" customWidth="1"/>
    <col min="318" max="318" width="9.140625" style="2"/>
    <col min="319" max="319" width="17" style="2" customWidth="1"/>
    <col min="320" max="320" width="35.5703125" style="2" customWidth="1"/>
    <col min="321" max="321" width="30" style="2" customWidth="1"/>
    <col min="322" max="322" width="13.5703125" style="2" customWidth="1"/>
    <col min="323" max="327" width="13.42578125" style="2" customWidth="1"/>
    <col min="328" max="328" width="9.140625" style="2"/>
    <col min="329" max="329" width="17" style="2" customWidth="1"/>
    <col min="330" max="330" width="35.5703125" style="2" customWidth="1"/>
    <col min="331" max="331" width="30" style="2" customWidth="1"/>
    <col min="332" max="332" width="13.5703125" style="2" customWidth="1"/>
    <col min="333" max="337" width="13.42578125" style="2" customWidth="1"/>
    <col min="338" max="338" width="9.140625" style="2"/>
    <col min="339" max="339" width="17" style="2" customWidth="1"/>
    <col min="340" max="340" width="35.5703125" style="2" customWidth="1"/>
    <col min="341" max="341" width="30" style="2" customWidth="1"/>
    <col min="342" max="342" width="13.5703125" style="2" customWidth="1"/>
    <col min="343" max="347" width="13.42578125" style="2" customWidth="1"/>
    <col min="348" max="348" width="9.140625" style="2"/>
    <col min="349" max="349" width="17" style="2" customWidth="1"/>
    <col min="350" max="350" width="35.5703125" style="2" customWidth="1"/>
    <col min="351" max="351" width="30" style="2" customWidth="1"/>
    <col min="352" max="352" width="13.5703125" style="2" customWidth="1"/>
    <col min="353" max="357" width="13.42578125" style="2" customWidth="1"/>
    <col min="358" max="358" width="9.140625" style="2"/>
    <col min="359" max="359" width="17" style="2" customWidth="1"/>
    <col min="360" max="360" width="35.5703125" style="2" customWidth="1"/>
    <col min="361" max="361" width="30" style="2" customWidth="1"/>
    <col min="362" max="362" width="13.5703125" style="2" customWidth="1"/>
    <col min="363" max="367" width="13.42578125" style="2" customWidth="1"/>
    <col min="368" max="368" width="9.140625" style="2"/>
    <col min="369" max="369" width="17" style="2" customWidth="1"/>
    <col min="370" max="370" width="35.5703125" style="2" customWidth="1"/>
    <col min="371" max="371" width="30" style="2" customWidth="1"/>
    <col min="372" max="372" width="13.5703125" style="2" customWidth="1"/>
    <col min="373" max="377" width="13.42578125" style="2" customWidth="1"/>
    <col min="378" max="378" width="9.140625" style="2"/>
    <col min="379" max="379" width="17" style="2" customWidth="1"/>
    <col min="380" max="380" width="35.5703125" style="2" customWidth="1"/>
    <col min="381" max="381" width="30" style="2" customWidth="1"/>
    <col min="382" max="382" width="13.5703125" style="2" customWidth="1"/>
    <col min="383" max="387" width="13.42578125" style="2" customWidth="1"/>
    <col min="388" max="388" width="9.140625" style="2"/>
    <col min="389" max="389" width="17" style="2" customWidth="1"/>
    <col min="390" max="390" width="35.5703125" style="2" customWidth="1"/>
    <col min="391" max="391" width="30" style="2" customWidth="1"/>
    <col min="392" max="392" width="13.5703125" style="2" customWidth="1"/>
    <col min="393" max="397" width="13.42578125" style="2" customWidth="1"/>
    <col min="398" max="398" width="9.140625" style="2"/>
    <col min="399" max="399" width="17" style="2" customWidth="1"/>
    <col min="400" max="400" width="35.5703125" style="2" customWidth="1"/>
    <col min="401" max="401" width="30" style="2" customWidth="1"/>
    <col min="402" max="402" width="13.5703125" style="2" customWidth="1"/>
    <col min="403" max="407" width="13.42578125" style="2" customWidth="1"/>
    <col min="408" max="408" width="9.140625" style="2"/>
    <col min="409" max="409" width="17" style="2" customWidth="1"/>
    <col min="410" max="410" width="35.5703125" style="2" customWidth="1"/>
    <col min="411" max="411" width="30" style="2" customWidth="1"/>
    <col min="412" max="412" width="13.5703125" style="2" customWidth="1"/>
    <col min="413" max="417" width="13.42578125" style="2" customWidth="1"/>
    <col min="418" max="418" width="9.140625" style="2"/>
    <col min="419" max="419" width="17" style="2" customWidth="1"/>
    <col min="420" max="420" width="35.5703125" style="2" customWidth="1"/>
    <col min="421" max="421" width="30" style="2" customWidth="1"/>
    <col min="422" max="422" width="13.5703125" style="2" customWidth="1"/>
    <col min="423" max="427" width="13.42578125" style="2" customWidth="1"/>
    <col min="428" max="428" width="9.140625" style="2"/>
    <col min="429" max="429" width="17" style="2" customWidth="1"/>
    <col min="430" max="430" width="35.5703125" style="2" customWidth="1"/>
    <col min="431" max="431" width="30" style="2" customWidth="1"/>
    <col min="432" max="432" width="13.5703125" style="2" customWidth="1"/>
    <col min="433" max="437" width="13.42578125" style="2" customWidth="1"/>
    <col min="438" max="438" width="9.140625" style="2"/>
    <col min="439" max="439" width="17" style="2" customWidth="1"/>
    <col min="440" max="440" width="35.5703125" style="2" customWidth="1"/>
    <col min="441" max="441" width="30" style="2" customWidth="1"/>
    <col min="442" max="442" width="13.5703125" style="2" customWidth="1"/>
    <col min="443" max="447" width="13.42578125" style="2" customWidth="1"/>
    <col min="448" max="448" width="9.140625" style="2"/>
    <col min="449" max="449" width="17" style="2" customWidth="1"/>
    <col min="450" max="450" width="35.5703125" style="2" customWidth="1"/>
    <col min="451" max="451" width="30" style="2" customWidth="1"/>
    <col min="452" max="452" width="13.5703125" style="2" customWidth="1"/>
    <col min="453" max="457" width="13.42578125" style="2" customWidth="1"/>
    <col min="458" max="458" width="9.140625" style="2"/>
    <col min="459" max="459" width="17" style="2" customWidth="1"/>
    <col min="460" max="460" width="35.5703125" style="2" customWidth="1"/>
    <col min="461" max="461" width="30" style="2" customWidth="1"/>
    <col min="462" max="462" width="13.5703125" style="2" customWidth="1"/>
    <col min="463" max="469" width="13.42578125" style="2" customWidth="1"/>
    <col min="470" max="470" width="9.140625" style="2"/>
    <col min="471" max="471" width="17" style="2" customWidth="1"/>
    <col min="472" max="472" width="35.5703125" style="2" customWidth="1"/>
    <col min="473" max="473" width="30" style="2" customWidth="1"/>
    <col min="474" max="474" width="13.5703125" style="2" customWidth="1"/>
    <col min="475" max="479" width="13.42578125" style="2" customWidth="1"/>
    <col min="480" max="480" width="9.140625" style="2"/>
    <col min="481" max="481" width="17" style="2" customWidth="1"/>
    <col min="482" max="482" width="35.5703125" style="2" customWidth="1"/>
    <col min="483" max="483" width="30" style="2" customWidth="1"/>
    <col min="484" max="484" width="13.5703125" style="2" customWidth="1"/>
    <col min="485" max="489" width="13.42578125" style="2" customWidth="1"/>
    <col min="490" max="490" width="9.140625" style="2"/>
    <col min="491" max="491" width="17" style="2" customWidth="1"/>
    <col min="492" max="492" width="35.5703125" style="2" customWidth="1"/>
    <col min="493" max="493" width="30" style="2" customWidth="1"/>
    <col min="494" max="494" width="13.5703125" style="2" customWidth="1"/>
    <col min="495" max="499" width="13.42578125" style="2" customWidth="1"/>
    <col min="500" max="500" width="9.140625" style="2"/>
    <col min="501" max="501" width="17" style="2" customWidth="1"/>
    <col min="502" max="502" width="35.5703125" style="2" customWidth="1"/>
    <col min="503" max="503" width="30" style="2" customWidth="1"/>
    <col min="504" max="504" width="13.5703125" style="2" customWidth="1"/>
    <col min="505" max="509" width="13.42578125" style="2" customWidth="1"/>
    <col min="510" max="510" width="9.140625" style="2"/>
    <col min="511" max="511" width="17" style="2" customWidth="1"/>
    <col min="512" max="512" width="34" style="2" customWidth="1"/>
    <col min="513" max="513" width="30" style="2" customWidth="1"/>
    <col min="514" max="520" width="13.42578125" style="2" customWidth="1"/>
    <col min="521" max="521" width="17" style="2" customWidth="1"/>
    <col min="522" max="522" width="34" style="2" customWidth="1"/>
    <col min="523" max="523" width="30" style="2" customWidth="1"/>
    <col min="524" max="530" width="13.42578125" style="2" customWidth="1"/>
    <col min="531" max="531" width="17" style="2" customWidth="1"/>
    <col min="532" max="532" width="34" style="2" customWidth="1"/>
    <col min="533" max="533" width="30" style="2" customWidth="1"/>
    <col min="534" max="540" width="13.42578125" style="2" customWidth="1"/>
    <col min="541" max="541" width="17" style="2" customWidth="1"/>
    <col min="542" max="542" width="34" style="2" customWidth="1"/>
    <col min="543" max="543" width="30" style="2" customWidth="1"/>
    <col min="544" max="550" width="13.42578125" style="2" customWidth="1"/>
    <col min="551" max="551" width="17" style="2" customWidth="1"/>
    <col min="552" max="552" width="34" style="2" customWidth="1"/>
    <col min="553" max="553" width="30" style="2" customWidth="1"/>
    <col min="554" max="560" width="13.42578125" style="2" customWidth="1"/>
    <col min="561" max="561" width="17" style="2" customWidth="1"/>
    <col min="562" max="562" width="34" style="2" customWidth="1"/>
    <col min="563" max="563" width="30" style="2" customWidth="1"/>
    <col min="564" max="570" width="13.42578125" style="2" customWidth="1"/>
    <col min="571" max="571" width="17" style="2" customWidth="1"/>
    <col min="572" max="572" width="34" style="2" customWidth="1"/>
    <col min="573" max="573" width="30" style="2" customWidth="1"/>
    <col min="574" max="580" width="13.42578125" style="2" customWidth="1"/>
    <col min="581" max="581" width="17" style="2" customWidth="1"/>
    <col min="582" max="582" width="34" style="2" customWidth="1"/>
    <col min="583" max="583" width="30" style="2" customWidth="1"/>
    <col min="584" max="590" width="13.42578125" style="2" customWidth="1"/>
    <col min="591" max="591" width="17" style="2" customWidth="1"/>
    <col min="592" max="592" width="34" style="2" customWidth="1"/>
    <col min="593" max="593" width="30" style="2" customWidth="1"/>
    <col min="594" max="600" width="13.42578125" style="2" customWidth="1"/>
    <col min="601" max="601" width="17" style="2" customWidth="1"/>
    <col min="602" max="602" width="34" style="2" customWidth="1"/>
    <col min="603" max="603" width="30" style="2" customWidth="1"/>
    <col min="604" max="610" width="13.42578125" style="2" customWidth="1"/>
    <col min="611" max="611" width="17" style="2" customWidth="1"/>
    <col min="612" max="612" width="34" style="2" customWidth="1"/>
    <col min="613" max="613" width="30" style="2" customWidth="1"/>
    <col min="614" max="620" width="13.42578125" style="2" customWidth="1"/>
    <col min="621" max="621" width="17" style="2" customWidth="1"/>
    <col min="622" max="622" width="34" style="2" customWidth="1"/>
    <col min="623" max="623" width="30" style="2" customWidth="1"/>
    <col min="624" max="630" width="13.42578125" style="2" customWidth="1"/>
    <col min="631" max="631" width="17" style="2" customWidth="1"/>
    <col min="632" max="632" width="34" style="2" customWidth="1"/>
    <col min="633" max="633" width="30" style="2" customWidth="1"/>
    <col min="634" max="640" width="13.42578125" style="2" customWidth="1"/>
    <col min="641" max="641" width="17" style="2" customWidth="1"/>
    <col min="642" max="642" width="34" style="2" customWidth="1"/>
    <col min="643" max="643" width="30" style="2" customWidth="1"/>
    <col min="644" max="650" width="13.42578125" style="2" customWidth="1"/>
    <col min="651" max="651" width="17" style="2" customWidth="1"/>
    <col min="652" max="652" width="34" style="2" customWidth="1"/>
    <col min="653" max="653" width="30" style="2" customWidth="1"/>
    <col min="654" max="660" width="13.42578125" style="2" customWidth="1"/>
    <col min="661" max="661" width="23.28515625" style="26" customWidth="1"/>
    <col min="662" max="662" width="37.42578125" style="26" customWidth="1"/>
    <col min="663" max="663" width="19.5703125" style="26" customWidth="1"/>
    <col min="664" max="664" width="16.85546875" style="26" customWidth="1"/>
    <col min="665" max="665" width="14.140625" style="26" customWidth="1"/>
    <col min="666" max="666" width="14" style="26" customWidth="1"/>
    <col min="667" max="667" width="17" style="2" customWidth="1"/>
    <col min="668" max="668" width="34" style="2" customWidth="1"/>
    <col min="669" max="669" width="30" style="2" customWidth="1"/>
    <col min="670" max="676" width="13.42578125" style="2" customWidth="1"/>
    <col min="677" max="677" width="17" style="2" customWidth="1"/>
    <col min="678" max="678" width="34" style="2" customWidth="1"/>
    <col min="679" max="679" width="30" style="2" customWidth="1"/>
    <col min="680" max="684" width="13.42578125" style="2" customWidth="1"/>
    <col min="685" max="685" width="14.140625" style="2" customWidth="1"/>
    <col min="686" max="686" width="13.42578125" style="2" customWidth="1"/>
    <col min="687" max="687" width="17" style="2" customWidth="1"/>
    <col min="688" max="688" width="34" style="2" customWidth="1"/>
    <col min="689" max="689" width="30" style="2" customWidth="1"/>
    <col min="690" max="696" width="13.42578125" style="2" customWidth="1"/>
    <col min="697" max="697" width="17" style="2" customWidth="1"/>
    <col min="698" max="698" width="34" style="2" customWidth="1"/>
    <col min="699" max="699" width="30" style="2" customWidth="1"/>
    <col min="700" max="706" width="13.42578125" style="2" customWidth="1"/>
    <col min="707" max="707" width="17" style="2" customWidth="1"/>
    <col min="708" max="708" width="34" style="2" customWidth="1"/>
    <col min="709" max="709" width="30" style="2" customWidth="1"/>
    <col min="710" max="716" width="13.42578125" style="2" customWidth="1"/>
    <col min="717" max="717" width="17" style="2" customWidth="1"/>
    <col min="718" max="718" width="34" style="2" customWidth="1"/>
    <col min="719" max="719" width="30" style="2" customWidth="1"/>
    <col min="720" max="726" width="13.42578125" style="2" customWidth="1"/>
    <col min="727" max="727" width="17" style="2" customWidth="1"/>
    <col min="728" max="728" width="34" style="2" customWidth="1"/>
    <col min="729" max="729" width="30" style="2" customWidth="1"/>
    <col min="730" max="736" width="13.42578125" style="2" customWidth="1"/>
    <col min="737" max="737" width="17" style="2" customWidth="1"/>
    <col min="738" max="738" width="34" style="2" customWidth="1"/>
    <col min="739" max="739" width="30" style="2" customWidth="1"/>
    <col min="740" max="746" width="13.42578125" style="2" customWidth="1"/>
    <col min="747" max="747" width="17" style="2" customWidth="1"/>
    <col min="748" max="748" width="34" style="2" customWidth="1"/>
    <col min="749" max="749" width="30" style="2" customWidth="1"/>
    <col min="750" max="756" width="13.42578125" style="2" customWidth="1"/>
    <col min="757" max="757" width="17" style="2" customWidth="1"/>
    <col min="758" max="758" width="34" style="2" customWidth="1"/>
    <col min="759" max="759" width="30" style="2" customWidth="1"/>
    <col min="760" max="766" width="13.42578125" style="2" customWidth="1"/>
    <col min="767" max="767" width="17" style="2" customWidth="1"/>
    <col min="768" max="768" width="34" style="2" customWidth="1"/>
    <col min="769" max="769" width="30" style="2" customWidth="1"/>
    <col min="770" max="776" width="13.42578125" style="2" customWidth="1"/>
    <col min="777" max="777" width="61.42578125" style="2" customWidth="1"/>
    <col min="778" max="778" width="16.28515625" style="1" customWidth="1"/>
    <col min="780" max="780" width="10.42578125" style="2" customWidth="1"/>
    <col min="781" max="781" width="9.140625" style="2"/>
    <col min="782" max="782" width="11.5703125" style="2" customWidth="1"/>
    <col min="783" max="784" width="9.140625" style="2"/>
    <col min="785" max="785" width="37.42578125" style="2" customWidth="1"/>
    <col min="786" max="786" width="10.85546875" style="2" customWidth="1"/>
    <col min="787" max="787" width="11.5703125" style="2" customWidth="1"/>
    <col min="788" max="789" width="9.140625" style="2"/>
    <col min="790" max="790" width="17" style="2" customWidth="1"/>
    <col min="791" max="791" width="34" style="2" customWidth="1"/>
    <col min="792" max="792" width="30" style="2" customWidth="1"/>
    <col min="793" max="794" width="13.42578125" style="2" customWidth="1"/>
    <col min="795" max="795" width="36.7109375" style="2" customWidth="1"/>
    <col min="796" max="797" width="13.42578125" style="2" customWidth="1"/>
    <col min="798" max="798" width="13" style="2" customWidth="1"/>
    <col min="799" max="799" width="17" style="2" customWidth="1"/>
    <col min="800" max="800" width="34" style="2" customWidth="1"/>
    <col min="801" max="801" width="30" style="2" customWidth="1"/>
    <col min="802" max="802" width="39" style="2" customWidth="1"/>
    <col min="803" max="804" width="13.42578125" style="2" customWidth="1"/>
    <col min="805" max="805" width="17" style="2" customWidth="1"/>
    <col min="806" max="806" width="34" style="2" customWidth="1"/>
    <col min="807" max="807" width="30" style="2" customWidth="1"/>
    <col min="808" max="808" width="13.42578125" style="2" customWidth="1"/>
    <col min="809" max="810" width="36.7109375" style="2" customWidth="1"/>
    <col min="811" max="812" width="13.42578125" style="2" customWidth="1"/>
    <col min="813" max="813" width="13" style="2" customWidth="1"/>
    <col min="814" max="814" width="17" style="2" customWidth="1"/>
    <col min="815" max="815" width="34" style="2" customWidth="1"/>
    <col min="816" max="816" width="30" style="2" customWidth="1"/>
    <col min="817" max="817" width="39" style="2" customWidth="1"/>
    <col min="818" max="819" width="13.42578125" style="2" customWidth="1"/>
    <col min="820" max="820" width="17" style="2" customWidth="1"/>
    <col min="821" max="821" width="34" style="2" customWidth="1"/>
    <col min="822" max="822" width="30" style="2" customWidth="1"/>
    <col min="823" max="824" width="13.42578125" style="2" customWidth="1"/>
    <col min="825" max="825" width="36.7109375" style="2" customWidth="1"/>
    <col min="826" max="827" width="13.42578125" style="2" customWidth="1"/>
    <col min="828" max="828" width="13" style="2" customWidth="1"/>
    <col min="829" max="829" width="17" style="2" customWidth="1"/>
    <col min="830" max="830" width="34" style="2" customWidth="1"/>
    <col min="831" max="831" width="30" style="2" customWidth="1"/>
    <col min="832" max="832" width="39" style="2" customWidth="1"/>
    <col min="833" max="834" width="13.42578125" style="2" customWidth="1"/>
    <col min="835" max="835" width="23.28515625" style="26" customWidth="1"/>
    <col min="836" max="836" width="37.42578125" style="26" customWidth="1"/>
    <col min="837" max="837" width="19.5703125" style="26" customWidth="1"/>
    <col min="838" max="838" width="16.85546875" style="26" customWidth="1"/>
    <col min="839" max="840" width="14.140625" style="26" customWidth="1"/>
    <col min="841" max="841" width="17" style="2" customWidth="1"/>
    <col min="842" max="842" width="34" style="2" customWidth="1"/>
    <col min="843" max="843" width="30" style="2" customWidth="1"/>
    <col min="844" max="845" width="13.42578125" style="2" customWidth="1"/>
    <col min="846" max="846" width="36.7109375" style="2" customWidth="1"/>
    <col min="847" max="848" width="13.42578125" style="2" customWidth="1"/>
    <col min="849" max="849" width="51.5703125" style="2" customWidth="1"/>
    <col min="850" max="850" width="18.42578125" style="2" customWidth="1"/>
    <col min="851" max="851" width="27.28515625" style="2" customWidth="1"/>
    <col min="852" max="852" width="20.28515625" style="2" customWidth="1"/>
    <col min="853" max="853" width="27.140625" style="2" customWidth="1"/>
    <col min="854" max="854" width="18.140625" style="2" customWidth="1"/>
    <col min="855" max="855" width="9.140625" style="2"/>
    <col min="856" max="856" width="51.5703125" style="2" customWidth="1"/>
    <col min="857" max="857" width="18.42578125" style="2" customWidth="1"/>
    <col min="858" max="858" width="27.28515625" style="2" customWidth="1"/>
    <col min="859" max="859" width="20.28515625" style="2" customWidth="1"/>
    <col min="860" max="860" width="27.140625" style="2" customWidth="1"/>
    <col min="861" max="861" width="18.140625" style="2" customWidth="1"/>
    <col min="862" max="16384" width="9.140625" style="2"/>
  </cols>
  <sheetData>
    <row r="1" spans="1:860" x14ac:dyDescent="0.25">
      <c r="K1" s="27"/>
      <c r="W1" s="27"/>
      <c r="AI1" s="27"/>
      <c r="AU1" s="27"/>
      <c r="BK1" s="26" t="s">
        <v>1459</v>
      </c>
      <c r="BL1" s="26" t="s">
        <v>1526</v>
      </c>
      <c r="BM1" s="26" t="s">
        <v>1495</v>
      </c>
      <c r="BS1" s="26" t="s">
        <v>1459</v>
      </c>
      <c r="BT1" s="26" t="s">
        <v>1480</v>
      </c>
      <c r="BU1" s="26" t="s">
        <v>1460</v>
      </c>
      <c r="CA1" s="26" t="s">
        <v>1459</v>
      </c>
      <c r="CB1" s="26" t="s">
        <v>1496</v>
      </c>
      <c r="CC1" s="26" t="s">
        <v>1708</v>
      </c>
      <c r="CI1" s="26" t="s">
        <v>1459</v>
      </c>
      <c r="CJ1" s="26" t="s">
        <v>1480</v>
      </c>
      <c r="CK1" s="26" t="s">
        <v>1496</v>
      </c>
      <c r="CQ1" s="26" t="s">
        <v>1459</v>
      </c>
      <c r="CR1" s="26" t="s">
        <v>1708</v>
      </c>
      <c r="CS1" s="26" t="s">
        <v>1495</v>
      </c>
      <c r="CY1" s="26" t="s">
        <v>1459</v>
      </c>
      <c r="CZ1" s="26" t="s">
        <v>1496</v>
      </c>
      <c r="DA1" s="26" t="s">
        <v>1480</v>
      </c>
      <c r="DN1" s="26" t="s">
        <v>1460</v>
      </c>
      <c r="EI1" s="26" t="s">
        <v>1459</v>
      </c>
      <c r="EJ1" s="26" t="s">
        <v>1460</v>
      </c>
      <c r="EQ1" s="26" t="s">
        <v>1459</v>
      </c>
      <c r="ER1" s="26" t="s">
        <v>1460</v>
      </c>
      <c r="EY1" s="26" t="s">
        <v>1459</v>
      </c>
      <c r="FG1" s="26" t="s">
        <v>1459</v>
      </c>
      <c r="FQ1" s="26" t="s">
        <v>34</v>
      </c>
      <c r="FY1" s="26" t="s">
        <v>34</v>
      </c>
      <c r="GG1" s="26" t="s">
        <v>34</v>
      </c>
      <c r="GO1" s="26" t="s">
        <v>34</v>
      </c>
      <c r="GQ1" s="28"/>
      <c r="HA1" s="28"/>
      <c r="HK1" s="28"/>
      <c r="HU1" s="28"/>
      <c r="IE1" s="28"/>
      <c r="IO1" s="27"/>
      <c r="IY1" s="27"/>
      <c r="JI1" s="27"/>
      <c r="JS1" s="27"/>
      <c r="KC1" s="27"/>
      <c r="KM1" s="27"/>
      <c r="KW1" s="27"/>
      <c r="LG1" s="27"/>
      <c r="LQ1" s="27"/>
      <c r="MA1" s="27"/>
      <c r="MK1" s="27"/>
      <c r="MU1" s="27"/>
      <c r="NE1" s="27"/>
      <c r="NO1" s="27"/>
      <c r="NY1" s="27"/>
      <c r="OI1" s="27"/>
      <c r="OS1" s="27"/>
      <c r="PC1" s="27"/>
      <c r="PM1" s="27"/>
      <c r="PW1" s="27"/>
      <c r="QG1" s="27"/>
      <c r="QQ1" s="27"/>
      <c r="QW1" s="2" t="s">
        <v>1796</v>
      </c>
      <c r="QX1">
        <f>+SUM(QZ4:QZ72)</f>
        <v>61</v>
      </c>
      <c r="RC1" s="27"/>
      <c r="RM1" s="27"/>
      <c r="RW1" s="27"/>
      <c r="SG1" s="27"/>
      <c r="SQ1" s="27"/>
      <c r="TA1" s="27"/>
      <c r="TK1" s="27"/>
      <c r="TU1" s="27"/>
      <c r="UE1" s="27"/>
      <c r="UO1" s="27"/>
      <c r="UY1" s="27"/>
      <c r="VI1" s="27"/>
      <c r="VS1" s="27"/>
      <c r="WC1" s="27"/>
      <c r="WM1" s="27"/>
      <c r="WW1" s="27"/>
      <c r="XG1" s="27"/>
      <c r="XQ1" s="27"/>
      <c r="YA1" s="27"/>
      <c r="YQ1" s="27"/>
      <c r="ZA1" s="27"/>
      <c r="ZK1" s="27"/>
      <c r="ZU1" s="27"/>
      <c r="AAE1" s="27"/>
      <c r="AAO1" s="27"/>
      <c r="AAY1" s="27"/>
      <c r="ABI1" s="27"/>
      <c r="ABS1" s="27"/>
      <c r="ACC1" s="27"/>
      <c r="ACM1" s="27"/>
      <c r="ACY1" s="2"/>
      <c r="ADI1" s="27"/>
      <c r="ADQ1" s="27"/>
      <c r="ADR1" s="27"/>
      <c r="ADX1" s="27"/>
      <c r="AEF1" s="27"/>
      <c r="AEG1" s="27"/>
      <c r="AEM1" s="27"/>
      <c r="AEU1" s="27"/>
      <c r="AEV1" s="27"/>
      <c r="AFB1" s="26"/>
      <c r="AFH1" s="27"/>
    </row>
    <row r="2" spans="1:860" s="1" customFormat="1" x14ac:dyDescent="0.25">
      <c r="B2" s="351" t="s">
        <v>1404</v>
      </c>
      <c r="C2" s="351"/>
      <c r="D2" s="29" t="s">
        <v>34</v>
      </c>
      <c r="E2" s="30">
        <f>SUM(H4:H108)</f>
        <v>8.9700000000000024</v>
      </c>
      <c r="F2" s="1" t="s">
        <v>35</v>
      </c>
      <c r="H2" s="30">
        <f>SUM(I4:I108)</f>
        <v>142.73999999999998</v>
      </c>
      <c r="I2" s="30"/>
      <c r="K2" s="299" t="s">
        <v>36</v>
      </c>
      <c r="L2" s="299"/>
      <c r="M2" s="299"/>
      <c r="N2" s="299"/>
      <c r="O2" s="299"/>
      <c r="P2" s="299"/>
      <c r="Q2" s="299"/>
      <c r="R2" s="299"/>
      <c r="S2" t="s">
        <v>1217</v>
      </c>
      <c r="T2"/>
      <c r="U2">
        <f>+SUM(T4:T50)</f>
        <v>18.600000000000001</v>
      </c>
      <c r="W2" s="299" t="s">
        <v>1481</v>
      </c>
      <c r="X2" s="299"/>
      <c r="Y2" s="299"/>
      <c r="Z2" s="299"/>
      <c r="AA2" s="299"/>
      <c r="AB2" s="299"/>
      <c r="AC2" s="299"/>
      <c r="AD2" s="299"/>
      <c r="AE2" t="s">
        <v>1217</v>
      </c>
      <c r="AF2"/>
      <c r="AG2">
        <f>+SUM(AF4:AF50)</f>
        <v>0</v>
      </c>
      <c r="AI2" s="299" t="s">
        <v>1482</v>
      </c>
      <c r="AJ2" s="299"/>
      <c r="AK2" s="299"/>
      <c r="AL2" s="299"/>
      <c r="AM2" s="299"/>
      <c r="AN2" s="299"/>
      <c r="AO2" s="299"/>
      <c r="AP2" s="299"/>
      <c r="AQ2" t="s">
        <v>1217</v>
      </c>
      <c r="AR2"/>
      <c r="AS2">
        <f>+SUM(AR4:AR50)</f>
        <v>0</v>
      </c>
      <c r="AU2" s="299" t="s">
        <v>1483</v>
      </c>
      <c r="AV2" s="299"/>
      <c r="AW2" s="299"/>
      <c r="AX2" s="299"/>
      <c r="AY2" s="299"/>
      <c r="AZ2" s="299"/>
      <c r="BA2" s="299"/>
      <c r="BB2" s="299"/>
      <c r="BC2" t="s">
        <v>1217</v>
      </c>
      <c r="BD2"/>
      <c r="BE2">
        <f>+SUM(BD4:BD50)</f>
        <v>0</v>
      </c>
      <c r="BF2" s="29"/>
      <c r="BG2" s="351" t="s">
        <v>1561</v>
      </c>
      <c r="BH2" s="351"/>
      <c r="BI2" s="29" t="s">
        <v>40</v>
      </c>
      <c r="BJ2" s="30">
        <f>SUM(BL4:BL186)</f>
        <v>612.62</v>
      </c>
      <c r="BK2" s="1">
        <f>+(BJ2/6)-BL2-BM2</f>
        <v>102.10333333333334</v>
      </c>
      <c r="BN2" s="29"/>
      <c r="BO2" s="351" t="s">
        <v>1563</v>
      </c>
      <c r="BP2" s="351"/>
      <c r="BQ2" s="29" t="s">
        <v>40</v>
      </c>
      <c r="BR2" s="30">
        <f>SUM(BT4:BT186)</f>
        <v>0</v>
      </c>
      <c r="BS2" s="1">
        <f>+(BR2/6)-BT2-BU2</f>
        <v>-2</v>
      </c>
      <c r="BT2" s="1">
        <v>2</v>
      </c>
      <c r="BV2" s="29"/>
      <c r="BW2" s="351" t="s">
        <v>1562</v>
      </c>
      <c r="BX2" s="351"/>
      <c r="BY2" s="29" t="s">
        <v>40</v>
      </c>
      <c r="BZ2" s="30">
        <f>SUM(CB4:CB186)</f>
        <v>392</v>
      </c>
      <c r="CA2" s="1">
        <f>+(BZ2/6)-CB2-CC2</f>
        <v>57.333333333333329</v>
      </c>
      <c r="CB2" s="1">
        <f>+BV6+BV69+BV70+BV71+BV73</f>
        <v>3</v>
      </c>
      <c r="CC2" s="29">
        <v>5</v>
      </c>
      <c r="CD2" s="29"/>
      <c r="CE2" s="351" t="s">
        <v>1564</v>
      </c>
      <c r="CF2" s="351"/>
      <c r="CG2" s="29" t="s">
        <v>40</v>
      </c>
      <c r="CH2" s="30">
        <f>SUM(CJ4:CJ186)</f>
        <v>684</v>
      </c>
      <c r="CI2" s="1">
        <f>+(CH2/6)-CJ2-CK2</f>
        <v>103</v>
      </c>
      <c r="CJ2" s="1">
        <v>11</v>
      </c>
      <c r="CL2" s="29"/>
      <c r="CM2" s="351" t="s">
        <v>1709</v>
      </c>
      <c r="CN2" s="351"/>
      <c r="CO2" s="29" t="s">
        <v>40</v>
      </c>
      <c r="CP2" s="30">
        <f>SUM(CR4:CR186)</f>
        <v>306</v>
      </c>
      <c r="CQ2" s="1">
        <f>+(CP2/6)-CR2-CS2</f>
        <v>41</v>
      </c>
      <c r="CR2" s="1">
        <v>8</v>
      </c>
      <c r="CS2" s="29">
        <v>2</v>
      </c>
      <c r="CT2" s="29"/>
      <c r="CU2" s="351" t="s">
        <v>1710</v>
      </c>
      <c r="CV2" s="351"/>
      <c r="CW2" s="29" t="s">
        <v>40</v>
      </c>
      <c r="CX2" s="30">
        <f>SUM(CZ4:CZ186)</f>
        <v>620</v>
      </c>
      <c r="CY2" s="1">
        <f>+(CX2/6)-CZ2-DA2</f>
        <v>89.333333333333329</v>
      </c>
      <c r="CZ2" s="1">
        <v>7</v>
      </c>
      <c r="DA2" s="1">
        <v>7</v>
      </c>
      <c r="DB2" s="29"/>
      <c r="DC2" s="351" t="s">
        <v>1737</v>
      </c>
      <c r="DD2" s="351"/>
      <c r="DE2" s="29" t="s">
        <v>40</v>
      </c>
      <c r="DF2" s="30">
        <f>SUM(DG4:DG186)</f>
        <v>102.30000000000003</v>
      </c>
      <c r="DI2" s="29"/>
      <c r="DJ2" s="351" t="s">
        <v>1738</v>
      </c>
      <c r="DK2" s="351"/>
      <c r="DL2" s="29" t="s">
        <v>40</v>
      </c>
      <c r="DM2" s="30">
        <f>SUM(DN4:DN186)</f>
        <v>10.5</v>
      </c>
      <c r="DP2" s="29"/>
      <c r="DQ2" s="351" t="s">
        <v>1739</v>
      </c>
      <c r="DR2" s="351"/>
      <c r="DS2" s="29" t="s">
        <v>40</v>
      </c>
      <c r="DT2" s="30">
        <f>SUM(DU4:DU186)</f>
        <v>18.96</v>
      </c>
      <c r="DW2" s="29"/>
      <c r="DX2" s="351" t="s">
        <v>1758</v>
      </c>
      <c r="DY2" s="351"/>
      <c r="DZ2" s="29" t="s">
        <v>40</v>
      </c>
      <c r="EA2" s="30">
        <f>SUM(EB4:EB186)</f>
        <v>18.279999999999998</v>
      </c>
      <c r="ED2" s="29"/>
      <c r="EE2" s="351" t="s">
        <v>1587</v>
      </c>
      <c r="EF2" s="351"/>
      <c r="EG2" s="29" t="s">
        <v>40</v>
      </c>
      <c r="EH2" s="30">
        <f>SUM(EJ4:EJ715)</f>
        <v>704.5</v>
      </c>
      <c r="EI2" s="1">
        <f>+(EH2/6)-EJ2-EK2</f>
        <v>117.41666666666667</v>
      </c>
      <c r="EJ2" s="287"/>
      <c r="EK2" s="31"/>
      <c r="EL2" s="29"/>
      <c r="EM2" s="351" t="s">
        <v>1769</v>
      </c>
      <c r="EN2" s="351"/>
      <c r="EO2" s="29" t="s">
        <v>40</v>
      </c>
      <c r="EP2" s="30">
        <f>SUM(ER4:ER715)</f>
        <v>16</v>
      </c>
      <c r="EQ2" s="1">
        <f>+(EP2/6)-ER2-ES2</f>
        <v>2.6666666666666665</v>
      </c>
      <c r="ER2" s="287"/>
      <c r="ES2" s="31"/>
      <c r="ET2" s="29"/>
      <c r="EU2" s="351" t="s">
        <v>1588</v>
      </c>
      <c r="EV2" s="351"/>
      <c r="EW2" s="29" t="s">
        <v>40</v>
      </c>
      <c r="EX2" s="30">
        <f>SUM(EZ4:EZ715)</f>
        <v>654</v>
      </c>
      <c r="EY2" s="1">
        <f>+(EX2/6)-EZ2-FA2</f>
        <v>109</v>
      </c>
      <c r="EZ2" s="31"/>
      <c r="FA2" s="31"/>
      <c r="FB2" s="29"/>
      <c r="FC2" s="351" t="s">
        <v>1588</v>
      </c>
      <c r="FD2" s="351"/>
      <c r="FE2" s="29" t="s">
        <v>40</v>
      </c>
      <c r="FF2" s="30">
        <f>SUM(FH4:FH715)</f>
        <v>157.5</v>
      </c>
      <c r="FH2" s="31"/>
      <c r="FI2" s="31"/>
      <c r="FJ2" s="29"/>
      <c r="FK2" s="351" t="s">
        <v>1579</v>
      </c>
      <c r="FL2" s="351"/>
      <c r="FM2" s="29" t="s">
        <v>40</v>
      </c>
      <c r="FN2" s="30">
        <f>SUM(FN4:FN371)</f>
        <v>0.43000000000000005</v>
      </c>
      <c r="FO2" s="30" t="s">
        <v>41</v>
      </c>
      <c r="FP2" s="1">
        <f>+SUM(FQ4:FQ96)</f>
        <v>34.200000000000003</v>
      </c>
      <c r="FQ2" s="1">
        <f>+SUM(FP4:FP96)</f>
        <v>5.4600000000000009</v>
      </c>
      <c r="FR2" s="29"/>
      <c r="FS2" s="351" t="s">
        <v>1580</v>
      </c>
      <c r="FT2" s="351"/>
      <c r="FU2" s="29" t="s">
        <v>40</v>
      </c>
      <c r="FV2" s="30">
        <f>SUM(FV4:FV371)</f>
        <v>7.0000000000000007E-2</v>
      </c>
      <c r="FW2" s="30" t="s">
        <v>41</v>
      </c>
      <c r="FX2" s="1">
        <f>+SUM(FY4:FY96)</f>
        <v>18.400000000000002</v>
      </c>
      <c r="FY2" s="1">
        <f>+SUM(FX4:FX96)</f>
        <v>1.61</v>
      </c>
      <c r="FZ2" s="29"/>
      <c r="GA2" s="351" t="s">
        <v>1581</v>
      </c>
      <c r="GB2" s="351"/>
      <c r="GC2" s="29" t="s">
        <v>40</v>
      </c>
      <c r="GD2" s="30">
        <f>SUM(GD4:GD371)</f>
        <v>1.8120000000000005</v>
      </c>
      <c r="GE2" s="30" t="s">
        <v>41</v>
      </c>
      <c r="GF2" s="1">
        <f>+SUM(GG4:GG96)</f>
        <v>61.889999999999986</v>
      </c>
      <c r="GG2" s="1">
        <f>+SUM(GF4:GF96)</f>
        <v>3.6080000000000001</v>
      </c>
      <c r="GH2" s="29"/>
      <c r="GI2" s="351" t="s">
        <v>1408</v>
      </c>
      <c r="GJ2" s="351"/>
      <c r="GK2" s="29" t="s">
        <v>40</v>
      </c>
      <c r="GL2" s="30">
        <f>SUM(GL4:GL370)</f>
        <v>0.126</v>
      </c>
      <c r="GM2" s="30" t="s">
        <v>41</v>
      </c>
      <c r="GN2" s="1">
        <f>+SUM(GO4:GO58)</f>
        <v>16.45</v>
      </c>
      <c r="GO2" s="1">
        <f>+SUM(GN4:GN58)</f>
        <v>5.9219999999999997</v>
      </c>
      <c r="GP2" s="29"/>
      <c r="GQ2" s="299" t="s">
        <v>1666</v>
      </c>
      <c r="GR2" s="299"/>
      <c r="GS2" s="299"/>
      <c r="GT2" t="s">
        <v>38</v>
      </c>
      <c r="GU2" s="32">
        <f>+GY4</f>
        <v>178.54000000000002</v>
      </c>
      <c r="GV2" s="33" t="s">
        <v>524</v>
      </c>
      <c r="GW2" s="34">
        <f>+GY40+GY78</f>
        <v>0</v>
      </c>
      <c r="GX2" s="33"/>
      <c r="GY2"/>
      <c r="GZ2" s="29"/>
      <c r="HA2" s="299" t="s">
        <v>1774</v>
      </c>
      <c r="HB2" s="299"/>
      <c r="HC2" s="299"/>
      <c r="HD2" t="s">
        <v>38</v>
      </c>
      <c r="HE2" s="32">
        <f>+HI4</f>
        <v>87.280000000000015</v>
      </c>
      <c r="HF2" s="33" t="s">
        <v>524</v>
      </c>
      <c r="HG2" s="34">
        <f>+HI40+HI78</f>
        <v>0</v>
      </c>
      <c r="HH2" s="33"/>
      <c r="HI2"/>
      <c r="HJ2" s="29"/>
      <c r="HK2" s="299" t="s">
        <v>1775</v>
      </c>
      <c r="HL2" s="299"/>
      <c r="HM2" s="299"/>
      <c r="HN2" t="s">
        <v>38</v>
      </c>
      <c r="HO2" s="32">
        <f>+HS4</f>
        <v>17.590000000000003</v>
      </c>
      <c r="HP2" s="33" t="s">
        <v>524</v>
      </c>
      <c r="HQ2" s="34">
        <f>+HS40+HS78</f>
        <v>0</v>
      </c>
      <c r="HR2" s="33"/>
      <c r="HS2"/>
      <c r="HU2" s="299" t="s">
        <v>1497</v>
      </c>
      <c r="HV2" s="299"/>
      <c r="HW2" s="299"/>
      <c r="HX2" t="s">
        <v>38</v>
      </c>
      <c r="HY2" s="32">
        <f>+IC4</f>
        <v>18.12</v>
      </c>
      <c r="HZ2" s="33"/>
      <c r="IA2" s="33"/>
      <c r="IB2" s="33"/>
      <c r="IC2"/>
      <c r="IE2" s="299" t="s">
        <v>1893</v>
      </c>
      <c r="IF2" s="299"/>
      <c r="IG2" s="299"/>
      <c r="IH2" t="s">
        <v>38</v>
      </c>
      <c r="II2" s="32">
        <f>+IM4</f>
        <v>6.26</v>
      </c>
      <c r="IJ2" s="33"/>
      <c r="IK2" s="33"/>
      <c r="IL2" s="33"/>
      <c r="IM2"/>
      <c r="IO2" s="299" t="s">
        <v>42</v>
      </c>
      <c r="IP2" s="299"/>
      <c r="IQ2" s="299"/>
      <c r="IR2" s="299"/>
      <c r="IS2" s="299"/>
      <c r="IT2" s="299"/>
      <c r="IU2" s="299"/>
      <c r="IV2" t="s">
        <v>38</v>
      </c>
      <c r="IW2">
        <f>+IW4</f>
        <v>0</v>
      </c>
      <c r="IY2" s="299" t="s">
        <v>43</v>
      </c>
      <c r="IZ2" s="299"/>
      <c r="JA2" s="299"/>
      <c r="JB2" s="299"/>
      <c r="JC2" s="299"/>
      <c r="JD2" t="s">
        <v>37</v>
      </c>
      <c r="JE2">
        <f>+JG28+JG99</f>
        <v>0</v>
      </c>
      <c r="JF2" t="s">
        <v>38</v>
      </c>
      <c r="JG2">
        <f>+(JG4+JG92)/2</f>
        <v>8.14</v>
      </c>
      <c r="JI2" s="299" t="s">
        <v>44</v>
      </c>
      <c r="JJ2" s="299"/>
      <c r="JK2" s="299"/>
      <c r="JL2" s="299"/>
      <c r="JM2" s="299"/>
      <c r="JN2" t="s">
        <v>37</v>
      </c>
      <c r="JO2" t="e">
        <f>+#REF!+JQ97</f>
        <v>#REF!</v>
      </c>
      <c r="JP2" t="s">
        <v>38</v>
      </c>
      <c r="JQ2">
        <f>+(JQ4+JQ78)/2</f>
        <v>45.18</v>
      </c>
      <c r="JS2" s="299" t="s">
        <v>1678</v>
      </c>
      <c r="JT2" s="299"/>
      <c r="JU2" s="299"/>
      <c r="JV2" s="299"/>
      <c r="JW2" s="299"/>
      <c r="JX2" t="s">
        <v>37</v>
      </c>
      <c r="JY2">
        <f>+KA5+KA46</f>
        <v>10.73</v>
      </c>
      <c r="JZ2" t="s">
        <v>38</v>
      </c>
      <c r="KA2">
        <f>+KA4+KA7</f>
        <v>21.46</v>
      </c>
      <c r="KC2" s="299" t="s">
        <v>45</v>
      </c>
      <c r="KD2" s="299"/>
      <c r="KE2" s="299"/>
      <c r="KF2" s="299"/>
      <c r="KG2" s="299"/>
      <c r="KH2" t="s">
        <v>37</v>
      </c>
      <c r="KI2">
        <f>+KK6+KK26</f>
        <v>0.8</v>
      </c>
      <c r="KJ2" t="s">
        <v>38</v>
      </c>
      <c r="KK2">
        <f>+KK4+KK7</f>
        <v>0.78</v>
      </c>
      <c r="KM2" s="299" t="s">
        <v>1724</v>
      </c>
      <c r="KN2" s="299"/>
      <c r="KO2" s="299"/>
      <c r="KP2" s="299"/>
      <c r="KQ2" s="299"/>
      <c r="KR2" t="s">
        <v>37</v>
      </c>
      <c r="KS2">
        <f>+KU34+KU26</f>
        <v>23.53</v>
      </c>
      <c r="KT2" t="s">
        <v>38</v>
      </c>
      <c r="KU2">
        <f>+KU4+KU50</f>
        <v>69.440000000000012</v>
      </c>
      <c r="KW2" s="299" t="s">
        <v>1681</v>
      </c>
      <c r="KX2" s="299"/>
      <c r="KY2" s="299"/>
      <c r="KZ2" s="299"/>
      <c r="LA2" s="299"/>
      <c r="LB2" t="s">
        <v>37</v>
      </c>
      <c r="LC2">
        <f>+LE5+LE12</f>
        <v>10.43</v>
      </c>
      <c r="LD2" t="s">
        <v>38</v>
      </c>
      <c r="LE2">
        <f>+LE4+LE7</f>
        <v>10.31</v>
      </c>
      <c r="LG2" s="299" t="s">
        <v>1777</v>
      </c>
      <c r="LH2" s="299"/>
      <c r="LI2" s="299"/>
      <c r="LJ2" s="299"/>
      <c r="LK2" s="299"/>
      <c r="LL2" t="s">
        <v>37</v>
      </c>
      <c r="LM2">
        <f>+LO5+LO16</f>
        <v>7.0299999999999994</v>
      </c>
      <c r="LN2" t="s">
        <v>38</v>
      </c>
      <c r="LO2">
        <f>+LO4+LO7</f>
        <v>7.02</v>
      </c>
      <c r="LQ2" s="299" t="s">
        <v>1778</v>
      </c>
      <c r="LR2" s="299"/>
      <c r="LS2" s="299"/>
      <c r="LT2" s="299"/>
      <c r="LU2" s="299"/>
      <c r="LV2" t="s">
        <v>37</v>
      </c>
      <c r="LW2">
        <f>+LY6+LY16</f>
        <v>17.490000000000002</v>
      </c>
      <c r="LX2" t="s">
        <v>38</v>
      </c>
      <c r="LY2">
        <f>+LY4</f>
        <v>8.7199999999999989</v>
      </c>
      <c r="MA2" s="299" t="s">
        <v>1779</v>
      </c>
      <c r="MB2" s="299"/>
      <c r="MC2" s="299"/>
      <c r="MD2" s="299"/>
      <c r="ME2" s="299"/>
      <c r="MF2" t="s">
        <v>37</v>
      </c>
      <c r="MG2">
        <f>+MI11+MI16</f>
        <v>78.44</v>
      </c>
      <c r="MH2" t="s">
        <v>38</v>
      </c>
      <c r="MI2">
        <f>+MI4</f>
        <v>39.19</v>
      </c>
      <c r="MK2" s="299" t="s">
        <v>1682</v>
      </c>
      <c r="ML2" s="299"/>
      <c r="MM2" s="299"/>
      <c r="MN2" t="s">
        <v>39</v>
      </c>
      <c r="MO2">
        <f>+MS8+MS68</f>
        <v>2.81</v>
      </c>
      <c r="MP2" t="s">
        <v>37</v>
      </c>
      <c r="MQ2">
        <f>+MS6+MS60</f>
        <v>5.62</v>
      </c>
      <c r="MR2" t="s">
        <v>38</v>
      </c>
      <c r="MS2">
        <f>+MS4+MS52</f>
        <v>5.62</v>
      </c>
      <c r="MU2" s="299" t="s">
        <v>1780</v>
      </c>
      <c r="MV2" s="299"/>
      <c r="MW2" s="299"/>
      <c r="MX2" t="s">
        <v>39</v>
      </c>
      <c r="MY2">
        <f>+NC16+NC68</f>
        <v>0.88000000000000012</v>
      </c>
      <c r="MZ2" t="s">
        <v>37</v>
      </c>
      <c r="NA2">
        <f>+NC4</f>
        <v>1.08</v>
      </c>
      <c r="NB2" t="s">
        <v>38</v>
      </c>
      <c r="NC2">
        <f>+NC10</f>
        <v>0.91999999999999993</v>
      </c>
      <c r="NE2" s="299" t="s">
        <v>1782</v>
      </c>
      <c r="NF2" s="299"/>
      <c r="NG2" s="299"/>
      <c r="NH2" t="s">
        <v>39</v>
      </c>
      <c r="NI2">
        <f>+NM8+NM68</f>
        <v>0.06</v>
      </c>
      <c r="NJ2" t="s">
        <v>37</v>
      </c>
      <c r="NK2">
        <f>+NM6</f>
        <v>0.4</v>
      </c>
      <c r="NL2" t="s">
        <v>38</v>
      </c>
      <c r="NM2">
        <f>+NM4</f>
        <v>0.38</v>
      </c>
      <c r="NO2" s="299" t="s">
        <v>1783</v>
      </c>
      <c r="NP2" s="299"/>
      <c r="NQ2" s="299"/>
      <c r="NR2" t="s">
        <v>39</v>
      </c>
      <c r="NS2">
        <f>+NW14+NW68</f>
        <v>2.42</v>
      </c>
      <c r="NT2" t="s">
        <v>37</v>
      </c>
      <c r="NU2">
        <f>+NW9</f>
        <v>5.0399999999999991</v>
      </c>
      <c r="NV2" t="s">
        <v>38</v>
      </c>
      <c r="NW2">
        <f>+NW4</f>
        <v>5.05</v>
      </c>
      <c r="NY2" s="299" t="s">
        <v>1784</v>
      </c>
      <c r="NZ2" s="299"/>
      <c r="OA2" s="299"/>
      <c r="OB2" t="s">
        <v>39</v>
      </c>
      <c r="OC2">
        <f>+OG8+OG68</f>
        <v>2.31</v>
      </c>
      <c r="OD2" t="s">
        <v>37</v>
      </c>
      <c r="OE2">
        <f>+OG6</f>
        <v>4.62</v>
      </c>
      <c r="OF2" t="s">
        <v>38</v>
      </c>
      <c r="OG2">
        <f>+OG4</f>
        <v>4.62</v>
      </c>
      <c r="OI2" s="299" t="s">
        <v>1786</v>
      </c>
      <c r="OJ2" s="299"/>
      <c r="OK2" s="299"/>
      <c r="OL2" t="s">
        <v>39</v>
      </c>
      <c r="OM2">
        <f>+OQ16+OQ68</f>
        <v>1.23</v>
      </c>
      <c r="ON2" t="s">
        <v>37</v>
      </c>
      <c r="OO2">
        <f>+OQ10</f>
        <v>0</v>
      </c>
      <c r="OP2" t="s">
        <v>38</v>
      </c>
      <c r="OQ2">
        <f>+OQ4</f>
        <v>1.48</v>
      </c>
      <c r="OS2" s="299" t="s">
        <v>1470</v>
      </c>
      <c r="OT2" s="299"/>
      <c r="OU2" s="299"/>
      <c r="OV2" t="s">
        <v>39</v>
      </c>
      <c r="OW2">
        <f>+PA12+PA22</f>
        <v>0</v>
      </c>
      <c r="OX2" t="s">
        <v>37</v>
      </c>
      <c r="OY2" t="e">
        <f>+#REF!+PA21</f>
        <v>#REF!</v>
      </c>
      <c r="OZ2" t="s">
        <v>38</v>
      </c>
      <c r="PA2">
        <f>+PA4+PA20</f>
        <v>2.34</v>
      </c>
      <c r="PC2" s="299" t="s">
        <v>1787</v>
      </c>
      <c r="PD2" s="299"/>
      <c r="PE2" s="299"/>
      <c r="PF2" t="s">
        <v>39</v>
      </c>
      <c r="PG2" t="e">
        <f>+#REF!+PK22</f>
        <v>#REF!</v>
      </c>
      <c r="PH2" t="s">
        <v>37</v>
      </c>
      <c r="PI2" t="e">
        <f>+#REF!+PK21</f>
        <v>#REF!</v>
      </c>
      <c r="PJ2" t="s">
        <v>38</v>
      </c>
      <c r="PK2">
        <f>+PK4+PK20</f>
        <v>11.05</v>
      </c>
      <c r="PM2" s="299" t="s">
        <v>1789</v>
      </c>
      <c r="PN2" s="299"/>
      <c r="PO2" s="299"/>
      <c r="PP2" t="s">
        <v>1173</v>
      </c>
      <c r="PQ2">
        <f>+PU24+PU42</f>
        <v>0</v>
      </c>
      <c r="PR2" t="s">
        <v>37</v>
      </c>
      <c r="PS2">
        <f>+PU7+PU36</f>
        <v>8.7100000000000009</v>
      </c>
      <c r="PT2" t="s">
        <v>38</v>
      </c>
      <c r="PU2">
        <f>+PU4+PU32</f>
        <v>3.91</v>
      </c>
      <c r="PW2" s="299" t="s">
        <v>1790</v>
      </c>
      <c r="PX2" s="299"/>
      <c r="PY2" s="299"/>
      <c r="PZ2" t="s">
        <v>1173</v>
      </c>
      <c r="QA2">
        <f>+QE24+QE42</f>
        <v>0</v>
      </c>
      <c r="QB2" t="s">
        <v>37</v>
      </c>
      <c r="QC2">
        <f>+QE21+QE36</f>
        <v>20.439999999999998</v>
      </c>
      <c r="QD2" t="s">
        <v>38</v>
      </c>
      <c r="QE2" t="e">
        <f>+QE4+#REF!</f>
        <v>#REF!</v>
      </c>
      <c r="QG2" s="299" t="s">
        <v>1791</v>
      </c>
      <c r="QH2" s="299"/>
      <c r="QI2" s="299"/>
      <c r="QJ2" t="s">
        <v>1173</v>
      </c>
      <c r="QK2">
        <f>+QO24+QO42</f>
        <v>0</v>
      </c>
      <c r="QL2" t="s">
        <v>37</v>
      </c>
      <c r="QM2">
        <f>+QO29+QO36</f>
        <v>0</v>
      </c>
      <c r="QN2" t="s">
        <v>38</v>
      </c>
      <c r="QO2">
        <f>+QO4+QO32</f>
        <v>1.01</v>
      </c>
      <c r="QQ2" s="299" t="s">
        <v>1725</v>
      </c>
      <c r="QR2" s="299"/>
      <c r="QS2" s="299"/>
      <c r="QT2" s="299"/>
      <c r="QU2" s="299"/>
      <c r="QW2" t="s">
        <v>63</v>
      </c>
      <c r="QX2">
        <f>+SUM(QX4:QX72)</f>
        <v>18.709999999999994</v>
      </c>
      <c r="QY2" t="s">
        <v>38</v>
      </c>
      <c r="QZ2"/>
      <c r="RA2">
        <f>+RA4+RA27</f>
        <v>57</v>
      </c>
      <c r="RC2" s="299" t="s">
        <v>46</v>
      </c>
      <c r="RD2" s="299"/>
      <c r="RE2" s="299"/>
      <c r="RF2" s="299"/>
      <c r="RG2" s="299"/>
      <c r="RH2" t="s">
        <v>47</v>
      </c>
      <c r="RI2" t="e">
        <f>+RK4+#REF!</f>
        <v>#REF!</v>
      </c>
      <c r="RJ2" t="s">
        <v>38</v>
      </c>
      <c r="RK2">
        <f>+RK4</f>
        <v>7.4700000000000006</v>
      </c>
      <c r="RM2" s="299" t="s">
        <v>1792</v>
      </c>
      <c r="RN2" s="299"/>
      <c r="RO2" s="299"/>
      <c r="RP2" s="299"/>
      <c r="RQ2" s="299"/>
      <c r="RR2" s="299"/>
      <c r="RS2" s="299"/>
      <c r="RT2" t="s">
        <v>38</v>
      </c>
      <c r="RU2">
        <f>+RU4+RU16</f>
        <v>2.4900000000000002</v>
      </c>
      <c r="RW2" s="299" t="s">
        <v>48</v>
      </c>
      <c r="RX2" s="299"/>
      <c r="RY2" s="299"/>
      <c r="RZ2" s="299"/>
      <c r="SA2" s="299"/>
      <c r="SB2" s="299"/>
      <c r="SC2" s="299"/>
      <c r="SD2" t="s">
        <v>38</v>
      </c>
      <c r="SE2">
        <f>+SE4</f>
        <v>4.91</v>
      </c>
      <c r="SG2" s="299" t="s">
        <v>1794</v>
      </c>
      <c r="SH2" s="299"/>
      <c r="SI2" s="299"/>
      <c r="SJ2" s="299"/>
      <c r="SK2" s="299"/>
      <c r="SL2" s="299"/>
      <c r="SM2" s="299"/>
      <c r="SN2" t="s">
        <v>38</v>
      </c>
      <c r="SO2">
        <f>+SO4</f>
        <v>8.870000000000001</v>
      </c>
      <c r="SQ2" s="299" t="s">
        <v>49</v>
      </c>
      <c r="SR2" s="299"/>
      <c r="SS2" s="299"/>
      <c r="ST2" t="s">
        <v>50</v>
      </c>
      <c r="SU2" s="32" t="e">
        <f>+#REF!+SY16</f>
        <v>#REF!</v>
      </c>
      <c r="SV2" t="s">
        <v>47</v>
      </c>
      <c r="SW2" s="32">
        <f>+SY4+SY9</f>
        <v>80.94</v>
      </c>
      <c r="SX2" t="s">
        <v>38</v>
      </c>
      <c r="SY2" s="34">
        <f>+SY4</f>
        <v>80.94</v>
      </c>
      <c r="TA2" s="299" t="s">
        <v>51</v>
      </c>
      <c r="TB2" s="299"/>
      <c r="TC2" s="299"/>
      <c r="TD2" s="299"/>
      <c r="TE2" s="299"/>
      <c r="TF2" t="s">
        <v>47</v>
      </c>
      <c r="TG2" s="32">
        <f>+TI4</f>
        <v>0.06</v>
      </c>
      <c r="TH2" t="s">
        <v>38</v>
      </c>
      <c r="TI2" s="34">
        <f>+SUM(TH4:TH13)</f>
        <v>5.66</v>
      </c>
      <c r="TK2" s="299" t="s">
        <v>52</v>
      </c>
      <c r="TL2" s="299"/>
      <c r="TM2" s="299"/>
      <c r="TN2" s="299"/>
      <c r="TO2" s="299"/>
      <c r="TP2" t="s">
        <v>47</v>
      </c>
      <c r="TQ2" s="32">
        <f>+TS4</f>
        <v>78.039999999999992</v>
      </c>
      <c r="TR2" t="s">
        <v>38</v>
      </c>
      <c r="TS2" s="34">
        <f>+TS4</f>
        <v>78.039999999999992</v>
      </c>
      <c r="TU2" s="299" t="s">
        <v>1629</v>
      </c>
      <c r="TV2" s="299"/>
      <c r="TW2" s="299"/>
      <c r="TX2" t="s">
        <v>50</v>
      </c>
      <c r="TY2" s="32">
        <f>+UC6</f>
        <v>0</v>
      </c>
      <c r="TZ2" t="s">
        <v>47</v>
      </c>
      <c r="UA2" s="32">
        <f>+UC4+UC5</f>
        <v>1.27</v>
      </c>
      <c r="UB2" t="s">
        <v>38</v>
      </c>
      <c r="UC2" s="34">
        <f>+UB4</f>
        <v>1.27</v>
      </c>
      <c r="UE2" t="s">
        <v>53</v>
      </c>
      <c r="UF2" t="s">
        <v>50</v>
      </c>
      <c r="UG2" s="32" t="e">
        <f>+#REF!</f>
        <v>#REF!</v>
      </c>
      <c r="UH2" t="s">
        <v>39</v>
      </c>
      <c r="UI2" s="32">
        <f>+UM10</f>
        <v>2.56</v>
      </c>
      <c r="UJ2" t="s">
        <v>47</v>
      </c>
      <c r="UK2" s="32">
        <f>+UM4</f>
        <v>12.78</v>
      </c>
      <c r="UL2" t="s">
        <v>38</v>
      </c>
      <c r="UM2" s="34">
        <f>+UM4</f>
        <v>12.78</v>
      </c>
      <c r="UO2" t="s">
        <v>54</v>
      </c>
      <c r="UP2" t="s">
        <v>50</v>
      </c>
      <c r="UQ2" s="32" t="e">
        <f>+#REF!</f>
        <v>#REF!</v>
      </c>
      <c r="UR2" t="s">
        <v>39</v>
      </c>
      <c r="US2" s="32">
        <f>+UW8</f>
        <v>0</v>
      </c>
      <c r="UT2" t="s">
        <v>47</v>
      </c>
      <c r="UU2" s="32">
        <f>+UW4</f>
        <v>0</v>
      </c>
      <c r="UV2" t="s">
        <v>38</v>
      </c>
      <c r="UW2" s="34">
        <f>+UW10</f>
        <v>0</v>
      </c>
      <c r="UY2" s="299" t="s">
        <v>1727</v>
      </c>
      <c r="UZ2" s="299"/>
      <c r="VA2" s="299"/>
      <c r="VB2" t="s">
        <v>39</v>
      </c>
      <c r="VC2" s="32">
        <f>+VG5</f>
        <v>1.22</v>
      </c>
      <c r="VD2" t="s">
        <v>47</v>
      </c>
      <c r="VE2" s="32">
        <f>+VG4</f>
        <v>1.22</v>
      </c>
      <c r="VF2" t="s">
        <v>38</v>
      </c>
      <c r="VG2" s="34">
        <f>+VG4</f>
        <v>1.22</v>
      </c>
      <c r="VI2" t="s">
        <v>55</v>
      </c>
      <c r="VJ2" t="s">
        <v>50</v>
      </c>
      <c r="VK2" s="32">
        <f>+VQ8</f>
        <v>0.69</v>
      </c>
      <c r="VL2" t="s">
        <v>39</v>
      </c>
      <c r="VM2" s="32">
        <f>+VQ6</f>
        <v>3.43</v>
      </c>
      <c r="VN2" t="s">
        <v>47</v>
      </c>
      <c r="VO2" s="32">
        <f>+VQ4</f>
        <v>3.43</v>
      </c>
      <c r="VP2" t="s">
        <v>38</v>
      </c>
      <c r="VQ2" s="34">
        <f>+VQ10</f>
        <v>3.43</v>
      </c>
      <c r="VS2" t="s">
        <v>1728</v>
      </c>
      <c r="VT2" t="s">
        <v>50</v>
      </c>
      <c r="VU2" s="32">
        <f>+WA8</f>
        <v>0</v>
      </c>
      <c r="VV2" t="s">
        <v>39</v>
      </c>
      <c r="VW2" s="32">
        <f>+WA5</f>
        <v>0.34</v>
      </c>
      <c r="VX2" t="s">
        <v>47</v>
      </c>
      <c r="VY2" s="32">
        <f>+WA4</f>
        <v>0.34</v>
      </c>
      <c r="VZ2" t="s">
        <v>38</v>
      </c>
      <c r="WA2" s="34">
        <f>+WA4</f>
        <v>0.34</v>
      </c>
      <c r="WC2" t="s">
        <v>56</v>
      </c>
      <c r="WD2" t="s">
        <v>50</v>
      </c>
      <c r="WE2" s="32" t="e">
        <f>+#REF!+WK8</f>
        <v>#REF!</v>
      </c>
      <c r="WF2" t="s">
        <v>57</v>
      </c>
      <c r="WG2" s="32" t="e">
        <f>+#REF!+WK9</f>
        <v>#REF!</v>
      </c>
      <c r="WH2" t="s">
        <v>47</v>
      </c>
      <c r="WI2" s="32" t="e">
        <f>+WK4+#REF!</f>
        <v>#REF!</v>
      </c>
      <c r="WJ2" t="s">
        <v>38</v>
      </c>
      <c r="WK2" s="34">
        <f>+WK4</f>
        <v>0</v>
      </c>
      <c r="WM2" t="s">
        <v>1498</v>
      </c>
      <c r="WN2" t="s">
        <v>50</v>
      </c>
      <c r="WO2" s="32" t="e">
        <f>+#REF!+WU6</f>
        <v>#REF!</v>
      </c>
      <c r="WP2" t="s">
        <v>57</v>
      </c>
      <c r="WQ2" s="32" t="e">
        <f>+#REF!+WU9</f>
        <v>#REF!</v>
      </c>
      <c r="WR2" t="s">
        <v>47</v>
      </c>
      <c r="WS2" s="32">
        <f>+WU4+WU8</f>
        <v>3.33</v>
      </c>
      <c r="WT2" t="s">
        <v>38</v>
      </c>
      <c r="WU2" s="34">
        <f>+WU4</f>
        <v>1.49</v>
      </c>
      <c r="WW2" t="s">
        <v>1919</v>
      </c>
      <c r="WX2" t="s">
        <v>50</v>
      </c>
      <c r="WY2" s="32" t="e">
        <f>+#REF!+XE6</f>
        <v>#REF!</v>
      </c>
      <c r="WZ2" t="s">
        <v>57</v>
      </c>
      <c r="XA2" s="32" t="e">
        <f>+#REF!+XE9</f>
        <v>#REF!</v>
      </c>
      <c r="XB2" t="s">
        <v>47</v>
      </c>
      <c r="XC2" s="32">
        <f>+XE4+XE8</f>
        <v>1.29</v>
      </c>
      <c r="XD2" t="s">
        <v>38</v>
      </c>
      <c r="XE2" s="34">
        <f>+XE4</f>
        <v>1.29</v>
      </c>
      <c r="XG2" s="299" t="s">
        <v>1920</v>
      </c>
      <c r="XH2" s="299"/>
      <c r="XI2" s="299"/>
      <c r="XJ2" s="299"/>
      <c r="XK2" s="299"/>
      <c r="XL2" t="s">
        <v>39</v>
      </c>
      <c r="XM2" s="32">
        <f>+XO5</f>
        <v>1.3</v>
      </c>
      <c r="XN2" t="s">
        <v>38</v>
      </c>
      <c r="XO2" s="34">
        <f>+XO7</f>
        <v>1.3</v>
      </c>
      <c r="XQ2" s="299" t="s">
        <v>1729</v>
      </c>
      <c r="XR2" s="299"/>
      <c r="XS2" s="299"/>
      <c r="XT2" s="299"/>
      <c r="XU2" s="299"/>
      <c r="XV2" t="s">
        <v>39</v>
      </c>
      <c r="XW2" s="32" t="e">
        <f>+#REF!</f>
        <v>#REF!</v>
      </c>
      <c r="XX2" t="s">
        <v>38</v>
      </c>
      <c r="XY2" s="34">
        <f>+XY4</f>
        <v>0.17</v>
      </c>
      <c r="YA2" s="299" t="s">
        <v>1634</v>
      </c>
      <c r="YB2" s="299"/>
      <c r="YC2" s="299"/>
      <c r="YD2" s="299"/>
      <c r="YE2" s="299"/>
      <c r="YF2" t="s">
        <v>39</v>
      </c>
      <c r="YG2" s="32">
        <f>+YI4</f>
        <v>0</v>
      </c>
      <c r="YH2" t="s">
        <v>38</v>
      </c>
      <c r="YI2" s="34">
        <f>+YI9</f>
        <v>0</v>
      </c>
      <c r="YJ2" s="34"/>
      <c r="YK2" s="351" t="s">
        <v>58</v>
      </c>
      <c r="YL2" s="351"/>
      <c r="YM2" s="29" t="s">
        <v>40</v>
      </c>
      <c r="YN2" s="30">
        <f>SUM(YO4:YO380)</f>
        <v>207.45</v>
      </c>
      <c r="YP2" s="29"/>
      <c r="YQ2" s="299" t="s">
        <v>59</v>
      </c>
      <c r="YR2" s="299"/>
      <c r="YS2" s="299"/>
      <c r="YT2" s="299"/>
      <c r="YU2" s="299"/>
      <c r="YV2" s="299"/>
      <c r="YW2" s="299"/>
      <c r="YX2" t="s">
        <v>38</v>
      </c>
      <c r="YY2" s="34">
        <f>+YY4</f>
        <v>0</v>
      </c>
      <c r="ZA2" s="299" t="s">
        <v>1484</v>
      </c>
      <c r="ZB2" s="299"/>
      <c r="ZC2" s="299"/>
      <c r="ZD2" s="299"/>
      <c r="ZE2" s="299"/>
      <c r="ZF2" s="299"/>
      <c r="ZG2" s="299"/>
      <c r="ZH2" t="s">
        <v>38</v>
      </c>
      <c r="ZI2" s="34">
        <f>+ZI4</f>
        <v>49.540000000000006</v>
      </c>
      <c r="ZK2" s="299" t="s">
        <v>1486</v>
      </c>
      <c r="ZL2" s="299"/>
      <c r="ZM2" s="299"/>
      <c r="ZN2" s="299"/>
      <c r="ZO2" s="299"/>
      <c r="ZP2" s="299"/>
      <c r="ZQ2" s="299"/>
      <c r="ZR2" t="s">
        <v>38</v>
      </c>
      <c r="ZS2" s="34">
        <f>+ZS4</f>
        <v>72.48</v>
      </c>
      <c r="ZU2" s="299" t="s">
        <v>1632</v>
      </c>
      <c r="ZV2" s="299"/>
      <c r="ZW2" s="299"/>
      <c r="ZX2" s="299"/>
      <c r="ZY2" s="299"/>
      <c r="ZZ2" s="299"/>
      <c r="AAA2" s="299"/>
      <c r="AAB2" t="s">
        <v>38</v>
      </c>
      <c r="AAC2" s="34">
        <f>+AAC4</f>
        <v>1.8599999999999999</v>
      </c>
      <c r="AAE2" s="299" t="s">
        <v>60</v>
      </c>
      <c r="AAF2" s="299"/>
      <c r="AAG2" s="299"/>
      <c r="AAH2" s="299"/>
      <c r="AAI2" s="299"/>
      <c r="AAJ2" t="s">
        <v>50</v>
      </c>
      <c r="AAK2" s="32" t="e">
        <f>+#REF!</f>
        <v>#REF!</v>
      </c>
      <c r="AAL2" t="s">
        <v>38</v>
      </c>
      <c r="AAM2" s="34">
        <f>+AAM4</f>
        <v>16.218</v>
      </c>
      <c r="AAO2" s="299" t="s">
        <v>61</v>
      </c>
      <c r="AAP2" s="299"/>
      <c r="AAQ2" s="299"/>
      <c r="AAR2" s="299"/>
      <c r="AAS2" s="299"/>
      <c r="AAT2" t="s">
        <v>47</v>
      </c>
      <c r="AAU2" s="32">
        <f>+AAW4+AAW19</f>
        <v>16.169999999999998</v>
      </c>
      <c r="AAV2" t="s">
        <v>38</v>
      </c>
      <c r="AAW2" s="34">
        <f>+AAW4</f>
        <v>16.169999999999998</v>
      </c>
      <c r="AAY2" s="299" t="s">
        <v>1499</v>
      </c>
      <c r="AAZ2" s="299"/>
      <c r="ABA2" s="299"/>
      <c r="ABB2" s="299"/>
      <c r="ABC2" s="299"/>
      <c r="ABD2" s="299"/>
      <c r="ABE2" s="299"/>
      <c r="ABF2" t="s">
        <v>38</v>
      </c>
      <c r="ABG2" s="34">
        <f>+ABG4+ABG7</f>
        <v>7.28</v>
      </c>
      <c r="ABI2" s="299" t="s">
        <v>1921</v>
      </c>
      <c r="ABJ2" s="299"/>
      <c r="ABK2" s="299"/>
      <c r="ABL2" s="299"/>
      <c r="ABM2" s="299"/>
      <c r="ABN2" s="299"/>
      <c r="ABO2" s="299"/>
      <c r="ABP2" t="s">
        <v>38</v>
      </c>
      <c r="ABQ2" s="34">
        <f>+ABQ4+ABQ7</f>
        <v>46.06</v>
      </c>
      <c r="ABS2" s="299" t="s">
        <v>1922</v>
      </c>
      <c r="ABT2" s="299"/>
      <c r="ABU2" s="299"/>
      <c r="ABV2" s="299"/>
      <c r="ABW2" s="299"/>
      <c r="ABX2" s="299"/>
      <c r="ABY2" s="299"/>
      <c r="ABZ2" t="s">
        <v>38</v>
      </c>
      <c r="ACA2" s="34">
        <f>+ACA4+ACA7</f>
        <v>6.94</v>
      </c>
      <c r="ACC2" s="299" t="s">
        <v>1500</v>
      </c>
      <c r="ACD2" s="299"/>
      <c r="ACE2" s="299"/>
      <c r="ACF2" s="299"/>
      <c r="ACG2" s="299"/>
      <c r="ACH2" t="s">
        <v>63</v>
      </c>
      <c r="ACI2" s="32">
        <f>+ACK5</f>
        <v>0</v>
      </c>
      <c r="ACJ2" t="s">
        <v>38</v>
      </c>
      <c r="ACK2" s="34">
        <f>+ACK4</f>
        <v>0</v>
      </c>
      <c r="ACM2" s="299" t="s">
        <v>62</v>
      </c>
      <c r="ACN2" s="299"/>
      <c r="ACO2" s="299"/>
      <c r="ACP2" s="299"/>
      <c r="ACQ2" s="299"/>
      <c r="ACR2" t="s">
        <v>63</v>
      </c>
      <c r="ACS2" s="32">
        <f>+ACU5</f>
        <v>0</v>
      </c>
      <c r="ACT2" t="s">
        <v>38</v>
      </c>
      <c r="ACU2" s="34">
        <f>+ACU4</f>
        <v>0</v>
      </c>
      <c r="ACW2" s="146" t="s">
        <v>64</v>
      </c>
      <c r="ACX2" s="29"/>
      <c r="ACY2" s="146"/>
      <c r="ACZ2" s="146"/>
      <c r="ADA2" s="29" t="s">
        <v>40</v>
      </c>
      <c r="ADB2" s="29">
        <f>SUM(ADB4:ADB31)</f>
        <v>30.354999999999997</v>
      </c>
      <c r="ADD2" s="351" t="s">
        <v>65</v>
      </c>
      <c r="ADE2" s="351"/>
      <c r="ADF2" s="29" t="s">
        <v>40</v>
      </c>
      <c r="ADG2" s="29">
        <f>SUM(ADG4:ADG36)</f>
        <v>218.93000000000004</v>
      </c>
      <c r="ADI2" s="299" t="s">
        <v>294</v>
      </c>
      <c r="ADJ2" s="299"/>
      <c r="ADK2"/>
      <c r="ADL2"/>
      <c r="ADM2"/>
      <c r="ADN2" s="34"/>
      <c r="ADO2" s="34"/>
      <c r="ADQ2" s="299" t="s">
        <v>298</v>
      </c>
      <c r="ADR2" s="299"/>
      <c r="ADS2" s="299"/>
      <c r="ADT2"/>
      <c r="ADU2" s="34"/>
      <c r="ADV2" s="34"/>
      <c r="ADW2" s="34"/>
      <c r="ADX2" s="299" t="s">
        <v>339</v>
      </c>
      <c r="ADY2" s="299"/>
      <c r="ADZ2"/>
      <c r="AEA2"/>
      <c r="AEB2" s="34"/>
      <c r="AEC2" s="34"/>
      <c r="AED2" s="34"/>
      <c r="AEF2" s="299" t="s">
        <v>338</v>
      </c>
      <c r="AEG2" s="299"/>
      <c r="AEH2" s="299"/>
      <c r="AEI2"/>
      <c r="AEJ2" s="34"/>
      <c r="AEK2" s="34"/>
      <c r="AEL2" s="34"/>
      <c r="AEM2" s="299" t="s">
        <v>379</v>
      </c>
      <c r="AEN2" s="299"/>
      <c r="AEO2"/>
      <c r="AEP2"/>
      <c r="AEQ2"/>
      <c r="AER2" s="34"/>
      <c r="AES2" s="34"/>
      <c r="AEU2" s="299" t="s">
        <v>380</v>
      </c>
      <c r="AEV2" s="299"/>
      <c r="AEW2" s="299"/>
      <c r="AEX2"/>
      <c r="AEY2" s="34"/>
      <c r="AEZ2" s="34"/>
      <c r="AFB2" s="351" t="s">
        <v>413</v>
      </c>
      <c r="AFC2" s="351"/>
      <c r="AFD2" s="29"/>
      <c r="AFE2" s="1" t="s">
        <v>35</v>
      </c>
      <c r="AFF2" s="30">
        <f>SUM(AFG4:AFG108)</f>
        <v>55.44</v>
      </c>
      <c r="AFG2" s="30"/>
      <c r="AFH2" s="299" t="s">
        <v>418</v>
      </c>
      <c r="AFI2" s="299"/>
      <c r="AFJ2"/>
      <c r="AFK2"/>
      <c r="AFL2"/>
      <c r="AFM2" s="34"/>
      <c r="AFN2" s="34"/>
      <c r="AFP2" s="299" t="s">
        <v>66</v>
      </c>
      <c r="AFQ2" s="299"/>
      <c r="AFR2" t="s">
        <v>67</v>
      </c>
      <c r="AFS2" s="29">
        <f>SUM(AFT5:AFT101)</f>
        <v>86.559999999999988</v>
      </c>
      <c r="AFT2" s="1" t="s">
        <v>68</v>
      </c>
      <c r="AFU2" s="29">
        <f>SUM(AFV5:AFV101)</f>
        <v>336</v>
      </c>
      <c r="AFW2" s="299" t="s">
        <v>69</v>
      </c>
      <c r="AFX2" s="299"/>
      <c r="AFY2" t="s">
        <v>67</v>
      </c>
      <c r="AFZ2" s="29">
        <f>SUM(AGA5:AGA101)</f>
        <v>60.879999999999995</v>
      </c>
      <c r="AGA2" s="1" t="s">
        <v>68</v>
      </c>
      <c r="AGB2" s="29">
        <f>SUM(AGC5:AGC101)</f>
        <v>116</v>
      </c>
    </row>
    <row r="3" spans="1:860" s="1" customFormat="1" x14ac:dyDescent="0.25">
      <c r="B3" s="29" t="s">
        <v>70</v>
      </c>
      <c r="C3" s="29" t="s">
        <v>71</v>
      </c>
      <c r="D3" s="29" t="s">
        <v>72</v>
      </c>
      <c r="E3" s="29" t="s">
        <v>73</v>
      </c>
      <c r="F3" s="29" t="s">
        <v>74</v>
      </c>
      <c r="G3" s="29" t="s">
        <v>75</v>
      </c>
      <c r="H3" s="29" t="s">
        <v>80</v>
      </c>
      <c r="I3" s="29" t="s">
        <v>1226</v>
      </c>
      <c r="K3" s="1" t="s">
        <v>70</v>
      </c>
      <c r="L3" s="1" t="s">
        <v>71</v>
      </c>
      <c r="M3" s="1" t="s">
        <v>76</v>
      </c>
      <c r="N3" s="1" t="s">
        <v>77</v>
      </c>
      <c r="O3" s="29" t="s">
        <v>78</v>
      </c>
      <c r="P3" s="29" t="s">
        <v>1216</v>
      </c>
      <c r="Q3" s="29" t="s">
        <v>79</v>
      </c>
      <c r="R3" s="29" t="s">
        <v>80</v>
      </c>
      <c r="S3" s="29" t="s">
        <v>81</v>
      </c>
      <c r="T3" s="29" t="s">
        <v>1226</v>
      </c>
      <c r="U3" s="29" t="s">
        <v>82</v>
      </c>
      <c r="W3" s="1" t="s">
        <v>70</v>
      </c>
      <c r="X3" s="1" t="s">
        <v>71</v>
      </c>
      <c r="Y3" s="1" t="s">
        <v>76</v>
      </c>
      <c r="Z3" s="1" t="s">
        <v>77</v>
      </c>
      <c r="AA3" s="29" t="s">
        <v>78</v>
      </c>
      <c r="AB3" s="29" t="s">
        <v>1216</v>
      </c>
      <c r="AC3" s="29" t="s">
        <v>79</v>
      </c>
      <c r="AD3" s="29" t="s">
        <v>80</v>
      </c>
      <c r="AE3" s="29" t="s">
        <v>81</v>
      </c>
      <c r="AF3" s="29" t="s">
        <v>1226</v>
      </c>
      <c r="AG3" s="29" t="s">
        <v>82</v>
      </c>
      <c r="AI3" s="1" t="s">
        <v>70</v>
      </c>
      <c r="AJ3" s="1" t="s">
        <v>71</v>
      </c>
      <c r="AK3" s="1" t="s">
        <v>76</v>
      </c>
      <c r="AL3" s="1" t="s">
        <v>77</v>
      </c>
      <c r="AM3" s="29" t="s">
        <v>78</v>
      </c>
      <c r="AN3" s="29" t="s">
        <v>1216</v>
      </c>
      <c r="AO3" s="29" t="s">
        <v>79</v>
      </c>
      <c r="AP3" s="29" t="s">
        <v>80</v>
      </c>
      <c r="AQ3" s="29" t="s">
        <v>81</v>
      </c>
      <c r="AR3" s="29" t="s">
        <v>1226</v>
      </c>
      <c r="AS3" s="29" t="s">
        <v>82</v>
      </c>
      <c r="AU3" s="1" t="s">
        <v>70</v>
      </c>
      <c r="AV3" s="1" t="s">
        <v>71</v>
      </c>
      <c r="AW3" s="1" t="s">
        <v>76</v>
      </c>
      <c r="AX3" s="1" t="s">
        <v>77</v>
      </c>
      <c r="AY3" s="29" t="s">
        <v>78</v>
      </c>
      <c r="AZ3" s="29" t="s">
        <v>1216</v>
      </c>
      <c r="BA3" s="29" t="s">
        <v>79</v>
      </c>
      <c r="BB3" s="29" t="s">
        <v>80</v>
      </c>
      <c r="BC3" s="29" t="s">
        <v>81</v>
      </c>
      <c r="BD3" s="29" t="s">
        <v>1226</v>
      </c>
      <c r="BE3" s="29" t="s">
        <v>82</v>
      </c>
      <c r="BF3" s="29"/>
      <c r="BG3" s="29" t="s">
        <v>70</v>
      </c>
      <c r="BH3" s="29" t="s">
        <v>71</v>
      </c>
      <c r="BI3" s="29" t="s">
        <v>72</v>
      </c>
      <c r="BJ3" s="29" t="s">
        <v>74</v>
      </c>
      <c r="BK3" s="29" t="s">
        <v>1407</v>
      </c>
      <c r="BL3" s="29" t="s">
        <v>1226</v>
      </c>
      <c r="BM3" s="29" t="s">
        <v>75</v>
      </c>
      <c r="BN3" s="29"/>
      <c r="BO3" s="29" t="s">
        <v>70</v>
      </c>
      <c r="BP3" s="29" t="s">
        <v>71</v>
      </c>
      <c r="BQ3" s="29" t="s">
        <v>72</v>
      </c>
      <c r="BR3" s="29" t="s">
        <v>74</v>
      </c>
      <c r="BS3" s="29" t="s">
        <v>1407</v>
      </c>
      <c r="BT3" s="29" t="s">
        <v>1226</v>
      </c>
      <c r="BU3" s="29" t="s">
        <v>75</v>
      </c>
      <c r="BV3" s="29"/>
      <c r="BW3" s="29" t="s">
        <v>70</v>
      </c>
      <c r="BX3" s="29" t="s">
        <v>71</v>
      </c>
      <c r="BY3" s="29" t="s">
        <v>72</v>
      </c>
      <c r="BZ3" s="29" t="s">
        <v>74</v>
      </c>
      <c r="CA3" s="29" t="s">
        <v>1407</v>
      </c>
      <c r="CB3" s="29" t="s">
        <v>1226</v>
      </c>
      <c r="CC3" s="29" t="s">
        <v>75</v>
      </c>
      <c r="CD3" s="29"/>
      <c r="CE3" s="29" t="s">
        <v>70</v>
      </c>
      <c r="CF3" s="29" t="s">
        <v>71</v>
      </c>
      <c r="CG3" s="29" t="s">
        <v>72</v>
      </c>
      <c r="CH3" s="29" t="s">
        <v>74</v>
      </c>
      <c r="CI3" s="29" t="s">
        <v>1407</v>
      </c>
      <c r="CJ3" s="29" t="s">
        <v>1226</v>
      </c>
      <c r="CK3" s="29" t="s">
        <v>75</v>
      </c>
      <c r="CL3" s="29"/>
      <c r="CM3" s="29" t="s">
        <v>70</v>
      </c>
      <c r="CN3" s="29" t="s">
        <v>71</v>
      </c>
      <c r="CO3" s="29" t="s">
        <v>72</v>
      </c>
      <c r="CP3" s="29" t="s">
        <v>74</v>
      </c>
      <c r="CQ3" s="29" t="s">
        <v>1407</v>
      </c>
      <c r="CR3" s="29" t="s">
        <v>1226</v>
      </c>
      <c r="CS3" s="29" t="s">
        <v>75</v>
      </c>
      <c r="CT3" s="29"/>
      <c r="CU3" s="29" t="s">
        <v>70</v>
      </c>
      <c r="CV3" s="29" t="s">
        <v>71</v>
      </c>
      <c r="CW3" s="29" t="s">
        <v>72</v>
      </c>
      <c r="CX3" s="29" t="s">
        <v>74</v>
      </c>
      <c r="CY3" s="29" t="s">
        <v>1407</v>
      </c>
      <c r="CZ3" s="29" t="s">
        <v>1226</v>
      </c>
      <c r="DA3" s="29" t="s">
        <v>75</v>
      </c>
      <c r="DB3" s="29"/>
      <c r="DC3" s="29" t="s">
        <v>70</v>
      </c>
      <c r="DD3" s="29" t="s">
        <v>71</v>
      </c>
      <c r="DE3" s="29" t="s">
        <v>72</v>
      </c>
      <c r="DF3" s="29" t="s">
        <v>74</v>
      </c>
      <c r="DG3" s="29" t="s">
        <v>1226</v>
      </c>
      <c r="DH3" s="29" t="s">
        <v>75</v>
      </c>
      <c r="DI3" s="29"/>
      <c r="DJ3" s="29" t="s">
        <v>70</v>
      </c>
      <c r="DK3" s="29" t="s">
        <v>71</v>
      </c>
      <c r="DL3" s="29" t="s">
        <v>72</v>
      </c>
      <c r="DM3" s="29" t="s">
        <v>74</v>
      </c>
      <c r="DN3" s="29" t="s">
        <v>1407</v>
      </c>
      <c r="DO3" s="29" t="s">
        <v>1226</v>
      </c>
      <c r="DP3" s="29"/>
      <c r="DQ3" s="29" t="s">
        <v>70</v>
      </c>
      <c r="DR3" s="29" t="s">
        <v>71</v>
      </c>
      <c r="DS3" s="29" t="s">
        <v>72</v>
      </c>
      <c r="DT3" s="29" t="s">
        <v>74</v>
      </c>
      <c r="DU3" s="29" t="s">
        <v>1226</v>
      </c>
      <c r="DV3" s="29" t="s">
        <v>75</v>
      </c>
      <c r="DW3" s="29"/>
      <c r="DX3" s="29" t="s">
        <v>70</v>
      </c>
      <c r="DY3" s="29" t="s">
        <v>71</v>
      </c>
      <c r="DZ3" s="29" t="s">
        <v>72</v>
      </c>
      <c r="EA3" s="29" t="s">
        <v>74</v>
      </c>
      <c r="EB3" s="29" t="s">
        <v>1226</v>
      </c>
      <c r="EC3" s="29" t="s">
        <v>75</v>
      </c>
      <c r="ED3" s="29"/>
      <c r="EE3" s="29" t="s">
        <v>70</v>
      </c>
      <c r="EF3" s="29" t="s">
        <v>71</v>
      </c>
      <c r="EG3" s="29" t="s">
        <v>72</v>
      </c>
      <c r="EH3" s="29" t="s">
        <v>74</v>
      </c>
      <c r="EI3" s="29" t="s">
        <v>1407</v>
      </c>
      <c r="EJ3" s="29" t="s">
        <v>1226</v>
      </c>
      <c r="EK3" s="29" t="s">
        <v>75</v>
      </c>
      <c r="EL3" s="29"/>
      <c r="EM3" s="29" t="s">
        <v>70</v>
      </c>
      <c r="EN3" s="29" t="s">
        <v>71</v>
      </c>
      <c r="EO3" s="29" t="s">
        <v>72</v>
      </c>
      <c r="EP3" s="29" t="s">
        <v>74</v>
      </c>
      <c r="EQ3" s="29" t="s">
        <v>1407</v>
      </c>
      <c r="ER3" s="29" t="s">
        <v>1226</v>
      </c>
      <c r="ES3" s="29" t="s">
        <v>75</v>
      </c>
      <c r="ET3" s="29"/>
      <c r="EU3" s="29" t="s">
        <v>70</v>
      </c>
      <c r="EV3" s="29" t="s">
        <v>71</v>
      </c>
      <c r="EW3" s="29" t="s">
        <v>72</v>
      </c>
      <c r="EX3" s="29" t="s">
        <v>74</v>
      </c>
      <c r="EY3" s="29" t="s">
        <v>1407</v>
      </c>
      <c r="EZ3" s="29" t="s">
        <v>1226</v>
      </c>
      <c r="FA3" s="29" t="s">
        <v>75</v>
      </c>
      <c r="FB3" s="29"/>
      <c r="FC3" s="29" t="s">
        <v>70</v>
      </c>
      <c r="FD3" s="29" t="s">
        <v>71</v>
      </c>
      <c r="FE3" s="29" t="s">
        <v>72</v>
      </c>
      <c r="FF3" s="29" t="s">
        <v>74</v>
      </c>
      <c r="FG3" s="29" t="s">
        <v>1407</v>
      </c>
      <c r="FH3" s="29" t="s">
        <v>1226</v>
      </c>
      <c r="FI3" s="29" t="s">
        <v>75</v>
      </c>
      <c r="FJ3" s="29"/>
      <c r="FK3" s="29" t="s">
        <v>70</v>
      </c>
      <c r="FL3" s="29" t="s">
        <v>71</v>
      </c>
      <c r="FM3" s="29" t="s">
        <v>72</v>
      </c>
      <c r="FN3" s="29" t="s">
        <v>83</v>
      </c>
      <c r="FO3" s="29" t="s">
        <v>84</v>
      </c>
      <c r="FP3" s="29" t="s">
        <v>80</v>
      </c>
      <c r="FQ3" s="29" t="s">
        <v>1226</v>
      </c>
      <c r="FR3" s="29"/>
      <c r="FS3" s="29" t="s">
        <v>70</v>
      </c>
      <c r="FT3" s="29" t="s">
        <v>71</v>
      </c>
      <c r="FU3" s="29" t="s">
        <v>72</v>
      </c>
      <c r="FV3" s="29" t="s">
        <v>83</v>
      </c>
      <c r="FW3" s="29" t="s">
        <v>84</v>
      </c>
      <c r="FX3" s="29" t="s">
        <v>80</v>
      </c>
      <c r="FY3" s="29" t="s">
        <v>1226</v>
      </c>
      <c r="FZ3" s="29"/>
      <c r="GA3" s="29" t="s">
        <v>70</v>
      </c>
      <c r="GB3" s="29" t="s">
        <v>71</v>
      </c>
      <c r="GC3" s="29" t="s">
        <v>72</v>
      </c>
      <c r="GD3" s="29" t="s">
        <v>83</v>
      </c>
      <c r="GE3" s="29" t="s">
        <v>84</v>
      </c>
      <c r="GF3" s="29" t="s">
        <v>80</v>
      </c>
      <c r="GG3" s="29" t="s">
        <v>1226</v>
      </c>
      <c r="GH3" s="29"/>
      <c r="GI3" s="29" t="s">
        <v>70</v>
      </c>
      <c r="GJ3" s="29" t="s">
        <v>71</v>
      </c>
      <c r="GK3" s="29" t="s">
        <v>72</v>
      </c>
      <c r="GL3" s="29" t="s">
        <v>83</v>
      </c>
      <c r="GM3" s="29" t="s">
        <v>84</v>
      </c>
      <c r="GN3" s="29" t="s">
        <v>80</v>
      </c>
      <c r="GO3" s="29" t="s">
        <v>1227</v>
      </c>
      <c r="GP3" s="29"/>
      <c r="GQ3" s="1" t="s">
        <v>70</v>
      </c>
      <c r="GR3" s="1" t="s">
        <v>71</v>
      </c>
      <c r="GS3" s="1" t="s">
        <v>76</v>
      </c>
      <c r="GT3" s="29" t="s">
        <v>77</v>
      </c>
      <c r="GU3" s="29" t="s">
        <v>78</v>
      </c>
      <c r="GV3" s="29" t="s">
        <v>79</v>
      </c>
      <c r="GW3" s="29" t="s">
        <v>80</v>
      </c>
      <c r="GX3" s="29" t="s">
        <v>81</v>
      </c>
      <c r="GY3" s="29" t="s">
        <v>85</v>
      </c>
      <c r="GZ3" s="29"/>
      <c r="HA3" s="1" t="s">
        <v>70</v>
      </c>
      <c r="HB3" s="1" t="s">
        <v>71</v>
      </c>
      <c r="HC3" s="1" t="s">
        <v>76</v>
      </c>
      <c r="HD3" s="29" t="s">
        <v>77</v>
      </c>
      <c r="HE3" s="29" t="s">
        <v>78</v>
      </c>
      <c r="HF3" s="29" t="s">
        <v>79</v>
      </c>
      <c r="HG3" s="29" t="s">
        <v>80</v>
      </c>
      <c r="HH3" s="29" t="s">
        <v>81</v>
      </c>
      <c r="HI3" s="29" t="s">
        <v>85</v>
      </c>
      <c r="HJ3" s="29"/>
      <c r="HK3" s="1" t="s">
        <v>70</v>
      </c>
      <c r="HL3" s="1" t="s">
        <v>71</v>
      </c>
      <c r="HM3" s="1" t="s">
        <v>76</v>
      </c>
      <c r="HN3" s="29" t="s">
        <v>77</v>
      </c>
      <c r="HO3" s="29" t="s">
        <v>78</v>
      </c>
      <c r="HP3" s="29" t="s">
        <v>79</v>
      </c>
      <c r="HQ3" s="29" t="s">
        <v>80</v>
      </c>
      <c r="HR3" s="29" t="s">
        <v>81</v>
      </c>
      <c r="HS3" s="29" t="s">
        <v>85</v>
      </c>
      <c r="HT3" s="29"/>
      <c r="HU3" s="1" t="s">
        <v>70</v>
      </c>
      <c r="HV3" s="1" t="s">
        <v>71</v>
      </c>
      <c r="HW3" s="1" t="s">
        <v>76</v>
      </c>
      <c r="HX3" s="29" t="s">
        <v>77</v>
      </c>
      <c r="HY3" s="29" t="s">
        <v>78</v>
      </c>
      <c r="HZ3" s="29" t="s">
        <v>79</v>
      </c>
      <c r="IA3" s="29" t="s">
        <v>80</v>
      </c>
      <c r="IB3" s="29" t="s">
        <v>81</v>
      </c>
      <c r="IC3" s="29" t="s">
        <v>85</v>
      </c>
      <c r="ID3" s="29"/>
      <c r="IE3" s="1" t="s">
        <v>70</v>
      </c>
      <c r="IF3" s="1" t="s">
        <v>71</v>
      </c>
      <c r="IG3" s="1" t="s">
        <v>76</v>
      </c>
      <c r="IH3" s="29" t="s">
        <v>77</v>
      </c>
      <c r="II3" s="29" t="s">
        <v>78</v>
      </c>
      <c r="IJ3" s="29" t="s">
        <v>79</v>
      </c>
      <c r="IK3" s="29" t="s">
        <v>80</v>
      </c>
      <c r="IL3" s="29" t="s">
        <v>81</v>
      </c>
      <c r="IM3" s="29" t="s">
        <v>85</v>
      </c>
      <c r="IN3" s="29"/>
      <c r="IO3" s="1" t="s">
        <v>70</v>
      </c>
      <c r="IP3" s="1" t="s">
        <v>71</v>
      </c>
      <c r="IQ3" s="1" t="s">
        <v>76</v>
      </c>
      <c r="IR3" s="1" t="s">
        <v>77</v>
      </c>
      <c r="IS3" s="29" t="s">
        <v>78</v>
      </c>
      <c r="IT3" s="29" t="s">
        <v>79</v>
      </c>
      <c r="IU3" s="29" t="s">
        <v>80</v>
      </c>
      <c r="IV3" s="29" t="s">
        <v>81</v>
      </c>
      <c r="IW3" s="29" t="s">
        <v>82</v>
      </c>
      <c r="IY3" s="1" t="s">
        <v>70</v>
      </c>
      <c r="IZ3" s="1" t="s">
        <v>71</v>
      </c>
      <c r="JA3" s="1" t="s">
        <v>76</v>
      </c>
      <c r="JB3" s="1" t="s">
        <v>77</v>
      </c>
      <c r="JC3" s="29" t="s">
        <v>78</v>
      </c>
      <c r="JD3" s="29" t="s">
        <v>79</v>
      </c>
      <c r="JE3" s="29" t="s">
        <v>80</v>
      </c>
      <c r="JF3" s="29" t="s">
        <v>81</v>
      </c>
      <c r="JG3" s="29" t="s">
        <v>85</v>
      </c>
      <c r="JI3" s="1" t="s">
        <v>70</v>
      </c>
      <c r="JJ3" s="1" t="s">
        <v>71</v>
      </c>
      <c r="JK3" s="1" t="s">
        <v>76</v>
      </c>
      <c r="JL3" s="1" t="s">
        <v>77</v>
      </c>
      <c r="JM3" s="29" t="s">
        <v>78</v>
      </c>
      <c r="JN3" s="29" t="s">
        <v>79</v>
      </c>
      <c r="JO3" s="29" t="s">
        <v>80</v>
      </c>
      <c r="JP3" s="29" t="s">
        <v>81</v>
      </c>
      <c r="JQ3" s="29" t="s">
        <v>85</v>
      </c>
      <c r="JS3" s="1" t="s">
        <v>70</v>
      </c>
      <c r="JT3" s="1" t="s">
        <v>71</v>
      </c>
      <c r="JU3" s="1" t="s">
        <v>76</v>
      </c>
      <c r="JV3" s="1" t="s">
        <v>77</v>
      </c>
      <c r="JW3" s="29" t="s">
        <v>78</v>
      </c>
      <c r="JX3" s="29" t="s">
        <v>79</v>
      </c>
      <c r="JY3" s="29" t="s">
        <v>80</v>
      </c>
      <c r="JZ3" s="29" t="s">
        <v>81</v>
      </c>
      <c r="KA3" s="29" t="s">
        <v>85</v>
      </c>
      <c r="KC3" s="1" t="s">
        <v>70</v>
      </c>
      <c r="KD3" s="1" t="s">
        <v>71</v>
      </c>
      <c r="KE3" s="1" t="s">
        <v>76</v>
      </c>
      <c r="KF3" s="1" t="s">
        <v>77</v>
      </c>
      <c r="KG3" s="29" t="s">
        <v>78</v>
      </c>
      <c r="KH3" s="29" t="s">
        <v>79</v>
      </c>
      <c r="KI3" s="29" t="s">
        <v>80</v>
      </c>
      <c r="KJ3" s="29" t="s">
        <v>81</v>
      </c>
      <c r="KK3" s="29" t="s">
        <v>85</v>
      </c>
      <c r="KM3" s="1" t="s">
        <v>70</v>
      </c>
      <c r="KN3" s="1" t="s">
        <v>71</v>
      </c>
      <c r="KO3" s="1" t="s">
        <v>76</v>
      </c>
      <c r="KP3" s="1" t="s">
        <v>77</v>
      </c>
      <c r="KQ3" s="29" t="s">
        <v>78</v>
      </c>
      <c r="KR3" s="29" t="s">
        <v>79</v>
      </c>
      <c r="KS3" s="29" t="s">
        <v>80</v>
      </c>
      <c r="KT3" s="29" t="s">
        <v>81</v>
      </c>
      <c r="KU3" s="29" t="s">
        <v>85</v>
      </c>
      <c r="KW3" s="1" t="s">
        <v>70</v>
      </c>
      <c r="KX3" s="1" t="s">
        <v>71</v>
      </c>
      <c r="KY3" s="1" t="s">
        <v>76</v>
      </c>
      <c r="KZ3" s="1" t="s">
        <v>77</v>
      </c>
      <c r="LA3" s="29" t="s">
        <v>78</v>
      </c>
      <c r="LB3" s="29" t="s">
        <v>79</v>
      </c>
      <c r="LC3" s="29" t="s">
        <v>80</v>
      </c>
      <c r="LD3" s="29" t="s">
        <v>81</v>
      </c>
      <c r="LE3" s="29" t="s">
        <v>85</v>
      </c>
      <c r="LG3" s="1" t="s">
        <v>70</v>
      </c>
      <c r="LH3" s="1" t="s">
        <v>71</v>
      </c>
      <c r="LI3" s="1" t="s">
        <v>76</v>
      </c>
      <c r="LJ3" s="1" t="s">
        <v>77</v>
      </c>
      <c r="LK3" s="29" t="s">
        <v>78</v>
      </c>
      <c r="LL3" s="29" t="s">
        <v>79</v>
      </c>
      <c r="LM3" s="29" t="s">
        <v>80</v>
      </c>
      <c r="LN3" s="29" t="s">
        <v>81</v>
      </c>
      <c r="LO3" s="29" t="s">
        <v>85</v>
      </c>
      <c r="LQ3" s="1" t="s">
        <v>70</v>
      </c>
      <c r="LR3" s="1" t="s">
        <v>71</v>
      </c>
      <c r="LS3" s="1" t="s">
        <v>76</v>
      </c>
      <c r="LT3" s="1" t="s">
        <v>77</v>
      </c>
      <c r="LU3" s="29" t="s">
        <v>78</v>
      </c>
      <c r="LV3" s="29" t="s">
        <v>79</v>
      </c>
      <c r="LW3" s="29" t="s">
        <v>80</v>
      </c>
      <c r="LX3" s="29" t="s">
        <v>81</v>
      </c>
      <c r="LY3" s="29" t="s">
        <v>85</v>
      </c>
      <c r="MA3" s="1" t="s">
        <v>70</v>
      </c>
      <c r="MB3" s="1" t="s">
        <v>71</v>
      </c>
      <c r="MC3" s="1" t="s">
        <v>76</v>
      </c>
      <c r="MD3" s="1" t="s">
        <v>77</v>
      </c>
      <c r="ME3" s="29" t="s">
        <v>78</v>
      </c>
      <c r="MF3" s="29" t="s">
        <v>79</v>
      </c>
      <c r="MG3" s="29" t="s">
        <v>80</v>
      </c>
      <c r="MH3" s="29" t="s">
        <v>81</v>
      </c>
      <c r="MI3" s="29" t="s">
        <v>85</v>
      </c>
      <c r="MK3" s="1" t="s">
        <v>70</v>
      </c>
      <c r="ML3" s="1" t="s">
        <v>71</v>
      </c>
      <c r="MM3" s="1" t="s">
        <v>76</v>
      </c>
      <c r="MN3" s="1" t="s">
        <v>77</v>
      </c>
      <c r="MO3" s="29" t="s">
        <v>78</v>
      </c>
      <c r="MP3" s="29" t="s">
        <v>79</v>
      </c>
      <c r="MQ3" s="29" t="s">
        <v>80</v>
      </c>
      <c r="MR3" s="29" t="s">
        <v>81</v>
      </c>
      <c r="MS3" s="29" t="s">
        <v>85</v>
      </c>
      <c r="MU3" s="1" t="s">
        <v>70</v>
      </c>
      <c r="MV3" s="1" t="s">
        <v>71</v>
      </c>
      <c r="MW3" s="1" t="s">
        <v>76</v>
      </c>
      <c r="MX3" s="1" t="s">
        <v>77</v>
      </c>
      <c r="MY3" s="29" t="s">
        <v>78</v>
      </c>
      <c r="MZ3" s="29" t="s">
        <v>79</v>
      </c>
      <c r="NA3" s="29" t="s">
        <v>80</v>
      </c>
      <c r="NB3" s="29" t="s">
        <v>81</v>
      </c>
      <c r="NC3" s="29" t="s">
        <v>85</v>
      </c>
      <c r="NE3" s="1" t="s">
        <v>70</v>
      </c>
      <c r="NF3" s="1" t="s">
        <v>71</v>
      </c>
      <c r="NG3" s="1" t="s">
        <v>76</v>
      </c>
      <c r="NH3" s="1" t="s">
        <v>77</v>
      </c>
      <c r="NI3" s="29" t="s">
        <v>78</v>
      </c>
      <c r="NJ3" s="29" t="s">
        <v>79</v>
      </c>
      <c r="NK3" s="29" t="s">
        <v>80</v>
      </c>
      <c r="NL3" s="29" t="s">
        <v>81</v>
      </c>
      <c r="NM3" s="29" t="s">
        <v>85</v>
      </c>
      <c r="NO3" s="1" t="s">
        <v>70</v>
      </c>
      <c r="NP3" s="1" t="s">
        <v>71</v>
      </c>
      <c r="NQ3" s="1" t="s">
        <v>76</v>
      </c>
      <c r="NR3" s="1" t="s">
        <v>77</v>
      </c>
      <c r="NS3" s="29" t="s">
        <v>78</v>
      </c>
      <c r="NT3" s="29" t="s">
        <v>79</v>
      </c>
      <c r="NU3" s="29" t="s">
        <v>80</v>
      </c>
      <c r="NV3" s="29" t="s">
        <v>81</v>
      </c>
      <c r="NW3" s="29" t="s">
        <v>85</v>
      </c>
      <c r="NY3" s="1" t="s">
        <v>70</v>
      </c>
      <c r="NZ3" s="1" t="s">
        <v>71</v>
      </c>
      <c r="OA3" s="1" t="s">
        <v>76</v>
      </c>
      <c r="OB3" s="1" t="s">
        <v>77</v>
      </c>
      <c r="OC3" s="29" t="s">
        <v>78</v>
      </c>
      <c r="OD3" s="29" t="s">
        <v>79</v>
      </c>
      <c r="OE3" s="29" t="s">
        <v>80</v>
      </c>
      <c r="OF3" s="29" t="s">
        <v>81</v>
      </c>
      <c r="OG3" s="29" t="s">
        <v>85</v>
      </c>
      <c r="OI3" s="1" t="s">
        <v>70</v>
      </c>
      <c r="OJ3" s="1" t="s">
        <v>71</v>
      </c>
      <c r="OK3" s="1" t="s">
        <v>76</v>
      </c>
      <c r="OL3" s="1" t="s">
        <v>77</v>
      </c>
      <c r="OM3" s="29" t="s">
        <v>78</v>
      </c>
      <c r="ON3" s="29" t="s">
        <v>79</v>
      </c>
      <c r="OO3" s="29" t="s">
        <v>80</v>
      </c>
      <c r="OP3" s="29" t="s">
        <v>81</v>
      </c>
      <c r="OQ3" s="29" t="s">
        <v>85</v>
      </c>
      <c r="OS3" s="1" t="s">
        <v>70</v>
      </c>
      <c r="OT3" s="1" t="s">
        <v>71</v>
      </c>
      <c r="OU3" s="1" t="s">
        <v>76</v>
      </c>
      <c r="OV3" s="1" t="s">
        <v>77</v>
      </c>
      <c r="OW3" s="29" t="s">
        <v>78</v>
      </c>
      <c r="OX3" s="29" t="s">
        <v>79</v>
      </c>
      <c r="OY3" s="29" t="s">
        <v>80</v>
      </c>
      <c r="OZ3" s="29" t="s">
        <v>81</v>
      </c>
      <c r="PA3" s="29" t="s">
        <v>85</v>
      </c>
      <c r="PC3" s="1" t="s">
        <v>70</v>
      </c>
      <c r="PD3" s="1" t="s">
        <v>71</v>
      </c>
      <c r="PE3" s="1" t="s">
        <v>76</v>
      </c>
      <c r="PF3" s="1" t="s">
        <v>77</v>
      </c>
      <c r="PG3" s="29" t="s">
        <v>78</v>
      </c>
      <c r="PH3" s="29" t="s">
        <v>79</v>
      </c>
      <c r="PI3" s="29" t="s">
        <v>80</v>
      </c>
      <c r="PJ3" s="29" t="s">
        <v>81</v>
      </c>
      <c r="PK3" s="29" t="s">
        <v>85</v>
      </c>
      <c r="PM3" s="1" t="s">
        <v>70</v>
      </c>
      <c r="PN3" s="1" t="s">
        <v>71</v>
      </c>
      <c r="PO3" s="1" t="s">
        <v>76</v>
      </c>
      <c r="PP3" s="1" t="s">
        <v>77</v>
      </c>
      <c r="PQ3" s="29" t="s">
        <v>78</v>
      </c>
      <c r="PR3" s="29" t="s">
        <v>79</v>
      </c>
      <c r="PS3" s="29" t="s">
        <v>80</v>
      </c>
      <c r="PT3" s="29" t="s">
        <v>81</v>
      </c>
      <c r="PU3" s="29" t="s">
        <v>85</v>
      </c>
      <c r="PW3" s="1" t="s">
        <v>70</v>
      </c>
      <c r="PX3" s="1" t="s">
        <v>71</v>
      </c>
      <c r="PY3" s="1" t="s">
        <v>76</v>
      </c>
      <c r="PZ3" s="1" t="s">
        <v>77</v>
      </c>
      <c r="QA3" s="29" t="s">
        <v>78</v>
      </c>
      <c r="QB3" s="29" t="s">
        <v>79</v>
      </c>
      <c r="QC3" s="29" t="s">
        <v>80</v>
      </c>
      <c r="QD3" s="29" t="s">
        <v>81</v>
      </c>
      <c r="QE3" s="29" t="s">
        <v>85</v>
      </c>
      <c r="QG3" s="1" t="s">
        <v>70</v>
      </c>
      <c r="QH3" s="1" t="s">
        <v>71</v>
      </c>
      <c r="QI3" s="1" t="s">
        <v>76</v>
      </c>
      <c r="QJ3" s="1" t="s">
        <v>77</v>
      </c>
      <c r="QK3" s="29" t="s">
        <v>78</v>
      </c>
      <c r="QL3" s="29" t="s">
        <v>79</v>
      </c>
      <c r="QM3" s="29" t="s">
        <v>80</v>
      </c>
      <c r="QN3" s="29" t="s">
        <v>81</v>
      </c>
      <c r="QO3" s="29" t="s">
        <v>85</v>
      </c>
      <c r="QQ3" s="1" t="s">
        <v>70</v>
      </c>
      <c r="QR3" s="1" t="s">
        <v>71</v>
      </c>
      <c r="QS3" s="1" t="s">
        <v>76</v>
      </c>
      <c r="QT3" s="1" t="s">
        <v>77</v>
      </c>
      <c r="QU3" s="29" t="s">
        <v>78</v>
      </c>
      <c r="QV3" s="29" t="s">
        <v>88</v>
      </c>
      <c r="QW3" s="29" t="s">
        <v>79</v>
      </c>
      <c r="QX3" s="29" t="s">
        <v>80</v>
      </c>
      <c r="QY3" s="29" t="s">
        <v>81</v>
      </c>
      <c r="QZ3" s="29" t="s">
        <v>1226</v>
      </c>
      <c r="RA3" s="29" t="s">
        <v>85</v>
      </c>
      <c r="RC3" s="1" t="s">
        <v>70</v>
      </c>
      <c r="RD3" s="1" t="s">
        <v>71</v>
      </c>
      <c r="RE3" s="1" t="s">
        <v>76</v>
      </c>
      <c r="RF3" s="1" t="s">
        <v>77</v>
      </c>
      <c r="RG3" s="29" t="s">
        <v>78</v>
      </c>
      <c r="RH3" s="29" t="s">
        <v>79</v>
      </c>
      <c r="RI3" s="29" t="s">
        <v>80</v>
      </c>
      <c r="RJ3" s="29" t="s">
        <v>81</v>
      </c>
      <c r="RK3" s="29" t="s">
        <v>85</v>
      </c>
      <c r="RM3" s="1" t="s">
        <v>70</v>
      </c>
      <c r="RN3" s="1" t="s">
        <v>71</v>
      </c>
      <c r="RO3" s="1" t="s">
        <v>76</v>
      </c>
      <c r="RP3" s="1" t="s">
        <v>77</v>
      </c>
      <c r="RQ3" s="29" t="s">
        <v>78</v>
      </c>
      <c r="RR3" s="29" t="s">
        <v>79</v>
      </c>
      <c r="RS3" s="29" t="s">
        <v>80</v>
      </c>
      <c r="RT3" s="29" t="s">
        <v>81</v>
      </c>
      <c r="RU3" s="29" t="s">
        <v>85</v>
      </c>
      <c r="RW3" s="1" t="s">
        <v>70</v>
      </c>
      <c r="RX3" s="1" t="s">
        <v>71</v>
      </c>
      <c r="RY3" s="1" t="s">
        <v>76</v>
      </c>
      <c r="RZ3" s="1" t="s">
        <v>77</v>
      </c>
      <c r="SA3" s="29" t="s">
        <v>78</v>
      </c>
      <c r="SB3" s="29" t="s">
        <v>79</v>
      </c>
      <c r="SC3" s="29" t="s">
        <v>80</v>
      </c>
      <c r="SD3" s="29" t="s">
        <v>81</v>
      </c>
      <c r="SE3" s="29" t="s">
        <v>85</v>
      </c>
      <c r="SG3" s="1" t="s">
        <v>70</v>
      </c>
      <c r="SH3" s="1" t="s">
        <v>71</v>
      </c>
      <c r="SI3" s="1" t="s">
        <v>76</v>
      </c>
      <c r="SJ3" s="1" t="s">
        <v>77</v>
      </c>
      <c r="SK3" s="29" t="s">
        <v>78</v>
      </c>
      <c r="SL3" s="29" t="s">
        <v>79</v>
      </c>
      <c r="SM3" s="29" t="s">
        <v>80</v>
      </c>
      <c r="SN3" s="29" t="s">
        <v>81</v>
      </c>
      <c r="SO3" s="29" t="s">
        <v>85</v>
      </c>
      <c r="SQ3" s="1" t="s">
        <v>70</v>
      </c>
      <c r="SR3" s="1" t="s">
        <v>71</v>
      </c>
      <c r="SS3" s="1" t="s">
        <v>76</v>
      </c>
      <c r="ST3" s="29" t="s">
        <v>77</v>
      </c>
      <c r="SU3" s="29" t="s">
        <v>78</v>
      </c>
      <c r="SV3" s="29" t="s">
        <v>79</v>
      </c>
      <c r="SW3" s="29" t="s">
        <v>80</v>
      </c>
      <c r="SX3" s="29" t="s">
        <v>81</v>
      </c>
      <c r="SY3" s="29" t="s">
        <v>85</v>
      </c>
      <c r="SZ3" s="29"/>
      <c r="TA3" s="1" t="s">
        <v>70</v>
      </c>
      <c r="TB3" s="1" t="s">
        <v>71</v>
      </c>
      <c r="TC3" s="1" t="s">
        <v>76</v>
      </c>
      <c r="TD3" s="29" t="s">
        <v>77</v>
      </c>
      <c r="TE3" s="29" t="s">
        <v>78</v>
      </c>
      <c r="TF3" s="29" t="s">
        <v>79</v>
      </c>
      <c r="TG3" s="29" t="s">
        <v>80</v>
      </c>
      <c r="TH3" s="29" t="s">
        <v>81</v>
      </c>
      <c r="TI3" s="29" t="s">
        <v>85</v>
      </c>
      <c r="TJ3" s="29"/>
      <c r="TK3" s="1" t="s">
        <v>70</v>
      </c>
      <c r="TL3" s="1" t="s">
        <v>71</v>
      </c>
      <c r="TM3" s="1" t="s">
        <v>76</v>
      </c>
      <c r="TN3" s="29" t="s">
        <v>77</v>
      </c>
      <c r="TO3" s="29" t="s">
        <v>78</v>
      </c>
      <c r="TP3" s="29" t="s">
        <v>79</v>
      </c>
      <c r="TQ3" s="29" t="s">
        <v>80</v>
      </c>
      <c r="TR3" s="29" t="s">
        <v>81</v>
      </c>
      <c r="TS3" s="29" t="s">
        <v>85</v>
      </c>
      <c r="TT3" s="29"/>
      <c r="TU3" s="1" t="s">
        <v>70</v>
      </c>
      <c r="TV3" s="1" t="s">
        <v>71</v>
      </c>
      <c r="TW3" s="1" t="s">
        <v>76</v>
      </c>
      <c r="TX3" s="29" t="s">
        <v>77</v>
      </c>
      <c r="TY3" s="29" t="s">
        <v>78</v>
      </c>
      <c r="TZ3" s="29" t="s">
        <v>79</v>
      </c>
      <c r="UA3" s="29" t="s">
        <v>80</v>
      </c>
      <c r="UB3" s="29" t="s">
        <v>81</v>
      </c>
      <c r="UC3" s="29" t="s">
        <v>85</v>
      </c>
      <c r="UD3" s="29"/>
      <c r="UE3" s="1" t="s">
        <v>70</v>
      </c>
      <c r="UF3" s="1" t="s">
        <v>71</v>
      </c>
      <c r="UG3" s="1" t="s">
        <v>76</v>
      </c>
      <c r="UH3" s="29" t="s">
        <v>77</v>
      </c>
      <c r="UI3" s="29" t="s">
        <v>78</v>
      </c>
      <c r="UJ3" s="29" t="s">
        <v>79</v>
      </c>
      <c r="UK3" s="29" t="s">
        <v>80</v>
      </c>
      <c r="UL3" s="29" t="s">
        <v>81</v>
      </c>
      <c r="UM3" s="29" t="s">
        <v>85</v>
      </c>
      <c r="UN3" s="29"/>
      <c r="UO3" s="1" t="s">
        <v>70</v>
      </c>
      <c r="UP3" s="1" t="s">
        <v>71</v>
      </c>
      <c r="UQ3" s="1" t="s">
        <v>76</v>
      </c>
      <c r="UR3" s="29" t="s">
        <v>77</v>
      </c>
      <c r="US3" s="29" t="s">
        <v>78</v>
      </c>
      <c r="UT3" s="29" t="s">
        <v>79</v>
      </c>
      <c r="UU3" s="29" t="s">
        <v>80</v>
      </c>
      <c r="UV3" s="29" t="s">
        <v>81</v>
      </c>
      <c r="UW3" s="29" t="s">
        <v>85</v>
      </c>
      <c r="UX3" s="29"/>
      <c r="UY3" s="1" t="s">
        <v>70</v>
      </c>
      <c r="UZ3" s="1" t="s">
        <v>71</v>
      </c>
      <c r="VA3" s="1" t="s">
        <v>76</v>
      </c>
      <c r="VB3" s="29" t="s">
        <v>77</v>
      </c>
      <c r="VC3" s="29" t="s">
        <v>78</v>
      </c>
      <c r="VD3" s="29" t="s">
        <v>79</v>
      </c>
      <c r="VE3" s="29" t="s">
        <v>80</v>
      </c>
      <c r="VF3" s="29" t="s">
        <v>81</v>
      </c>
      <c r="VG3" s="29" t="s">
        <v>85</v>
      </c>
      <c r="VH3" s="29"/>
      <c r="VI3" s="1" t="s">
        <v>70</v>
      </c>
      <c r="VJ3" s="1" t="s">
        <v>71</v>
      </c>
      <c r="VK3" s="1" t="s">
        <v>76</v>
      </c>
      <c r="VL3" s="29" t="s">
        <v>77</v>
      </c>
      <c r="VM3" s="29" t="s">
        <v>78</v>
      </c>
      <c r="VN3" s="29" t="s">
        <v>79</v>
      </c>
      <c r="VO3" s="29" t="s">
        <v>80</v>
      </c>
      <c r="VP3" s="29" t="s">
        <v>81</v>
      </c>
      <c r="VQ3" s="29" t="s">
        <v>85</v>
      </c>
      <c r="VR3" s="29"/>
      <c r="VS3" s="1" t="s">
        <v>70</v>
      </c>
      <c r="VT3" s="1" t="s">
        <v>71</v>
      </c>
      <c r="VU3" s="1" t="s">
        <v>76</v>
      </c>
      <c r="VV3" s="29" t="s">
        <v>77</v>
      </c>
      <c r="VW3" s="29" t="s">
        <v>78</v>
      </c>
      <c r="VX3" s="29" t="s">
        <v>79</v>
      </c>
      <c r="VY3" s="29" t="s">
        <v>80</v>
      </c>
      <c r="VZ3" s="29" t="s">
        <v>81</v>
      </c>
      <c r="WA3" s="29" t="s">
        <v>85</v>
      </c>
      <c r="WB3" s="29"/>
      <c r="WC3" s="1" t="s">
        <v>70</v>
      </c>
      <c r="WD3" s="1" t="s">
        <v>71</v>
      </c>
      <c r="WE3" s="1" t="s">
        <v>76</v>
      </c>
      <c r="WF3" s="29" t="s">
        <v>77</v>
      </c>
      <c r="WG3" s="29" t="s">
        <v>78</v>
      </c>
      <c r="WH3" s="29" t="s">
        <v>79</v>
      </c>
      <c r="WI3" s="29" t="s">
        <v>80</v>
      </c>
      <c r="WJ3" s="29" t="s">
        <v>81</v>
      </c>
      <c r="WK3" s="29" t="s">
        <v>85</v>
      </c>
      <c r="WL3" s="29"/>
      <c r="WM3" s="1" t="s">
        <v>70</v>
      </c>
      <c r="WN3" s="1" t="s">
        <v>71</v>
      </c>
      <c r="WO3" s="1" t="s">
        <v>76</v>
      </c>
      <c r="WP3" s="29" t="s">
        <v>77</v>
      </c>
      <c r="WQ3" s="29" t="s">
        <v>78</v>
      </c>
      <c r="WR3" s="29" t="s">
        <v>79</v>
      </c>
      <c r="WS3" s="29" t="s">
        <v>80</v>
      </c>
      <c r="WT3" s="29" t="s">
        <v>81</v>
      </c>
      <c r="WU3" s="29" t="s">
        <v>85</v>
      </c>
      <c r="WV3" s="29"/>
      <c r="WW3" s="1" t="s">
        <v>70</v>
      </c>
      <c r="WX3" s="1" t="s">
        <v>71</v>
      </c>
      <c r="WY3" s="1" t="s">
        <v>76</v>
      </c>
      <c r="WZ3" s="29" t="s">
        <v>77</v>
      </c>
      <c r="XA3" s="29" t="s">
        <v>78</v>
      </c>
      <c r="XB3" s="29" t="s">
        <v>79</v>
      </c>
      <c r="XC3" s="29" t="s">
        <v>80</v>
      </c>
      <c r="XD3" s="29" t="s">
        <v>81</v>
      </c>
      <c r="XE3" s="29" t="s">
        <v>85</v>
      </c>
      <c r="XF3" s="29"/>
      <c r="XG3" s="1" t="s">
        <v>70</v>
      </c>
      <c r="XH3" s="1" t="s">
        <v>71</v>
      </c>
      <c r="XI3" s="1" t="s">
        <v>76</v>
      </c>
      <c r="XJ3" s="29" t="s">
        <v>77</v>
      </c>
      <c r="XK3" s="29" t="s">
        <v>78</v>
      </c>
      <c r="XL3" s="29" t="s">
        <v>79</v>
      </c>
      <c r="XM3" s="29" t="s">
        <v>80</v>
      </c>
      <c r="XN3" s="29" t="s">
        <v>81</v>
      </c>
      <c r="XO3" s="29" t="s">
        <v>85</v>
      </c>
      <c r="XP3" s="29"/>
      <c r="XQ3" s="1" t="s">
        <v>70</v>
      </c>
      <c r="XR3" s="1" t="s">
        <v>71</v>
      </c>
      <c r="XS3" s="1" t="s">
        <v>76</v>
      </c>
      <c r="XT3" s="29" t="s">
        <v>77</v>
      </c>
      <c r="XU3" s="29" t="s">
        <v>78</v>
      </c>
      <c r="XV3" s="29" t="s">
        <v>79</v>
      </c>
      <c r="XW3" s="29" t="s">
        <v>80</v>
      </c>
      <c r="XX3" s="29" t="s">
        <v>81</v>
      </c>
      <c r="XY3" s="29" t="s">
        <v>85</v>
      </c>
      <c r="XZ3" s="29"/>
      <c r="YA3" s="1" t="s">
        <v>70</v>
      </c>
      <c r="YB3" s="1" t="s">
        <v>71</v>
      </c>
      <c r="YC3" s="1" t="s">
        <v>76</v>
      </c>
      <c r="YD3" s="29" t="s">
        <v>77</v>
      </c>
      <c r="YE3" s="29" t="s">
        <v>78</v>
      </c>
      <c r="YF3" s="29" t="s">
        <v>79</v>
      </c>
      <c r="YG3" s="29" t="s">
        <v>80</v>
      </c>
      <c r="YH3" s="29" t="s">
        <v>81</v>
      </c>
      <c r="YI3" s="29" t="s">
        <v>85</v>
      </c>
      <c r="YJ3" s="29"/>
      <c r="YK3" s="29" t="s">
        <v>70</v>
      </c>
      <c r="YL3" s="29" t="s">
        <v>71</v>
      </c>
      <c r="YM3" s="29" t="s">
        <v>72</v>
      </c>
      <c r="YN3" s="29" t="s">
        <v>74</v>
      </c>
      <c r="YO3" s="29" t="s">
        <v>1473</v>
      </c>
      <c r="YP3" s="29"/>
      <c r="YQ3" s="1" t="s">
        <v>70</v>
      </c>
      <c r="YR3" s="1" t="s">
        <v>71</v>
      </c>
      <c r="YS3" s="1" t="s">
        <v>76</v>
      </c>
      <c r="YT3" s="29" t="s">
        <v>77</v>
      </c>
      <c r="YU3" s="29" t="s">
        <v>78</v>
      </c>
      <c r="YV3" s="29" t="s">
        <v>79</v>
      </c>
      <c r="YW3" s="29" t="s">
        <v>80</v>
      </c>
      <c r="YX3" s="29" t="s">
        <v>81</v>
      </c>
      <c r="YY3" s="29" t="s">
        <v>85</v>
      </c>
      <c r="YZ3" s="29"/>
      <c r="ZA3" s="1" t="s">
        <v>70</v>
      </c>
      <c r="ZB3" s="1" t="s">
        <v>71</v>
      </c>
      <c r="ZC3" s="1" t="s">
        <v>76</v>
      </c>
      <c r="ZD3" s="29" t="s">
        <v>77</v>
      </c>
      <c r="ZE3" s="29" t="s">
        <v>78</v>
      </c>
      <c r="ZF3" s="29" t="s">
        <v>79</v>
      </c>
      <c r="ZG3" s="29" t="s">
        <v>80</v>
      </c>
      <c r="ZH3" s="29" t="s">
        <v>81</v>
      </c>
      <c r="ZI3" s="29" t="s">
        <v>85</v>
      </c>
      <c r="ZJ3" s="29"/>
      <c r="ZK3" s="1" t="s">
        <v>70</v>
      </c>
      <c r="ZL3" s="1" t="s">
        <v>71</v>
      </c>
      <c r="ZM3" s="1" t="s">
        <v>76</v>
      </c>
      <c r="ZN3" s="29" t="s">
        <v>77</v>
      </c>
      <c r="ZO3" s="29" t="s">
        <v>78</v>
      </c>
      <c r="ZP3" s="29" t="s">
        <v>79</v>
      </c>
      <c r="ZQ3" s="29" t="s">
        <v>80</v>
      </c>
      <c r="ZR3" s="29" t="s">
        <v>81</v>
      </c>
      <c r="ZS3" s="29" t="s">
        <v>85</v>
      </c>
      <c r="ZT3" s="29"/>
      <c r="ZU3" s="1" t="s">
        <v>70</v>
      </c>
      <c r="ZV3" s="1" t="s">
        <v>71</v>
      </c>
      <c r="ZW3" s="1" t="s">
        <v>76</v>
      </c>
      <c r="ZX3" s="29" t="s">
        <v>77</v>
      </c>
      <c r="ZY3" s="29" t="s">
        <v>78</v>
      </c>
      <c r="ZZ3" s="29" t="s">
        <v>79</v>
      </c>
      <c r="AAA3" s="29" t="s">
        <v>80</v>
      </c>
      <c r="AAB3" s="29" t="s">
        <v>81</v>
      </c>
      <c r="AAC3" s="29" t="s">
        <v>85</v>
      </c>
      <c r="AAD3" s="29"/>
      <c r="AAE3" s="1" t="s">
        <v>70</v>
      </c>
      <c r="AAF3" s="1" t="s">
        <v>71</v>
      </c>
      <c r="AAG3" s="1" t="s">
        <v>76</v>
      </c>
      <c r="AAH3" s="29" t="s">
        <v>77</v>
      </c>
      <c r="AAI3" s="29" t="s">
        <v>78</v>
      </c>
      <c r="AAJ3" s="29" t="s">
        <v>79</v>
      </c>
      <c r="AAK3" s="29" t="s">
        <v>80</v>
      </c>
      <c r="AAL3" s="29" t="s">
        <v>81</v>
      </c>
      <c r="AAM3" s="29" t="s">
        <v>85</v>
      </c>
      <c r="AAN3" s="29"/>
      <c r="AAO3" s="1" t="s">
        <v>70</v>
      </c>
      <c r="AAP3" s="1" t="s">
        <v>71</v>
      </c>
      <c r="AAQ3" s="1" t="s">
        <v>76</v>
      </c>
      <c r="AAR3" s="29" t="s">
        <v>77</v>
      </c>
      <c r="AAS3" s="29" t="s">
        <v>78</v>
      </c>
      <c r="AAT3" s="29" t="s">
        <v>79</v>
      </c>
      <c r="AAU3" s="29" t="s">
        <v>80</v>
      </c>
      <c r="AAV3" s="29" t="s">
        <v>81</v>
      </c>
      <c r="AAW3" s="29" t="s">
        <v>85</v>
      </c>
      <c r="AAX3" s="29"/>
      <c r="AAY3" s="1" t="s">
        <v>70</v>
      </c>
      <c r="AAZ3" s="1" t="s">
        <v>71</v>
      </c>
      <c r="ABA3" s="1" t="s">
        <v>76</v>
      </c>
      <c r="ABB3" s="29" t="s">
        <v>77</v>
      </c>
      <c r="ABC3" s="29" t="s">
        <v>78</v>
      </c>
      <c r="ABD3" s="29" t="s">
        <v>79</v>
      </c>
      <c r="ABE3" s="29" t="s">
        <v>80</v>
      </c>
      <c r="ABF3" s="29" t="s">
        <v>81</v>
      </c>
      <c r="ABG3" s="29" t="s">
        <v>85</v>
      </c>
      <c r="ABH3" s="29"/>
      <c r="ABI3" s="1" t="s">
        <v>70</v>
      </c>
      <c r="ABJ3" s="1" t="s">
        <v>71</v>
      </c>
      <c r="ABK3" s="1" t="s">
        <v>76</v>
      </c>
      <c r="ABL3" s="29" t="s">
        <v>77</v>
      </c>
      <c r="ABM3" s="29" t="s">
        <v>78</v>
      </c>
      <c r="ABN3" s="29" t="s">
        <v>79</v>
      </c>
      <c r="ABO3" s="29" t="s">
        <v>80</v>
      </c>
      <c r="ABP3" s="29" t="s">
        <v>81</v>
      </c>
      <c r="ABQ3" s="29" t="s">
        <v>85</v>
      </c>
      <c r="ABR3" s="29"/>
      <c r="ABS3" s="1" t="s">
        <v>70</v>
      </c>
      <c r="ABT3" s="1" t="s">
        <v>71</v>
      </c>
      <c r="ABU3" s="1" t="s">
        <v>76</v>
      </c>
      <c r="ABV3" s="29" t="s">
        <v>77</v>
      </c>
      <c r="ABW3" s="29" t="s">
        <v>78</v>
      </c>
      <c r="ABX3" s="29" t="s">
        <v>79</v>
      </c>
      <c r="ABY3" s="29" t="s">
        <v>80</v>
      </c>
      <c r="ABZ3" s="29" t="s">
        <v>81</v>
      </c>
      <c r="ACA3" s="29" t="s">
        <v>85</v>
      </c>
      <c r="ACB3" s="29"/>
      <c r="ACC3" s="1" t="s">
        <v>70</v>
      </c>
      <c r="ACD3" s="1" t="s">
        <v>71</v>
      </c>
      <c r="ACE3" s="1" t="s">
        <v>76</v>
      </c>
      <c r="ACF3" s="29" t="s">
        <v>77</v>
      </c>
      <c r="ACG3" s="29" t="s">
        <v>78</v>
      </c>
      <c r="ACH3" s="29" t="s">
        <v>79</v>
      </c>
      <c r="ACI3" s="29" t="s">
        <v>80</v>
      </c>
      <c r="ACJ3" s="29" t="s">
        <v>81</v>
      </c>
      <c r="ACK3" s="29" t="s">
        <v>85</v>
      </c>
      <c r="ACL3" s="29"/>
      <c r="ACM3" s="1" t="s">
        <v>70</v>
      </c>
      <c r="ACN3" s="1" t="s">
        <v>71</v>
      </c>
      <c r="ACO3" s="1" t="s">
        <v>76</v>
      </c>
      <c r="ACP3" s="29" t="s">
        <v>77</v>
      </c>
      <c r="ACQ3" s="29" t="s">
        <v>78</v>
      </c>
      <c r="ACR3" s="29" t="s">
        <v>79</v>
      </c>
      <c r="ACS3" s="29" t="s">
        <v>80</v>
      </c>
      <c r="ACT3" s="29" t="s">
        <v>81</v>
      </c>
      <c r="ACU3" s="29" t="s">
        <v>85</v>
      </c>
      <c r="ACV3" s="29"/>
      <c r="ACW3" s="1" t="s">
        <v>86</v>
      </c>
      <c r="ACX3" s="1" t="s">
        <v>1930</v>
      </c>
      <c r="ACY3" s="1" t="s">
        <v>87</v>
      </c>
      <c r="ACZ3" s="1" t="s">
        <v>1705</v>
      </c>
      <c r="ADA3" s="1" t="s">
        <v>79</v>
      </c>
      <c r="ADB3" s="1" t="s">
        <v>85</v>
      </c>
      <c r="ADD3" s="1" t="s">
        <v>86</v>
      </c>
      <c r="ADE3" s="1" t="s">
        <v>88</v>
      </c>
      <c r="ADF3" s="1" t="s">
        <v>79</v>
      </c>
      <c r="ADG3" s="29" t="s">
        <v>85</v>
      </c>
      <c r="ADI3" s="1" t="s">
        <v>70</v>
      </c>
      <c r="ADJ3" s="1" t="s">
        <v>71</v>
      </c>
      <c r="ADK3" s="1" t="s">
        <v>72</v>
      </c>
      <c r="ADL3" s="29" t="s">
        <v>88</v>
      </c>
      <c r="ADM3" s="29" t="s">
        <v>79</v>
      </c>
      <c r="ADN3" s="29" t="s">
        <v>1409</v>
      </c>
      <c r="ADO3" s="29" t="s">
        <v>85</v>
      </c>
      <c r="ADP3" s="29" t="s">
        <v>1707</v>
      </c>
      <c r="ADQ3" s="1" t="s">
        <v>89</v>
      </c>
      <c r="ADR3" s="1" t="s">
        <v>299</v>
      </c>
      <c r="ADS3" s="1" t="s">
        <v>71</v>
      </c>
      <c r="ADT3" s="1" t="s">
        <v>72</v>
      </c>
      <c r="ADU3" s="29" t="s">
        <v>295</v>
      </c>
      <c r="ADV3" s="29" t="s">
        <v>85</v>
      </c>
      <c r="ADW3" s="29" t="s">
        <v>1707</v>
      </c>
      <c r="ADX3" s="1" t="s">
        <v>70</v>
      </c>
      <c r="ADY3" s="1" t="s">
        <v>71</v>
      </c>
      <c r="ADZ3" s="1" t="s">
        <v>72</v>
      </c>
      <c r="AEA3" s="29" t="s">
        <v>88</v>
      </c>
      <c r="AEB3" s="29" t="s">
        <v>79</v>
      </c>
      <c r="AEC3" s="29" t="s">
        <v>1473</v>
      </c>
      <c r="AED3" s="29" t="s">
        <v>1474</v>
      </c>
      <c r="AEE3" s="29" t="s">
        <v>1707</v>
      </c>
      <c r="AEF3" s="1" t="s">
        <v>89</v>
      </c>
      <c r="AEG3" s="1" t="s">
        <v>299</v>
      </c>
      <c r="AEH3" s="1" t="s">
        <v>71</v>
      </c>
      <c r="AEI3" s="1" t="s">
        <v>72</v>
      </c>
      <c r="AEJ3" s="29" t="s">
        <v>295</v>
      </c>
      <c r="AEK3" s="29" t="s">
        <v>85</v>
      </c>
      <c r="AEL3" s="29" t="s">
        <v>1707</v>
      </c>
      <c r="AEM3" s="1" t="s">
        <v>70</v>
      </c>
      <c r="AEN3" s="1" t="s">
        <v>71</v>
      </c>
      <c r="AEO3" s="1" t="s">
        <v>72</v>
      </c>
      <c r="AEP3" s="29" t="s">
        <v>88</v>
      </c>
      <c r="AEQ3" s="29" t="s">
        <v>79</v>
      </c>
      <c r="AER3" s="29" t="s">
        <v>1409</v>
      </c>
      <c r="AES3" s="29" t="s">
        <v>85</v>
      </c>
      <c r="AET3" s="29" t="s">
        <v>1707</v>
      </c>
      <c r="AEU3" s="1" t="s">
        <v>89</v>
      </c>
      <c r="AEV3" s="1" t="s">
        <v>299</v>
      </c>
      <c r="AEW3" s="1" t="s">
        <v>71</v>
      </c>
      <c r="AEX3" s="1" t="s">
        <v>72</v>
      </c>
      <c r="AEY3" s="29" t="s">
        <v>295</v>
      </c>
      <c r="AEZ3" s="29" t="s">
        <v>85</v>
      </c>
      <c r="AFA3" s="29" t="s">
        <v>1707</v>
      </c>
      <c r="AFB3" s="29"/>
      <c r="AFC3" s="29" t="s">
        <v>71</v>
      </c>
      <c r="AFD3" s="29" t="s">
        <v>72</v>
      </c>
      <c r="AFE3" s="29" t="s">
        <v>74</v>
      </c>
      <c r="AFF3" s="29" t="s">
        <v>79</v>
      </c>
      <c r="AFG3" s="29" t="s">
        <v>1226</v>
      </c>
      <c r="AFH3" s="1" t="s">
        <v>70</v>
      </c>
      <c r="AFI3" s="1" t="s">
        <v>71</v>
      </c>
      <c r="AFJ3" s="1" t="s">
        <v>72</v>
      </c>
      <c r="AFK3" s="29" t="s">
        <v>88</v>
      </c>
      <c r="AFL3" s="29" t="s">
        <v>79</v>
      </c>
      <c r="AFM3" s="29" t="s">
        <v>1409</v>
      </c>
      <c r="AFN3" s="29" t="s">
        <v>85</v>
      </c>
      <c r="AFO3" s="29" t="s">
        <v>1707</v>
      </c>
      <c r="AFP3" s="1" t="s">
        <v>86</v>
      </c>
      <c r="AFQ3" s="1" t="s">
        <v>89</v>
      </c>
      <c r="AFR3" s="1" t="s">
        <v>90</v>
      </c>
      <c r="AFS3" s="1" t="s">
        <v>91</v>
      </c>
      <c r="AFW3" s="1" t="s">
        <v>86</v>
      </c>
      <c r="AFX3" s="1" t="s">
        <v>89</v>
      </c>
      <c r="AFY3" s="1" t="s">
        <v>90</v>
      </c>
      <c r="AFZ3" s="1" t="s">
        <v>91</v>
      </c>
    </row>
    <row r="4" spans="1:860" ht="16.5" customHeight="1" x14ac:dyDescent="0.25">
      <c r="A4">
        <v>2</v>
      </c>
      <c r="B4" t="s">
        <v>1862</v>
      </c>
      <c r="C4" t="s">
        <v>1225</v>
      </c>
      <c r="D4" t="s">
        <v>1550</v>
      </c>
      <c r="E4">
        <v>0.36</v>
      </c>
      <c r="F4">
        <v>6.13</v>
      </c>
      <c r="G4"/>
      <c r="H4">
        <f>+Tabla3[[#This Row],[Volúmen neto]]*A4</f>
        <v>0.72</v>
      </c>
      <c r="I4">
        <f>+Tabla3[[#This Row],[Longitud de eje]]*A4</f>
        <v>12.26</v>
      </c>
      <c r="J4"/>
      <c r="K4" t="s">
        <v>1549</v>
      </c>
      <c r="L4" t="s">
        <v>1524</v>
      </c>
      <c r="M4" t="s">
        <v>1683</v>
      </c>
      <c r="N4">
        <v>0.49</v>
      </c>
      <c r="O4">
        <v>4.1100000000000003</v>
      </c>
      <c r="P4">
        <v>6.2</v>
      </c>
      <c r="Q4">
        <v>2</v>
      </c>
      <c r="R4">
        <f>+Tabla5[[#This Row],[Recuento]]*Tabla5[[#This Row],[Volúmen bruto]]</f>
        <v>0.98</v>
      </c>
      <c r="S4">
        <f>+Tabla5[[#This Row],[Recuento]]*Tabla5[[#This Row],[Área neta]]</f>
        <v>8.2200000000000006</v>
      </c>
      <c r="T4">
        <f>+Tabla5[[#This Row],[Longitud nominal]]*Tabla5[[#This Row],[Recuento]]</f>
        <v>12.4</v>
      </c>
      <c r="U4" s="26">
        <f>+SUM(S4:S40)</f>
        <v>12.18</v>
      </c>
      <c r="V4"/>
      <c r="W4"/>
      <c r="X4"/>
      <c r="Y4"/>
      <c r="Z4"/>
      <c r="AA4"/>
      <c r="AB4"/>
      <c r="AC4"/>
      <c r="AD4">
        <f>+Tabla522[[#This Row],[Recuento]]*Tabla522[[#This Row],[Volúmen bruto]]</f>
        <v>0</v>
      </c>
      <c r="AE4">
        <f>+Tabla522[[#This Row],[Recuento]]*Tabla522[[#This Row],[Área neta]]</f>
        <v>0</v>
      </c>
      <c r="AF4">
        <f>+Tabla522[[#This Row],[Longitud nominal]]*Tabla522[[#This Row],[Recuento]]</f>
        <v>0</v>
      </c>
      <c r="AG4" s="26">
        <f>+SUM(AE4:AE6)</f>
        <v>0</v>
      </c>
      <c r="AH4">
        <v>2</v>
      </c>
      <c r="AI4"/>
      <c r="AJ4"/>
      <c r="AK4"/>
      <c r="AL4"/>
      <c r="AM4"/>
      <c r="AN4"/>
      <c r="AO4"/>
      <c r="AP4">
        <f>+Tabla52223[[#This Row],[Recuento]]*Tabla52223[[#This Row],[Volúmen bruto]]</f>
        <v>0</v>
      </c>
      <c r="AQ4">
        <f>+Tabla52223[[#This Row],[Recuento]]*Tabla52223[[#This Row],[Área neta]]</f>
        <v>0</v>
      </c>
      <c r="AR4">
        <f>+Tabla52223[[#This Row],[Longitud nominal]]*Tabla52223[[#This Row],[Recuento]]</f>
        <v>0</v>
      </c>
      <c r="AS4" s="26">
        <f>+SUM(AQ4)</f>
        <v>0</v>
      </c>
      <c r="AT4">
        <v>2</v>
      </c>
      <c r="AU4"/>
      <c r="AV4"/>
      <c r="AW4"/>
      <c r="AX4"/>
      <c r="AY4"/>
      <c r="AZ4"/>
      <c r="BA4"/>
      <c r="BB4">
        <f>+Tabla5222329[[#This Row],[Recuento]]*Tabla5222329[[#This Row],[Volúmen bruto]]</f>
        <v>0</v>
      </c>
      <c r="BC4">
        <f>+Tabla5222329[[#This Row],[Recuento]]*Tabla5222329[[#This Row],[Área neta]]</f>
        <v>0</v>
      </c>
      <c r="BD4">
        <f>+Tabla5222329[[#This Row],[Longitud nominal]]*Tabla5222329[[#This Row],[Recuento]]</f>
        <v>0</v>
      </c>
      <c r="BE4" s="26">
        <f>+SUM(BC4)</f>
        <v>0</v>
      </c>
      <c r="BF4">
        <v>1</v>
      </c>
      <c r="BG4" t="s">
        <v>1862</v>
      </c>
      <c r="BH4" t="s">
        <v>1524</v>
      </c>
      <c r="BI4" t="s">
        <v>1406</v>
      </c>
      <c r="BJ4">
        <v>4.0999999999999996</v>
      </c>
      <c r="BK4">
        <v>4.5</v>
      </c>
      <c r="BL4">
        <f>+Tabla3102[[#This Row],[En culmo]]*BF4</f>
        <v>4.5</v>
      </c>
      <c r="BM4"/>
      <c r="BN4"/>
      <c r="BO4"/>
      <c r="BP4"/>
      <c r="BQ4"/>
      <c r="BR4"/>
      <c r="BS4">
        <v>4.5</v>
      </c>
      <c r="BT4">
        <f>+Tabla31069[[#This Row],[En culmo]]*BN4</f>
        <v>0</v>
      </c>
      <c r="BU4"/>
      <c r="BV4">
        <v>1</v>
      </c>
      <c r="BW4" t="s">
        <v>1862</v>
      </c>
      <c r="BX4" t="s">
        <v>1525</v>
      </c>
      <c r="BY4" t="s">
        <v>1406</v>
      </c>
      <c r="BZ4">
        <v>1.99</v>
      </c>
      <c r="CA4">
        <v>2.5</v>
      </c>
      <c r="CB4">
        <f>+Tabla31011[[#This Row],[En culmo]]*BV4</f>
        <v>2.5</v>
      </c>
      <c r="CD4">
        <v>4</v>
      </c>
      <c r="CE4" t="s">
        <v>1862</v>
      </c>
      <c r="CF4" t="s">
        <v>1525</v>
      </c>
      <c r="CG4" t="s">
        <v>1405</v>
      </c>
      <c r="CH4">
        <v>0.9</v>
      </c>
      <c r="CI4">
        <v>1.5</v>
      </c>
      <c r="CJ4">
        <f>+Tabla3101170[[#This Row],[En culmo]]*CD4</f>
        <v>6</v>
      </c>
      <c r="CK4"/>
      <c r="CL4">
        <v>2</v>
      </c>
      <c r="CM4" t="s">
        <v>1862</v>
      </c>
      <c r="CN4" t="s">
        <v>1383</v>
      </c>
      <c r="CO4" t="s">
        <v>1406</v>
      </c>
      <c r="CP4">
        <v>7.48</v>
      </c>
      <c r="CQ4" s="26">
        <v>8</v>
      </c>
      <c r="CR4">
        <f>+Tabla31011116[[#This Row],[En culmo]]*CT4</f>
        <v>16</v>
      </c>
      <c r="CT4">
        <v>2</v>
      </c>
      <c r="CU4" t="s">
        <v>1862</v>
      </c>
      <c r="CV4" t="s">
        <v>1383</v>
      </c>
      <c r="CW4" t="s">
        <v>1405</v>
      </c>
      <c r="CX4">
        <v>10.57</v>
      </c>
      <c r="CY4">
        <v>11</v>
      </c>
      <c r="CZ4">
        <f>+Tabla3101170117[[#This Row],[En culmo]]*CT4</f>
        <v>22</v>
      </c>
      <c r="DA4"/>
      <c r="DB4">
        <v>4</v>
      </c>
      <c r="DC4" t="s">
        <v>1862</v>
      </c>
      <c r="DD4" t="s">
        <v>1383</v>
      </c>
      <c r="DE4" t="s">
        <v>1723</v>
      </c>
      <c r="DF4">
        <v>1.23</v>
      </c>
      <c r="DG4">
        <f>+Tabla31011704[[#This Row],[Longitud de eje]]*DB4</f>
        <v>4.92</v>
      </c>
      <c r="DH4"/>
      <c r="DI4">
        <v>4</v>
      </c>
      <c r="DJ4" t="s">
        <v>1862</v>
      </c>
      <c r="DK4" t="s">
        <v>1383</v>
      </c>
      <c r="DL4" t="s">
        <v>1720</v>
      </c>
      <c r="DM4">
        <v>1</v>
      </c>
      <c r="DN4">
        <v>1.5</v>
      </c>
      <c r="DO4">
        <f>+DN4*DI4</f>
        <v>6</v>
      </c>
      <c r="DP4">
        <v>2</v>
      </c>
      <c r="DQ4" t="s">
        <v>1862</v>
      </c>
      <c r="DR4" t="s">
        <v>1383</v>
      </c>
      <c r="DS4" t="s">
        <v>1740</v>
      </c>
      <c r="DT4">
        <v>2</v>
      </c>
      <c r="DU4">
        <f>+Tabla3101170411120[[#This Row],[Longitud de eje]]*DP4</f>
        <v>4</v>
      </c>
      <c r="DV4"/>
      <c r="DW4">
        <v>4</v>
      </c>
      <c r="DX4" t="s">
        <v>1862</v>
      </c>
      <c r="DY4" t="s">
        <v>1524</v>
      </c>
      <c r="DZ4" t="s">
        <v>1759</v>
      </c>
      <c r="EA4">
        <v>0.55000000000000004</v>
      </c>
      <c r="EB4">
        <f>+Tabla3101170411120122[[#This Row],[Longitud de eje]]*DW4</f>
        <v>2.2000000000000002</v>
      </c>
      <c r="EC4"/>
      <c r="ED4">
        <v>7</v>
      </c>
      <c r="EE4" t="s">
        <v>1862</v>
      </c>
      <c r="EF4" t="s">
        <v>1524</v>
      </c>
      <c r="EG4" t="s">
        <v>1406</v>
      </c>
      <c r="EH4">
        <v>2.1</v>
      </c>
      <c r="EI4">
        <v>2.5</v>
      </c>
      <c r="EJ4">
        <f>+Tabla3101112[[#This Row],[En culmo]]*ED4</f>
        <v>17.5</v>
      </c>
      <c r="EK4"/>
      <c r="EL4">
        <v>5</v>
      </c>
      <c r="EM4" t="s">
        <v>1862</v>
      </c>
      <c r="EN4" t="s">
        <v>1524</v>
      </c>
      <c r="EO4" t="s">
        <v>1770</v>
      </c>
      <c r="EP4">
        <v>1.92</v>
      </c>
      <c r="EQ4">
        <v>2</v>
      </c>
      <c r="ER4">
        <f>+Tabla3101112123[[#This Row],[En culmo]]*EL4</f>
        <v>10</v>
      </c>
      <c r="ES4"/>
      <c r="ET4">
        <v>4</v>
      </c>
      <c r="EU4" t="s">
        <v>1862</v>
      </c>
      <c r="EV4" t="s">
        <v>1525</v>
      </c>
      <c r="EW4" t="s">
        <v>1405</v>
      </c>
      <c r="EX4">
        <v>1.59</v>
      </c>
      <c r="EY4">
        <v>2</v>
      </c>
      <c r="EZ4">
        <f>+Tabla310111257[[#This Row],[En culmo]]*ET4</f>
        <v>8</v>
      </c>
      <c r="FA4"/>
      <c r="FB4">
        <v>23</v>
      </c>
      <c r="FC4" t="s">
        <v>1862</v>
      </c>
      <c r="FD4" t="s">
        <v>1525</v>
      </c>
      <c r="FE4" t="s">
        <v>1770</v>
      </c>
      <c r="FF4">
        <v>2.2400000000000002</v>
      </c>
      <c r="FG4">
        <v>2.5</v>
      </c>
      <c r="FH4">
        <f>+Tabla310111257124[[#This Row],[En culmo]]*FB4</f>
        <v>57.5</v>
      </c>
      <c r="FI4"/>
      <c r="FJ4">
        <v>6</v>
      </c>
      <c r="FK4" t="s">
        <v>1862</v>
      </c>
      <c r="FL4" t="s">
        <v>1225</v>
      </c>
      <c r="FM4" t="s">
        <v>1583</v>
      </c>
      <c r="FN4">
        <v>0.19</v>
      </c>
      <c r="FO4">
        <v>1.2</v>
      </c>
      <c r="FP4">
        <f>+Tabla310111213115[[#This Row],[Volúmen]]*FJ4</f>
        <v>1.1400000000000001</v>
      </c>
      <c r="FQ4">
        <f>+Tabla310111213115[[#This Row],[Longitud del eje]]*FJ4</f>
        <v>7.1999999999999993</v>
      </c>
      <c r="FR4">
        <v>23</v>
      </c>
      <c r="FS4" t="s">
        <v>1862</v>
      </c>
      <c r="FT4" t="s">
        <v>1524</v>
      </c>
      <c r="FU4" t="s">
        <v>1582</v>
      </c>
      <c r="FV4">
        <v>7.0000000000000007E-2</v>
      </c>
      <c r="FW4">
        <v>0.8</v>
      </c>
      <c r="FX4">
        <f>+Tabla31011121311554[[#This Row],[Volúmen]]*FR4</f>
        <v>1.61</v>
      </c>
      <c r="FY4">
        <f>+Tabla31011121311554[[#This Row],[Longitud del eje]]*FR4</f>
        <v>18.400000000000002</v>
      </c>
      <c r="FZ4">
        <v>4</v>
      </c>
      <c r="GA4" t="s">
        <v>1862</v>
      </c>
      <c r="GB4" t="s">
        <v>1524</v>
      </c>
      <c r="GC4" t="s">
        <v>1584</v>
      </c>
      <c r="GD4">
        <v>0.02</v>
      </c>
      <c r="GE4">
        <v>0.4</v>
      </c>
      <c r="GF4">
        <f>+Tabla3101112131157[[#This Row],[Volúmen]]*FZ4</f>
        <v>0.08</v>
      </c>
      <c r="GG4">
        <f>+Tabla3101112131157[[#This Row],[Longitud del eje]]*FZ4</f>
        <v>1.6</v>
      </c>
      <c r="GH4">
        <f>+FJ4+FJ5+FR4</f>
        <v>47</v>
      </c>
      <c r="GI4" t="s">
        <v>1862</v>
      </c>
      <c r="GJ4" t="s">
        <v>1225</v>
      </c>
      <c r="GK4" t="s">
        <v>1585</v>
      </c>
      <c r="GL4">
        <f>+((0.6*0.6)*0.35)</f>
        <v>0.126</v>
      </c>
      <c r="GM4">
        <v>0.35</v>
      </c>
      <c r="GN4">
        <f>+Tabla3101112137[[#This Row],[Volúmen]]*GH4</f>
        <v>5.9219999999999997</v>
      </c>
      <c r="GO4">
        <f>+Tabla3101112137[[#This Row],[Longitud del eje]]*GH4</f>
        <v>16.45</v>
      </c>
      <c r="GQ4" t="s">
        <v>1862</v>
      </c>
      <c r="GR4" t="s">
        <v>1383</v>
      </c>
      <c r="GS4" t="s">
        <v>1628</v>
      </c>
      <c r="GT4">
        <v>0.1</v>
      </c>
      <c r="GU4">
        <v>16.27</v>
      </c>
      <c r="GV4">
        <v>1</v>
      </c>
      <c r="GW4">
        <f>+Tabla578914[[#This Row],[Recuento]]*Tabla578914[[#This Row],[Volúmen bruto]]</f>
        <v>0.1</v>
      </c>
      <c r="GX4">
        <f>+Tabla578914[[#This Row],[Recuento]]*Tabla578914[[#This Row],[Área neta]]</f>
        <v>16.27</v>
      </c>
      <c r="GY4" s="35">
        <f>+SUM(GX4:GX17)</f>
        <v>178.54000000000002</v>
      </c>
      <c r="HA4" t="s">
        <v>1862</v>
      </c>
      <c r="HB4" t="s">
        <v>1383</v>
      </c>
      <c r="HC4" t="s">
        <v>1628</v>
      </c>
      <c r="HD4">
        <v>0.06</v>
      </c>
      <c r="HE4">
        <v>9.93</v>
      </c>
      <c r="HF4">
        <v>1</v>
      </c>
      <c r="HG4">
        <f>+Tabla578914126[[#This Row],[Recuento]]*Tabla578914126[[#This Row],[Volúmen bruto]]</f>
        <v>0.06</v>
      </c>
      <c r="HH4">
        <f>+Tabla578914126[[#This Row],[Recuento]]*Tabla578914126[[#This Row],[Área neta]]</f>
        <v>9.93</v>
      </c>
      <c r="HI4" s="35">
        <f>+SUM(HH4:HH9)+SUM(HH28:HH30)</f>
        <v>87.280000000000015</v>
      </c>
      <c r="HK4" t="s">
        <v>1862</v>
      </c>
      <c r="HL4" t="s">
        <v>1383</v>
      </c>
      <c r="HM4" t="s">
        <v>1628</v>
      </c>
      <c r="HN4">
        <v>0.05</v>
      </c>
      <c r="HO4">
        <v>8.4</v>
      </c>
      <c r="HP4">
        <v>1</v>
      </c>
      <c r="HQ4">
        <f>+Tabla578914126127[[#This Row],[Recuento]]*Tabla578914126127[[#This Row],[Volúmen bruto]]</f>
        <v>0.05</v>
      </c>
      <c r="HR4">
        <f>+Tabla578914126127[[#This Row],[Recuento]]*Tabla578914126127[[#This Row],[Área neta]]</f>
        <v>8.4</v>
      </c>
      <c r="HS4" s="35">
        <f>+SUM(HR4:HR7)</f>
        <v>17.590000000000003</v>
      </c>
      <c r="HT4" s="26"/>
      <c r="HU4" t="s">
        <v>1862</v>
      </c>
      <c r="HV4" t="s">
        <v>1383</v>
      </c>
      <c r="HW4" t="s">
        <v>1773</v>
      </c>
      <c r="HX4">
        <v>0.08</v>
      </c>
      <c r="HY4">
        <v>1.52</v>
      </c>
      <c r="HZ4">
        <v>2</v>
      </c>
      <c r="IA4">
        <f>+Tabla57891418[[#This Row],[Volúmen bruto]]*Tabla57891418[[#This Row],[Recuento]]</f>
        <v>0.16</v>
      </c>
      <c r="IB4">
        <f>+Tabla57891418[[#This Row],[Área neta]]*Tabla57891418[[#This Row],[Recuento]]</f>
        <v>3.04</v>
      </c>
      <c r="IC4" s="35">
        <f>+SUM(IB4:IB11)</f>
        <v>18.12</v>
      </c>
      <c r="ID4" s="26"/>
      <c r="IE4" t="s">
        <v>1862</v>
      </c>
      <c r="IF4" t="s">
        <v>1383</v>
      </c>
      <c r="IG4" t="s">
        <v>1795</v>
      </c>
      <c r="IH4">
        <v>0.01</v>
      </c>
      <c r="II4">
        <v>1.44</v>
      </c>
      <c r="IJ4">
        <v>1</v>
      </c>
      <c r="IK4">
        <f>+Tabla5789141835[[#This Row],[Volúmen bruto]]*Tabla5789141835[[#This Row],[Recuento]]</f>
        <v>0.01</v>
      </c>
      <c r="IL4">
        <f>+Tabla5789141835[[#This Row],[Área neta]]*Tabla5789141835[[#This Row],[Recuento]]</f>
        <v>1.44</v>
      </c>
      <c r="IM4" s="35">
        <f>+SUM(IL4:IL7)</f>
        <v>6.26</v>
      </c>
      <c r="IN4" s="26"/>
      <c r="IO4"/>
      <c r="IP4"/>
      <c r="IQ4"/>
      <c r="IR4"/>
      <c r="IS4"/>
      <c r="IT4"/>
      <c r="IU4">
        <f>+Tabla520212223[[#This Row],[Recuento]]*Tabla520212223[[#This Row],[Volúmen bruto]]</f>
        <v>0</v>
      </c>
      <c r="IV4">
        <f>+Tabla520212223[[#This Row],[Recuento]]*Tabla520212223[[#This Row],[Área neta]]</f>
        <v>0</v>
      </c>
      <c r="IW4" s="26">
        <f t="shared" ref="IW4:IW39" si="0">+SUM(IV4:IV15)</f>
        <v>0</v>
      </c>
      <c r="IY4" t="s">
        <v>1862</v>
      </c>
      <c r="IZ4" t="s">
        <v>1524</v>
      </c>
      <c r="JA4" t="s">
        <v>1628</v>
      </c>
      <c r="JB4">
        <v>0.16</v>
      </c>
      <c r="JC4">
        <v>8.14</v>
      </c>
      <c r="JD4">
        <v>2</v>
      </c>
      <c r="JE4">
        <f>+Tabla520212224[[#This Row],[Recuento]]*Tabla520212224[[#This Row],[Volúmen bruto]]</f>
        <v>0.32</v>
      </c>
      <c r="JF4">
        <f>+Tabla520212224[[#This Row],[Recuento]]*Tabla520212224[[#This Row],[Área neta]]</f>
        <v>16.28</v>
      </c>
      <c r="JG4" s="26">
        <f>+SUM(JF4)+SUM(JF54:JF55)</f>
        <v>16.28</v>
      </c>
      <c r="JI4" t="s">
        <v>1862</v>
      </c>
      <c r="JJ4" t="s">
        <v>1524</v>
      </c>
      <c r="JK4" t="s">
        <v>1628</v>
      </c>
      <c r="JL4">
        <v>0</v>
      </c>
      <c r="JM4">
        <v>0.01</v>
      </c>
      <c r="JN4">
        <v>4</v>
      </c>
      <c r="JO4">
        <f>+Tabla52021222425[[#This Row],[Recuento]]*Tabla52021222425[[#This Row],[Volúmen bruto]]</f>
        <v>0</v>
      </c>
      <c r="JP4">
        <f>+Tabla52021222425[[#This Row],[Recuento]]*Tabla52021222425[[#This Row],[Área neta]]</f>
        <v>0.04</v>
      </c>
      <c r="JQ4" s="26">
        <f>+SUM(JP4:JP12)</f>
        <v>90.36</v>
      </c>
      <c r="JS4" t="s">
        <v>1862</v>
      </c>
      <c r="JT4" t="s">
        <v>1524</v>
      </c>
      <c r="JU4" t="s">
        <v>1628</v>
      </c>
      <c r="JV4">
        <v>0.02</v>
      </c>
      <c r="JW4">
        <v>0.89</v>
      </c>
      <c r="JX4">
        <v>2</v>
      </c>
      <c r="JY4">
        <f>+Tabla5202122242526[[#This Row],[Recuento]]*Tabla5202122242526[[#This Row],[Volúmen bruto]]</f>
        <v>0.04</v>
      </c>
      <c r="JZ4">
        <f>+Tabla5202122242526[[#This Row],[Recuento]]*Tabla5202122242526[[#This Row],[Área neta]]</f>
        <v>1.78</v>
      </c>
      <c r="KA4" s="26">
        <f>+SUM(JZ4:JZ12)</f>
        <v>21.46</v>
      </c>
      <c r="KC4" t="s">
        <v>1549</v>
      </c>
      <c r="KD4" t="s">
        <v>1524</v>
      </c>
      <c r="KE4" t="s">
        <v>1628</v>
      </c>
      <c r="KF4">
        <v>0.01</v>
      </c>
      <c r="KG4">
        <v>0.5</v>
      </c>
      <c r="KH4">
        <v>1</v>
      </c>
      <c r="KI4">
        <f>+Tabla5202122242526104[[#This Row],[Recuento]]*Tabla5202122242526104[[#This Row],[Volúmen bruto]]</f>
        <v>0.01</v>
      </c>
      <c r="KJ4">
        <f>+Tabla5202122242526104[[#This Row],[Recuento]]*Tabla5202122242526104[[#This Row],[Área neta]]</f>
        <v>0.5</v>
      </c>
      <c r="KK4" s="26">
        <f>+SUM(KJ4:KJ5)</f>
        <v>0.78</v>
      </c>
      <c r="KM4" t="s">
        <v>1862</v>
      </c>
      <c r="KN4" t="s">
        <v>1524</v>
      </c>
      <c r="KO4" t="s">
        <v>1628</v>
      </c>
      <c r="KP4">
        <v>0.06</v>
      </c>
      <c r="KQ4">
        <v>0.96</v>
      </c>
      <c r="KR4">
        <v>1</v>
      </c>
      <c r="KS4">
        <f>+Tabla5202122242526104110[[#This Row],[Recuento]]*Tabla5202122242526104110[[#This Row],[Volúmen bruto]]</f>
        <v>0.06</v>
      </c>
      <c r="KT4">
        <f>+Tabla5202122242526104110[[#This Row],[Recuento]]*Tabla5202122242526104110[[#This Row],[Área neta]]</f>
        <v>0.96</v>
      </c>
      <c r="KU4" s="26">
        <f>+SUM(KT4:KT18)</f>
        <v>47.080000000000013</v>
      </c>
      <c r="KW4" t="s">
        <v>1862</v>
      </c>
      <c r="KX4" t="s">
        <v>1524</v>
      </c>
      <c r="KY4" t="s">
        <v>1628</v>
      </c>
      <c r="KZ4">
        <v>0.05</v>
      </c>
      <c r="LA4">
        <v>2.29</v>
      </c>
      <c r="LB4">
        <v>2</v>
      </c>
      <c r="LC4">
        <f>+Tabla520212224252659[[#This Row],[Recuento]]*Tabla520212224252659[[#This Row],[Volúmen bruto]]</f>
        <v>0.1</v>
      </c>
      <c r="LD4">
        <f>+Tabla520212224252659[[#This Row],[Recuento]]*Tabla520212224252659[[#This Row],[Área neta]]</f>
        <v>4.58</v>
      </c>
      <c r="LE4" s="26">
        <f>+SUM(LD4:LD7)</f>
        <v>10.31</v>
      </c>
      <c r="LG4" t="s">
        <v>1549</v>
      </c>
      <c r="LH4" t="s">
        <v>1524</v>
      </c>
      <c r="LI4" t="s">
        <v>1628</v>
      </c>
      <c r="LJ4">
        <v>7.0000000000000007E-2</v>
      </c>
      <c r="LK4">
        <v>3.52</v>
      </c>
      <c r="LL4">
        <v>1</v>
      </c>
      <c r="LM4">
        <f>+Tabla520212224252659111[[#This Row],[Recuento]]*Tabla520212224252659111[[#This Row],[Volúmen bruto]]</f>
        <v>7.0000000000000007E-2</v>
      </c>
      <c r="LN4">
        <f>+Tabla520212224252659111[[#This Row],[Recuento]]*Tabla520212224252659111[[#This Row],[Área neta]]</f>
        <v>3.52</v>
      </c>
      <c r="LO4" s="26">
        <f>+SUM(LN4)</f>
        <v>3.52</v>
      </c>
      <c r="LQ4" t="s">
        <v>1863</v>
      </c>
      <c r="LR4" t="s">
        <v>1524</v>
      </c>
      <c r="LS4" t="s">
        <v>1628</v>
      </c>
      <c r="LT4">
        <v>0.04</v>
      </c>
      <c r="LU4">
        <v>2.21</v>
      </c>
      <c r="LV4">
        <v>2</v>
      </c>
      <c r="LW4">
        <f>+Tabla520212224252659111114[[#This Row],[Recuento]]*Tabla520212224252659111114[[#This Row],[Volúmen bruto]]</f>
        <v>0.08</v>
      </c>
      <c r="LX4">
        <f>+Tabla520212224252659111114[[#This Row],[Recuento]]*Tabla520212224252659111114[[#This Row],[Área neta]]</f>
        <v>4.42</v>
      </c>
      <c r="LY4" s="26">
        <f>+SUM(LX4:LX5)</f>
        <v>8.7199999999999989</v>
      </c>
      <c r="MA4" t="s">
        <v>1862</v>
      </c>
      <c r="MB4" t="s">
        <v>1524</v>
      </c>
      <c r="MC4" t="s">
        <v>1628</v>
      </c>
      <c r="MD4">
        <v>0.02</v>
      </c>
      <c r="ME4">
        <v>1.1499999999999999</v>
      </c>
      <c r="MF4">
        <v>1</v>
      </c>
      <c r="MG4">
        <f>+Tabla520212224252659111114128[[#This Row],[Recuento]]*Tabla520212224252659111114128[[#This Row],[Volúmen bruto]]</f>
        <v>0.02</v>
      </c>
      <c r="MH4">
        <f>+Tabla520212224252659111114128[[#This Row],[Recuento]]*Tabla520212224252659111114128[[#This Row],[Área neta]]</f>
        <v>1.1499999999999999</v>
      </c>
      <c r="MI4" s="26">
        <f>+SUM(MH4:MH10)</f>
        <v>39.19</v>
      </c>
      <c r="MK4" t="s">
        <v>1862</v>
      </c>
      <c r="ML4" t="s">
        <v>1525</v>
      </c>
      <c r="MM4" t="s">
        <v>1628</v>
      </c>
      <c r="MN4">
        <v>0.02</v>
      </c>
      <c r="MO4">
        <v>1</v>
      </c>
      <c r="MP4">
        <v>2</v>
      </c>
      <c r="MQ4">
        <f>+Tabla520212224252627[[#This Row],[Recuento]]*Tabla520212224252627[[#This Row],[Volúmen bruto]]</f>
        <v>0.04</v>
      </c>
      <c r="MR4">
        <f>+Tabla520212224252627[[#This Row],[Recuento]]*Tabla520212224252627[[#This Row],[Área neta]]</f>
        <v>2</v>
      </c>
      <c r="MS4" s="26">
        <f>+SUM(MR4:MR5)</f>
        <v>5.62</v>
      </c>
      <c r="MU4" t="s">
        <v>1549</v>
      </c>
      <c r="MV4" t="s">
        <v>1525</v>
      </c>
      <c r="MW4" t="s">
        <v>97</v>
      </c>
      <c r="MX4">
        <v>0</v>
      </c>
      <c r="MY4">
        <v>0.06</v>
      </c>
      <c r="MZ4">
        <v>2</v>
      </c>
      <c r="NA4">
        <f>+Tabla520212224252627129[[#This Row],[Recuento]]*Tabla520212224252627129[[#This Row],[Volúmen bruto]]</f>
        <v>0</v>
      </c>
      <c r="NB4">
        <f>+Tabla520212224252627129[[#This Row],[Recuento]]*Tabla520212224252627129[[#This Row],[Área neta]]</f>
        <v>0.12</v>
      </c>
      <c r="NC4" s="26">
        <f>+SUM(NB4:NB9)</f>
        <v>1.08</v>
      </c>
      <c r="NE4" t="s">
        <v>1549</v>
      </c>
      <c r="NF4" t="s">
        <v>1525</v>
      </c>
      <c r="NG4" t="s">
        <v>1628</v>
      </c>
      <c r="NH4">
        <v>0</v>
      </c>
      <c r="NI4">
        <v>0.06</v>
      </c>
      <c r="NJ4">
        <v>2</v>
      </c>
      <c r="NK4">
        <f>+Tabla520212224252627129125[[#This Row],[Recuento]]*Tabla520212224252627129125[[#This Row],[Volúmen bruto]]</f>
        <v>0</v>
      </c>
      <c r="NL4">
        <f>+Tabla520212224252627129125[[#This Row],[Recuento]]*Tabla520212224252627129125[[#This Row],[Área neta]]</f>
        <v>0.12</v>
      </c>
      <c r="NM4" s="26">
        <f>+SUM(NL4:NL5)</f>
        <v>0.38</v>
      </c>
      <c r="NO4" t="s">
        <v>1549</v>
      </c>
      <c r="NP4" t="s">
        <v>1525</v>
      </c>
      <c r="NQ4" t="s">
        <v>1628</v>
      </c>
      <c r="NR4">
        <v>0.01</v>
      </c>
      <c r="NS4">
        <v>0.36</v>
      </c>
      <c r="NT4">
        <v>1</v>
      </c>
      <c r="NU4">
        <f>+Tabla520212224252627129125130[[#This Row],[Recuento]]*Tabla520212224252627129125130[[#This Row],[Volúmen bruto]]</f>
        <v>0.01</v>
      </c>
      <c r="NV4">
        <f>+Tabla520212224252627129125130[[#This Row],[Recuento]]*Tabla520212224252627129125130[[#This Row],[Área neta]]</f>
        <v>0.36</v>
      </c>
      <c r="NW4" s="26">
        <f>+SUM(NV4:NV8)</f>
        <v>5.05</v>
      </c>
      <c r="NY4" t="s">
        <v>1549</v>
      </c>
      <c r="NZ4" t="s">
        <v>1525</v>
      </c>
      <c r="OA4" t="s">
        <v>1628</v>
      </c>
      <c r="OB4">
        <v>0.03</v>
      </c>
      <c r="OC4">
        <v>1.64</v>
      </c>
      <c r="OD4">
        <v>2</v>
      </c>
      <c r="OE4">
        <f>+Tabla520212224252627129125130131[[#This Row],[Recuento]]*Tabla520212224252627129125130131[[#This Row],[Volúmen bruto]]</f>
        <v>0.06</v>
      </c>
      <c r="OF4">
        <f>+Tabla520212224252627129125130131[[#This Row],[Recuento]]*Tabla520212224252627129125130131[[#This Row],[Área neta]]</f>
        <v>3.28</v>
      </c>
      <c r="OG4" s="26">
        <f>+SUM(OF4:OF5)</f>
        <v>4.62</v>
      </c>
      <c r="OI4" t="s">
        <v>1549</v>
      </c>
      <c r="OJ4" t="s">
        <v>1525</v>
      </c>
      <c r="OK4" t="s">
        <v>97</v>
      </c>
      <c r="OL4">
        <v>0</v>
      </c>
      <c r="OM4">
        <v>0.05</v>
      </c>
      <c r="ON4">
        <v>2</v>
      </c>
      <c r="OO4">
        <f>+Tabla520212224252627129125130131132[[#This Row],[Recuento]]*Tabla520212224252627129125130131132[[#This Row],[Volúmen bruto]]</f>
        <v>0</v>
      </c>
      <c r="OP4">
        <f>+Tabla520212224252627129125130131132[[#This Row],[Recuento]]*Tabla520212224252627129125130131132[[#This Row],[Área neta]]</f>
        <v>0.1</v>
      </c>
      <c r="OQ4" s="26">
        <f>+SUM(OP4:OP9)</f>
        <v>1.48</v>
      </c>
      <c r="OS4" t="s">
        <v>1863</v>
      </c>
      <c r="OT4" t="s">
        <v>1525</v>
      </c>
      <c r="OU4" t="s">
        <v>1628</v>
      </c>
      <c r="OV4">
        <v>0.02</v>
      </c>
      <c r="OW4">
        <v>1.17</v>
      </c>
      <c r="OX4">
        <v>2</v>
      </c>
      <c r="OY4">
        <f>+Tabla52021222425262728[[#This Row],[Recuento]]*Tabla52021222425262728[[#This Row],[Volúmen bruto]]</f>
        <v>0.04</v>
      </c>
      <c r="OZ4">
        <f>+Tabla52021222425262728[[#This Row],[Recuento]]*Tabla52021222425262728[[#This Row],[Área neta]]</f>
        <v>2.34</v>
      </c>
      <c r="PA4" s="26">
        <f>+SUM(OZ4)</f>
        <v>2.34</v>
      </c>
      <c r="PC4" t="s">
        <v>1862</v>
      </c>
      <c r="PD4" t="s">
        <v>1525</v>
      </c>
      <c r="PE4" t="s">
        <v>1788</v>
      </c>
      <c r="PF4">
        <v>0</v>
      </c>
      <c r="PG4">
        <v>0.6</v>
      </c>
      <c r="PH4">
        <v>1</v>
      </c>
      <c r="PI4">
        <f>+Tabla52021222425262728133[[#This Row],[Recuento]]*Tabla52021222425262728133[[#This Row],[Volúmen bruto]]</f>
        <v>0</v>
      </c>
      <c r="PJ4">
        <f>+Tabla52021222425262728133[[#This Row],[Recuento]]*Tabla52021222425262728133[[#This Row],[Área neta]]</f>
        <v>0.6</v>
      </c>
      <c r="PK4" s="26">
        <f>+SUM(PJ4:PJ11)</f>
        <v>11.05</v>
      </c>
      <c r="PM4" t="s">
        <v>1862</v>
      </c>
      <c r="PN4" t="s">
        <v>1525</v>
      </c>
      <c r="PO4" t="s">
        <v>1788</v>
      </c>
      <c r="PP4">
        <v>0.04</v>
      </c>
      <c r="PQ4">
        <v>3.91</v>
      </c>
      <c r="PR4">
        <v>1</v>
      </c>
      <c r="PS4">
        <f>+Tabla5202122242526272893[[#This Row],[Recuento]]*Tabla5202122242526272893[[#This Row],[Volúmen bruto]]</f>
        <v>0.04</v>
      </c>
      <c r="PT4">
        <f>+Tabla5202122242526272893[[#This Row],[Recuento]]*Tabla5202122242526272893[[#This Row],[Área neta]]</f>
        <v>3.91</v>
      </c>
      <c r="PU4" s="26">
        <f>+SUM(PT4)</f>
        <v>3.91</v>
      </c>
      <c r="PW4" t="s">
        <v>1862</v>
      </c>
      <c r="PX4" t="s">
        <v>1525</v>
      </c>
      <c r="PY4" t="s">
        <v>1788</v>
      </c>
      <c r="PZ4">
        <v>0.01</v>
      </c>
      <c r="QA4">
        <v>1.95</v>
      </c>
      <c r="QB4">
        <v>1</v>
      </c>
      <c r="QC4">
        <f>+Tabla520212224252627289349[[#This Row],[Recuento]]*Tabla520212224252627289349[[#This Row],[Volúmen bruto]]</f>
        <v>0.01</v>
      </c>
      <c r="QD4">
        <f>+Tabla520212224252627289349[[#This Row],[Recuento]]*Tabla520212224252627289349[[#This Row],[Área neta]]</f>
        <v>1.95</v>
      </c>
      <c r="QE4" s="26">
        <f>+SUM(QD4:QD9)</f>
        <v>9.17</v>
      </c>
      <c r="QG4" t="s">
        <v>1549</v>
      </c>
      <c r="QH4" t="s">
        <v>1525</v>
      </c>
      <c r="QI4" t="s">
        <v>1788</v>
      </c>
      <c r="QJ4">
        <v>0.01</v>
      </c>
      <c r="QK4">
        <v>1.01</v>
      </c>
      <c r="QL4">
        <v>1</v>
      </c>
      <c r="QM4">
        <f>+Tabla520212224252627289349134[[#This Row],[Recuento]]*Tabla520212224252627289349134[[#This Row],[Volúmen bruto]]</f>
        <v>0.01</v>
      </c>
      <c r="QN4">
        <f>+Tabla520212224252627289349134[[#This Row],[Recuento]]*Tabla520212224252627289349134[[#This Row],[Área neta]]</f>
        <v>1.01</v>
      </c>
      <c r="QO4" s="26">
        <f>+SUM(QN4)</f>
        <v>1.01</v>
      </c>
      <c r="QQ4" t="s">
        <v>1862</v>
      </c>
      <c r="QR4" t="s">
        <v>1524</v>
      </c>
      <c r="QS4" t="s">
        <v>1726</v>
      </c>
      <c r="QT4">
        <v>0.09</v>
      </c>
      <c r="QU4">
        <v>0.47</v>
      </c>
      <c r="QV4">
        <v>1</v>
      </c>
      <c r="QW4">
        <v>1</v>
      </c>
      <c r="QX4">
        <f>+Tabla5202122242526272829[[#This Row],[Recuento]]*Tabla5202122242526272829[[#This Row],[Volúmen bruto]]</f>
        <v>0.09</v>
      </c>
      <c r="QY4">
        <f>+Tabla5202122242526272829[[#This Row],[Recuento]]*Tabla5202122242526272829[[#This Row],[Área neta]]</f>
        <v>0.47</v>
      </c>
      <c r="QZ4">
        <f>+Tabla5202122242526272829[[#This Row],[Recuento]]*Tabla5202122242526272829[[#This Row],[Longitud]]</f>
        <v>1</v>
      </c>
      <c r="RA4" s="26">
        <f>+SUM(QY4:QY33)</f>
        <v>57</v>
      </c>
      <c r="RC4" t="s">
        <v>1549</v>
      </c>
      <c r="RD4" t="s">
        <v>1524</v>
      </c>
      <c r="RE4" t="s">
        <v>92</v>
      </c>
      <c r="RF4">
        <v>0.03</v>
      </c>
      <c r="RG4">
        <v>0.47</v>
      </c>
      <c r="RH4">
        <v>7</v>
      </c>
      <c r="RI4">
        <f>+Tabla520212224252627283132[[#This Row],[Recuento]]*Tabla520212224252627283132[[#This Row],[Volúmen bruto]]</f>
        <v>0.21</v>
      </c>
      <c r="RJ4">
        <f>+Tabla520212224252627283132[[#This Row],[Recuento]]*Tabla520212224252627283132[[#This Row],[Área neta]]</f>
        <v>3.29</v>
      </c>
      <c r="RK4" s="26">
        <f>+SUM(RJ4:RJ7)</f>
        <v>7.4700000000000006</v>
      </c>
      <c r="RM4" t="s">
        <v>1862</v>
      </c>
      <c r="RN4" t="s">
        <v>1525</v>
      </c>
      <c r="RO4" t="s">
        <v>1793</v>
      </c>
      <c r="RP4">
        <v>0.01</v>
      </c>
      <c r="RQ4">
        <v>1.3</v>
      </c>
      <c r="RR4">
        <v>1</v>
      </c>
      <c r="RS4">
        <f>+Tabla5202122242526272831329[[#This Row],[Recuento]]*Tabla5202122242526272831329[[#This Row],[Volúmen bruto]]</f>
        <v>0.01</v>
      </c>
      <c r="RT4">
        <f>+Tabla5202122242526272831329[[#This Row],[Recuento]]*Tabla5202122242526272831329[[#This Row],[Área neta]]</f>
        <v>1.3</v>
      </c>
      <c r="RU4" s="26">
        <f>+SUM(RT4:RT5)</f>
        <v>2.4900000000000002</v>
      </c>
      <c r="RW4" t="s">
        <v>1862</v>
      </c>
      <c r="RX4" t="s">
        <v>1524</v>
      </c>
      <c r="RY4" t="s">
        <v>93</v>
      </c>
      <c r="RZ4">
        <v>0.03</v>
      </c>
      <c r="SA4">
        <v>1.66</v>
      </c>
      <c r="SB4">
        <v>1</v>
      </c>
      <c r="SC4">
        <f>+Tabla52021222425262728313233[[#This Row],[Recuento]]*Tabla52021222425262728313233[[#This Row],[Volúmen bruto]]</f>
        <v>0.03</v>
      </c>
      <c r="SD4">
        <f>+Tabla52021222425262728313233[[#This Row],[Recuento]]*Tabla52021222425262728313233[[#This Row],[Área neta]]</f>
        <v>1.66</v>
      </c>
      <c r="SE4" s="26">
        <f>+SUM(SD4:SD6)</f>
        <v>4.91</v>
      </c>
      <c r="SG4" t="s">
        <v>1549</v>
      </c>
      <c r="SH4" t="s">
        <v>1525</v>
      </c>
      <c r="SI4" t="s">
        <v>1795</v>
      </c>
      <c r="SJ4">
        <v>0.01</v>
      </c>
      <c r="SK4">
        <v>1.35</v>
      </c>
      <c r="SL4">
        <v>4</v>
      </c>
      <c r="SM4">
        <f>+Tabla5202122242526272831323314[[#This Row],[Recuento]]*Tabla5202122242526272831323314[[#This Row],[Volúmen bruto]]</f>
        <v>0.04</v>
      </c>
      <c r="SN4">
        <f>+Tabla5202122242526272831323314[[#This Row],[Recuento]]*Tabla5202122242526272831323314[[#This Row],[Área neta]]</f>
        <v>5.4</v>
      </c>
      <c r="SO4" s="26">
        <f>+SUM(SN4:SN11)</f>
        <v>8.870000000000001</v>
      </c>
      <c r="SQ4" t="s">
        <v>1862</v>
      </c>
      <c r="SR4" t="s">
        <v>1524</v>
      </c>
      <c r="SS4" t="s">
        <v>94</v>
      </c>
      <c r="ST4">
        <v>0.61</v>
      </c>
      <c r="SU4">
        <v>6.1</v>
      </c>
      <c r="SV4">
        <v>1</v>
      </c>
      <c r="SW4" s="34">
        <f>+Tabla5789141516[[#This Row],[Recuento]]*Tabla5789141516[[#This Row],[Volúmen bruto]]</f>
        <v>0.61</v>
      </c>
      <c r="SX4" s="34">
        <f>+Tabla5789141516[[#This Row],[Recuento]]*Tabla5789141516[[#This Row],[Área neta]]</f>
        <v>6.1</v>
      </c>
      <c r="SY4" s="35">
        <f>+SUM(SX4:SX19)</f>
        <v>80.94</v>
      </c>
      <c r="SZ4" s="26"/>
      <c r="TA4" t="s">
        <v>1862</v>
      </c>
      <c r="TB4" t="s">
        <v>1524</v>
      </c>
      <c r="TC4" t="s">
        <v>94</v>
      </c>
      <c r="TD4">
        <v>0.06</v>
      </c>
      <c r="TE4">
        <v>5.66</v>
      </c>
      <c r="TF4">
        <v>1</v>
      </c>
      <c r="TG4" s="34">
        <f>+Tabla578914151634[[#This Row],[Recuento]]*Tabla578914151634[[#This Row],[Volúmen bruto]]</f>
        <v>0.06</v>
      </c>
      <c r="TH4" s="34">
        <f>+Tabla578914151634[[#This Row],[Recuento]]*Tabla578914151634[[#This Row],[Área neta]]</f>
        <v>5.66</v>
      </c>
      <c r="TI4" s="35">
        <f>+SUM(TG4:TG15)</f>
        <v>0.06</v>
      </c>
      <c r="TJ4" s="26"/>
      <c r="TK4" t="s">
        <v>1862</v>
      </c>
      <c r="TL4" t="s">
        <v>1525</v>
      </c>
      <c r="TM4" t="s">
        <v>94</v>
      </c>
      <c r="TN4">
        <v>0.17</v>
      </c>
      <c r="TO4">
        <v>2.15</v>
      </c>
      <c r="TP4">
        <v>1</v>
      </c>
      <c r="TQ4" s="34">
        <f>+Tabla57891415163435[[#This Row],[Recuento]]*Tabla57891415163435[[#This Row],[Volúmen bruto]]</f>
        <v>0.17</v>
      </c>
      <c r="TR4" s="34">
        <f>+Tabla57891415163435[[#This Row],[Recuento]]*Tabla57891415163435[[#This Row],[Área neta]]</f>
        <v>2.15</v>
      </c>
      <c r="TS4" s="35">
        <f>+SUM(TR4:TR10)</f>
        <v>78.039999999999992</v>
      </c>
      <c r="TT4" s="26"/>
      <c r="TU4" t="s">
        <v>1862</v>
      </c>
      <c r="TV4" t="s">
        <v>1524</v>
      </c>
      <c r="TW4" t="s">
        <v>92</v>
      </c>
      <c r="TX4">
        <v>0.09</v>
      </c>
      <c r="TY4">
        <v>1.27</v>
      </c>
      <c r="TZ4">
        <v>1</v>
      </c>
      <c r="UA4" s="34">
        <f>+Tabla5789141516343536[[#This Row],[Recuento]]*Tabla5789141516343536[[#This Row],[Volúmen bruto]]</f>
        <v>0.09</v>
      </c>
      <c r="UB4" s="34">
        <f>+Tabla5789141516343536[[#This Row],[Recuento]]*Tabla5789141516343536[[#This Row],[Área neta]]</f>
        <v>1.27</v>
      </c>
      <c r="UC4" s="35">
        <f>+SUM(UB4:UB16)</f>
        <v>1.27</v>
      </c>
      <c r="UD4" s="26"/>
      <c r="UE4" t="s">
        <v>1862</v>
      </c>
      <c r="UF4" t="s">
        <v>1524</v>
      </c>
      <c r="UG4" t="s">
        <v>92</v>
      </c>
      <c r="UH4">
        <v>0.62</v>
      </c>
      <c r="UI4">
        <v>6.93</v>
      </c>
      <c r="UJ4">
        <v>1</v>
      </c>
      <c r="UK4" s="34">
        <f>+Tabla57891415163435363738[[#This Row],[Recuento]]*Tabla57891415163435363738[[#This Row],[Volúmen bruto]]</f>
        <v>0.62</v>
      </c>
      <c r="UL4" s="34">
        <f>+Tabla57891415163435363738[[#This Row],[Recuento]]*Tabla57891415163435363738[[#This Row],[Área neta]]</f>
        <v>6.93</v>
      </c>
      <c r="UM4" s="35">
        <f>+SUM(UL4:UL6)</f>
        <v>12.78</v>
      </c>
      <c r="UN4" s="26"/>
      <c r="UO4"/>
      <c r="UP4"/>
      <c r="UQ4"/>
      <c r="UR4"/>
      <c r="US4"/>
      <c r="UT4"/>
      <c r="UU4" s="34">
        <f>+Tabla5789141516343536373839[[#This Row],[Recuento]]*Tabla5789141516343536373839[[#This Row],[Volúmen bruto]]</f>
        <v>0</v>
      </c>
      <c r="UV4" s="34">
        <f>+Tabla5789141516343536373839[[#This Row],[Recuento]]*Tabla5789141516343536373839[[#This Row],[Área neta]]</f>
        <v>0</v>
      </c>
      <c r="UW4" s="35">
        <f>+SUM(UV4:UV5)</f>
        <v>0</v>
      </c>
      <c r="UX4" s="26"/>
      <c r="UY4" t="s">
        <v>1862</v>
      </c>
      <c r="UZ4" t="s">
        <v>1524</v>
      </c>
      <c r="VA4" t="s">
        <v>95</v>
      </c>
      <c r="VB4">
        <v>0.01</v>
      </c>
      <c r="VC4">
        <v>1.22</v>
      </c>
      <c r="VD4">
        <v>1</v>
      </c>
      <c r="VE4" s="34">
        <f>+Tabla578914151634353637383940[[#This Row],[Recuento]]*Tabla578914151634353637383940[[#This Row],[Volúmen bruto]]</f>
        <v>0.01</v>
      </c>
      <c r="VF4" s="34">
        <f>+Tabla578914151634353637383940[[#This Row],[Recuento]]*Tabla578914151634353637383940[[#This Row],[Área neta]]</f>
        <v>1.22</v>
      </c>
      <c r="VG4" s="35">
        <f>+SUM(VF4)</f>
        <v>1.22</v>
      </c>
      <c r="VH4" s="26"/>
      <c r="VI4" t="s">
        <v>1862</v>
      </c>
      <c r="VJ4" t="s">
        <v>1524</v>
      </c>
      <c r="VK4" t="s">
        <v>92</v>
      </c>
      <c r="VL4">
        <v>0.08</v>
      </c>
      <c r="VM4">
        <v>0.89</v>
      </c>
      <c r="VN4">
        <v>1</v>
      </c>
      <c r="VO4" s="34">
        <f>+Tabla57891415163435363738394041[[#This Row],[Recuento]]*Tabla57891415163435363738394041[[#This Row],[Volúmen bruto]]</f>
        <v>0.08</v>
      </c>
      <c r="VP4" s="34">
        <f>+Tabla57891415163435363738394041[[#This Row],[Recuento]]*Tabla57891415163435363738394041[[#This Row],[Área neta]]</f>
        <v>0.89</v>
      </c>
      <c r="VQ4" s="35">
        <f>+SUM(VP4:VP5)</f>
        <v>3.43</v>
      </c>
      <c r="VR4" s="26"/>
      <c r="VS4" t="s">
        <v>1862</v>
      </c>
      <c r="VT4" t="s">
        <v>1524</v>
      </c>
      <c r="VU4" t="s">
        <v>95</v>
      </c>
      <c r="VV4">
        <v>0</v>
      </c>
      <c r="VW4">
        <v>0.34</v>
      </c>
      <c r="VX4">
        <v>1</v>
      </c>
      <c r="VY4" s="34">
        <f>+Tabla57891415163435363738394041121[[#This Row],[Recuento]]*Tabla57891415163435363738394041121[[#This Row],[Volúmen bruto]]</f>
        <v>0</v>
      </c>
      <c r="VZ4" s="34">
        <f>+Tabla57891415163435363738394041121[[#This Row],[Recuento]]*Tabla57891415163435363738394041121[[#This Row],[Área neta]]</f>
        <v>0.34</v>
      </c>
      <c r="WA4" s="35">
        <f>+SUM(VZ4)</f>
        <v>0.34</v>
      </c>
      <c r="WB4" s="26"/>
      <c r="WC4"/>
      <c r="WD4"/>
      <c r="WE4"/>
      <c r="WF4"/>
      <c r="WG4"/>
      <c r="WH4"/>
      <c r="WI4" s="34">
        <f>+Tabla5789141516343536373839404142[[#This Row],[Recuento]]*Tabla5789141516343536373839404142[[#This Row],[Volúmen bruto]]</f>
        <v>0</v>
      </c>
      <c r="WJ4" s="34">
        <f>+Tabla5789141516343536373839404142[[#This Row],[Recuento]]*Tabla5789141516343536373839404142[[#This Row],[Área neta]]</f>
        <v>0</v>
      </c>
      <c r="WK4" s="35">
        <f>+SUM(WJ4:WJ5)</f>
        <v>0</v>
      </c>
      <c r="WL4" s="26"/>
      <c r="WM4" t="s">
        <v>1862</v>
      </c>
      <c r="WN4" t="s">
        <v>1525</v>
      </c>
      <c r="WO4" t="s">
        <v>92</v>
      </c>
      <c r="WP4">
        <v>0.11</v>
      </c>
      <c r="WQ4">
        <v>1.49</v>
      </c>
      <c r="WR4">
        <v>1</v>
      </c>
      <c r="WS4" s="34">
        <f>+Tabla578914151634353637383940414251[[#This Row],[Recuento]]*Tabla578914151634353637383940414251[[#This Row],[Volúmen bruto]]</f>
        <v>0.11</v>
      </c>
      <c r="WT4" s="34">
        <f>+Tabla578914151634353637383940414251[[#This Row],[Recuento]]*Tabla578914151634353637383940414251[[#This Row],[Área neta]]</f>
        <v>1.49</v>
      </c>
      <c r="WU4" s="35">
        <f>+SUM(WT4)</f>
        <v>1.49</v>
      </c>
      <c r="WV4" s="26"/>
      <c r="WW4" t="s">
        <v>1862</v>
      </c>
      <c r="WX4" t="s">
        <v>1525</v>
      </c>
      <c r="WY4" t="s">
        <v>92</v>
      </c>
      <c r="WZ4">
        <v>0.11</v>
      </c>
      <c r="XA4">
        <v>1.29</v>
      </c>
      <c r="XB4">
        <v>1</v>
      </c>
      <c r="XC4" s="34">
        <f>+Tabla57891415163435363738394041425112[[#This Row],[Recuento]]*Tabla57891415163435363738394041425112[[#This Row],[Volúmen bruto]]</f>
        <v>0.11</v>
      </c>
      <c r="XD4" s="34">
        <f>+Tabla57891415163435363738394041425112[[#This Row],[Recuento]]*Tabla57891415163435363738394041425112[[#This Row],[Área neta]]</f>
        <v>1.29</v>
      </c>
      <c r="XE4" s="35">
        <f>+SUM(XD4)</f>
        <v>1.29</v>
      </c>
      <c r="XF4" s="26"/>
      <c r="XG4" t="s">
        <v>1862</v>
      </c>
      <c r="XH4" t="s">
        <v>1525</v>
      </c>
      <c r="XI4" t="s">
        <v>92</v>
      </c>
      <c r="XJ4">
        <v>0.11</v>
      </c>
      <c r="XK4">
        <v>1.3</v>
      </c>
      <c r="XL4">
        <v>1</v>
      </c>
      <c r="XM4" s="34">
        <f>+Tabla578914151634353637383940414243444536[[#This Row],[Recuento]]*Tabla578914151634353637383940414243444536[[#This Row],[Volúmen bruto]]</f>
        <v>0.11</v>
      </c>
      <c r="XN4" s="34">
        <f>+Tabla578914151634353637383940414243444536[[#This Row],[Recuento]]*Tabla578914151634353637383940414243444536[[#This Row],[Área neta]]</f>
        <v>1.3</v>
      </c>
      <c r="XO4" s="35">
        <f>+SUM(XN4)</f>
        <v>1.3</v>
      </c>
      <c r="XP4" s="26"/>
      <c r="XQ4" t="s">
        <v>1862</v>
      </c>
      <c r="XR4" t="s">
        <v>1524</v>
      </c>
      <c r="XS4" t="s">
        <v>95</v>
      </c>
      <c r="XT4">
        <v>0.02</v>
      </c>
      <c r="XU4">
        <v>0.2</v>
      </c>
      <c r="XV4">
        <v>2</v>
      </c>
      <c r="XW4" s="34">
        <f>+Tabla5789141516343536373839404142434445[[#This Row],[Recuento]]*Tabla5789141516343536373839404142434445[[#This Row],[Volúmen bruto]]</f>
        <v>0.04</v>
      </c>
      <c r="XX4" s="34">
        <f>+Tabla5789141516343536373839404142434445[[#This Row],[Recuento]]*Tabla5789141516343536373839404142434445[[#This Row],[Área neta]]</f>
        <v>0.4</v>
      </c>
      <c r="XY4" s="35">
        <f>+SUM(XW4:XW7)</f>
        <v>0.17</v>
      </c>
      <c r="XZ4" s="26"/>
      <c r="YA4"/>
      <c r="YB4"/>
      <c r="YC4"/>
      <c r="YD4"/>
      <c r="YE4"/>
      <c r="YF4"/>
      <c r="YG4" s="34">
        <f>+Tabla578914151634353637383940414243444558[[#This Row],[Recuento]]*Tabla578914151634353637383940414243444558[[#This Row],[Volúmen bruto]]</f>
        <v>0</v>
      </c>
      <c r="YH4" s="34">
        <f>+Tabla578914151634353637383940414243444558[[#This Row],[Recuento]]*Tabla578914151634353637383940414243444558[[#This Row],[Área neta]]</f>
        <v>0</v>
      </c>
      <c r="YI4" s="35">
        <f>+SUM(YH4:YH8)</f>
        <v>0</v>
      </c>
      <c r="YJ4">
        <v>10</v>
      </c>
      <c r="YK4" t="s">
        <v>1549</v>
      </c>
      <c r="YL4" t="s">
        <v>1525</v>
      </c>
      <c r="YM4" t="s">
        <v>1719</v>
      </c>
      <c r="YN4">
        <v>3.55</v>
      </c>
      <c r="YO4">
        <f>+Tabla310113[[#This Row],[Longitud de eje]]*YJ4</f>
        <v>35.5</v>
      </c>
      <c r="YQ4"/>
      <c r="YR4"/>
      <c r="YS4"/>
      <c r="YT4"/>
      <c r="YU4"/>
      <c r="YV4" s="33"/>
      <c r="YW4" s="34">
        <f>+Tabla57891415163435363738394041424344454647[[#This Row],[Recuento]]*Tabla57891415163435363738394041424344454647[[#This Row],[Volúmen bruto]]</f>
        <v>0</v>
      </c>
      <c r="YX4" s="34">
        <f>+Tabla57891415163435363738394041424344454647[[#This Row],[Recuento]]*Tabla57891415163435363738394041424344454647[[#This Row],[Área neta]]</f>
        <v>0</v>
      </c>
      <c r="YY4" s="35">
        <f>+SUM(YX4:YX6)</f>
        <v>0</v>
      </c>
      <c r="YZ4" s="26"/>
      <c r="ZA4" t="s">
        <v>1863</v>
      </c>
      <c r="ZB4" t="s">
        <v>1524</v>
      </c>
      <c r="ZC4" t="s">
        <v>92</v>
      </c>
      <c r="ZD4">
        <v>0.48</v>
      </c>
      <c r="ZE4">
        <v>5.97</v>
      </c>
      <c r="ZF4">
        <v>2</v>
      </c>
      <c r="ZG4" s="34">
        <f>+Tabla5789141516343536373839404142434445464748495038[[#This Row],[Recuento]]*Tabla5789141516343536373839404142434445464748495038[[#This Row],[Volúmen bruto]]</f>
        <v>0.96</v>
      </c>
      <c r="ZH4" s="34">
        <f>+Tabla5789141516343536373839404142434445464748495038[[#This Row],[Recuento]]*Tabla5789141516343536373839404142434445464748495038[[#This Row],[Área neta]]</f>
        <v>11.94</v>
      </c>
      <c r="ZI4" s="35">
        <f>+SUM(ZH4:ZH7)</f>
        <v>49.540000000000006</v>
      </c>
      <c r="ZJ4" s="26"/>
      <c r="ZK4" t="s">
        <v>1862</v>
      </c>
      <c r="ZL4" t="s">
        <v>1524</v>
      </c>
      <c r="ZM4" t="s">
        <v>1485</v>
      </c>
      <c r="ZN4">
        <v>0.01</v>
      </c>
      <c r="ZO4">
        <v>0.33</v>
      </c>
      <c r="ZP4">
        <v>10</v>
      </c>
      <c r="ZQ4" s="34">
        <f>+Tabla5789141516343536373839404142434445464748495041[[#This Row],[Recuento]]*Tabla5789141516343536373839404142434445464748495041[[#This Row],[Volúmen bruto]]</f>
        <v>0.1</v>
      </c>
      <c r="ZR4" s="34">
        <f>+Tabla5789141516343536373839404142434445464748495041[[#This Row],[Recuento]]*Tabla5789141516343536373839404142434445464748495041[[#This Row],[Área neta]]</f>
        <v>3.3000000000000003</v>
      </c>
      <c r="ZS4" s="35">
        <f>+SUM(ZR4:ZR18)</f>
        <v>72.48</v>
      </c>
      <c r="ZT4" s="26"/>
      <c r="ZU4" t="s">
        <v>1862</v>
      </c>
      <c r="ZV4" t="s">
        <v>1524</v>
      </c>
      <c r="ZW4" t="s">
        <v>92</v>
      </c>
      <c r="ZX4">
        <v>0.05</v>
      </c>
      <c r="ZY4">
        <v>0.34</v>
      </c>
      <c r="ZZ4">
        <v>1</v>
      </c>
      <c r="AAA4" s="34">
        <f>+Tabla57891415163435363738394041424344454647484950[[#This Row],[Recuento]]*Tabla57891415163435363738394041424344454647484950[[#This Row],[Volúmen bruto]]</f>
        <v>0.05</v>
      </c>
      <c r="AAB4" s="34">
        <f>+Tabla57891415163435363738394041424344454647484950[[#This Row],[Recuento]]*Tabla57891415163435363738394041424344454647484950[[#This Row],[Área neta]]</f>
        <v>0.34</v>
      </c>
      <c r="AAC4" s="35">
        <f>+SUM(AAB4:AAB6)</f>
        <v>1.8599999999999999</v>
      </c>
      <c r="AAD4" s="26"/>
      <c r="AAE4"/>
      <c r="AAF4"/>
      <c r="AAG4"/>
      <c r="AAH4"/>
      <c r="AAI4"/>
      <c r="AAJ4" s="33">
        <v>1</v>
      </c>
      <c r="AAK4" s="34">
        <f>+Tabla5789141516343536373839404142434445464748495054[[#This Row],[Recuento]]*Tabla5789141516343536373839404142434445464748495054[[#This Row],[Volúmen bruto]]</f>
        <v>0</v>
      </c>
      <c r="AAL4" s="34">
        <f>+Tabla5789141516343536373839404142434445464748495054[[#This Row],[Recuento]]*Tabla5789141516343536373839404142434445464748495054[[#This Row],[Área neta]]</f>
        <v>0</v>
      </c>
      <c r="AAM4" s="35">
        <f>+SUM(AAL4:AAL9)</f>
        <v>16.218</v>
      </c>
      <c r="AAN4" s="26"/>
      <c r="AAO4" t="s">
        <v>1862</v>
      </c>
      <c r="AAP4" t="s">
        <v>1524</v>
      </c>
      <c r="AAQ4" t="s">
        <v>92</v>
      </c>
      <c r="AAR4">
        <v>0.16</v>
      </c>
      <c r="AAS4">
        <v>2.29</v>
      </c>
      <c r="AAT4">
        <v>1</v>
      </c>
      <c r="AAU4" s="34">
        <f>+Tabla5789141516343536373839404142434445464748495051[[#This Row],[Recuento]]*Tabla5789141516343536373839404142434445464748495051[[#This Row],[Volúmen bruto]]</f>
        <v>0.16</v>
      </c>
      <c r="AAV4" s="34">
        <f>+Tabla5789141516343536373839404142434445464748495051[[#This Row],[Recuento]]*Tabla5789141516343536373839404142434445464748495051[[#This Row],[Área neta]]</f>
        <v>2.29</v>
      </c>
      <c r="AAW4" s="35">
        <f>+SUM(AAV4:AAV10)</f>
        <v>16.169999999999998</v>
      </c>
      <c r="AAX4" s="26"/>
      <c r="AAY4" t="s">
        <v>1862</v>
      </c>
      <c r="AAZ4" t="s">
        <v>1524</v>
      </c>
      <c r="ABA4" t="s">
        <v>1471</v>
      </c>
      <c r="ABB4">
        <v>0.05</v>
      </c>
      <c r="ABC4">
        <v>1.82</v>
      </c>
      <c r="ABD4">
        <v>4</v>
      </c>
      <c r="ABE4" s="34">
        <f>+Tabla578914151634353637383940414243444546474849505152[[#This Row],[Recuento]]*Tabla578914151634353637383940414243444546474849505152[[#This Row],[Volúmen bruto]]</f>
        <v>0.2</v>
      </c>
      <c r="ABF4" s="34">
        <f>+Tabla578914151634353637383940414243444546474849505152[[#This Row],[Recuento]]*Tabla578914151634353637383940414243444546474849505152[[#This Row],[Área neta]]</f>
        <v>7.28</v>
      </c>
      <c r="ABG4" s="35">
        <f>+SUM(ABF4:ABF20)</f>
        <v>7.28</v>
      </c>
      <c r="ABH4" s="26"/>
      <c r="ABI4" t="s">
        <v>1862</v>
      </c>
      <c r="ABJ4" t="s">
        <v>1525</v>
      </c>
      <c r="ABK4" t="s">
        <v>1793</v>
      </c>
      <c r="ABL4">
        <v>0.02</v>
      </c>
      <c r="ABM4">
        <v>0.77</v>
      </c>
      <c r="ABN4">
        <v>4</v>
      </c>
      <c r="ABO4" s="34">
        <f>+Tabla57891415163435363738394041424344454647484950515213[[#This Row],[Recuento]]*Tabla57891415163435363738394041424344454647484950515213[[#This Row],[Volúmen bruto]]</f>
        <v>0.08</v>
      </c>
      <c r="ABP4" s="34">
        <f>+Tabla57891415163435363738394041424344454647484950515213[[#This Row],[Recuento]]*Tabla57891415163435363738394041424344454647484950515213[[#This Row],[Área neta]]</f>
        <v>3.08</v>
      </c>
      <c r="ABQ4" s="35">
        <f>+SUM(ABP4:ABP6)</f>
        <v>19.53</v>
      </c>
      <c r="ABR4" s="26"/>
      <c r="ABS4" t="s">
        <v>1862</v>
      </c>
      <c r="ABT4" t="s">
        <v>1524</v>
      </c>
      <c r="ABU4" t="s">
        <v>1923</v>
      </c>
      <c r="ABV4">
        <v>0.13</v>
      </c>
      <c r="ABW4">
        <v>2.3199999999999998</v>
      </c>
      <c r="ABX4">
        <v>1</v>
      </c>
      <c r="ABY4" s="34">
        <f>+Tabla5789141516343536373839404142434445464748495051521340[[#This Row],[Recuento]]*Tabla5789141516343536373839404142434445464748495051521340[[#This Row],[Volúmen bruto]]</f>
        <v>0.13</v>
      </c>
      <c r="ABZ4" s="34">
        <f>+Tabla5789141516343536373839404142434445464748495051521340[[#This Row],[Recuento]]*Tabla5789141516343536373839404142434445464748495051521340[[#This Row],[Área neta]]</f>
        <v>2.3199999999999998</v>
      </c>
      <c r="ACA4" s="35">
        <f>+SUM(ABZ4:ABZ6)</f>
        <v>6.94</v>
      </c>
      <c r="ACB4" s="26"/>
      <c r="ACC4"/>
      <c r="ACD4"/>
      <c r="ACE4"/>
      <c r="ACF4"/>
      <c r="ACG4"/>
      <c r="ACH4" s="33"/>
      <c r="ACI4" s="34">
        <f>+Tabla5789141516343536373839404142434445464748495051525353[[#This Row],[Recuento]]*Tabla5789141516343536373839404142434445464748495051525353[[#This Row],[Volúmen bruto]]</f>
        <v>0</v>
      </c>
      <c r="ACJ4" s="34">
        <f>+Tabla5789141516343536373839404142434445464748495051525353[[#This Row],[Recuento]]*Tabla5789141516343536373839404142434445464748495051525353[[#This Row],[Área neta]]</f>
        <v>0</v>
      </c>
      <c r="ACK4" s="35">
        <f>+Tabla5789141516343536373839404142434445464748495051525353[[#This Row],[Área neta]]+ACG5+ACG6</f>
        <v>0</v>
      </c>
      <c r="ACL4" s="26"/>
      <c r="ACM4"/>
      <c r="ACN4"/>
      <c r="ACO4"/>
      <c r="ACP4"/>
      <c r="ACQ4"/>
      <c r="ACR4" s="33"/>
      <c r="ACS4" s="34">
        <f>+Tabla57891415163435363738394041424344454647484950515253[[#This Row],[Recuento]]*Tabla57891415163435363738394041424344454647484950515253[[#This Row],[Volúmen bruto]]</f>
        <v>0</v>
      </c>
      <c r="ACT4" s="34">
        <f>+Tabla57891415163435363738394041424344454647484950515253[[#This Row],[Recuento]]*Tabla57891415163435363738394041424344454647484950515253[[#This Row],[Área neta]]</f>
        <v>0</v>
      </c>
      <c r="ACU4" s="35">
        <f>+Tabla57891415163435363738394041424344454647484950515253[[#This Row],[Área neta]]+ACQ5+ACQ6</f>
        <v>0</v>
      </c>
      <c r="ACV4" s="26"/>
      <c r="ACW4" t="s">
        <v>1228</v>
      </c>
      <c r="ACX4" s="1">
        <v>1</v>
      </c>
      <c r="ACY4" s="2">
        <v>1.4</v>
      </c>
      <c r="ACZ4" s="2">
        <v>1.2</v>
      </c>
      <c r="ADA4">
        <v>1</v>
      </c>
      <c r="ADB4" s="2">
        <f t="shared" ref="ADB4:ADB31" si="1">+(ACZ4*ACY4)*ADA4</f>
        <v>1.68</v>
      </c>
      <c r="ADD4" t="s">
        <v>1720</v>
      </c>
      <c r="ADE4">
        <v>0.19</v>
      </c>
      <c r="ADF4">
        <v>1</v>
      </c>
      <c r="ADG4" s="26">
        <f>+ADF4*ADE4</f>
        <v>0.19</v>
      </c>
      <c r="ADH4"/>
      <c r="ADI4" t="s">
        <v>1522</v>
      </c>
      <c r="ADJ4" t="s">
        <v>1523</v>
      </c>
      <c r="ADK4" t="s">
        <v>297</v>
      </c>
      <c r="ADL4">
        <v>0.42</v>
      </c>
      <c r="ADM4">
        <v>2</v>
      </c>
      <c r="ADN4">
        <f ca="1">+Tabla578914151634353637383940414243444546474849505152535560[[#This Row],[G. Total]]*Tabla578914151634353637383940414243444546474849505152535560[[#This Row],[Recuento]]</f>
        <v>0.84</v>
      </c>
      <c r="ADO4" s="35">
        <f ca="1">+SUM(ADN4:ADN7)</f>
        <v>31.21</v>
      </c>
      <c r="ADP4" s="26"/>
      <c r="ADQ4"/>
      <c r="ADR4"/>
      <c r="ADS4"/>
      <c r="ADT4"/>
      <c r="ADU4"/>
      <c r="ADV4" s="35">
        <f>+SUM(ADQ4:ADQ7)</f>
        <v>0</v>
      </c>
      <c r="ADW4" s="35"/>
      <c r="ADX4"/>
      <c r="ADY4"/>
      <c r="ADZ4"/>
      <c r="AEA4"/>
      <c r="AEB4"/>
      <c r="AEC4">
        <f ca="1">+Tabla57891415163435363738394041424344454647484950515253556062[[#This Row],[Total]]*Tabla57891415163435363738394041424344454647484950515253556062[[#This Row],[Recuento]]</f>
        <v>0</v>
      </c>
      <c r="AED4" s="35">
        <f ca="1">+SUM(AEC4:AEC9)</f>
        <v>0</v>
      </c>
      <c r="AEE4" s="26"/>
      <c r="AEF4"/>
      <c r="AEG4"/>
      <c r="AEH4"/>
      <c r="AEI4"/>
      <c r="AEJ4"/>
      <c r="AEK4" s="35">
        <f>+SUM(AEF4:AEF12)</f>
        <v>0</v>
      </c>
      <c r="AEL4" s="35"/>
      <c r="AEM4" t="s">
        <v>1522</v>
      </c>
      <c r="AEN4" t="s">
        <v>1523</v>
      </c>
      <c r="AEO4" t="s">
        <v>382</v>
      </c>
      <c r="AEP4">
        <v>4.3499999999999996</v>
      </c>
      <c r="AEQ4">
        <v>1</v>
      </c>
      <c r="AER4">
        <f ca="1">+Tabla5789141516343536373839404142434445464748495051525355606264[[#This Row],[G. Total]]*Tabla5789141516343536373839404142434445464748495051525355606264[[#This Row],[Recuento]]</f>
        <v>4.3499999999999996</v>
      </c>
      <c r="AES4" s="35">
        <f ca="1">+SUM(AER4:AER12)+SUM(AES77:AES102)</f>
        <v>48.079999999999991</v>
      </c>
      <c r="AET4" s="26"/>
      <c r="AEU4"/>
      <c r="AEV4"/>
      <c r="AEW4"/>
      <c r="AEX4"/>
      <c r="AEY4"/>
      <c r="AEZ4" s="35">
        <f>+SUM(AEU4:AEU20)</f>
        <v>0</v>
      </c>
      <c r="AFA4" s="26"/>
      <c r="AFB4"/>
      <c r="AFC4" t="s">
        <v>1383</v>
      </c>
      <c r="AFD4" t="s">
        <v>1741</v>
      </c>
      <c r="AFE4">
        <v>9.02</v>
      </c>
      <c r="AFF4">
        <v>2</v>
      </c>
      <c r="AFG4">
        <f>+AFF4*AFE4</f>
        <v>18.04</v>
      </c>
      <c r="AFH4" t="s">
        <v>1522</v>
      </c>
      <c r="AFI4" t="s">
        <v>1523</v>
      </c>
      <c r="AFJ4" t="s">
        <v>1410</v>
      </c>
      <c r="AFK4">
        <v>1.9</v>
      </c>
      <c r="AFL4">
        <v>1</v>
      </c>
      <c r="AFM4">
        <f ca="1">+Tabla578914151634353637383940414243444546474849505152535560626467[[#This Row],[G. Total]]*Tabla578914151634353637383940414243444546474849505152535560626467[[#This Row],[Recuento]]</f>
        <v>1.9</v>
      </c>
      <c r="AFN4" s="35">
        <f ca="1">+SUM(AFM4:AFM6)</f>
        <v>14.969999999999999</v>
      </c>
      <c r="AFO4" s="26"/>
      <c r="AFP4" s="2" t="s">
        <v>96</v>
      </c>
      <c r="AFW4" s="2" t="s">
        <v>96</v>
      </c>
    </row>
    <row r="5" spans="1:860" ht="15" customHeight="1" x14ac:dyDescent="0.25">
      <c r="A5">
        <v>5</v>
      </c>
      <c r="B5" t="s">
        <v>1862</v>
      </c>
      <c r="C5" t="s">
        <v>1225</v>
      </c>
      <c r="D5" t="s">
        <v>1550</v>
      </c>
      <c r="E5">
        <v>0.31</v>
      </c>
      <c r="F5">
        <v>5.24</v>
      </c>
      <c r="G5"/>
      <c r="H5">
        <f>+Tabla3[[#This Row],[Volúmen neto]]*A5</f>
        <v>1.55</v>
      </c>
      <c r="I5">
        <f>+Tabla3[[#This Row],[Longitud de eje]]*A5</f>
        <v>26.200000000000003</v>
      </c>
      <c r="J5"/>
      <c r="K5" t="s">
        <v>1549</v>
      </c>
      <c r="L5" t="s">
        <v>1524</v>
      </c>
      <c r="M5" t="s">
        <v>1683</v>
      </c>
      <c r="N5">
        <v>0.08</v>
      </c>
      <c r="O5">
        <v>0.7</v>
      </c>
      <c r="P5">
        <v>1.1599999999999999</v>
      </c>
      <c r="Q5">
        <v>1</v>
      </c>
      <c r="R5">
        <f>+Tabla5[[#This Row],[Recuento]]*Tabla5[[#This Row],[Volúmen bruto]]</f>
        <v>0.08</v>
      </c>
      <c r="S5">
        <f>+Tabla5[[#This Row],[Recuento]]*Tabla5[[#This Row],[Área neta]]</f>
        <v>0.7</v>
      </c>
      <c r="T5">
        <f>+Tabla5[[#This Row],[Longitud nominal]]*Tabla5[[#This Row],[Recuento]]</f>
        <v>1.1599999999999999</v>
      </c>
      <c r="U5" s="26"/>
      <c r="V5"/>
      <c r="W5"/>
      <c r="X5"/>
      <c r="Y5"/>
      <c r="Z5"/>
      <c r="AA5"/>
      <c r="AB5"/>
      <c r="AC5"/>
      <c r="AD5">
        <f>+Tabla522[[#This Row],[Recuento]]*Tabla522[[#This Row],[Volúmen bruto]]</f>
        <v>0</v>
      </c>
      <c r="AE5">
        <f>+Tabla522[[#This Row],[Recuento]]*Tabla522[[#This Row],[Área neta]]</f>
        <v>0</v>
      </c>
      <c r="AF5">
        <f>+Tabla522[[#This Row],[Longitud nominal]]*Tabla522[[#This Row],[Recuento]]</f>
        <v>0</v>
      </c>
      <c r="AG5" s="26"/>
      <c r="AH5">
        <v>2</v>
      </c>
      <c r="AI5"/>
      <c r="AJ5"/>
      <c r="AK5"/>
      <c r="AL5"/>
      <c r="AM5"/>
      <c r="AN5"/>
      <c r="AO5"/>
      <c r="AP5">
        <f>+Tabla52223[[#This Row],[Recuento]]*Tabla52223[[#This Row],[Volúmen bruto]]</f>
        <v>0</v>
      </c>
      <c r="AQ5">
        <f>+Tabla52223[[#This Row],[Recuento]]*Tabla52223[[#This Row],[Área neta]]</f>
        <v>0</v>
      </c>
      <c r="AR5">
        <f>+Tabla52223[[#This Row],[Longitud nominal]]*Tabla52223[[#This Row],[Recuento]]</f>
        <v>0</v>
      </c>
      <c r="AS5" s="26">
        <f>+SUM(AQ5)</f>
        <v>0</v>
      </c>
      <c r="AT5">
        <v>2</v>
      </c>
      <c r="AU5"/>
      <c r="AV5"/>
      <c r="AW5"/>
      <c r="AX5"/>
      <c r="AY5"/>
      <c r="AZ5"/>
      <c r="BA5"/>
      <c r="BB5">
        <f>+Tabla5222329[[#This Row],[Recuento]]*Tabla5222329[[#This Row],[Volúmen bruto]]</f>
        <v>0</v>
      </c>
      <c r="BC5">
        <f>+Tabla5222329[[#This Row],[Recuento]]*Tabla5222329[[#This Row],[Área neta]]</f>
        <v>0</v>
      </c>
      <c r="BD5">
        <f>+Tabla5222329[[#This Row],[Longitud nominal]]*Tabla5222329[[#This Row],[Recuento]]</f>
        <v>0</v>
      </c>
      <c r="BE5" s="26">
        <f>+SUM(BC5:BC6)</f>
        <v>0</v>
      </c>
      <c r="BF5">
        <v>6</v>
      </c>
      <c r="BG5" t="s">
        <v>1862</v>
      </c>
      <c r="BH5" t="s">
        <v>1524</v>
      </c>
      <c r="BI5" t="s">
        <v>1406</v>
      </c>
      <c r="BJ5">
        <v>1.28</v>
      </c>
      <c r="BK5">
        <v>1.5</v>
      </c>
      <c r="BL5">
        <f>+Tabla3102[[#This Row],[En culmo]]*BF5</f>
        <v>9</v>
      </c>
      <c r="BM5"/>
      <c r="BN5"/>
      <c r="BO5"/>
      <c r="BP5"/>
      <c r="BQ5"/>
      <c r="BR5"/>
      <c r="BS5">
        <v>1.5</v>
      </c>
      <c r="BT5">
        <f>+Tabla31069[[#This Row],[En culmo]]*BN5</f>
        <v>0</v>
      </c>
      <c r="BU5"/>
      <c r="BV5">
        <v>1</v>
      </c>
      <c r="BW5" t="s">
        <v>1862</v>
      </c>
      <c r="BX5" t="s">
        <v>1525</v>
      </c>
      <c r="BY5" t="s">
        <v>1406</v>
      </c>
      <c r="BZ5">
        <v>1.75</v>
      </c>
      <c r="CA5">
        <v>2</v>
      </c>
      <c r="CB5">
        <f>+Tabla31011[[#This Row],[En culmo]]*BV5</f>
        <v>2</v>
      </c>
      <c r="CD5">
        <v>8</v>
      </c>
      <c r="CE5" t="s">
        <v>1862</v>
      </c>
      <c r="CF5" t="s">
        <v>1525</v>
      </c>
      <c r="CG5" t="s">
        <v>1405</v>
      </c>
      <c r="CH5">
        <v>1.3</v>
      </c>
      <c r="CI5">
        <v>1.5</v>
      </c>
      <c r="CJ5">
        <f>+Tabla3101170[[#This Row],[En culmo]]*CD5</f>
        <v>12</v>
      </c>
      <c r="CK5"/>
      <c r="CL5">
        <v>2</v>
      </c>
      <c r="CM5" t="s">
        <v>1862</v>
      </c>
      <c r="CN5" t="s">
        <v>1383</v>
      </c>
      <c r="CO5" t="s">
        <v>1406</v>
      </c>
      <c r="CP5">
        <v>4.54</v>
      </c>
      <c r="CQ5" s="26">
        <v>5</v>
      </c>
      <c r="CR5">
        <f>+Tabla31011116[[#This Row],[En culmo]]*CT5</f>
        <v>10</v>
      </c>
      <c r="CT5">
        <v>2</v>
      </c>
      <c r="CU5" t="s">
        <v>1862</v>
      </c>
      <c r="CV5" t="s">
        <v>1383</v>
      </c>
      <c r="CW5" t="s">
        <v>1405</v>
      </c>
      <c r="CX5">
        <v>9.57</v>
      </c>
      <c r="CY5">
        <v>10.5</v>
      </c>
      <c r="CZ5">
        <f>+Tabla3101170117[[#This Row],[En culmo]]*CT5</f>
        <v>21</v>
      </c>
      <c r="DA5"/>
      <c r="DB5">
        <v>22</v>
      </c>
      <c r="DC5" t="s">
        <v>1862</v>
      </c>
      <c r="DD5" t="s">
        <v>1383</v>
      </c>
      <c r="DE5" t="s">
        <v>1723</v>
      </c>
      <c r="DF5">
        <v>0.45</v>
      </c>
      <c r="DG5">
        <f>+Tabla31011704[[#This Row],[Longitud de eje]]*DB5</f>
        <v>9.9</v>
      </c>
      <c r="DH5"/>
      <c r="DI5">
        <v>4</v>
      </c>
      <c r="DJ5" t="s">
        <v>1862</v>
      </c>
      <c r="DK5" t="s">
        <v>1383</v>
      </c>
      <c r="DL5" t="s">
        <v>1720</v>
      </c>
      <c r="DM5">
        <v>0.6</v>
      </c>
      <c r="DN5">
        <v>1</v>
      </c>
      <c r="DO5">
        <f t="shared" ref="DO5:DO10" si="2">+DN5*DI5</f>
        <v>4</v>
      </c>
      <c r="DP5">
        <v>4</v>
      </c>
      <c r="DQ5" t="s">
        <v>1862</v>
      </c>
      <c r="DR5" t="s">
        <v>1383</v>
      </c>
      <c r="DS5" t="s">
        <v>1740</v>
      </c>
      <c r="DT5">
        <v>1</v>
      </c>
      <c r="DU5">
        <f>+Tabla3101170411120[[#This Row],[Longitud de eje]]*DP5</f>
        <v>4</v>
      </c>
      <c r="DV5"/>
      <c r="DW5">
        <v>4</v>
      </c>
      <c r="DX5" t="s">
        <v>1862</v>
      </c>
      <c r="DY5" t="s">
        <v>1524</v>
      </c>
      <c r="DZ5" t="s">
        <v>1759</v>
      </c>
      <c r="EA5">
        <v>0.45</v>
      </c>
      <c r="EB5">
        <f>+Tabla3101170411120122[[#This Row],[Longitud de eje]]*DW5</f>
        <v>1.8</v>
      </c>
      <c r="EC5"/>
      <c r="ED5">
        <v>12</v>
      </c>
      <c r="EE5" t="s">
        <v>1862</v>
      </c>
      <c r="EF5" t="s">
        <v>1524</v>
      </c>
      <c r="EG5" t="s">
        <v>1406</v>
      </c>
      <c r="EH5">
        <v>2.16</v>
      </c>
      <c r="EI5">
        <v>2.5</v>
      </c>
      <c r="EJ5">
        <f>+Tabla3101112[[#This Row],[En culmo]]*ED5</f>
        <v>30</v>
      </c>
      <c r="EK5"/>
      <c r="EL5">
        <v>1</v>
      </c>
      <c r="EM5" t="s">
        <v>1862</v>
      </c>
      <c r="EN5" t="s">
        <v>1524</v>
      </c>
      <c r="EO5" t="s">
        <v>1770</v>
      </c>
      <c r="EP5">
        <v>1.98</v>
      </c>
      <c r="EQ5">
        <v>2</v>
      </c>
      <c r="ER5">
        <f>+Tabla3101112123[[#This Row],[En culmo]]*EL5</f>
        <v>2</v>
      </c>
      <c r="ES5"/>
      <c r="ET5">
        <v>2</v>
      </c>
      <c r="EU5" t="s">
        <v>1862</v>
      </c>
      <c r="EV5" t="s">
        <v>1525</v>
      </c>
      <c r="EW5" t="s">
        <v>1405</v>
      </c>
      <c r="EX5">
        <v>1.8</v>
      </c>
      <c r="EY5">
        <v>2</v>
      </c>
      <c r="EZ5">
        <f>+Tabla310111257[[#This Row],[En culmo]]*ET5</f>
        <v>4</v>
      </c>
      <c r="FA5"/>
      <c r="FB5">
        <v>37</v>
      </c>
      <c r="FC5" t="s">
        <v>1862</v>
      </c>
      <c r="FD5" t="s">
        <v>1525</v>
      </c>
      <c r="FE5" t="s">
        <v>1770</v>
      </c>
      <c r="FF5">
        <v>2.1800000000000002</v>
      </c>
      <c r="FG5">
        <v>2.5</v>
      </c>
      <c r="FH5">
        <f>+Tabla310111257124[[#This Row],[En culmo]]*FB5</f>
        <v>92.5</v>
      </c>
      <c r="FI5"/>
      <c r="FJ5">
        <v>18</v>
      </c>
      <c r="FK5" t="s">
        <v>1862</v>
      </c>
      <c r="FL5" t="s">
        <v>1524</v>
      </c>
      <c r="FM5" t="s">
        <v>1583</v>
      </c>
      <c r="FN5">
        <f>+((0.4*0.4)*1.5)</f>
        <v>0.24000000000000005</v>
      </c>
      <c r="FO5">
        <v>1.5</v>
      </c>
      <c r="FP5">
        <f>+Tabla310111213115[[#This Row],[Volúmen]]*FJ5</f>
        <v>4.3200000000000012</v>
      </c>
      <c r="FQ5">
        <f>+Tabla310111213115[[#This Row],[Longitud del eje]]*FJ5</f>
        <v>27</v>
      </c>
      <c r="FR5"/>
      <c r="FS5"/>
      <c r="FT5"/>
      <c r="FU5"/>
      <c r="FV5"/>
      <c r="FW5"/>
      <c r="FX5">
        <f>+Tabla31011121311554[[#This Row],[Volúmen]]*FR5</f>
        <v>0</v>
      </c>
      <c r="FY5">
        <f>+Tabla31011121311554[[#This Row],[Longitud del eje]]*FR5</f>
        <v>0</v>
      </c>
      <c r="FZ5">
        <v>3</v>
      </c>
      <c r="GA5" t="s">
        <v>1862</v>
      </c>
      <c r="GB5" t="s">
        <v>1524</v>
      </c>
      <c r="GC5" t="s">
        <v>1584</v>
      </c>
      <c r="GD5">
        <v>0.03</v>
      </c>
      <c r="GE5">
        <v>1</v>
      </c>
      <c r="GF5">
        <f>+Tabla3101112131157[[#This Row],[Volúmen]]*FZ5</f>
        <v>0.09</v>
      </c>
      <c r="GG5">
        <f>+Tabla3101112131157[[#This Row],[Longitud del eje]]*FZ5</f>
        <v>3</v>
      </c>
      <c r="GH5"/>
      <c r="GI5"/>
      <c r="GJ5"/>
      <c r="GK5"/>
      <c r="GL5"/>
      <c r="GM5"/>
      <c r="GN5">
        <f>+Tabla3101112137[[#This Row],[Volúmen]]*GH5</f>
        <v>0</v>
      </c>
      <c r="GO5"/>
      <c r="GQ5" t="s">
        <v>1862</v>
      </c>
      <c r="GR5" t="s">
        <v>1383</v>
      </c>
      <c r="GS5" t="s">
        <v>1628</v>
      </c>
      <c r="GT5">
        <v>0.12</v>
      </c>
      <c r="GU5">
        <v>19.559999999999999</v>
      </c>
      <c r="GV5">
        <v>1</v>
      </c>
      <c r="GW5">
        <f>+Tabla578914[[#This Row],[Recuento]]*Tabla578914[[#This Row],[Volúmen bruto]]</f>
        <v>0.12</v>
      </c>
      <c r="GX5">
        <f>+Tabla578914[[#This Row],[Recuento]]*Tabla578914[[#This Row],[Área neta]]</f>
        <v>19.559999999999999</v>
      </c>
      <c r="GY5" s="36"/>
      <c r="HA5" t="s">
        <v>1862</v>
      </c>
      <c r="HB5" t="s">
        <v>1383</v>
      </c>
      <c r="HC5" t="s">
        <v>1628</v>
      </c>
      <c r="HD5">
        <v>0.08</v>
      </c>
      <c r="HE5">
        <v>13.52</v>
      </c>
      <c r="HF5">
        <v>1</v>
      </c>
      <c r="HG5">
        <f>+Tabla578914126[[#This Row],[Recuento]]*Tabla578914126[[#This Row],[Volúmen bruto]]</f>
        <v>0.08</v>
      </c>
      <c r="HH5">
        <f>+Tabla578914126[[#This Row],[Recuento]]*Tabla578914126[[#This Row],[Área neta]]</f>
        <v>13.52</v>
      </c>
      <c r="HI5" s="36"/>
      <c r="HK5" t="s">
        <v>1862</v>
      </c>
      <c r="HL5" t="s">
        <v>1383</v>
      </c>
      <c r="HM5" t="s">
        <v>1628</v>
      </c>
      <c r="HN5">
        <v>0.02</v>
      </c>
      <c r="HO5">
        <v>3.18</v>
      </c>
      <c r="HP5">
        <v>1</v>
      </c>
      <c r="HQ5">
        <f>+Tabla578914126127[[#This Row],[Recuento]]*Tabla578914126127[[#This Row],[Volúmen bruto]]</f>
        <v>0.02</v>
      </c>
      <c r="HR5">
        <f>+Tabla578914126127[[#This Row],[Recuento]]*Tabla578914126127[[#This Row],[Área neta]]</f>
        <v>3.18</v>
      </c>
      <c r="HS5" s="36"/>
      <c r="HT5" s="26"/>
      <c r="HU5" t="s">
        <v>1862</v>
      </c>
      <c r="HV5" t="s">
        <v>1383</v>
      </c>
      <c r="HW5" t="s">
        <v>1773</v>
      </c>
      <c r="HX5">
        <v>0.14000000000000001</v>
      </c>
      <c r="HY5">
        <v>2.82</v>
      </c>
      <c r="HZ5">
        <v>1</v>
      </c>
      <c r="IA5">
        <f>+Tabla57891418[[#This Row],[Volúmen bruto]]*Tabla57891418[[#This Row],[Recuento]]</f>
        <v>0.14000000000000001</v>
      </c>
      <c r="IB5">
        <f>+Tabla57891418[[#This Row],[Área neta]]*Tabla57891418[[#This Row],[Recuento]]</f>
        <v>2.82</v>
      </c>
      <c r="IC5" s="35"/>
      <c r="ID5" s="26"/>
      <c r="IE5" t="s">
        <v>1862</v>
      </c>
      <c r="IF5" t="s">
        <v>1383</v>
      </c>
      <c r="IG5" t="s">
        <v>1795</v>
      </c>
      <c r="IH5">
        <v>0.01</v>
      </c>
      <c r="II5">
        <v>0.88</v>
      </c>
      <c r="IJ5">
        <v>2</v>
      </c>
      <c r="IK5">
        <f>+Tabla5789141835[[#This Row],[Volúmen bruto]]*Tabla5789141835[[#This Row],[Recuento]]</f>
        <v>0.02</v>
      </c>
      <c r="IL5">
        <f>+Tabla5789141835[[#This Row],[Área neta]]*Tabla5789141835[[#This Row],[Recuento]]</f>
        <v>1.76</v>
      </c>
      <c r="IM5" s="35"/>
      <c r="IN5" s="26"/>
      <c r="IO5"/>
      <c r="IP5"/>
      <c r="IQ5"/>
      <c r="IR5"/>
      <c r="IS5"/>
      <c r="IT5"/>
      <c r="IU5">
        <f>+Tabla520212223[[#This Row],[Recuento]]*Tabla520212223[[#This Row],[Volúmen bruto]]</f>
        <v>0</v>
      </c>
      <c r="IV5">
        <f>+Tabla520212223[[#This Row],[Recuento]]*Tabla520212223[[#This Row],[Área neta]]</f>
        <v>0</v>
      </c>
      <c r="IW5" s="26">
        <f t="shared" si="0"/>
        <v>0</v>
      </c>
      <c r="IY5" t="s">
        <v>1862</v>
      </c>
      <c r="IZ5" t="s">
        <v>1524</v>
      </c>
      <c r="JA5" t="s">
        <v>97</v>
      </c>
      <c r="JB5">
        <v>0.16</v>
      </c>
      <c r="JC5">
        <v>8.14</v>
      </c>
      <c r="JD5">
        <v>2</v>
      </c>
      <c r="JE5">
        <f>+Tabla520212224[[#This Row],[Recuento]]*Tabla520212224[[#This Row],[Volúmen bruto]]</f>
        <v>0.32</v>
      </c>
      <c r="JF5">
        <f>+Tabla520212224[[#This Row],[Recuento]]*Tabla520212224[[#This Row],[Área neta]]</f>
        <v>16.28</v>
      </c>
      <c r="JG5" s="26">
        <f>+SUM(JF5)+SUM(JF56:JF57)</f>
        <v>16.28</v>
      </c>
      <c r="JI5" t="s">
        <v>1862</v>
      </c>
      <c r="JJ5" t="s">
        <v>1524</v>
      </c>
      <c r="JK5" t="s">
        <v>1628</v>
      </c>
      <c r="JL5">
        <v>0.03</v>
      </c>
      <c r="JM5">
        <v>0.04</v>
      </c>
      <c r="JN5">
        <v>2</v>
      </c>
      <c r="JO5">
        <f>+Tabla52021222425[[#This Row],[Recuento]]*Tabla52021222425[[#This Row],[Volúmen bruto]]</f>
        <v>0.06</v>
      </c>
      <c r="JP5">
        <f>+Tabla52021222425[[#This Row],[Recuento]]*Tabla52021222425[[#This Row],[Área neta]]</f>
        <v>0.08</v>
      </c>
      <c r="JQ5" s="26"/>
      <c r="JS5" t="s">
        <v>1862</v>
      </c>
      <c r="JT5" t="s">
        <v>1524</v>
      </c>
      <c r="JU5" t="s">
        <v>1628</v>
      </c>
      <c r="JV5">
        <v>0.03</v>
      </c>
      <c r="JW5">
        <v>1.38</v>
      </c>
      <c r="JX5">
        <v>1</v>
      </c>
      <c r="JY5">
        <f>+Tabla5202122242526[[#This Row],[Recuento]]*Tabla5202122242526[[#This Row],[Volúmen bruto]]</f>
        <v>0.03</v>
      </c>
      <c r="JZ5">
        <f>+Tabla5202122242526[[#This Row],[Recuento]]*Tabla5202122242526[[#This Row],[Área neta]]</f>
        <v>1.38</v>
      </c>
      <c r="KA5" s="26"/>
      <c r="KC5" t="s">
        <v>1549</v>
      </c>
      <c r="KD5" t="s">
        <v>1524</v>
      </c>
      <c r="KE5" t="s">
        <v>1628</v>
      </c>
      <c r="KF5">
        <v>0.01</v>
      </c>
      <c r="KG5">
        <v>0.28000000000000003</v>
      </c>
      <c r="KH5">
        <v>1</v>
      </c>
      <c r="KI5">
        <f>+Tabla5202122242526104[[#This Row],[Recuento]]*Tabla5202122242526104[[#This Row],[Volúmen bruto]]</f>
        <v>0.01</v>
      </c>
      <c r="KJ5">
        <f>+Tabla5202122242526104[[#This Row],[Recuento]]*Tabla5202122242526104[[#This Row],[Área neta]]</f>
        <v>0.28000000000000003</v>
      </c>
      <c r="KK5" s="26"/>
      <c r="KM5" t="s">
        <v>1862</v>
      </c>
      <c r="KN5" t="s">
        <v>1524</v>
      </c>
      <c r="KO5" t="s">
        <v>1628</v>
      </c>
      <c r="KP5">
        <v>0.05</v>
      </c>
      <c r="KQ5">
        <v>0.62</v>
      </c>
      <c r="KR5">
        <v>1</v>
      </c>
      <c r="KS5">
        <f>+Tabla5202122242526104110[[#This Row],[Recuento]]*Tabla5202122242526104110[[#This Row],[Volúmen bruto]]</f>
        <v>0.05</v>
      </c>
      <c r="KT5">
        <f>+Tabla5202122242526104110[[#This Row],[Recuento]]*Tabla5202122242526104110[[#This Row],[Área neta]]</f>
        <v>0.62</v>
      </c>
      <c r="KU5" s="26"/>
      <c r="KW5" t="s">
        <v>1862</v>
      </c>
      <c r="KX5" t="s">
        <v>1524</v>
      </c>
      <c r="KY5" t="s">
        <v>1628</v>
      </c>
      <c r="KZ5">
        <v>0.04</v>
      </c>
      <c r="LA5">
        <v>2.2000000000000002</v>
      </c>
      <c r="LB5">
        <v>1</v>
      </c>
      <c r="LC5">
        <f>+Tabla520212224252659[[#This Row],[Recuento]]*Tabla520212224252659[[#This Row],[Volúmen bruto]]</f>
        <v>0.04</v>
      </c>
      <c r="LD5">
        <f>+Tabla520212224252659[[#This Row],[Recuento]]*Tabla520212224252659[[#This Row],[Área neta]]</f>
        <v>2.2000000000000002</v>
      </c>
      <c r="LE5" s="26"/>
      <c r="LG5" t="s">
        <v>1549</v>
      </c>
      <c r="LH5" t="s">
        <v>1524</v>
      </c>
      <c r="LI5" t="s">
        <v>97</v>
      </c>
      <c r="LJ5">
        <v>7.0000000000000007E-2</v>
      </c>
      <c r="LK5">
        <v>3.51</v>
      </c>
      <c r="LL5">
        <v>1</v>
      </c>
      <c r="LM5">
        <f>+Tabla520212224252659111[[#This Row],[Recuento]]*Tabla520212224252659111[[#This Row],[Volúmen bruto]]</f>
        <v>7.0000000000000007E-2</v>
      </c>
      <c r="LN5">
        <f>+Tabla520212224252659111[[#This Row],[Recuento]]*Tabla520212224252659111[[#This Row],[Área neta]]</f>
        <v>3.51</v>
      </c>
      <c r="LO5" s="26">
        <f>+SUM(LN5:LN6)</f>
        <v>7.0299999999999994</v>
      </c>
      <c r="LQ5" t="s">
        <v>1863</v>
      </c>
      <c r="LR5" t="s">
        <v>1525</v>
      </c>
      <c r="LS5" t="s">
        <v>1628</v>
      </c>
      <c r="LT5">
        <v>0.09</v>
      </c>
      <c r="LU5">
        <v>4.3</v>
      </c>
      <c r="LV5">
        <v>1</v>
      </c>
      <c r="LW5">
        <f>+Tabla520212224252659111114[[#This Row],[Recuento]]*Tabla520212224252659111114[[#This Row],[Volúmen bruto]]</f>
        <v>0.09</v>
      </c>
      <c r="LX5">
        <f>+Tabla520212224252659111114[[#This Row],[Recuento]]*Tabla520212224252659111114[[#This Row],[Área neta]]</f>
        <v>4.3</v>
      </c>
      <c r="LY5" s="26"/>
      <c r="MA5" t="s">
        <v>1862</v>
      </c>
      <c r="MB5" t="s">
        <v>1524</v>
      </c>
      <c r="MC5" t="s">
        <v>1628</v>
      </c>
      <c r="MD5">
        <v>0.06</v>
      </c>
      <c r="ME5">
        <v>3.04</v>
      </c>
      <c r="MF5">
        <v>1</v>
      </c>
      <c r="MG5">
        <f>+Tabla520212224252659111114128[[#This Row],[Recuento]]*Tabla520212224252659111114128[[#This Row],[Volúmen bruto]]</f>
        <v>0.06</v>
      </c>
      <c r="MH5">
        <f>+Tabla520212224252659111114128[[#This Row],[Recuento]]*Tabla520212224252659111114128[[#This Row],[Área neta]]</f>
        <v>3.04</v>
      </c>
      <c r="MI5" s="26"/>
      <c r="MK5" t="s">
        <v>1862</v>
      </c>
      <c r="ML5" t="s">
        <v>1525</v>
      </c>
      <c r="MM5" t="s">
        <v>1628</v>
      </c>
      <c r="MN5">
        <v>0.04</v>
      </c>
      <c r="MO5">
        <v>1.81</v>
      </c>
      <c r="MP5">
        <v>2</v>
      </c>
      <c r="MQ5">
        <f>+Tabla520212224252627[[#This Row],[Recuento]]*Tabla520212224252627[[#This Row],[Volúmen bruto]]</f>
        <v>0.08</v>
      </c>
      <c r="MR5">
        <f>+Tabla520212224252627[[#This Row],[Recuento]]*Tabla520212224252627[[#This Row],[Área neta]]</f>
        <v>3.62</v>
      </c>
      <c r="MS5" s="26"/>
      <c r="MU5" t="s">
        <v>1549</v>
      </c>
      <c r="MV5" t="s">
        <v>1525</v>
      </c>
      <c r="MW5" t="s">
        <v>97</v>
      </c>
      <c r="MX5">
        <v>0.01</v>
      </c>
      <c r="MY5">
        <v>0.26</v>
      </c>
      <c r="MZ5">
        <v>1</v>
      </c>
      <c r="NA5">
        <f>+Tabla520212224252627129[[#This Row],[Recuento]]*Tabla520212224252627129[[#This Row],[Volúmen bruto]]</f>
        <v>0.01</v>
      </c>
      <c r="NB5">
        <f>+Tabla520212224252627129[[#This Row],[Recuento]]*Tabla520212224252627129[[#This Row],[Área neta]]</f>
        <v>0.26</v>
      </c>
      <c r="NC5" s="26"/>
      <c r="NE5" t="s">
        <v>1549</v>
      </c>
      <c r="NF5" t="s">
        <v>1525</v>
      </c>
      <c r="NG5" t="s">
        <v>1628</v>
      </c>
      <c r="NH5">
        <v>0.01</v>
      </c>
      <c r="NI5">
        <v>0.26</v>
      </c>
      <c r="NJ5">
        <v>1</v>
      </c>
      <c r="NK5">
        <f>+Tabla520212224252627129125[[#This Row],[Recuento]]*Tabla520212224252627129125[[#This Row],[Volúmen bruto]]</f>
        <v>0.01</v>
      </c>
      <c r="NL5">
        <f>+Tabla520212224252627129125[[#This Row],[Recuento]]*Tabla520212224252627129125[[#This Row],[Área neta]]</f>
        <v>0.26</v>
      </c>
      <c r="NM5" s="26"/>
      <c r="NO5" t="s">
        <v>1549</v>
      </c>
      <c r="NP5" t="s">
        <v>1525</v>
      </c>
      <c r="NQ5" t="s">
        <v>1628</v>
      </c>
      <c r="NR5">
        <v>0.01</v>
      </c>
      <c r="NS5">
        <v>0.31</v>
      </c>
      <c r="NT5">
        <v>1</v>
      </c>
      <c r="NU5">
        <f>+Tabla520212224252627129125130[[#This Row],[Recuento]]*Tabla520212224252627129125130[[#This Row],[Volúmen bruto]]</f>
        <v>0.01</v>
      </c>
      <c r="NV5">
        <f>+Tabla520212224252627129125130[[#This Row],[Recuento]]*Tabla520212224252627129125130[[#This Row],[Área neta]]</f>
        <v>0.31</v>
      </c>
      <c r="NW5" s="26"/>
      <c r="NY5" t="s">
        <v>1549</v>
      </c>
      <c r="NZ5" t="s">
        <v>1525</v>
      </c>
      <c r="OA5" t="s">
        <v>1628</v>
      </c>
      <c r="OB5">
        <v>0.01</v>
      </c>
      <c r="OC5">
        <v>0.67</v>
      </c>
      <c r="OD5">
        <v>2</v>
      </c>
      <c r="OE5">
        <f>+Tabla520212224252627129125130131[[#This Row],[Recuento]]*Tabla520212224252627129125130131[[#This Row],[Volúmen bruto]]</f>
        <v>0.02</v>
      </c>
      <c r="OF5">
        <f>+Tabla520212224252627129125130131[[#This Row],[Recuento]]*Tabla520212224252627129125130131[[#This Row],[Área neta]]</f>
        <v>1.34</v>
      </c>
      <c r="OG5" s="26"/>
      <c r="OI5" t="s">
        <v>1549</v>
      </c>
      <c r="OJ5" t="s">
        <v>1525</v>
      </c>
      <c r="OK5" t="s">
        <v>97</v>
      </c>
      <c r="OL5">
        <v>0</v>
      </c>
      <c r="OM5">
        <v>0.24</v>
      </c>
      <c r="ON5">
        <v>1</v>
      </c>
      <c r="OO5">
        <f>+Tabla520212224252627129125130131132[[#This Row],[Recuento]]*Tabla520212224252627129125130131132[[#This Row],[Volúmen bruto]]</f>
        <v>0</v>
      </c>
      <c r="OP5">
        <f>+Tabla520212224252627129125130131132[[#This Row],[Recuento]]*Tabla520212224252627129125130131132[[#This Row],[Área neta]]</f>
        <v>0.24</v>
      </c>
      <c r="OQ5" s="26"/>
      <c r="OS5" t="s">
        <v>1863</v>
      </c>
      <c r="OT5" t="s">
        <v>1525</v>
      </c>
      <c r="OU5" t="s">
        <v>97</v>
      </c>
      <c r="OV5">
        <v>0.02</v>
      </c>
      <c r="OW5">
        <v>1.17</v>
      </c>
      <c r="OX5">
        <v>2</v>
      </c>
      <c r="OY5">
        <f>+Tabla52021222425262728[[#This Row],[Recuento]]*Tabla52021222425262728[[#This Row],[Volúmen bruto]]</f>
        <v>0.04</v>
      </c>
      <c r="OZ5">
        <f>+Tabla52021222425262728[[#This Row],[Recuento]]*Tabla52021222425262728[[#This Row],[Área neta]]</f>
        <v>2.34</v>
      </c>
      <c r="PA5" s="26">
        <f>+SUM(OZ5)</f>
        <v>2.34</v>
      </c>
      <c r="PC5" t="s">
        <v>1862</v>
      </c>
      <c r="PD5" t="s">
        <v>1525</v>
      </c>
      <c r="PE5" t="s">
        <v>1788</v>
      </c>
      <c r="PF5">
        <v>0</v>
      </c>
      <c r="PG5">
        <v>0.66</v>
      </c>
      <c r="PH5">
        <v>1</v>
      </c>
      <c r="PI5">
        <f>+Tabla52021222425262728133[[#This Row],[Recuento]]*Tabla52021222425262728133[[#This Row],[Volúmen bruto]]</f>
        <v>0</v>
      </c>
      <c r="PJ5">
        <f>+Tabla52021222425262728133[[#This Row],[Recuento]]*Tabla52021222425262728133[[#This Row],[Área neta]]</f>
        <v>0.66</v>
      </c>
      <c r="PK5" s="26"/>
      <c r="PM5" t="s">
        <v>1862</v>
      </c>
      <c r="PN5" t="s">
        <v>1525</v>
      </c>
      <c r="PO5" t="s">
        <v>1628</v>
      </c>
      <c r="PP5">
        <v>0.1</v>
      </c>
      <c r="PQ5">
        <v>4.75</v>
      </c>
      <c r="PR5">
        <v>1</v>
      </c>
      <c r="PS5">
        <f>+Tabla5202122242526272893[[#This Row],[Recuento]]*Tabla5202122242526272893[[#This Row],[Volúmen bruto]]</f>
        <v>0.1</v>
      </c>
      <c r="PT5">
        <f>+Tabla5202122242526272893[[#This Row],[Recuento]]*Tabla5202122242526272893[[#This Row],[Área neta]]</f>
        <v>4.75</v>
      </c>
      <c r="PU5" s="26">
        <f>+SUM(PT5:PT6)</f>
        <v>8.7200000000000006</v>
      </c>
      <c r="PW5" t="s">
        <v>1862</v>
      </c>
      <c r="PX5" t="s">
        <v>1525</v>
      </c>
      <c r="PY5" t="s">
        <v>1788</v>
      </c>
      <c r="PZ5">
        <v>0.01</v>
      </c>
      <c r="QA5">
        <v>1.06</v>
      </c>
      <c r="QB5">
        <v>1</v>
      </c>
      <c r="QC5">
        <f>+Tabla520212224252627289349[[#This Row],[Recuento]]*Tabla520212224252627289349[[#This Row],[Volúmen bruto]]</f>
        <v>0.01</v>
      </c>
      <c r="QD5">
        <f>+Tabla520212224252627289349[[#This Row],[Recuento]]*Tabla520212224252627289349[[#This Row],[Área neta]]</f>
        <v>1.06</v>
      </c>
      <c r="QE5" s="26"/>
      <c r="QG5" t="s">
        <v>1549</v>
      </c>
      <c r="QH5" t="s">
        <v>1525</v>
      </c>
      <c r="QI5" t="s">
        <v>1628</v>
      </c>
      <c r="QJ5">
        <v>0.03</v>
      </c>
      <c r="QK5">
        <v>1.4</v>
      </c>
      <c r="QL5">
        <v>1</v>
      </c>
      <c r="QM5">
        <f>+Tabla520212224252627289349134[[#This Row],[Recuento]]*Tabla520212224252627289349134[[#This Row],[Volúmen bruto]]</f>
        <v>0.03</v>
      </c>
      <c r="QN5">
        <f>+Tabla520212224252627289349134[[#This Row],[Recuento]]*Tabla520212224252627289349134[[#This Row],[Área neta]]</f>
        <v>1.4</v>
      </c>
      <c r="QO5" s="26">
        <f>+SUM(QN5:QN6)</f>
        <v>2.48</v>
      </c>
      <c r="QQ5" t="s">
        <v>1862</v>
      </c>
      <c r="QR5" t="s">
        <v>1524</v>
      </c>
      <c r="QS5" t="s">
        <v>1726</v>
      </c>
      <c r="QT5">
        <v>0.19</v>
      </c>
      <c r="QU5">
        <v>0.96</v>
      </c>
      <c r="QV5">
        <v>1</v>
      </c>
      <c r="QW5">
        <v>1</v>
      </c>
      <c r="QX5">
        <f>+Tabla5202122242526272829[[#This Row],[Recuento]]*Tabla5202122242526272829[[#This Row],[Volúmen bruto]]</f>
        <v>0.19</v>
      </c>
      <c r="QY5">
        <f>+Tabla5202122242526272829[[#This Row],[Recuento]]*Tabla5202122242526272829[[#This Row],[Área neta]]</f>
        <v>0.96</v>
      </c>
      <c r="QZ5">
        <f>+Tabla5202122242526272829[[#This Row],[Recuento]]*Tabla5202122242526272829[[#This Row],[Longitud]]</f>
        <v>1</v>
      </c>
      <c r="RA5" s="26"/>
      <c r="RC5" t="s">
        <v>1549</v>
      </c>
      <c r="RD5" t="s">
        <v>1524</v>
      </c>
      <c r="RE5" t="s">
        <v>92</v>
      </c>
      <c r="RF5">
        <v>7.0000000000000007E-2</v>
      </c>
      <c r="RG5">
        <v>0.95</v>
      </c>
      <c r="RH5">
        <v>1</v>
      </c>
      <c r="RI5">
        <f>+Tabla520212224252627283132[[#This Row],[Recuento]]*Tabla520212224252627283132[[#This Row],[Volúmen bruto]]</f>
        <v>7.0000000000000007E-2</v>
      </c>
      <c r="RJ5">
        <f>+Tabla520212224252627283132[[#This Row],[Recuento]]*Tabla520212224252627283132[[#This Row],[Área neta]]</f>
        <v>0.95</v>
      </c>
      <c r="RK5" s="26"/>
      <c r="RM5" t="s">
        <v>1862</v>
      </c>
      <c r="RN5" t="s">
        <v>1525</v>
      </c>
      <c r="RO5" t="s">
        <v>1793</v>
      </c>
      <c r="RP5">
        <v>0.01</v>
      </c>
      <c r="RQ5">
        <v>1.19</v>
      </c>
      <c r="RR5">
        <v>1</v>
      </c>
      <c r="RS5">
        <f>+Tabla5202122242526272831329[[#This Row],[Recuento]]*Tabla5202122242526272831329[[#This Row],[Volúmen bruto]]</f>
        <v>0.01</v>
      </c>
      <c r="RT5">
        <f>+Tabla5202122242526272831329[[#This Row],[Recuento]]*Tabla5202122242526272831329[[#This Row],[Área neta]]</f>
        <v>1.19</v>
      </c>
      <c r="RU5" s="26"/>
      <c r="RW5" t="s">
        <v>1862</v>
      </c>
      <c r="RX5" t="s">
        <v>1524</v>
      </c>
      <c r="RY5" t="s">
        <v>93</v>
      </c>
      <c r="RZ5">
        <v>0.03</v>
      </c>
      <c r="SA5">
        <v>1.66</v>
      </c>
      <c r="SB5">
        <v>1</v>
      </c>
      <c r="SC5">
        <f>+Tabla52021222425262728313233[[#This Row],[Recuento]]*Tabla52021222425262728313233[[#This Row],[Volúmen bruto]]</f>
        <v>0.03</v>
      </c>
      <c r="SD5">
        <f>+Tabla52021222425262728313233[[#This Row],[Recuento]]*Tabla52021222425262728313233[[#This Row],[Área neta]]</f>
        <v>1.66</v>
      </c>
      <c r="SE5" s="26"/>
      <c r="SG5" t="s">
        <v>1549</v>
      </c>
      <c r="SH5" t="s">
        <v>1525</v>
      </c>
      <c r="SI5" t="s">
        <v>1795</v>
      </c>
      <c r="SJ5">
        <v>0.03</v>
      </c>
      <c r="SK5">
        <v>3.47</v>
      </c>
      <c r="SL5">
        <v>1</v>
      </c>
      <c r="SM5">
        <f>+Tabla5202122242526272831323314[[#This Row],[Recuento]]*Tabla5202122242526272831323314[[#This Row],[Volúmen bruto]]</f>
        <v>0.03</v>
      </c>
      <c r="SN5">
        <f>+Tabla5202122242526272831323314[[#This Row],[Recuento]]*Tabla5202122242526272831323314[[#This Row],[Área neta]]</f>
        <v>3.47</v>
      </c>
      <c r="SO5" s="26"/>
      <c r="SQ5" t="s">
        <v>1862</v>
      </c>
      <c r="SR5" t="s">
        <v>1524</v>
      </c>
      <c r="SS5" t="s">
        <v>94</v>
      </c>
      <c r="ST5">
        <v>0.12</v>
      </c>
      <c r="SU5">
        <v>1.1499999999999999</v>
      </c>
      <c r="SV5">
        <v>1</v>
      </c>
      <c r="SW5" s="34">
        <f>+Tabla5789141516[[#This Row],[Recuento]]*Tabla5789141516[[#This Row],[Volúmen bruto]]</f>
        <v>0.12</v>
      </c>
      <c r="SX5" s="34">
        <f>+Tabla5789141516[[#This Row],[Recuento]]*Tabla5789141516[[#This Row],[Área neta]]</f>
        <v>1.1499999999999999</v>
      </c>
      <c r="SY5" s="36"/>
      <c r="SZ5" s="26"/>
      <c r="TA5"/>
      <c r="TB5"/>
      <c r="TC5"/>
      <c r="TD5"/>
      <c r="TE5"/>
      <c r="TF5"/>
      <c r="TG5" s="34">
        <f>+Tabla578914151634[[#This Row],[Recuento]]*Tabla578914151634[[#This Row],[Volúmen bruto]]</f>
        <v>0</v>
      </c>
      <c r="TH5" s="34">
        <f>+Tabla578914151634[[#This Row],[Recuento]]*Tabla578914151634[[#This Row],[Área neta]]</f>
        <v>0</v>
      </c>
      <c r="TI5" s="35"/>
      <c r="TJ5" s="26"/>
      <c r="TK5" t="s">
        <v>1862</v>
      </c>
      <c r="TL5" t="s">
        <v>1525</v>
      </c>
      <c r="TM5" t="s">
        <v>94</v>
      </c>
      <c r="TN5">
        <v>0.34</v>
      </c>
      <c r="TO5">
        <v>4.29</v>
      </c>
      <c r="TP5">
        <v>2</v>
      </c>
      <c r="TQ5" s="34">
        <f>+Tabla57891415163435[[#This Row],[Recuento]]*Tabla57891415163435[[#This Row],[Volúmen bruto]]</f>
        <v>0.68</v>
      </c>
      <c r="TR5" s="34">
        <f>+Tabla57891415163435[[#This Row],[Recuento]]*Tabla57891415163435[[#This Row],[Área neta]]</f>
        <v>8.58</v>
      </c>
      <c r="TS5" s="36"/>
      <c r="TT5" s="26"/>
      <c r="TU5"/>
      <c r="TV5"/>
      <c r="TW5"/>
      <c r="TX5"/>
      <c r="TY5"/>
      <c r="TZ5"/>
      <c r="UA5" s="34">
        <f>+Tabla5789141516343536[[#This Row],[Recuento]]*Tabla5789141516343536[[#This Row],[Volúmen bruto]]</f>
        <v>0</v>
      </c>
      <c r="UB5" s="34">
        <f>+Tabla5789141516343536[[#This Row],[Recuento]]*Tabla5789141516343536[[#This Row],[Área neta]]</f>
        <v>0</v>
      </c>
      <c r="UC5" s="35"/>
      <c r="UD5" s="26"/>
      <c r="UE5" t="s">
        <v>1862</v>
      </c>
      <c r="UF5" t="s">
        <v>1524</v>
      </c>
      <c r="UG5" t="s">
        <v>92</v>
      </c>
      <c r="UH5">
        <v>0.11</v>
      </c>
      <c r="UI5">
        <v>1.27</v>
      </c>
      <c r="UJ5">
        <v>1</v>
      </c>
      <c r="UK5" s="34">
        <f>+Tabla57891415163435363738[[#This Row],[Recuento]]*Tabla57891415163435363738[[#This Row],[Volúmen bruto]]</f>
        <v>0.11</v>
      </c>
      <c r="UL5" s="34">
        <f>+Tabla57891415163435363738[[#This Row],[Recuento]]*Tabla57891415163435363738[[#This Row],[Área neta]]</f>
        <v>1.27</v>
      </c>
      <c r="UM5" s="36"/>
      <c r="UN5" s="26"/>
      <c r="UO5"/>
      <c r="UP5"/>
      <c r="UQ5"/>
      <c r="UR5"/>
      <c r="US5"/>
      <c r="UT5"/>
      <c r="UU5" s="34">
        <f>+Tabla5789141516343536373839[[#This Row],[Recuento]]*Tabla5789141516343536373839[[#This Row],[Volúmen bruto]]</f>
        <v>0</v>
      </c>
      <c r="UV5" s="34">
        <f>+Tabla5789141516343536373839[[#This Row],[Recuento]]*Tabla5789141516343536373839[[#This Row],[Área neta]]</f>
        <v>0</v>
      </c>
      <c r="UW5" s="36"/>
      <c r="UX5" s="26"/>
      <c r="UY5" t="s">
        <v>1862</v>
      </c>
      <c r="UZ5" t="s">
        <v>1524</v>
      </c>
      <c r="VA5" t="s">
        <v>1630</v>
      </c>
      <c r="VB5">
        <v>0.01</v>
      </c>
      <c r="VC5">
        <v>1.22</v>
      </c>
      <c r="VD5">
        <v>1</v>
      </c>
      <c r="VE5" s="34">
        <f>+Tabla578914151634353637383940[[#This Row],[Recuento]]*Tabla578914151634353637383940[[#This Row],[Volúmen bruto]]</f>
        <v>0.01</v>
      </c>
      <c r="VF5" s="34">
        <f>+Tabla578914151634353637383940[[#This Row],[Recuento]]*Tabla578914151634353637383940[[#This Row],[Área neta]]</f>
        <v>1.22</v>
      </c>
      <c r="VG5" s="35">
        <f>+SUM(VF5:VF6)</f>
        <v>1.22</v>
      </c>
      <c r="VH5" s="26"/>
      <c r="VI5" t="s">
        <v>1862</v>
      </c>
      <c r="VJ5" t="s">
        <v>1524</v>
      </c>
      <c r="VK5" t="s">
        <v>92</v>
      </c>
      <c r="VL5">
        <v>0.23</v>
      </c>
      <c r="VM5">
        <v>2.54</v>
      </c>
      <c r="VN5">
        <v>1</v>
      </c>
      <c r="VO5" s="34">
        <f>+Tabla57891415163435363738394041[[#This Row],[Recuento]]*Tabla57891415163435363738394041[[#This Row],[Volúmen bruto]]</f>
        <v>0.23</v>
      </c>
      <c r="VP5" s="34">
        <f>+Tabla57891415163435363738394041[[#This Row],[Recuento]]*Tabla57891415163435363738394041[[#This Row],[Área neta]]</f>
        <v>2.54</v>
      </c>
      <c r="VQ5" s="36"/>
      <c r="VR5" s="26"/>
      <c r="VS5" t="s">
        <v>1862</v>
      </c>
      <c r="VT5" t="s">
        <v>1524</v>
      </c>
      <c r="VU5" t="s">
        <v>1631</v>
      </c>
      <c r="VV5">
        <v>0</v>
      </c>
      <c r="VW5">
        <v>0.34</v>
      </c>
      <c r="VX5">
        <v>1</v>
      </c>
      <c r="VY5" s="34">
        <f>+Tabla57891415163435363738394041121[[#This Row],[Recuento]]*Tabla57891415163435363738394041121[[#This Row],[Volúmen bruto]]</f>
        <v>0</v>
      </c>
      <c r="VZ5" s="34">
        <f>+Tabla57891415163435363738394041121[[#This Row],[Recuento]]*Tabla57891415163435363738394041121[[#This Row],[Área neta]]</f>
        <v>0.34</v>
      </c>
      <c r="WA5" s="35">
        <f>+SUM(VZ5:VZ6)</f>
        <v>0.34</v>
      </c>
      <c r="WB5" s="26"/>
      <c r="WC5"/>
      <c r="WD5"/>
      <c r="WE5"/>
      <c r="WF5"/>
      <c r="WG5"/>
      <c r="WH5"/>
      <c r="WI5" s="34">
        <f>+Tabla5789141516343536373839404142[[#This Row],[Recuento]]*Tabla5789141516343536373839404142[[#This Row],[Volúmen bruto]]</f>
        <v>0</v>
      </c>
      <c r="WJ5" s="34">
        <f>+Tabla5789141516343536373839404142[[#This Row],[Recuento]]*Tabla5789141516343536373839404142[[#This Row],[Área neta]]</f>
        <v>0</v>
      </c>
      <c r="WK5" s="36"/>
      <c r="WL5" s="26"/>
      <c r="WM5" t="s">
        <v>1862</v>
      </c>
      <c r="WN5" t="s">
        <v>1525</v>
      </c>
      <c r="WO5" t="s">
        <v>1628</v>
      </c>
      <c r="WP5">
        <v>0.01</v>
      </c>
      <c r="WQ5">
        <v>1.49</v>
      </c>
      <c r="WR5">
        <v>1</v>
      </c>
      <c r="WS5" s="34">
        <f>+Tabla578914151634353637383940414251[[#This Row],[Recuento]]*Tabla578914151634353637383940414251[[#This Row],[Volúmen bruto]]</f>
        <v>0.01</v>
      </c>
      <c r="WT5" s="34">
        <f>+Tabla578914151634353637383940414251[[#This Row],[Recuento]]*Tabla578914151634353637383940414251[[#This Row],[Área neta]]</f>
        <v>1.49</v>
      </c>
      <c r="WU5" s="35">
        <f>+SUM(WT5)</f>
        <v>1.49</v>
      </c>
      <c r="WV5" s="26"/>
      <c r="WW5" t="s">
        <v>1862</v>
      </c>
      <c r="WX5" t="s">
        <v>1525</v>
      </c>
      <c r="WY5" t="s">
        <v>1628</v>
      </c>
      <c r="WZ5">
        <v>0.01</v>
      </c>
      <c r="XA5">
        <v>1.29</v>
      </c>
      <c r="XB5">
        <v>1</v>
      </c>
      <c r="XC5" s="34">
        <f>+Tabla57891415163435363738394041425112[[#This Row],[Recuento]]*Tabla57891415163435363738394041425112[[#This Row],[Volúmen bruto]]</f>
        <v>0.01</v>
      </c>
      <c r="XD5" s="34">
        <f>+Tabla57891415163435363738394041425112[[#This Row],[Recuento]]*Tabla57891415163435363738394041425112[[#This Row],[Área neta]]</f>
        <v>1.29</v>
      </c>
      <c r="XE5" s="35">
        <f>+SUM(XD5)</f>
        <v>1.29</v>
      </c>
      <c r="XF5" s="26"/>
      <c r="XG5" t="s">
        <v>1862</v>
      </c>
      <c r="XH5" t="s">
        <v>1525</v>
      </c>
      <c r="XI5" t="s">
        <v>1628</v>
      </c>
      <c r="XJ5">
        <v>0.01</v>
      </c>
      <c r="XK5">
        <v>1.3</v>
      </c>
      <c r="XL5">
        <v>1</v>
      </c>
      <c r="XM5" s="34">
        <f>+Tabla578914151634353637383940414243444536[[#This Row],[Recuento]]*Tabla578914151634353637383940414243444536[[#This Row],[Volúmen bruto]]</f>
        <v>0.01</v>
      </c>
      <c r="XN5" s="34">
        <f>+Tabla578914151634353637383940414243444536[[#This Row],[Recuento]]*Tabla578914151634353637383940414243444536[[#This Row],[Área neta]]</f>
        <v>1.3</v>
      </c>
      <c r="XO5" s="35">
        <f>+SUM(XN5)</f>
        <v>1.3</v>
      </c>
      <c r="XP5" s="26"/>
      <c r="XQ5" t="s">
        <v>1862</v>
      </c>
      <c r="XR5" t="s">
        <v>1524</v>
      </c>
      <c r="XS5" t="s">
        <v>95</v>
      </c>
      <c r="XT5">
        <v>0.09</v>
      </c>
      <c r="XU5">
        <v>1.06</v>
      </c>
      <c r="XV5">
        <v>1</v>
      </c>
      <c r="XW5" s="34">
        <f>+Tabla5789141516343536373839404142434445[[#This Row],[Recuento]]*Tabla5789141516343536373839404142434445[[#This Row],[Volúmen bruto]]</f>
        <v>0.09</v>
      </c>
      <c r="XX5" s="34">
        <f>+Tabla5789141516343536373839404142434445[[#This Row],[Recuento]]*Tabla5789141516343536373839404142434445[[#This Row],[Área neta]]</f>
        <v>1.06</v>
      </c>
      <c r="XY5" s="36"/>
      <c r="XZ5" s="26"/>
      <c r="YA5"/>
      <c r="YB5"/>
      <c r="YC5"/>
      <c r="YD5"/>
      <c r="YE5"/>
      <c r="YF5"/>
      <c r="YG5" s="34">
        <f>+Tabla578914151634353637383940414243444558[[#This Row],[Recuento]]*Tabla578914151634353637383940414243444558[[#This Row],[Volúmen bruto]]</f>
        <v>0</v>
      </c>
      <c r="YH5" s="34">
        <f>+Tabla578914151634353637383940414243444558[[#This Row],[Recuento]]*Tabla578914151634353637383940414243444558[[#This Row],[Área neta]]</f>
        <v>0</v>
      </c>
      <c r="YI5" s="36"/>
      <c r="YJ5">
        <v>5</v>
      </c>
      <c r="YK5" t="s">
        <v>1549</v>
      </c>
      <c r="YL5" t="s">
        <v>1525</v>
      </c>
      <c r="YM5" t="s">
        <v>1719</v>
      </c>
      <c r="YN5">
        <v>1.8</v>
      </c>
      <c r="YO5">
        <f>+Tabla310113[[#This Row],[Longitud de eje]]*YJ5</f>
        <v>9</v>
      </c>
      <c r="YQ5"/>
      <c r="YR5"/>
      <c r="YS5"/>
      <c r="YT5"/>
      <c r="YU5"/>
      <c r="YV5" s="33"/>
      <c r="YW5" s="34">
        <f>+Tabla57891415163435363738394041424344454647[[#This Row],[Recuento]]*Tabla57891415163435363738394041424344454647[[#This Row],[Volúmen bruto]]</f>
        <v>0</v>
      </c>
      <c r="YX5" s="34">
        <f>+Tabla57891415163435363738394041424344454647[[#This Row],[Recuento]]*Tabla57891415163435363738394041424344454647[[#This Row],[Área neta]]</f>
        <v>0</v>
      </c>
      <c r="YY5" s="35"/>
      <c r="YZ5" s="26"/>
      <c r="ZA5" t="s">
        <v>1863</v>
      </c>
      <c r="ZB5" t="s">
        <v>1524</v>
      </c>
      <c r="ZC5" t="s">
        <v>92</v>
      </c>
      <c r="ZD5">
        <v>0.25</v>
      </c>
      <c r="ZE5">
        <v>3.16</v>
      </c>
      <c r="ZF5">
        <v>2</v>
      </c>
      <c r="ZG5" s="34">
        <f>+Tabla5789141516343536373839404142434445464748495038[[#This Row],[Recuento]]*Tabla5789141516343536373839404142434445464748495038[[#This Row],[Volúmen bruto]]</f>
        <v>0.5</v>
      </c>
      <c r="ZH5" s="34">
        <f>+Tabla5789141516343536373839404142434445464748495038[[#This Row],[Recuento]]*Tabla5789141516343536373839404142434445464748495038[[#This Row],[Área neta]]</f>
        <v>6.32</v>
      </c>
      <c r="ZI5" s="36"/>
      <c r="ZJ5" s="26"/>
      <c r="ZK5" t="s">
        <v>1862</v>
      </c>
      <c r="ZL5" t="s">
        <v>1525</v>
      </c>
      <c r="ZM5" t="s">
        <v>1485</v>
      </c>
      <c r="ZN5">
        <v>0.01</v>
      </c>
      <c r="ZO5">
        <v>0.33</v>
      </c>
      <c r="ZP5">
        <v>8</v>
      </c>
      <c r="ZQ5" s="34">
        <f>+Tabla5789141516343536373839404142434445464748495041[[#This Row],[Recuento]]*Tabla5789141516343536373839404142434445464748495041[[#This Row],[Volúmen bruto]]</f>
        <v>0.08</v>
      </c>
      <c r="ZR5" s="34">
        <f>+Tabla5789141516343536373839404142434445464748495041[[#This Row],[Recuento]]*Tabla5789141516343536373839404142434445464748495041[[#This Row],[Área neta]]</f>
        <v>2.64</v>
      </c>
      <c r="ZS5" s="35"/>
      <c r="ZT5" s="26"/>
      <c r="ZU5" t="s">
        <v>1862</v>
      </c>
      <c r="ZV5" t="s">
        <v>1524</v>
      </c>
      <c r="ZW5" t="s">
        <v>92</v>
      </c>
      <c r="ZX5">
        <v>0.05</v>
      </c>
      <c r="ZY5">
        <v>0.33</v>
      </c>
      <c r="ZZ5">
        <v>2</v>
      </c>
      <c r="AAA5" s="34">
        <f>+Tabla57891415163435363738394041424344454647484950[[#This Row],[Recuento]]*Tabla57891415163435363738394041424344454647484950[[#This Row],[Volúmen bruto]]</f>
        <v>0.1</v>
      </c>
      <c r="AAB5" s="34">
        <f>+Tabla57891415163435363738394041424344454647484950[[#This Row],[Recuento]]*Tabla57891415163435363738394041424344454647484950[[#This Row],[Área neta]]</f>
        <v>0.66</v>
      </c>
      <c r="AAC5" s="35"/>
      <c r="AAD5" s="26"/>
      <c r="AAE5"/>
      <c r="AAF5"/>
      <c r="AAG5"/>
      <c r="AAH5"/>
      <c r="AAI5"/>
      <c r="AAJ5" s="33">
        <v>1</v>
      </c>
      <c r="AAK5" s="34">
        <f>+Tabla5789141516343536373839404142434445464748495054[[#This Row],[Recuento]]*Tabla5789141516343536373839404142434445464748495054[[#This Row],[Volúmen bruto]]</f>
        <v>0</v>
      </c>
      <c r="AAL5" s="34">
        <f>+Tabla5789141516343536373839404142434445464748495054[[#This Row],[Recuento]]*Tabla5789141516343536373839404142434445464748495054[[#This Row],[Área neta]]</f>
        <v>0</v>
      </c>
      <c r="AAM5" s="36"/>
      <c r="AAN5" s="26"/>
      <c r="AAO5" t="s">
        <v>1862</v>
      </c>
      <c r="AAP5" t="s">
        <v>1524</v>
      </c>
      <c r="AAQ5" t="s">
        <v>92</v>
      </c>
      <c r="AAR5">
        <v>0.02</v>
      </c>
      <c r="AAS5">
        <v>0.35</v>
      </c>
      <c r="AAT5">
        <v>9</v>
      </c>
      <c r="AAU5" s="34">
        <f>+Tabla5789141516343536373839404142434445464748495051[[#This Row],[Recuento]]*Tabla5789141516343536373839404142434445464748495051[[#This Row],[Volúmen bruto]]</f>
        <v>0.18</v>
      </c>
      <c r="AAV5" s="34">
        <f>+Tabla5789141516343536373839404142434445464748495051[[#This Row],[Recuento]]*Tabla5789141516343536373839404142434445464748495051[[#This Row],[Área neta]]</f>
        <v>3.15</v>
      </c>
      <c r="AAW5" s="35"/>
      <c r="AAX5" s="26"/>
      <c r="AAY5"/>
      <c r="AAZ5"/>
      <c r="ABA5"/>
      <c r="ABB5"/>
      <c r="ABC5"/>
      <c r="ABD5"/>
      <c r="ABE5" s="34">
        <f>+Tabla578914151634353637383940414243444546474849505152[[#This Row],[Recuento]]*Tabla578914151634353637383940414243444546474849505152[[#This Row],[Volúmen bruto]]</f>
        <v>0</v>
      </c>
      <c r="ABF5" s="34">
        <f>+Tabla578914151634353637383940414243444546474849505152[[#This Row],[Recuento]]*Tabla578914151634353637383940414243444546474849505152[[#This Row],[Área neta]]</f>
        <v>0</v>
      </c>
      <c r="ABG5" s="35"/>
      <c r="ABH5" s="26"/>
      <c r="ABI5" t="s">
        <v>1862</v>
      </c>
      <c r="ABJ5" t="s">
        <v>1525</v>
      </c>
      <c r="ABK5" t="s">
        <v>1793</v>
      </c>
      <c r="ABL5">
        <v>0.03</v>
      </c>
      <c r="ABM5">
        <v>1.58</v>
      </c>
      <c r="ABN5">
        <v>5</v>
      </c>
      <c r="ABO5" s="34">
        <f>+Tabla57891415163435363738394041424344454647484950515213[[#This Row],[Recuento]]*Tabla57891415163435363738394041424344454647484950515213[[#This Row],[Volúmen bruto]]</f>
        <v>0.15</v>
      </c>
      <c r="ABP5" s="34">
        <f>+Tabla57891415163435363738394041424344454647484950515213[[#This Row],[Recuento]]*Tabla57891415163435363738394041424344454647484950515213[[#This Row],[Área neta]]</f>
        <v>7.9</v>
      </c>
      <c r="ABQ5" s="35"/>
      <c r="ABR5" s="26"/>
      <c r="ABS5" t="s">
        <v>1862</v>
      </c>
      <c r="ABT5" t="s">
        <v>1524</v>
      </c>
      <c r="ABU5" t="s">
        <v>1923</v>
      </c>
      <c r="ABV5">
        <v>0.2</v>
      </c>
      <c r="ABW5">
        <v>3.99</v>
      </c>
      <c r="ABX5">
        <v>1</v>
      </c>
      <c r="ABY5" s="34">
        <f>+Tabla5789141516343536373839404142434445464748495051521340[[#This Row],[Recuento]]*Tabla5789141516343536373839404142434445464748495051521340[[#This Row],[Volúmen bruto]]</f>
        <v>0.2</v>
      </c>
      <c r="ABZ5" s="34">
        <f>+Tabla5789141516343536373839404142434445464748495051521340[[#This Row],[Recuento]]*Tabla5789141516343536373839404142434445464748495051521340[[#This Row],[Área neta]]</f>
        <v>3.99</v>
      </c>
      <c r="ACA5" s="35"/>
      <c r="ACB5" s="26"/>
      <c r="ACC5"/>
      <c r="ACD5"/>
      <c r="ACE5"/>
      <c r="ACF5"/>
      <c r="ACG5"/>
      <c r="ACH5" s="33"/>
      <c r="ACI5" s="34">
        <f>+Tabla5789141516343536373839404142434445464748495051525353[[#This Row],[Recuento]]*Tabla5789141516343536373839404142434445464748495051525353[[#This Row],[Volúmen bruto]]</f>
        <v>0</v>
      </c>
      <c r="ACJ5" s="34">
        <f>+Tabla5789141516343536373839404142434445464748495051525353[[#This Row],[Recuento]]*Tabla5789141516343536373839404142434445464748495051525353[[#This Row],[Área neta]]</f>
        <v>0</v>
      </c>
      <c r="ACK5" s="35">
        <f>+ACF4+Tabla5789141516343536373839404142434445464748495051525353[[#This Row],[Volúmen bruto]]+ACF6</f>
        <v>0</v>
      </c>
      <c r="ACL5" s="26"/>
      <c r="ACM5"/>
      <c r="ACN5"/>
      <c r="ACO5"/>
      <c r="ACP5"/>
      <c r="ACQ5"/>
      <c r="ACR5" s="33"/>
      <c r="ACS5" s="34">
        <f>+Tabla57891415163435363738394041424344454647484950515253[[#This Row],[Recuento]]*Tabla57891415163435363738394041424344454647484950515253[[#This Row],[Volúmen bruto]]</f>
        <v>0</v>
      </c>
      <c r="ACT5" s="34">
        <f>+Tabla57891415163435363738394041424344454647484950515253[[#This Row],[Recuento]]*Tabla57891415163435363738394041424344454647484950515253[[#This Row],[Área neta]]</f>
        <v>0</v>
      </c>
      <c r="ACU5" s="35">
        <f>+ACP4+Tabla57891415163435363738394041424344454647484950515253[[#This Row],[Volúmen bruto]]+ACP6</f>
        <v>0</v>
      </c>
      <c r="ACV5" s="26"/>
      <c r="ACW5" t="s">
        <v>1230</v>
      </c>
      <c r="ACX5" s="1">
        <v>1</v>
      </c>
      <c r="ACY5" s="2">
        <v>0.4</v>
      </c>
      <c r="ACZ5" s="2">
        <v>1.25</v>
      </c>
      <c r="ADA5">
        <v>1</v>
      </c>
      <c r="ADB5" s="2">
        <f t="shared" si="1"/>
        <v>0.5</v>
      </c>
      <c r="ADD5" t="s">
        <v>1720</v>
      </c>
      <c r="ADE5">
        <v>0.9</v>
      </c>
      <c r="ADF5">
        <v>12</v>
      </c>
      <c r="ADG5" s="26">
        <f>+ADF5*ADE5</f>
        <v>10.8</v>
      </c>
      <c r="ADH5"/>
      <c r="ADI5" t="s">
        <v>1522</v>
      </c>
      <c r="ADJ5" t="s">
        <v>1523</v>
      </c>
      <c r="ADK5" t="s">
        <v>297</v>
      </c>
      <c r="ADL5">
        <v>0.4</v>
      </c>
      <c r="ADM5">
        <v>1</v>
      </c>
      <c r="ADN5">
        <f ca="1">+Tabla578914151634353637383940414243444546474849505152535560[[#This Row],[G. Total]]*Tabla578914151634353637383940414243444546474849505152535560[[#This Row],[Recuento]]</f>
        <v>0.4</v>
      </c>
      <c r="ADO5" s="35"/>
      <c r="ADP5" s="26"/>
      <c r="ADQ5"/>
      <c r="ADR5"/>
      <c r="ADS5"/>
      <c r="ADT5"/>
      <c r="ADU5"/>
      <c r="ADV5" s="35"/>
      <c r="ADW5" s="35"/>
      <c r="ADX5"/>
      <c r="ADY5"/>
      <c r="ADZ5"/>
      <c r="AEA5"/>
      <c r="AEB5"/>
      <c r="AEC5">
        <f ca="1">+Tabla57891415163435363738394041424344454647484950515253556062[[#This Row],[Total]]*Tabla57891415163435363738394041424344454647484950515253556062[[#This Row],[Recuento]]</f>
        <v>0</v>
      </c>
      <c r="AED5" s="35"/>
      <c r="AEE5" s="26"/>
      <c r="AEF5"/>
      <c r="AEG5"/>
      <c r="AEH5"/>
      <c r="AEI5"/>
      <c r="AEJ5"/>
      <c r="AEK5" s="35"/>
      <c r="AEL5" s="35"/>
      <c r="AEM5" t="s">
        <v>1522</v>
      </c>
      <c r="AEN5" t="s">
        <v>1523</v>
      </c>
      <c r="AEO5" t="s">
        <v>382</v>
      </c>
      <c r="AEP5">
        <v>1.02</v>
      </c>
      <c r="AEQ5">
        <v>1</v>
      </c>
      <c r="AER5">
        <f ca="1">+Tabla5789141516343536373839404142434445464748495051525355606264[[#This Row],[G. Total]]*Tabla5789141516343536373839404142434445464748495051525355606264[[#This Row],[Recuento]]</f>
        <v>1.02</v>
      </c>
      <c r="AES5" s="35"/>
      <c r="AET5" s="26"/>
      <c r="AEU5"/>
      <c r="AEV5"/>
      <c r="AEW5"/>
      <c r="AEX5"/>
      <c r="AEY5"/>
      <c r="AEZ5" s="35"/>
      <c r="AFA5" s="26"/>
      <c r="AFB5"/>
      <c r="AFC5" t="s">
        <v>1383</v>
      </c>
      <c r="AFD5" t="s">
        <v>1741</v>
      </c>
      <c r="AFE5">
        <v>7.34</v>
      </c>
      <c r="AFF5">
        <v>2</v>
      </c>
      <c r="AFG5">
        <f>+AFF5*AFE5</f>
        <v>14.68</v>
      </c>
      <c r="AFH5" t="s">
        <v>1522</v>
      </c>
      <c r="AFI5" t="s">
        <v>1523</v>
      </c>
      <c r="AFJ5" t="s">
        <v>1410</v>
      </c>
      <c r="AFK5">
        <v>3.13</v>
      </c>
      <c r="AFL5">
        <v>1</v>
      </c>
      <c r="AFM5">
        <f ca="1">+Tabla578914151634353637383940414243444546474849505152535560626467[[#This Row],[G. Total]]*Tabla578914151634353637383940414243444546474849505152535560626467[[#This Row],[Recuento]]</f>
        <v>3.13</v>
      </c>
      <c r="AFN5" s="35"/>
      <c r="AFO5" s="26"/>
      <c r="AFP5" s="2" t="s">
        <v>96</v>
      </c>
      <c r="AFQ5" s="2">
        <f>224*2</f>
        <v>448</v>
      </c>
      <c r="AFR5" s="2">
        <v>0.12</v>
      </c>
      <c r="AFS5" s="2">
        <f>+AFR5*AFQ5</f>
        <v>53.76</v>
      </c>
      <c r="AFT5" s="2">
        <v>2</v>
      </c>
      <c r="AFU5" s="2">
        <f>+AFT5*AFQ5</f>
        <v>896</v>
      </c>
      <c r="AFW5" s="2" t="s">
        <v>96</v>
      </c>
      <c r="AFX5" s="2">
        <v>32</v>
      </c>
      <c r="AFY5" s="2">
        <v>0.12</v>
      </c>
      <c r="AFZ5" s="2">
        <f>+AFY5*AFX5</f>
        <v>3.84</v>
      </c>
      <c r="AGA5" s="2">
        <v>2</v>
      </c>
      <c r="AGB5" s="2">
        <f>+AGA5*AFX5</f>
        <v>64</v>
      </c>
    </row>
    <row r="6" spans="1:860" ht="15" customHeight="1" x14ac:dyDescent="0.25">
      <c r="A6">
        <v>3</v>
      </c>
      <c r="B6" t="s">
        <v>1862</v>
      </c>
      <c r="C6" t="s">
        <v>1225</v>
      </c>
      <c r="D6" t="s">
        <v>1550</v>
      </c>
      <c r="E6">
        <v>0.3</v>
      </c>
      <c r="F6">
        <v>5</v>
      </c>
      <c r="G6"/>
      <c r="H6">
        <f>+Tabla3[[#This Row],[Volúmen neto]]*A6</f>
        <v>0.89999999999999991</v>
      </c>
      <c r="I6">
        <f>+Tabla3[[#This Row],[Longitud de eje]]*A6</f>
        <v>15</v>
      </c>
      <c r="J6"/>
      <c r="K6" t="s">
        <v>1549</v>
      </c>
      <c r="L6" t="s">
        <v>1524</v>
      </c>
      <c r="M6" t="s">
        <v>1683</v>
      </c>
      <c r="N6">
        <v>0.31</v>
      </c>
      <c r="O6">
        <v>2.6</v>
      </c>
      <c r="P6">
        <v>4</v>
      </c>
      <c r="Q6">
        <v>1</v>
      </c>
      <c r="R6">
        <f>+Tabla5[[#This Row],[Recuento]]*Tabla5[[#This Row],[Volúmen bruto]]</f>
        <v>0.31</v>
      </c>
      <c r="S6">
        <f>+Tabla5[[#This Row],[Recuento]]*Tabla5[[#This Row],[Área neta]]</f>
        <v>2.6</v>
      </c>
      <c r="T6">
        <f>+Tabla5[[#This Row],[Longitud nominal]]*Tabla5[[#This Row],[Recuento]]</f>
        <v>4</v>
      </c>
      <c r="U6" s="26"/>
      <c r="V6"/>
      <c r="W6"/>
      <c r="X6"/>
      <c r="Y6"/>
      <c r="Z6"/>
      <c r="AA6"/>
      <c r="AB6"/>
      <c r="AC6"/>
      <c r="AD6">
        <f>+Tabla522[[#This Row],[Recuento]]*Tabla522[[#This Row],[Volúmen bruto]]</f>
        <v>0</v>
      </c>
      <c r="AE6">
        <f>+Tabla522[[#This Row],[Recuento]]*Tabla522[[#This Row],[Área neta]]</f>
        <v>0</v>
      </c>
      <c r="AF6">
        <f>+Tabla522[[#This Row],[Longitud nominal]]*Tabla522[[#This Row],[Recuento]]</f>
        <v>0</v>
      </c>
      <c r="AG6" s="26"/>
      <c r="AH6"/>
      <c r="AI6"/>
      <c r="AJ6"/>
      <c r="AK6"/>
      <c r="AL6"/>
      <c r="AM6"/>
      <c r="AN6"/>
      <c r="AO6"/>
      <c r="AP6">
        <f>+Tabla52223[[#This Row],[Recuento]]*Tabla52223[[#This Row],[Volúmen bruto]]</f>
        <v>0</v>
      </c>
      <c r="AQ6">
        <f>+Tabla52223[[#This Row],[Recuento]]*Tabla52223[[#This Row],[Área neta]]</f>
        <v>0</v>
      </c>
      <c r="AR6">
        <f>+Tabla52223[[#This Row],[Longitud nominal]]*Tabla52223[[#This Row],[Recuento]]</f>
        <v>0</v>
      </c>
      <c r="AS6" s="26">
        <f>+SUM(AQ6)</f>
        <v>0</v>
      </c>
      <c r="AT6"/>
      <c r="AU6"/>
      <c r="AV6"/>
      <c r="AW6"/>
      <c r="AX6"/>
      <c r="AY6"/>
      <c r="AZ6"/>
      <c r="BA6"/>
      <c r="BB6">
        <f>+Tabla5222329[[#This Row],[Recuento]]*Tabla5222329[[#This Row],[Volúmen bruto]]</f>
        <v>0</v>
      </c>
      <c r="BC6">
        <f>+Tabla5222329[[#This Row],[Recuento]]*Tabla5222329[[#This Row],[Área neta]]</f>
        <v>0</v>
      </c>
      <c r="BD6">
        <f>+Tabla5222329[[#This Row],[Longitud nominal]]*Tabla5222329[[#This Row],[Recuento]]</f>
        <v>0</v>
      </c>
      <c r="BE6" s="26"/>
      <c r="BF6">
        <v>6</v>
      </c>
      <c r="BG6" t="s">
        <v>1862</v>
      </c>
      <c r="BH6" t="s">
        <v>1524</v>
      </c>
      <c r="BI6" t="s">
        <v>1406</v>
      </c>
      <c r="BJ6">
        <v>1.04</v>
      </c>
      <c r="BK6">
        <v>1.5</v>
      </c>
      <c r="BL6">
        <f>+Tabla3102[[#This Row],[En culmo]]*BF6</f>
        <v>9</v>
      </c>
      <c r="BM6"/>
      <c r="BN6"/>
      <c r="BO6"/>
      <c r="BP6"/>
      <c r="BQ6"/>
      <c r="BR6"/>
      <c r="BS6">
        <v>1.5</v>
      </c>
      <c r="BT6">
        <f>+Tabla31069[[#This Row],[En culmo]]*BN6</f>
        <v>0</v>
      </c>
      <c r="BU6"/>
      <c r="BV6">
        <v>3</v>
      </c>
      <c r="BW6" t="s">
        <v>1862</v>
      </c>
      <c r="BX6" t="s">
        <v>1525</v>
      </c>
      <c r="BY6" t="s">
        <v>1406</v>
      </c>
      <c r="BZ6">
        <v>12.01</v>
      </c>
      <c r="CA6">
        <v>12.5</v>
      </c>
      <c r="CB6">
        <f>+Tabla31011[[#This Row],[En culmo]]*BV6</f>
        <v>37.5</v>
      </c>
      <c r="CD6">
        <v>8</v>
      </c>
      <c r="CE6" t="s">
        <v>1862</v>
      </c>
      <c r="CF6" t="s">
        <v>1525</v>
      </c>
      <c r="CG6" t="s">
        <v>1405</v>
      </c>
      <c r="CH6">
        <v>0.43</v>
      </c>
      <c r="CI6">
        <v>1</v>
      </c>
      <c r="CJ6">
        <f>+Tabla3101170[[#This Row],[En culmo]]*CD6</f>
        <v>8</v>
      </c>
      <c r="CK6"/>
      <c r="CL6">
        <v>12</v>
      </c>
      <c r="CM6" t="s">
        <v>1862</v>
      </c>
      <c r="CN6" t="s">
        <v>1383</v>
      </c>
      <c r="CO6" t="s">
        <v>1406</v>
      </c>
      <c r="CP6">
        <v>3.94</v>
      </c>
      <c r="CQ6" s="26">
        <v>4.5</v>
      </c>
      <c r="CR6">
        <f>+Tabla31011116[[#This Row],[En culmo]]*CT6</f>
        <v>9</v>
      </c>
      <c r="CT6">
        <v>2</v>
      </c>
      <c r="CU6" t="s">
        <v>1862</v>
      </c>
      <c r="CV6" t="s">
        <v>1383</v>
      </c>
      <c r="CW6" t="s">
        <v>1405</v>
      </c>
      <c r="CX6">
        <v>9.2100000000000009</v>
      </c>
      <c r="CY6">
        <v>9.5</v>
      </c>
      <c r="CZ6">
        <f>+Tabla3101170117[[#This Row],[En culmo]]*CT6</f>
        <v>19</v>
      </c>
      <c r="DA6"/>
      <c r="DB6">
        <v>2</v>
      </c>
      <c r="DC6" t="s">
        <v>1862</v>
      </c>
      <c r="DD6" t="s">
        <v>1383</v>
      </c>
      <c r="DE6" t="s">
        <v>1723</v>
      </c>
      <c r="DF6">
        <v>1.24</v>
      </c>
      <c r="DG6">
        <f>+Tabla31011704[[#This Row],[Longitud de eje]]*DB6</f>
        <v>2.48</v>
      </c>
      <c r="DH6"/>
      <c r="DI6">
        <v>4</v>
      </c>
      <c r="DJ6" t="s">
        <v>1862</v>
      </c>
      <c r="DK6" t="s">
        <v>1383</v>
      </c>
      <c r="DL6" t="s">
        <v>1720</v>
      </c>
      <c r="DM6">
        <v>0.9</v>
      </c>
      <c r="DN6">
        <v>1.5</v>
      </c>
      <c r="DO6">
        <f t="shared" si="2"/>
        <v>6</v>
      </c>
      <c r="DP6">
        <v>4</v>
      </c>
      <c r="DQ6" t="s">
        <v>1862</v>
      </c>
      <c r="DR6" t="s">
        <v>1383</v>
      </c>
      <c r="DS6" t="s">
        <v>1740</v>
      </c>
      <c r="DT6">
        <v>0.9</v>
      </c>
      <c r="DU6">
        <f>+Tabla3101170411120[[#This Row],[Longitud de eje]]*DP6</f>
        <v>3.6</v>
      </c>
      <c r="DV6"/>
      <c r="DW6">
        <v>4</v>
      </c>
      <c r="DX6" t="s">
        <v>1862</v>
      </c>
      <c r="DY6" t="s">
        <v>1524</v>
      </c>
      <c r="DZ6" t="s">
        <v>1759</v>
      </c>
      <c r="EA6">
        <v>0.59</v>
      </c>
      <c r="EB6">
        <f>+Tabla3101170411120122[[#This Row],[Longitud de eje]]*DW6</f>
        <v>2.36</v>
      </c>
      <c r="EC6"/>
      <c r="ED6">
        <v>4</v>
      </c>
      <c r="EE6" t="s">
        <v>1862</v>
      </c>
      <c r="EF6" t="s">
        <v>1524</v>
      </c>
      <c r="EG6" t="s">
        <v>1406</v>
      </c>
      <c r="EH6">
        <v>0.54</v>
      </c>
      <c r="EI6">
        <v>1</v>
      </c>
      <c r="EJ6">
        <f>+Tabla3101112[[#This Row],[En culmo]]*ED6</f>
        <v>4</v>
      </c>
      <c r="EK6"/>
      <c r="EL6">
        <v>4</v>
      </c>
      <c r="EM6" t="s">
        <v>1862</v>
      </c>
      <c r="EN6" t="s">
        <v>1524</v>
      </c>
      <c r="EO6" t="s">
        <v>1770</v>
      </c>
      <c r="EP6">
        <v>0.82</v>
      </c>
      <c r="EQ6">
        <v>1</v>
      </c>
      <c r="ER6">
        <f>+Tabla3101112123[[#This Row],[En culmo]]*EL6</f>
        <v>4</v>
      </c>
      <c r="ES6"/>
      <c r="ET6">
        <v>10</v>
      </c>
      <c r="EU6" t="s">
        <v>1862</v>
      </c>
      <c r="EV6" t="s">
        <v>1525</v>
      </c>
      <c r="EW6" t="s">
        <v>1405</v>
      </c>
      <c r="EX6">
        <v>2.15</v>
      </c>
      <c r="EY6">
        <v>2.5</v>
      </c>
      <c r="EZ6">
        <f>+Tabla310111257[[#This Row],[En culmo]]*ET6</f>
        <v>25</v>
      </c>
      <c r="FA6"/>
      <c r="FB6">
        <v>2</v>
      </c>
      <c r="FC6" t="s">
        <v>1862</v>
      </c>
      <c r="FD6" t="s">
        <v>1525</v>
      </c>
      <c r="FE6" t="s">
        <v>1770</v>
      </c>
      <c r="FF6">
        <v>1.18</v>
      </c>
      <c r="FG6">
        <v>1.5</v>
      </c>
      <c r="FH6">
        <f>+Tabla310111257124[[#This Row],[En culmo]]*FB6</f>
        <v>3</v>
      </c>
      <c r="FI6"/>
      <c r="FJ6"/>
      <c r="FK6"/>
      <c r="FL6"/>
      <c r="FM6"/>
      <c r="FN6"/>
      <c r="FO6"/>
      <c r="FP6">
        <f>+Tabla310111213115[[#This Row],[Volúmen]]*FJ6</f>
        <v>0</v>
      </c>
      <c r="FQ6">
        <f>+Tabla310111213115[[#This Row],[Longitud del eje]]*FJ6</f>
        <v>0</v>
      </c>
      <c r="FR6"/>
      <c r="FS6"/>
      <c r="FT6"/>
      <c r="FU6"/>
      <c r="FV6"/>
      <c r="FW6"/>
      <c r="FX6">
        <f>+Tabla31011121311554[[#This Row],[Volúmen]]*FR6</f>
        <v>0</v>
      </c>
      <c r="FY6">
        <f>+Tabla31011121311554[[#This Row],[Longitud del eje]]*FR6</f>
        <v>0</v>
      </c>
      <c r="FZ6">
        <v>1</v>
      </c>
      <c r="GA6" t="s">
        <v>1862</v>
      </c>
      <c r="GB6" t="s">
        <v>1524</v>
      </c>
      <c r="GC6" t="s">
        <v>1584</v>
      </c>
      <c r="GD6">
        <v>0.11</v>
      </c>
      <c r="GE6">
        <v>1.4</v>
      </c>
      <c r="GF6">
        <f>+Tabla3101112131157[[#This Row],[Volúmen]]*FZ6</f>
        <v>0.11</v>
      </c>
      <c r="GG6">
        <f>+Tabla3101112131157[[#This Row],[Longitud del eje]]*FZ6</f>
        <v>1.4</v>
      </c>
      <c r="GI6"/>
      <c r="GJ6"/>
      <c r="GK6"/>
      <c r="GL6"/>
      <c r="GM6"/>
      <c r="GN6"/>
      <c r="GO6"/>
      <c r="GQ6" t="s">
        <v>1862</v>
      </c>
      <c r="GR6" t="s">
        <v>1383</v>
      </c>
      <c r="GS6" t="s">
        <v>1628</v>
      </c>
      <c r="GT6">
        <v>0.01</v>
      </c>
      <c r="GU6">
        <v>2.23</v>
      </c>
      <c r="GV6">
        <v>1</v>
      </c>
      <c r="GW6">
        <f>+Tabla578914[[#This Row],[Recuento]]*Tabla578914[[#This Row],[Volúmen bruto]]</f>
        <v>0.01</v>
      </c>
      <c r="GX6">
        <f>+Tabla578914[[#This Row],[Recuento]]*Tabla578914[[#This Row],[Área neta]]</f>
        <v>2.23</v>
      </c>
      <c r="GY6" s="35"/>
      <c r="HA6" t="s">
        <v>1862</v>
      </c>
      <c r="HB6" t="s">
        <v>1383</v>
      </c>
      <c r="HC6" t="s">
        <v>1628</v>
      </c>
      <c r="HD6">
        <v>0.06</v>
      </c>
      <c r="HE6">
        <v>9.9700000000000006</v>
      </c>
      <c r="HF6">
        <v>1</v>
      </c>
      <c r="HG6">
        <f>+Tabla578914126[[#This Row],[Recuento]]*Tabla578914126[[#This Row],[Volúmen bruto]]</f>
        <v>0.06</v>
      </c>
      <c r="HH6">
        <f>+Tabla578914126[[#This Row],[Recuento]]*Tabla578914126[[#This Row],[Área neta]]</f>
        <v>9.9700000000000006</v>
      </c>
      <c r="HI6" s="35"/>
      <c r="HK6" t="s">
        <v>1862</v>
      </c>
      <c r="HL6" t="s">
        <v>1383</v>
      </c>
      <c r="HM6" t="s">
        <v>1628</v>
      </c>
      <c r="HN6">
        <v>0.03</v>
      </c>
      <c r="HO6">
        <v>4.66</v>
      </c>
      <c r="HP6">
        <v>1</v>
      </c>
      <c r="HQ6">
        <f>+Tabla578914126127[[#This Row],[Recuento]]*Tabla578914126127[[#This Row],[Volúmen bruto]]</f>
        <v>0.03</v>
      </c>
      <c r="HR6">
        <f>+Tabla578914126127[[#This Row],[Recuento]]*Tabla578914126127[[#This Row],[Área neta]]</f>
        <v>4.66</v>
      </c>
      <c r="HS6" s="35"/>
      <c r="HT6" s="26"/>
      <c r="HU6" t="s">
        <v>1862</v>
      </c>
      <c r="HV6" t="s">
        <v>1383</v>
      </c>
      <c r="HW6" t="s">
        <v>1773</v>
      </c>
      <c r="HX6">
        <v>0.15</v>
      </c>
      <c r="HY6">
        <v>3</v>
      </c>
      <c r="HZ6">
        <v>1</v>
      </c>
      <c r="IA6">
        <f>+Tabla57891418[[#This Row],[Volúmen bruto]]*Tabla57891418[[#This Row],[Recuento]]</f>
        <v>0.15</v>
      </c>
      <c r="IB6">
        <f>+Tabla57891418[[#This Row],[Área neta]]*Tabla57891418[[#This Row],[Recuento]]</f>
        <v>3</v>
      </c>
      <c r="IC6" s="36"/>
      <c r="ID6" s="26"/>
      <c r="IE6" t="s">
        <v>1862</v>
      </c>
      <c r="IF6" t="s">
        <v>1383</v>
      </c>
      <c r="IG6" t="s">
        <v>1795</v>
      </c>
      <c r="IH6">
        <v>0.01</v>
      </c>
      <c r="II6">
        <v>1.3</v>
      </c>
      <c r="IJ6">
        <v>1</v>
      </c>
      <c r="IK6">
        <f>+Tabla5789141835[[#This Row],[Volúmen bruto]]*Tabla5789141835[[#This Row],[Recuento]]</f>
        <v>0.01</v>
      </c>
      <c r="IL6">
        <f>+Tabla5789141835[[#This Row],[Área neta]]*Tabla5789141835[[#This Row],[Recuento]]</f>
        <v>1.3</v>
      </c>
      <c r="IM6" s="36"/>
      <c r="IN6" s="26"/>
      <c r="IO6"/>
      <c r="IP6"/>
      <c r="IQ6"/>
      <c r="IR6"/>
      <c r="IS6"/>
      <c r="IT6"/>
      <c r="IU6">
        <f>+Tabla520212223[[#This Row],[Recuento]]*Tabla520212223[[#This Row],[Volúmen bruto]]</f>
        <v>0</v>
      </c>
      <c r="IV6">
        <f>+Tabla520212223[[#This Row],[Recuento]]*Tabla520212223[[#This Row],[Área neta]]</f>
        <v>0</v>
      </c>
      <c r="IW6" s="26">
        <f t="shared" si="0"/>
        <v>0</v>
      </c>
      <c r="IY6" t="s">
        <v>1862</v>
      </c>
      <c r="IZ6" t="s">
        <v>1524</v>
      </c>
      <c r="JA6" t="s">
        <v>98</v>
      </c>
      <c r="JB6">
        <v>0.01</v>
      </c>
      <c r="JC6">
        <v>8.14</v>
      </c>
      <c r="JD6">
        <v>2</v>
      </c>
      <c r="JE6">
        <f>+Tabla520212224[[#This Row],[Recuento]]*Tabla520212224[[#This Row],[Volúmen bruto]]</f>
        <v>0.02</v>
      </c>
      <c r="JF6">
        <f>+Tabla520212224[[#This Row],[Recuento]]*Tabla520212224[[#This Row],[Área neta]]</f>
        <v>16.28</v>
      </c>
      <c r="JG6" s="26">
        <f>+SUM(JF6)+SUM(JF58:JF59)</f>
        <v>16.28</v>
      </c>
      <c r="JI6" t="s">
        <v>1862</v>
      </c>
      <c r="JJ6" t="s">
        <v>1524</v>
      </c>
      <c r="JK6" t="s">
        <v>1628</v>
      </c>
      <c r="JL6">
        <v>0.05</v>
      </c>
      <c r="JM6">
        <v>2.2999999999999998</v>
      </c>
      <c r="JN6">
        <v>2</v>
      </c>
      <c r="JO6">
        <f>+Tabla52021222425[[#This Row],[Recuento]]*Tabla52021222425[[#This Row],[Volúmen bruto]]</f>
        <v>0.1</v>
      </c>
      <c r="JP6">
        <f>+Tabla52021222425[[#This Row],[Recuento]]*Tabla52021222425[[#This Row],[Área neta]]</f>
        <v>4.5999999999999996</v>
      </c>
      <c r="JQ6" s="26"/>
      <c r="JS6" t="s">
        <v>1862</v>
      </c>
      <c r="JT6" t="s">
        <v>1524</v>
      </c>
      <c r="JU6" t="s">
        <v>1628</v>
      </c>
      <c r="JV6">
        <v>0.03</v>
      </c>
      <c r="JW6">
        <v>1.26</v>
      </c>
      <c r="JX6">
        <v>1</v>
      </c>
      <c r="JY6">
        <f>+Tabla5202122242526[[#This Row],[Recuento]]*Tabla5202122242526[[#This Row],[Volúmen bruto]]</f>
        <v>0.03</v>
      </c>
      <c r="JZ6">
        <f>+Tabla5202122242526[[#This Row],[Recuento]]*Tabla5202122242526[[#This Row],[Área neta]]</f>
        <v>1.26</v>
      </c>
      <c r="KA6" s="26"/>
      <c r="KC6" t="s">
        <v>1549</v>
      </c>
      <c r="KD6" t="s">
        <v>1524</v>
      </c>
      <c r="KE6" t="s">
        <v>97</v>
      </c>
      <c r="KF6">
        <v>0.01</v>
      </c>
      <c r="KG6">
        <v>0.51</v>
      </c>
      <c r="KH6">
        <v>1</v>
      </c>
      <c r="KI6">
        <f>+Tabla5202122242526104[[#This Row],[Recuento]]*Tabla5202122242526104[[#This Row],[Volúmen bruto]]</f>
        <v>0.01</v>
      </c>
      <c r="KJ6">
        <f>+Tabla5202122242526104[[#This Row],[Recuento]]*Tabla5202122242526104[[#This Row],[Área neta]]</f>
        <v>0.51</v>
      </c>
      <c r="KK6" s="26">
        <f>+SUM(KJ6:KJ7)</f>
        <v>0.8</v>
      </c>
      <c r="KM6" t="s">
        <v>1862</v>
      </c>
      <c r="KN6" t="s">
        <v>1524</v>
      </c>
      <c r="KO6" t="s">
        <v>1628</v>
      </c>
      <c r="KP6">
        <v>0.04</v>
      </c>
      <c r="KQ6">
        <v>2.0699999999999998</v>
      </c>
      <c r="KR6">
        <v>1</v>
      </c>
      <c r="KS6">
        <f>+Tabla5202122242526104110[[#This Row],[Recuento]]*Tabla5202122242526104110[[#This Row],[Volúmen bruto]]</f>
        <v>0.04</v>
      </c>
      <c r="KT6">
        <f>+Tabla5202122242526104110[[#This Row],[Recuento]]*Tabla5202122242526104110[[#This Row],[Área neta]]</f>
        <v>2.0699999999999998</v>
      </c>
      <c r="KU6" s="26"/>
      <c r="KW6" t="s">
        <v>1862</v>
      </c>
      <c r="KX6" t="s">
        <v>1524</v>
      </c>
      <c r="KY6" t="s">
        <v>1628</v>
      </c>
      <c r="KZ6">
        <v>0.04</v>
      </c>
      <c r="LA6">
        <v>2.19</v>
      </c>
      <c r="LB6">
        <v>1</v>
      </c>
      <c r="LC6">
        <f>+Tabla520212224252659[[#This Row],[Recuento]]*Tabla520212224252659[[#This Row],[Volúmen bruto]]</f>
        <v>0.04</v>
      </c>
      <c r="LD6">
        <f>+Tabla520212224252659[[#This Row],[Recuento]]*Tabla520212224252659[[#This Row],[Área neta]]</f>
        <v>2.19</v>
      </c>
      <c r="LE6" s="26"/>
      <c r="LG6" t="s">
        <v>1549</v>
      </c>
      <c r="LH6" t="s">
        <v>1524</v>
      </c>
      <c r="LI6" t="s">
        <v>97</v>
      </c>
      <c r="LJ6">
        <v>0.02</v>
      </c>
      <c r="LK6">
        <v>3.52</v>
      </c>
      <c r="LL6">
        <v>1</v>
      </c>
      <c r="LM6">
        <f>+Tabla520212224252659111[[#This Row],[Recuento]]*Tabla520212224252659111[[#This Row],[Volúmen bruto]]</f>
        <v>0.02</v>
      </c>
      <c r="LN6">
        <f>+Tabla520212224252659111[[#This Row],[Recuento]]*Tabla520212224252659111[[#This Row],[Área neta]]</f>
        <v>3.52</v>
      </c>
      <c r="LO6" s="26"/>
      <c r="LQ6" t="s">
        <v>1863</v>
      </c>
      <c r="LR6" t="s">
        <v>1524</v>
      </c>
      <c r="LS6" t="s">
        <v>97</v>
      </c>
      <c r="LT6">
        <v>0.04</v>
      </c>
      <c r="LU6">
        <v>2.25</v>
      </c>
      <c r="LV6">
        <v>2</v>
      </c>
      <c r="LW6">
        <f>+Tabla520212224252659111114[[#This Row],[Recuento]]*Tabla520212224252659111114[[#This Row],[Volúmen bruto]]</f>
        <v>0.08</v>
      </c>
      <c r="LX6">
        <f>+Tabla520212224252659111114[[#This Row],[Recuento]]*Tabla520212224252659111114[[#This Row],[Área neta]]</f>
        <v>4.5</v>
      </c>
      <c r="LY6" s="26">
        <f>+SUM(LX6:LX9)</f>
        <v>17.490000000000002</v>
      </c>
      <c r="MA6" t="s">
        <v>1862</v>
      </c>
      <c r="MB6" t="s">
        <v>1524</v>
      </c>
      <c r="MC6" t="s">
        <v>1628</v>
      </c>
      <c r="MD6">
        <v>0.03</v>
      </c>
      <c r="ME6">
        <v>1.27</v>
      </c>
      <c r="MF6">
        <v>1</v>
      </c>
      <c r="MG6">
        <f>+Tabla520212224252659111114128[[#This Row],[Recuento]]*Tabla520212224252659111114128[[#This Row],[Volúmen bruto]]</f>
        <v>0.03</v>
      </c>
      <c r="MH6">
        <f>+Tabla520212224252659111114128[[#This Row],[Recuento]]*Tabla520212224252659111114128[[#This Row],[Área neta]]</f>
        <v>1.27</v>
      </c>
      <c r="MI6" s="26"/>
      <c r="MK6" t="s">
        <v>1862</v>
      </c>
      <c r="ML6" t="s">
        <v>1525</v>
      </c>
      <c r="MM6" t="s">
        <v>97</v>
      </c>
      <c r="MN6">
        <v>0.02</v>
      </c>
      <c r="MO6">
        <v>1</v>
      </c>
      <c r="MP6">
        <v>2</v>
      </c>
      <c r="MQ6">
        <f>+Tabla520212224252627[[#This Row],[Recuento]]*Tabla520212224252627[[#This Row],[Volúmen bruto]]</f>
        <v>0.04</v>
      </c>
      <c r="MR6">
        <f>+Tabla520212224252627[[#This Row],[Recuento]]*Tabla520212224252627[[#This Row],[Área neta]]</f>
        <v>2</v>
      </c>
      <c r="MS6" s="26">
        <f>+SUM(MR6:MR7)</f>
        <v>5.62</v>
      </c>
      <c r="MU6" t="s">
        <v>1549</v>
      </c>
      <c r="MV6" t="s">
        <v>1525</v>
      </c>
      <c r="MW6" t="s">
        <v>97</v>
      </c>
      <c r="MX6">
        <v>0</v>
      </c>
      <c r="MY6">
        <v>0.11</v>
      </c>
      <c r="MZ6">
        <v>2</v>
      </c>
      <c r="NA6">
        <f>+Tabla520212224252627129[[#This Row],[Recuento]]*Tabla520212224252627129[[#This Row],[Volúmen bruto]]</f>
        <v>0</v>
      </c>
      <c r="NB6">
        <f>+Tabla520212224252627129[[#This Row],[Recuento]]*Tabla520212224252627129[[#This Row],[Área neta]]</f>
        <v>0.22</v>
      </c>
      <c r="NC6" s="26"/>
      <c r="NE6" t="s">
        <v>1549</v>
      </c>
      <c r="NF6" t="s">
        <v>1525</v>
      </c>
      <c r="NG6" t="s">
        <v>97</v>
      </c>
      <c r="NH6">
        <v>0</v>
      </c>
      <c r="NI6">
        <v>0.11</v>
      </c>
      <c r="NJ6">
        <v>2</v>
      </c>
      <c r="NK6">
        <f>+Tabla520212224252627129125[[#This Row],[Recuento]]*Tabla520212224252627129125[[#This Row],[Volúmen bruto]]</f>
        <v>0</v>
      </c>
      <c r="NL6">
        <f>+Tabla520212224252627129125[[#This Row],[Recuento]]*Tabla520212224252627129125[[#This Row],[Área neta]]</f>
        <v>0.22</v>
      </c>
      <c r="NM6" s="26">
        <f>+SUM(NL6:NL7)</f>
        <v>0.4</v>
      </c>
      <c r="NO6" t="s">
        <v>1549</v>
      </c>
      <c r="NP6" t="s">
        <v>1525</v>
      </c>
      <c r="NQ6" t="s">
        <v>1628</v>
      </c>
      <c r="NR6">
        <v>0.01</v>
      </c>
      <c r="NS6">
        <v>0.61</v>
      </c>
      <c r="NT6">
        <v>1</v>
      </c>
      <c r="NU6">
        <f>+Tabla520212224252627129125130[[#This Row],[Recuento]]*Tabla520212224252627129125130[[#This Row],[Volúmen bruto]]</f>
        <v>0.01</v>
      </c>
      <c r="NV6">
        <f>+Tabla520212224252627129125130[[#This Row],[Recuento]]*Tabla520212224252627129125130[[#This Row],[Área neta]]</f>
        <v>0.61</v>
      </c>
      <c r="NW6" s="26"/>
      <c r="NY6" t="s">
        <v>1549</v>
      </c>
      <c r="NZ6" t="s">
        <v>1525</v>
      </c>
      <c r="OA6" t="s">
        <v>97</v>
      </c>
      <c r="OB6">
        <v>0.03</v>
      </c>
      <c r="OC6">
        <v>1.64</v>
      </c>
      <c r="OD6">
        <v>2</v>
      </c>
      <c r="OE6">
        <f>+Tabla520212224252627129125130131[[#This Row],[Recuento]]*Tabla520212224252627129125130131[[#This Row],[Volúmen bruto]]</f>
        <v>0.06</v>
      </c>
      <c r="OF6">
        <f>+Tabla520212224252627129125130131[[#This Row],[Recuento]]*Tabla520212224252627129125130131[[#This Row],[Área neta]]</f>
        <v>3.28</v>
      </c>
      <c r="OG6" s="26">
        <f>+SUM(OF6:OF7)</f>
        <v>4.62</v>
      </c>
      <c r="OI6" t="s">
        <v>1549</v>
      </c>
      <c r="OJ6" t="s">
        <v>1525</v>
      </c>
      <c r="OK6" t="s">
        <v>97</v>
      </c>
      <c r="OL6">
        <v>0</v>
      </c>
      <c r="OM6">
        <v>0.12</v>
      </c>
      <c r="ON6">
        <v>2</v>
      </c>
      <c r="OO6">
        <f>+Tabla520212224252627129125130131132[[#This Row],[Recuento]]*Tabla520212224252627129125130131132[[#This Row],[Volúmen bruto]]</f>
        <v>0</v>
      </c>
      <c r="OP6">
        <f>+Tabla520212224252627129125130131132[[#This Row],[Recuento]]*Tabla520212224252627129125130131132[[#This Row],[Área neta]]</f>
        <v>0.24</v>
      </c>
      <c r="OQ6" s="26"/>
      <c r="OS6" t="s">
        <v>1863</v>
      </c>
      <c r="OT6" t="s">
        <v>1525</v>
      </c>
      <c r="OU6" t="s">
        <v>95</v>
      </c>
      <c r="OV6">
        <v>0.01</v>
      </c>
      <c r="OW6">
        <v>1.17</v>
      </c>
      <c r="OX6">
        <v>1</v>
      </c>
      <c r="OY6">
        <f>+Tabla52021222425262728[[#This Row],[Recuento]]*Tabla52021222425262728[[#This Row],[Volúmen bruto]]</f>
        <v>0.01</v>
      </c>
      <c r="OZ6">
        <f>+Tabla52021222425262728[[#This Row],[Recuento]]*Tabla52021222425262728[[#This Row],[Área neta]]</f>
        <v>1.17</v>
      </c>
      <c r="PA6" s="26">
        <f>+SUM(OY6)</f>
        <v>0.01</v>
      </c>
      <c r="PC6" t="s">
        <v>1862</v>
      </c>
      <c r="PD6" t="s">
        <v>1525</v>
      </c>
      <c r="PE6" t="s">
        <v>1788</v>
      </c>
      <c r="PF6">
        <v>0.01</v>
      </c>
      <c r="PG6">
        <v>2.95</v>
      </c>
      <c r="PH6">
        <v>1</v>
      </c>
      <c r="PI6">
        <f>+Tabla52021222425262728133[[#This Row],[Recuento]]*Tabla52021222425262728133[[#This Row],[Volúmen bruto]]</f>
        <v>0.01</v>
      </c>
      <c r="PJ6">
        <f>+Tabla52021222425262728133[[#This Row],[Recuento]]*Tabla52021222425262728133[[#This Row],[Área neta]]</f>
        <v>2.95</v>
      </c>
      <c r="PK6" s="26"/>
      <c r="PM6" t="s">
        <v>1862</v>
      </c>
      <c r="PN6" t="s">
        <v>1525</v>
      </c>
      <c r="PO6" t="s">
        <v>1628</v>
      </c>
      <c r="PP6">
        <v>0.08</v>
      </c>
      <c r="PQ6">
        <v>3.97</v>
      </c>
      <c r="PR6">
        <v>1</v>
      </c>
      <c r="PS6">
        <f>+Tabla5202122242526272893[[#This Row],[Recuento]]*Tabla5202122242526272893[[#This Row],[Volúmen bruto]]</f>
        <v>0.08</v>
      </c>
      <c r="PT6">
        <f>+Tabla5202122242526272893[[#This Row],[Recuento]]*Tabla5202122242526272893[[#This Row],[Área neta]]</f>
        <v>3.97</v>
      </c>
      <c r="PU6" s="415"/>
      <c r="PW6" t="s">
        <v>1862</v>
      </c>
      <c r="PX6" t="s">
        <v>1525</v>
      </c>
      <c r="PY6" t="s">
        <v>1788</v>
      </c>
      <c r="PZ6">
        <v>0.02</v>
      </c>
      <c r="QA6">
        <v>3.05</v>
      </c>
      <c r="QB6">
        <v>1</v>
      </c>
      <c r="QC6">
        <f>+Tabla520212224252627289349[[#This Row],[Recuento]]*Tabla520212224252627289349[[#This Row],[Volúmen bruto]]</f>
        <v>0.02</v>
      </c>
      <c r="QD6">
        <f>+Tabla520212224252627289349[[#This Row],[Recuento]]*Tabla520212224252627289349[[#This Row],[Área neta]]</f>
        <v>3.05</v>
      </c>
      <c r="QE6" s="26"/>
      <c r="QG6" t="s">
        <v>1549</v>
      </c>
      <c r="QH6" t="s">
        <v>1525</v>
      </c>
      <c r="QI6" t="s">
        <v>1628</v>
      </c>
      <c r="QJ6">
        <v>0.02</v>
      </c>
      <c r="QK6">
        <v>1.08</v>
      </c>
      <c r="QL6">
        <v>1</v>
      </c>
      <c r="QM6">
        <f>+Tabla520212224252627289349134[[#This Row],[Recuento]]*Tabla520212224252627289349134[[#This Row],[Volúmen bruto]]</f>
        <v>0.02</v>
      </c>
      <c r="QN6">
        <f>+Tabla520212224252627289349134[[#This Row],[Recuento]]*Tabla520212224252627289349134[[#This Row],[Área neta]]</f>
        <v>1.08</v>
      </c>
      <c r="QO6" s="26"/>
      <c r="QQ6" t="s">
        <v>1862</v>
      </c>
      <c r="QR6" t="s">
        <v>1524</v>
      </c>
      <c r="QS6" t="s">
        <v>1726</v>
      </c>
      <c r="QT6">
        <v>0.09</v>
      </c>
      <c r="QU6">
        <v>0.46</v>
      </c>
      <c r="QV6">
        <v>1</v>
      </c>
      <c r="QW6">
        <v>1</v>
      </c>
      <c r="QX6">
        <f>+Tabla5202122242526272829[[#This Row],[Recuento]]*Tabla5202122242526272829[[#This Row],[Volúmen bruto]]</f>
        <v>0.09</v>
      </c>
      <c r="QY6">
        <f>+Tabla5202122242526272829[[#This Row],[Recuento]]*Tabla5202122242526272829[[#This Row],[Área neta]]</f>
        <v>0.46</v>
      </c>
      <c r="QZ6">
        <f>+Tabla5202122242526272829[[#This Row],[Recuento]]*Tabla5202122242526272829[[#This Row],[Longitud]]</f>
        <v>1</v>
      </c>
      <c r="RA6" s="26"/>
      <c r="RC6" t="s">
        <v>1549</v>
      </c>
      <c r="RD6" t="s">
        <v>1524</v>
      </c>
      <c r="RE6" t="s">
        <v>92</v>
      </c>
      <c r="RF6">
        <v>0.06</v>
      </c>
      <c r="RG6">
        <v>0.9</v>
      </c>
      <c r="RH6">
        <v>1</v>
      </c>
      <c r="RI6">
        <f>+Tabla520212224252627283132[[#This Row],[Recuento]]*Tabla520212224252627283132[[#This Row],[Volúmen bruto]]</f>
        <v>0.06</v>
      </c>
      <c r="RJ6">
        <f>+Tabla520212224252627283132[[#This Row],[Recuento]]*Tabla520212224252627283132[[#This Row],[Área neta]]</f>
        <v>0.9</v>
      </c>
      <c r="RK6" s="26"/>
      <c r="RM6" t="s">
        <v>1863</v>
      </c>
      <c r="RN6" t="s">
        <v>1524</v>
      </c>
      <c r="RO6" t="s">
        <v>1793</v>
      </c>
      <c r="RP6">
        <v>0.01</v>
      </c>
      <c r="RQ6">
        <v>1.19</v>
      </c>
      <c r="RR6">
        <v>2</v>
      </c>
      <c r="RS6">
        <f>+Tabla5202122242526272831329[[#This Row],[Recuento]]*Tabla5202122242526272831329[[#This Row],[Volúmen bruto]]</f>
        <v>0.02</v>
      </c>
      <c r="RT6">
        <f>+Tabla5202122242526272831329[[#This Row],[Recuento]]*Tabla5202122242526272831329[[#This Row],[Área neta]]</f>
        <v>2.38</v>
      </c>
      <c r="RU6" s="26">
        <f>+SUM(RT6:RT7)</f>
        <v>3.34</v>
      </c>
      <c r="RW6" t="s">
        <v>1862</v>
      </c>
      <c r="RX6" t="s">
        <v>1525</v>
      </c>
      <c r="RY6" t="s">
        <v>93</v>
      </c>
      <c r="RZ6">
        <v>0.03</v>
      </c>
      <c r="SA6">
        <v>1.59</v>
      </c>
      <c r="SB6">
        <v>1</v>
      </c>
      <c r="SC6">
        <f>+Tabla52021222425262728313233[[#This Row],[Recuento]]*Tabla52021222425262728313233[[#This Row],[Volúmen bruto]]</f>
        <v>0.03</v>
      </c>
      <c r="SD6">
        <f>+Tabla52021222425262728313233[[#This Row],[Recuento]]*Tabla52021222425262728313233[[#This Row],[Área neta]]</f>
        <v>1.59</v>
      </c>
      <c r="SE6" s="26"/>
      <c r="SG6"/>
      <c r="SH6"/>
      <c r="SI6"/>
      <c r="SJ6"/>
      <c r="SK6"/>
      <c r="SL6"/>
      <c r="SM6">
        <f>+Tabla5202122242526272831323314[[#This Row],[Recuento]]*Tabla5202122242526272831323314[[#This Row],[Volúmen bruto]]</f>
        <v>0</v>
      </c>
      <c r="SN6">
        <f>+Tabla5202122242526272831323314[[#This Row],[Recuento]]*Tabla5202122242526272831323314[[#This Row],[Área neta]]</f>
        <v>0</v>
      </c>
      <c r="SO6" s="26"/>
      <c r="SQ6" t="s">
        <v>1862</v>
      </c>
      <c r="SR6" t="s">
        <v>1524</v>
      </c>
      <c r="SS6" t="s">
        <v>94</v>
      </c>
      <c r="ST6">
        <v>0.48</v>
      </c>
      <c r="SU6">
        <v>4.82</v>
      </c>
      <c r="SV6">
        <v>2</v>
      </c>
      <c r="SW6" s="34">
        <f>+Tabla5789141516[[#This Row],[Recuento]]*Tabla5789141516[[#This Row],[Volúmen bruto]]</f>
        <v>0.96</v>
      </c>
      <c r="SX6" s="34">
        <f>+Tabla5789141516[[#This Row],[Recuento]]*Tabla5789141516[[#This Row],[Área neta]]</f>
        <v>9.64</v>
      </c>
      <c r="SY6" s="36"/>
      <c r="SZ6" s="26"/>
      <c r="TA6"/>
      <c r="TB6"/>
      <c r="TC6"/>
      <c r="TD6"/>
      <c r="TE6"/>
      <c r="TF6"/>
      <c r="TG6" s="34">
        <f>+Tabla578914151634[[#This Row],[Recuento]]*Tabla578914151634[[#This Row],[Volúmen bruto]]</f>
        <v>0</v>
      </c>
      <c r="TH6" s="34">
        <f>+Tabla578914151634[[#This Row],[Recuento]]*Tabla578914151634[[#This Row],[Área neta]]</f>
        <v>0</v>
      </c>
      <c r="TI6" s="35"/>
      <c r="TJ6" s="26"/>
      <c r="TK6" t="s">
        <v>1862</v>
      </c>
      <c r="TL6" t="s">
        <v>1525</v>
      </c>
      <c r="TM6" t="s">
        <v>94</v>
      </c>
      <c r="TN6">
        <v>0.61</v>
      </c>
      <c r="TO6">
        <v>7.61</v>
      </c>
      <c r="TP6">
        <v>1</v>
      </c>
      <c r="TQ6" s="34">
        <f>+Tabla57891415163435[[#This Row],[Recuento]]*Tabla57891415163435[[#This Row],[Volúmen bruto]]</f>
        <v>0.61</v>
      </c>
      <c r="TR6" s="34">
        <f>+Tabla57891415163435[[#This Row],[Recuento]]*Tabla57891415163435[[#This Row],[Área neta]]</f>
        <v>7.61</v>
      </c>
      <c r="TS6" s="35"/>
      <c r="TT6" s="26"/>
      <c r="TU6"/>
      <c r="TV6"/>
      <c r="TW6"/>
      <c r="TX6"/>
      <c r="TY6"/>
      <c r="TZ6"/>
      <c r="UA6" s="34">
        <f>+Tabla5789141516343536[[#This Row],[Recuento]]*Tabla5789141516343536[[#This Row],[Volúmen bruto]]</f>
        <v>0</v>
      </c>
      <c r="UB6" s="34">
        <f>+Tabla5789141516343536[[#This Row],[Recuento]]*Tabla5789141516343536[[#This Row],[Área neta]]</f>
        <v>0</v>
      </c>
      <c r="UC6" s="35"/>
      <c r="UD6" s="26"/>
      <c r="UE6" t="s">
        <v>1862</v>
      </c>
      <c r="UF6" t="s">
        <v>1524</v>
      </c>
      <c r="UG6" t="s">
        <v>92</v>
      </c>
      <c r="UH6">
        <v>0.41</v>
      </c>
      <c r="UI6">
        <v>4.58</v>
      </c>
      <c r="UJ6">
        <v>1</v>
      </c>
      <c r="UK6" s="34">
        <f>+Tabla57891415163435363738[[#This Row],[Recuento]]*Tabla57891415163435363738[[#This Row],[Volúmen bruto]]</f>
        <v>0.41</v>
      </c>
      <c r="UL6" s="34">
        <f>+Tabla57891415163435363738[[#This Row],[Recuento]]*Tabla57891415163435363738[[#This Row],[Área neta]]</f>
        <v>4.58</v>
      </c>
      <c r="UM6" s="36"/>
      <c r="UN6" s="26"/>
      <c r="UO6"/>
      <c r="UP6"/>
      <c r="UQ6"/>
      <c r="UR6"/>
      <c r="US6"/>
      <c r="UT6"/>
      <c r="UU6" s="34">
        <f>+Tabla5789141516343536373839[[#This Row],[Recuento]]*Tabla5789141516343536373839[[#This Row],[Volúmen bruto]]</f>
        <v>0</v>
      </c>
      <c r="UV6" s="34">
        <f>+Tabla5789141516343536373839[[#This Row],[Recuento]]*Tabla5789141516343536373839[[#This Row],[Área neta]]</f>
        <v>0</v>
      </c>
      <c r="UW6" s="35">
        <f>+SUM(UV6:UV7)</f>
        <v>0</v>
      </c>
      <c r="UX6" s="26"/>
      <c r="UY6"/>
      <c r="UZ6"/>
      <c r="VA6"/>
      <c r="VB6"/>
      <c r="VC6"/>
      <c r="VD6" s="33"/>
      <c r="VE6" s="34">
        <f>+Tabla578914151634353637383940[[#This Row],[Recuento]]*Tabla578914151634353637383940[[#This Row],[Volúmen bruto]]</f>
        <v>0</v>
      </c>
      <c r="VF6" s="34">
        <f>+Tabla578914151634353637383940[[#This Row],[Recuento]]*Tabla578914151634353637383940[[#This Row],[Área neta]]</f>
        <v>0</v>
      </c>
      <c r="VG6" s="36"/>
      <c r="VH6" s="26"/>
      <c r="VI6" t="s">
        <v>1862</v>
      </c>
      <c r="VJ6" t="s">
        <v>1524</v>
      </c>
      <c r="VK6" t="s">
        <v>95</v>
      </c>
      <c r="VL6">
        <v>0</v>
      </c>
      <c r="VM6">
        <v>0.89</v>
      </c>
      <c r="VN6">
        <v>1</v>
      </c>
      <c r="VO6" s="34">
        <f>+Tabla57891415163435363738394041[[#This Row],[Recuento]]*Tabla57891415163435363738394041[[#This Row],[Volúmen bruto]]</f>
        <v>0</v>
      </c>
      <c r="VP6" s="34">
        <f>+Tabla57891415163435363738394041[[#This Row],[Recuento]]*Tabla57891415163435363738394041[[#This Row],[Área neta]]</f>
        <v>0.89</v>
      </c>
      <c r="VQ6" s="35">
        <f>+SUM(VP6:VP7)</f>
        <v>3.43</v>
      </c>
      <c r="VR6" s="26"/>
      <c r="VS6"/>
      <c r="VT6"/>
      <c r="VU6"/>
      <c r="VV6"/>
      <c r="VW6"/>
      <c r="VX6"/>
      <c r="VY6" s="34"/>
      <c r="VZ6" s="34"/>
      <c r="WA6" s="36"/>
      <c r="WB6" s="26"/>
      <c r="WC6"/>
      <c r="WD6"/>
      <c r="WE6"/>
      <c r="WF6"/>
      <c r="WG6"/>
      <c r="WH6"/>
      <c r="WI6" s="34">
        <f>+Tabla5789141516343536373839404142[[#This Row],[Recuento]]*Tabla5789141516343536373839404142[[#This Row],[Volúmen bruto]]</f>
        <v>0</v>
      </c>
      <c r="WJ6" s="34">
        <f>+Tabla5789141516343536373839404142[[#This Row],[Recuento]]*Tabla5789141516343536373839404142[[#This Row],[Área neta]]</f>
        <v>0</v>
      </c>
      <c r="WK6" s="35">
        <f>+SUM(WJ6:WJ7)</f>
        <v>0</v>
      </c>
      <c r="WL6" s="26"/>
      <c r="WM6" t="s">
        <v>1862</v>
      </c>
      <c r="WN6" t="s">
        <v>1525</v>
      </c>
      <c r="WO6" t="s">
        <v>95</v>
      </c>
      <c r="WP6">
        <v>0.01</v>
      </c>
      <c r="WQ6">
        <v>1.49</v>
      </c>
      <c r="WR6">
        <v>1</v>
      </c>
      <c r="WS6" s="34">
        <f>+Tabla578914151634353637383940414251[[#This Row],[Recuento]]*Tabla578914151634353637383940414251[[#This Row],[Volúmen bruto]]</f>
        <v>0.01</v>
      </c>
      <c r="WT6" s="34">
        <f>+Tabla578914151634353637383940414251[[#This Row],[Recuento]]*Tabla578914151634353637383940414251[[#This Row],[Área neta]]</f>
        <v>1.49</v>
      </c>
      <c r="WU6" s="35">
        <f>+SUM(WT6)</f>
        <v>1.49</v>
      </c>
      <c r="WV6" s="26"/>
      <c r="WW6" t="s">
        <v>1862</v>
      </c>
      <c r="WX6" t="s">
        <v>1525</v>
      </c>
      <c r="WY6" t="s">
        <v>95</v>
      </c>
      <c r="WZ6">
        <v>0.01</v>
      </c>
      <c r="XA6">
        <v>1.29</v>
      </c>
      <c r="XB6">
        <v>1</v>
      </c>
      <c r="XC6" s="34">
        <f>+Tabla57891415163435363738394041425112[[#This Row],[Recuento]]*Tabla57891415163435363738394041425112[[#This Row],[Volúmen bruto]]</f>
        <v>0.01</v>
      </c>
      <c r="XD6" s="34">
        <f>+Tabla57891415163435363738394041425112[[#This Row],[Recuento]]*Tabla57891415163435363738394041425112[[#This Row],[Área neta]]</f>
        <v>1.29</v>
      </c>
      <c r="XE6" s="35">
        <f>+SUM(XD6)</f>
        <v>1.29</v>
      </c>
      <c r="XF6" s="26"/>
      <c r="XG6" t="s">
        <v>1862</v>
      </c>
      <c r="XH6" t="s">
        <v>1525</v>
      </c>
      <c r="XI6" t="s">
        <v>95</v>
      </c>
      <c r="XJ6">
        <v>0.01</v>
      </c>
      <c r="XK6">
        <v>1.3</v>
      </c>
      <c r="XL6">
        <v>1</v>
      </c>
      <c r="XM6" s="34">
        <f>+Tabla578914151634353637383940414243444536[[#This Row],[Recuento]]*Tabla578914151634353637383940414243444536[[#This Row],[Volúmen bruto]]</f>
        <v>0.01</v>
      </c>
      <c r="XN6" s="34">
        <f>+Tabla578914151634353637383940414243444536[[#This Row],[Recuento]]*Tabla578914151634353637383940414243444536[[#This Row],[Área neta]]</f>
        <v>1.3</v>
      </c>
      <c r="XO6" s="35">
        <f>+SUM(XN6)</f>
        <v>1.3</v>
      </c>
      <c r="XP6" s="26"/>
      <c r="XQ6" t="s">
        <v>1862</v>
      </c>
      <c r="XR6" t="s">
        <v>1524</v>
      </c>
      <c r="XS6" t="s">
        <v>95</v>
      </c>
      <c r="XT6">
        <v>0.01</v>
      </c>
      <c r="XU6">
        <v>0.17</v>
      </c>
      <c r="XV6">
        <v>1</v>
      </c>
      <c r="XW6" s="34">
        <f>+Tabla5789141516343536373839404142434445[[#This Row],[Recuento]]*Tabla5789141516343536373839404142434445[[#This Row],[Volúmen bruto]]</f>
        <v>0.01</v>
      </c>
      <c r="XX6" s="34">
        <f>+Tabla5789141516343536373839404142434445[[#This Row],[Recuento]]*Tabla5789141516343536373839404142434445[[#This Row],[Área neta]]</f>
        <v>0.17</v>
      </c>
      <c r="XY6" s="36"/>
      <c r="XZ6" s="26"/>
      <c r="YA6"/>
      <c r="YB6"/>
      <c r="YC6"/>
      <c r="YD6"/>
      <c r="YE6"/>
      <c r="YF6"/>
      <c r="YG6" s="34">
        <f>+Tabla578914151634353637383940414243444558[[#This Row],[Recuento]]*Tabla578914151634353637383940414243444558[[#This Row],[Volúmen bruto]]</f>
        <v>0</v>
      </c>
      <c r="YH6" s="34">
        <f>+Tabla578914151634353637383940414243444558[[#This Row],[Recuento]]*Tabla578914151634353637383940414243444558[[#This Row],[Área neta]]</f>
        <v>0</v>
      </c>
      <c r="YI6" s="36"/>
      <c r="YJ6">
        <v>5</v>
      </c>
      <c r="YK6" t="s">
        <v>1549</v>
      </c>
      <c r="YL6" t="s">
        <v>1525</v>
      </c>
      <c r="YM6" t="s">
        <v>1719</v>
      </c>
      <c r="YN6">
        <v>4.4000000000000004</v>
      </c>
      <c r="YO6">
        <f>+Tabla310113[[#This Row],[Longitud de eje]]*YJ6</f>
        <v>22</v>
      </c>
      <c r="YQ6"/>
      <c r="YR6"/>
      <c r="YS6"/>
      <c r="YT6"/>
      <c r="YU6"/>
      <c r="YV6" s="33">
        <v>1</v>
      </c>
      <c r="YW6" s="34">
        <f>+Tabla57891415163435363738394041424344454647[[#This Row],[Recuento]]*Tabla57891415163435363738394041424344454647[[#This Row],[Volúmen bruto]]</f>
        <v>0</v>
      </c>
      <c r="YX6" s="34">
        <f>+Tabla57891415163435363738394041424344454647[[#This Row],[Recuento]]*Tabla57891415163435363738394041424344454647[[#This Row],[Área neta]]</f>
        <v>0</v>
      </c>
      <c r="YY6" s="35"/>
      <c r="YZ6" s="26"/>
      <c r="ZA6" t="s">
        <v>1863</v>
      </c>
      <c r="ZB6" t="s">
        <v>1524</v>
      </c>
      <c r="ZC6" t="s">
        <v>92</v>
      </c>
      <c r="ZD6">
        <v>0.65</v>
      </c>
      <c r="ZE6">
        <v>8.15</v>
      </c>
      <c r="ZF6">
        <v>2</v>
      </c>
      <c r="ZG6" s="34">
        <f>+Tabla5789141516343536373839404142434445464748495038[[#This Row],[Recuento]]*Tabla5789141516343536373839404142434445464748495038[[#This Row],[Volúmen bruto]]</f>
        <v>1.3</v>
      </c>
      <c r="ZH6" s="34">
        <f>+Tabla5789141516343536373839404142434445464748495038[[#This Row],[Recuento]]*Tabla5789141516343536373839404142434445464748495038[[#This Row],[Área neta]]</f>
        <v>16.3</v>
      </c>
      <c r="ZI6" s="36"/>
      <c r="ZJ6" s="26"/>
      <c r="ZK6" t="s">
        <v>1862</v>
      </c>
      <c r="ZL6" t="s">
        <v>1525</v>
      </c>
      <c r="ZM6" t="s">
        <v>1485</v>
      </c>
      <c r="ZN6">
        <v>0.01</v>
      </c>
      <c r="ZO6">
        <v>0.25</v>
      </c>
      <c r="ZP6">
        <v>4</v>
      </c>
      <c r="ZQ6" s="34">
        <f>+Tabla5789141516343536373839404142434445464748495041[[#This Row],[Recuento]]*Tabla5789141516343536373839404142434445464748495041[[#This Row],[Volúmen bruto]]</f>
        <v>0.04</v>
      </c>
      <c r="ZR6" s="34">
        <f>+Tabla5789141516343536373839404142434445464748495041[[#This Row],[Recuento]]*Tabla5789141516343536373839404142434445464748495041[[#This Row],[Área neta]]</f>
        <v>1</v>
      </c>
      <c r="ZS6" s="35"/>
      <c r="ZT6" s="26"/>
      <c r="ZU6" t="s">
        <v>1862</v>
      </c>
      <c r="ZV6" t="s">
        <v>1524</v>
      </c>
      <c r="ZW6" t="s">
        <v>92</v>
      </c>
      <c r="ZX6">
        <v>0.14000000000000001</v>
      </c>
      <c r="ZY6">
        <v>0.86</v>
      </c>
      <c r="ZZ6">
        <v>1</v>
      </c>
      <c r="AAA6" s="34">
        <f>+Tabla57891415163435363738394041424344454647484950[[#This Row],[Recuento]]*Tabla57891415163435363738394041424344454647484950[[#This Row],[Volúmen bruto]]</f>
        <v>0.14000000000000001</v>
      </c>
      <c r="AAB6" s="34">
        <f>+Tabla57891415163435363738394041424344454647484950[[#This Row],[Recuento]]*Tabla57891415163435363738394041424344454647484950[[#This Row],[Área neta]]</f>
        <v>0.86</v>
      </c>
      <c r="AAC6" s="35"/>
      <c r="AAD6" s="26"/>
      <c r="AAE6"/>
      <c r="AAF6"/>
      <c r="AAG6"/>
      <c r="AAH6"/>
      <c r="AAI6"/>
      <c r="AAJ6" s="33">
        <v>1</v>
      </c>
      <c r="AAK6" s="34">
        <f>+Tabla5789141516343536373839404142434445464748495054[[#This Row],[Recuento]]*Tabla5789141516343536373839404142434445464748495054[[#This Row],[Volúmen bruto]]</f>
        <v>0</v>
      </c>
      <c r="AAL6" s="34">
        <f>+Tabla5789141516343536373839404142434445464748495054[[#This Row],[Recuento]]*Tabla5789141516343536373839404142434445464748495054[[#This Row],[Área neta]]</f>
        <v>0</v>
      </c>
      <c r="AAM6" s="36"/>
      <c r="AAN6" s="26"/>
      <c r="AAO6" t="s">
        <v>1862</v>
      </c>
      <c r="AAP6" t="s">
        <v>1524</v>
      </c>
      <c r="AAQ6" t="s">
        <v>92</v>
      </c>
      <c r="AAR6">
        <v>0.18</v>
      </c>
      <c r="AAS6">
        <v>2.61</v>
      </c>
      <c r="AAT6">
        <v>2</v>
      </c>
      <c r="AAU6" s="34">
        <f>+Tabla5789141516343536373839404142434445464748495051[[#This Row],[Recuento]]*Tabla5789141516343536373839404142434445464748495051[[#This Row],[Volúmen bruto]]</f>
        <v>0.36</v>
      </c>
      <c r="AAV6" s="34">
        <f>+Tabla5789141516343536373839404142434445464748495051[[#This Row],[Recuento]]*Tabla5789141516343536373839404142434445464748495051[[#This Row],[Área neta]]</f>
        <v>5.22</v>
      </c>
      <c r="AAW6" s="35"/>
      <c r="AAX6" s="26"/>
      <c r="AAY6"/>
      <c r="AAZ6"/>
      <c r="ABA6"/>
      <c r="ABB6"/>
      <c r="ABC6"/>
      <c r="ABD6"/>
      <c r="ABE6" s="34">
        <f>+Tabla578914151634353637383940414243444546474849505152[[#This Row],[Recuento]]*Tabla578914151634353637383940414243444546474849505152[[#This Row],[Volúmen bruto]]</f>
        <v>0</v>
      </c>
      <c r="ABF6" s="34">
        <f>+Tabla578914151634353637383940414243444546474849505152[[#This Row],[Recuento]]*Tabla578914151634353637383940414243444546474849505152[[#This Row],[Área neta]]</f>
        <v>0</v>
      </c>
      <c r="ABG6" s="35"/>
      <c r="ABH6" s="26"/>
      <c r="ABI6" t="s">
        <v>1862</v>
      </c>
      <c r="ABJ6" t="s">
        <v>1525</v>
      </c>
      <c r="ABK6" t="s">
        <v>1793</v>
      </c>
      <c r="ABL6">
        <v>0.03</v>
      </c>
      <c r="ABM6">
        <v>1.71</v>
      </c>
      <c r="ABN6">
        <v>5</v>
      </c>
      <c r="ABO6" s="34">
        <f>+Tabla57891415163435363738394041424344454647484950515213[[#This Row],[Recuento]]*Tabla57891415163435363738394041424344454647484950515213[[#This Row],[Volúmen bruto]]</f>
        <v>0.15</v>
      </c>
      <c r="ABP6" s="34">
        <f>+Tabla57891415163435363738394041424344454647484950515213[[#This Row],[Recuento]]*Tabla57891415163435363738394041424344454647484950515213[[#This Row],[Área neta]]</f>
        <v>8.5500000000000007</v>
      </c>
      <c r="ABQ6" s="35"/>
      <c r="ABR6" s="26"/>
      <c r="ABS6" t="s">
        <v>1862</v>
      </c>
      <c r="ABT6" t="s">
        <v>1524</v>
      </c>
      <c r="ABU6" t="s">
        <v>1923</v>
      </c>
      <c r="ABV6">
        <v>0.04</v>
      </c>
      <c r="ABW6">
        <v>0.63</v>
      </c>
      <c r="ABX6">
        <v>1</v>
      </c>
      <c r="ABY6" s="34">
        <f>+Tabla5789141516343536373839404142434445464748495051521340[[#This Row],[Recuento]]*Tabla5789141516343536373839404142434445464748495051521340[[#This Row],[Volúmen bruto]]</f>
        <v>0.04</v>
      </c>
      <c r="ABZ6" s="34">
        <f>+Tabla5789141516343536373839404142434445464748495051521340[[#This Row],[Recuento]]*Tabla5789141516343536373839404142434445464748495051521340[[#This Row],[Área neta]]</f>
        <v>0.63</v>
      </c>
      <c r="ACA6" s="35"/>
      <c r="ACB6" s="26"/>
      <c r="ACC6"/>
      <c r="ACD6"/>
      <c r="ACE6"/>
      <c r="ACF6"/>
      <c r="ACG6"/>
      <c r="ACH6" s="33"/>
      <c r="ACI6" s="34">
        <f>+Tabla5789141516343536373839404142434445464748495051525353[[#This Row],[Recuento]]*Tabla5789141516343536373839404142434445464748495051525353[[#This Row],[Volúmen bruto]]</f>
        <v>0</v>
      </c>
      <c r="ACJ6" s="34">
        <f>+Tabla5789141516343536373839404142434445464748495051525353[[#This Row],[Recuento]]*Tabla5789141516343536373839404142434445464748495051525353[[#This Row],[Área neta]]</f>
        <v>0</v>
      </c>
      <c r="ACK6" s="35"/>
      <c r="ACL6" s="26"/>
      <c r="ACM6"/>
      <c r="ACN6"/>
      <c r="ACO6"/>
      <c r="ACP6"/>
      <c r="ACQ6"/>
      <c r="ACR6" s="33"/>
      <c r="ACS6" s="34">
        <f>+Tabla57891415163435363738394041424344454647484950515253[[#This Row],[Recuento]]*Tabla57891415163435363738394041424344454647484950515253[[#This Row],[Volúmen bruto]]</f>
        <v>0</v>
      </c>
      <c r="ACT6" s="34">
        <f>+Tabla57891415163435363738394041424344454647484950515253[[#This Row],[Recuento]]*Tabla57891415163435363738394041424344454647484950515253[[#This Row],[Área neta]]</f>
        <v>0</v>
      </c>
      <c r="ACU6" s="35"/>
      <c r="ACV6" s="26"/>
      <c r="ACW6" t="s">
        <v>1231</v>
      </c>
      <c r="ACX6" s="1">
        <v>1</v>
      </c>
      <c r="ACY6" s="2">
        <v>1.4</v>
      </c>
      <c r="ACZ6" s="2">
        <v>0.8</v>
      </c>
      <c r="ADA6">
        <v>1</v>
      </c>
      <c r="ADB6" s="2">
        <f t="shared" si="1"/>
        <v>1.1199999999999999</v>
      </c>
      <c r="ADD6" t="s">
        <v>1720</v>
      </c>
      <c r="ADE6">
        <v>4</v>
      </c>
      <c r="ADF6">
        <v>2</v>
      </c>
      <c r="ADG6" s="26">
        <f>+ADF6*ADE6</f>
        <v>8</v>
      </c>
      <c r="ADH6"/>
      <c r="ADI6" t="s">
        <v>1522</v>
      </c>
      <c r="ADJ6" t="s">
        <v>1523</v>
      </c>
      <c r="ADK6" t="s">
        <v>297</v>
      </c>
      <c r="ADL6">
        <v>0.02</v>
      </c>
      <c r="ADM6">
        <v>1</v>
      </c>
      <c r="ADN6">
        <f ca="1">+Tabla578914151634353637383940414243444546474849505152535560[[#This Row],[G. Total]]*Tabla578914151634353637383940414243444546474849505152535560[[#This Row],[Recuento]]</f>
        <v>0.02</v>
      </c>
      <c r="ADO6" s="35"/>
      <c r="ADP6" s="26"/>
      <c r="ADQ6"/>
      <c r="ADR6"/>
      <c r="ADS6"/>
      <c r="ADT6"/>
      <c r="ADU6"/>
      <c r="ADV6" s="35"/>
      <c r="ADW6" s="35"/>
      <c r="ADX6"/>
      <c r="ADY6"/>
      <c r="ADZ6"/>
      <c r="AEA6"/>
      <c r="AEB6"/>
      <c r="AEC6">
        <f ca="1">+Tabla57891415163435363738394041424344454647484950515253556062[[#This Row],[Total]]*Tabla57891415163435363738394041424344454647484950515253556062[[#This Row],[Recuento]]</f>
        <v>0</v>
      </c>
      <c r="AED6" s="35"/>
      <c r="AEE6" s="26"/>
      <c r="AEF6"/>
      <c r="AEG6"/>
      <c r="AEH6"/>
      <c r="AEI6"/>
      <c r="AEJ6"/>
      <c r="AEK6" s="35"/>
      <c r="AEL6" s="35"/>
      <c r="AEM6" t="s">
        <v>1522</v>
      </c>
      <c r="AEN6" t="s">
        <v>1523</v>
      </c>
      <c r="AEO6" t="s">
        <v>382</v>
      </c>
      <c r="AEP6">
        <v>1.26</v>
      </c>
      <c r="AEQ6">
        <v>1</v>
      </c>
      <c r="AER6">
        <f ca="1">+Tabla5789141516343536373839404142434445464748495051525355606264[[#This Row],[G. Total]]*Tabla5789141516343536373839404142434445464748495051525355606264[[#This Row],[Recuento]]</f>
        <v>1.26</v>
      </c>
      <c r="AES6" s="35"/>
      <c r="AET6" s="26"/>
      <c r="AEU6"/>
      <c r="AEV6"/>
      <c r="AEW6"/>
      <c r="AEX6"/>
      <c r="AEY6"/>
      <c r="AEZ6" s="35"/>
      <c r="AFA6" s="26"/>
      <c r="AFB6"/>
      <c r="AFC6" t="s">
        <v>1383</v>
      </c>
      <c r="AFD6" t="s">
        <v>1741</v>
      </c>
      <c r="AFE6">
        <v>7.41</v>
      </c>
      <c r="AFF6">
        <v>2</v>
      </c>
      <c r="AFG6">
        <f>+AFF6*AFE6</f>
        <v>14.82</v>
      </c>
      <c r="AFH6" t="s">
        <v>1522</v>
      </c>
      <c r="AFI6" t="s">
        <v>1523</v>
      </c>
      <c r="AFJ6" t="s">
        <v>1410</v>
      </c>
      <c r="AFK6">
        <v>9.94</v>
      </c>
      <c r="AFL6">
        <v>1</v>
      </c>
      <c r="AFM6">
        <f ca="1">+Tabla578914151634353637383940414243444546474849505152535560626467[[#This Row],[G. Total]]*Tabla578914151634353637383940414243444546474849505152535560626467[[#This Row],[Recuento]]</f>
        <v>9.94</v>
      </c>
      <c r="AFN6" s="36"/>
      <c r="AFO6" s="26"/>
      <c r="AFP6" s="2" t="s">
        <v>100</v>
      </c>
      <c r="AFW6" s="2" t="s">
        <v>100</v>
      </c>
    </row>
    <row r="7" spans="1:860" ht="15" customHeight="1" x14ac:dyDescent="0.25">
      <c r="A7">
        <v>1</v>
      </c>
      <c r="B7" t="s">
        <v>1862</v>
      </c>
      <c r="C7" t="s">
        <v>1225</v>
      </c>
      <c r="D7" t="s">
        <v>1550</v>
      </c>
      <c r="E7">
        <v>0.4</v>
      </c>
      <c r="F7">
        <v>6.74</v>
      </c>
      <c r="G7"/>
      <c r="H7">
        <f>+Tabla3[[#This Row],[Volúmen neto]]*A7</f>
        <v>0.4</v>
      </c>
      <c r="I7">
        <f>+Tabla3[[#This Row],[Longitud de eje]]*A7</f>
        <v>6.74</v>
      </c>
      <c r="J7"/>
      <c r="K7" t="s">
        <v>1549</v>
      </c>
      <c r="L7" t="s">
        <v>1524</v>
      </c>
      <c r="M7" t="s">
        <v>1683</v>
      </c>
      <c r="N7">
        <v>0.08</v>
      </c>
      <c r="O7">
        <v>0.66</v>
      </c>
      <c r="P7">
        <v>1.04</v>
      </c>
      <c r="Q7">
        <v>1</v>
      </c>
      <c r="R7">
        <f>+Tabla5[[#This Row],[Recuento]]*Tabla5[[#This Row],[Volúmen bruto]]</f>
        <v>0.08</v>
      </c>
      <c r="S7">
        <f>+Tabla5[[#This Row],[Recuento]]*Tabla5[[#This Row],[Área neta]]</f>
        <v>0.66</v>
      </c>
      <c r="T7">
        <f>+Tabla5[[#This Row],[Longitud nominal]]*Tabla5[[#This Row],[Recuento]]</f>
        <v>1.04</v>
      </c>
      <c r="U7" s="26"/>
      <c r="V7"/>
      <c r="W7"/>
      <c r="X7"/>
      <c r="Y7"/>
      <c r="Z7"/>
      <c r="AA7"/>
      <c r="AB7"/>
      <c r="AC7"/>
      <c r="AD7">
        <f>+Tabla522[[#This Row],[Recuento]]*Tabla522[[#This Row],[Volúmen bruto]]</f>
        <v>0</v>
      </c>
      <c r="AE7">
        <f>+Tabla522[[#This Row],[Recuento]]*Tabla522[[#This Row],[Área neta]]</f>
        <v>0</v>
      </c>
      <c r="AF7">
        <f>+Tabla522[[#This Row],[Longitud nominal]]*Tabla522[[#This Row],[Recuento]]</f>
        <v>0</v>
      </c>
      <c r="AG7" s="26">
        <f>+SUM(AE7:AE9)</f>
        <v>0</v>
      </c>
      <c r="AH7"/>
      <c r="AI7"/>
      <c r="AJ7"/>
      <c r="AK7"/>
      <c r="AL7"/>
      <c r="AM7"/>
      <c r="AN7"/>
      <c r="AO7"/>
      <c r="AP7">
        <f>+Tabla52223[[#This Row],[Recuento]]*Tabla52223[[#This Row],[Volúmen bruto]]</f>
        <v>0</v>
      </c>
      <c r="AQ7">
        <f>+Tabla52223[[#This Row],[Recuento]]*Tabla52223[[#This Row],[Área neta]]</f>
        <v>0</v>
      </c>
      <c r="AR7">
        <f>+Tabla52223[[#This Row],[Longitud nominal]]*Tabla52223[[#This Row],[Recuento]]</f>
        <v>0</v>
      </c>
      <c r="AS7" s="26"/>
      <c r="AT7"/>
      <c r="AU7"/>
      <c r="AV7"/>
      <c r="AW7"/>
      <c r="AX7"/>
      <c r="AY7"/>
      <c r="AZ7"/>
      <c r="BA7"/>
      <c r="BB7">
        <f>+Tabla5222329[[#This Row],[Recuento]]*Tabla5222329[[#This Row],[Volúmen bruto]]</f>
        <v>0</v>
      </c>
      <c r="BC7">
        <f>+Tabla5222329[[#This Row],[Recuento]]*Tabla5222329[[#This Row],[Área neta]]</f>
        <v>0</v>
      </c>
      <c r="BD7">
        <f>+Tabla5222329[[#This Row],[Longitud nominal]]*Tabla5222329[[#This Row],[Recuento]]</f>
        <v>0</v>
      </c>
      <c r="BE7" s="26">
        <f>+SUM(BC7)</f>
        <v>0</v>
      </c>
      <c r="BF7">
        <v>4</v>
      </c>
      <c r="BG7" t="s">
        <v>1862</v>
      </c>
      <c r="BH7" t="s">
        <v>1524</v>
      </c>
      <c r="BI7" t="s">
        <v>1406</v>
      </c>
      <c r="BJ7">
        <v>1.06</v>
      </c>
      <c r="BK7">
        <v>1.5</v>
      </c>
      <c r="BL7">
        <f>+Tabla3102[[#This Row],[En culmo]]*BF7</f>
        <v>6</v>
      </c>
      <c r="BM7"/>
      <c r="BN7"/>
      <c r="BO7"/>
      <c r="BP7"/>
      <c r="BQ7"/>
      <c r="BR7"/>
      <c r="BS7">
        <v>6.5</v>
      </c>
      <c r="BT7">
        <f>+Tabla31069[[#This Row],[En culmo]]*BN7</f>
        <v>0</v>
      </c>
      <c r="BU7"/>
      <c r="BV7">
        <v>3</v>
      </c>
      <c r="BW7" t="s">
        <v>1862</v>
      </c>
      <c r="BX7" t="s">
        <v>1525</v>
      </c>
      <c r="BY7" t="s">
        <v>1406</v>
      </c>
      <c r="BZ7">
        <v>0.65</v>
      </c>
      <c r="CA7">
        <v>1</v>
      </c>
      <c r="CB7">
        <f>+Tabla31011[[#This Row],[En culmo]]*BV7</f>
        <v>3</v>
      </c>
      <c r="CD7">
        <v>18</v>
      </c>
      <c r="CE7" t="s">
        <v>1862</v>
      </c>
      <c r="CF7" t="s">
        <v>1525</v>
      </c>
      <c r="CG7" t="s">
        <v>1405</v>
      </c>
      <c r="CH7">
        <v>2.5</v>
      </c>
      <c r="CI7">
        <v>3</v>
      </c>
      <c r="CJ7">
        <f>+Tabla3101170[[#This Row],[En culmo]]*CD7</f>
        <v>54</v>
      </c>
      <c r="CK7"/>
      <c r="CL7">
        <v>2</v>
      </c>
      <c r="CM7" t="s">
        <v>1862</v>
      </c>
      <c r="CN7" t="s">
        <v>1383</v>
      </c>
      <c r="CO7" t="s">
        <v>1406</v>
      </c>
      <c r="CP7">
        <v>2.69</v>
      </c>
      <c r="CQ7" s="26">
        <v>3</v>
      </c>
      <c r="CR7">
        <f>+Tabla31011116[[#This Row],[En culmo]]*CT7</f>
        <v>6</v>
      </c>
      <c r="CT7">
        <v>2</v>
      </c>
      <c r="CU7" t="s">
        <v>1862</v>
      </c>
      <c r="CV7" t="s">
        <v>1383</v>
      </c>
      <c r="CW7" t="s">
        <v>1405</v>
      </c>
      <c r="CX7">
        <v>0.93</v>
      </c>
      <c r="CY7">
        <v>1.5</v>
      </c>
      <c r="CZ7">
        <f>+Tabla3101170117[[#This Row],[En culmo]]*CT7</f>
        <v>3</v>
      </c>
      <c r="DA7"/>
      <c r="DB7">
        <v>4</v>
      </c>
      <c r="DC7" t="s">
        <v>1862</v>
      </c>
      <c r="DD7" t="s">
        <v>1383</v>
      </c>
      <c r="DE7" t="s">
        <v>1723</v>
      </c>
      <c r="DF7">
        <v>0.52</v>
      </c>
      <c r="DG7">
        <f>+Tabla31011704[[#This Row],[Longitud de eje]]*DB7</f>
        <v>2.08</v>
      </c>
      <c r="DH7"/>
      <c r="DI7">
        <v>2</v>
      </c>
      <c r="DJ7" t="s">
        <v>1862</v>
      </c>
      <c r="DK7" t="s">
        <v>1383</v>
      </c>
      <c r="DL7" t="s">
        <v>1720</v>
      </c>
      <c r="DM7">
        <v>0.8</v>
      </c>
      <c r="DN7">
        <v>1.5</v>
      </c>
      <c r="DO7">
        <f t="shared" si="2"/>
        <v>3</v>
      </c>
      <c r="DP7">
        <v>4</v>
      </c>
      <c r="DQ7" t="s">
        <v>1862</v>
      </c>
      <c r="DR7" t="s">
        <v>1383</v>
      </c>
      <c r="DS7" t="s">
        <v>1740</v>
      </c>
      <c r="DT7">
        <v>0.6</v>
      </c>
      <c r="DU7">
        <f>+Tabla3101170411120[[#This Row],[Longitud de eje]]*DP7</f>
        <v>2.4</v>
      </c>
      <c r="DV7"/>
      <c r="DW7">
        <v>4</v>
      </c>
      <c r="DX7" t="s">
        <v>1862</v>
      </c>
      <c r="DY7" t="s">
        <v>1524</v>
      </c>
      <c r="DZ7" t="s">
        <v>1759</v>
      </c>
      <c r="EA7">
        <v>1.3</v>
      </c>
      <c r="EB7">
        <f>+Tabla3101170411120122[[#This Row],[Longitud de eje]]*DW7</f>
        <v>5.2</v>
      </c>
      <c r="EC7"/>
      <c r="ED7">
        <v>13</v>
      </c>
      <c r="EE7" t="s">
        <v>1862</v>
      </c>
      <c r="EF7" t="s">
        <v>1524</v>
      </c>
      <c r="EG7" t="s">
        <v>1406</v>
      </c>
      <c r="EH7">
        <v>0.82</v>
      </c>
      <c r="EI7">
        <v>1.5</v>
      </c>
      <c r="EJ7">
        <f>+Tabla3101112[[#This Row],[En culmo]]*ED7</f>
        <v>19.5</v>
      </c>
      <c r="EK7"/>
      <c r="EL7"/>
      <c r="EM7"/>
      <c r="EN7"/>
      <c r="EO7"/>
      <c r="EP7"/>
      <c r="EQ7"/>
      <c r="ER7">
        <f>+Tabla3101112123[[#This Row],[En culmo]]*EL7</f>
        <v>0</v>
      </c>
      <c r="ES7"/>
      <c r="ET7">
        <v>3</v>
      </c>
      <c r="EU7" t="s">
        <v>1862</v>
      </c>
      <c r="EV7" t="s">
        <v>1525</v>
      </c>
      <c r="EW7" t="s">
        <v>1405</v>
      </c>
      <c r="EX7">
        <v>2.29</v>
      </c>
      <c r="EY7">
        <v>2.5</v>
      </c>
      <c r="EZ7">
        <f>+Tabla310111257[[#This Row],[En culmo]]*ET7</f>
        <v>7.5</v>
      </c>
      <c r="FA7"/>
      <c r="FB7">
        <v>1</v>
      </c>
      <c r="FC7" t="s">
        <v>1862</v>
      </c>
      <c r="FD7" t="s">
        <v>1525</v>
      </c>
      <c r="FE7" t="s">
        <v>1770</v>
      </c>
      <c r="FF7">
        <v>1.24</v>
      </c>
      <c r="FG7">
        <v>1.5</v>
      </c>
      <c r="FH7">
        <f>+Tabla310111257124[[#This Row],[En culmo]]*FB7</f>
        <v>1.5</v>
      </c>
      <c r="FI7"/>
      <c r="FJ7"/>
      <c r="FK7"/>
      <c r="FL7"/>
      <c r="FM7"/>
      <c r="FN7"/>
      <c r="FO7"/>
      <c r="FP7">
        <f>+Tabla310111213115[[#This Row],[Volúmen]]*FJ7</f>
        <v>0</v>
      </c>
      <c r="FQ7">
        <f>+Tabla310111213115[[#This Row],[Longitud del eje]]*FJ7</f>
        <v>0</v>
      </c>
      <c r="FR7"/>
      <c r="FS7"/>
      <c r="FT7"/>
      <c r="FU7"/>
      <c r="FV7"/>
      <c r="FW7"/>
      <c r="FX7">
        <f>+Tabla31011121311554[[#This Row],[Volúmen]]*FR7</f>
        <v>0</v>
      </c>
      <c r="FY7">
        <f>+Tabla31011121311554[[#This Row],[Longitud del eje]]*FR7</f>
        <v>0</v>
      </c>
      <c r="FZ7">
        <v>1</v>
      </c>
      <c r="GA7" t="s">
        <v>1862</v>
      </c>
      <c r="GB7" t="s">
        <v>1524</v>
      </c>
      <c r="GC7" t="s">
        <v>1584</v>
      </c>
      <c r="GD7">
        <v>0.1</v>
      </c>
      <c r="GE7">
        <v>1.3</v>
      </c>
      <c r="GF7">
        <f>+Tabla3101112131157[[#This Row],[Volúmen]]*FZ7</f>
        <v>0.1</v>
      </c>
      <c r="GG7">
        <f>+Tabla3101112131157[[#This Row],[Longitud del eje]]*FZ7</f>
        <v>1.3</v>
      </c>
      <c r="GI7"/>
      <c r="GJ7"/>
      <c r="GK7"/>
      <c r="GL7"/>
      <c r="GM7"/>
      <c r="GN7"/>
      <c r="GO7"/>
      <c r="GQ7" t="s">
        <v>1862</v>
      </c>
      <c r="GR7" t="s">
        <v>1383</v>
      </c>
      <c r="GS7" t="s">
        <v>1628</v>
      </c>
      <c r="GT7">
        <v>7.0000000000000007E-2</v>
      </c>
      <c r="GU7">
        <v>10.93</v>
      </c>
      <c r="GV7">
        <v>1</v>
      </c>
      <c r="GW7">
        <f>+Tabla578914[[#This Row],[Recuento]]*Tabla578914[[#This Row],[Volúmen bruto]]</f>
        <v>7.0000000000000007E-2</v>
      </c>
      <c r="GX7">
        <f>+Tabla578914[[#This Row],[Recuento]]*Tabla578914[[#This Row],[Área neta]]</f>
        <v>10.93</v>
      </c>
      <c r="GY7" s="36"/>
      <c r="HA7" t="s">
        <v>1862</v>
      </c>
      <c r="HB7" t="s">
        <v>1383</v>
      </c>
      <c r="HC7" t="s">
        <v>1628</v>
      </c>
      <c r="HD7">
        <v>0.08</v>
      </c>
      <c r="HE7">
        <v>13.22</v>
      </c>
      <c r="HF7">
        <v>1</v>
      </c>
      <c r="HG7">
        <f>+Tabla578914126[[#This Row],[Recuento]]*Tabla578914126[[#This Row],[Volúmen bruto]]</f>
        <v>0.08</v>
      </c>
      <c r="HH7">
        <f>+Tabla578914126[[#This Row],[Recuento]]*Tabla578914126[[#This Row],[Área neta]]</f>
        <v>13.22</v>
      </c>
      <c r="HI7" s="36"/>
      <c r="HK7" t="s">
        <v>1862</v>
      </c>
      <c r="HL7" t="s">
        <v>1383</v>
      </c>
      <c r="HM7" t="s">
        <v>1628</v>
      </c>
      <c r="HN7">
        <v>0.01</v>
      </c>
      <c r="HO7">
        <v>1.35</v>
      </c>
      <c r="HP7">
        <v>1</v>
      </c>
      <c r="HQ7">
        <f>+Tabla578914126127[[#This Row],[Recuento]]*Tabla578914126127[[#This Row],[Volúmen bruto]]</f>
        <v>0.01</v>
      </c>
      <c r="HR7">
        <f>+Tabla578914126127[[#This Row],[Recuento]]*Tabla578914126127[[#This Row],[Área neta]]</f>
        <v>1.35</v>
      </c>
      <c r="HS7" s="36"/>
      <c r="HT7" s="26"/>
      <c r="HU7" t="s">
        <v>1862</v>
      </c>
      <c r="HV7" t="s">
        <v>1383</v>
      </c>
      <c r="HW7" t="s">
        <v>1773</v>
      </c>
      <c r="HX7">
        <v>0.08</v>
      </c>
      <c r="HY7">
        <v>1.62</v>
      </c>
      <c r="HZ7">
        <v>1</v>
      </c>
      <c r="IA7">
        <f>+Tabla57891418[[#This Row],[Volúmen bruto]]*Tabla57891418[[#This Row],[Recuento]]</f>
        <v>0.08</v>
      </c>
      <c r="IB7">
        <f>+Tabla57891418[[#This Row],[Área neta]]*Tabla57891418[[#This Row],[Recuento]]</f>
        <v>1.62</v>
      </c>
      <c r="IC7" s="35"/>
      <c r="ID7" s="26"/>
      <c r="IE7" t="s">
        <v>1862</v>
      </c>
      <c r="IF7" t="s">
        <v>1383</v>
      </c>
      <c r="IG7" t="s">
        <v>1795</v>
      </c>
      <c r="IH7">
        <v>0.01</v>
      </c>
      <c r="II7">
        <v>1.76</v>
      </c>
      <c r="IJ7">
        <v>1</v>
      </c>
      <c r="IK7">
        <f>+Tabla5789141835[[#This Row],[Volúmen bruto]]*Tabla5789141835[[#This Row],[Recuento]]</f>
        <v>0.01</v>
      </c>
      <c r="IL7">
        <f>+Tabla5789141835[[#This Row],[Área neta]]*Tabla5789141835[[#This Row],[Recuento]]</f>
        <v>1.76</v>
      </c>
      <c r="IM7" s="35"/>
      <c r="IN7" s="26"/>
      <c r="IO7"/>
      <c r="IP7"/>
      <c r="IQ7"/>
      <c r="IR7"/>
      <c r="IS7"/>
      <c r="IT7"/>
      <c r="IU7">
        <f>+Tabla520212223[[#This Row],[Recuento]]*Tabla520212223[[#This Row],[Volúmen bruto]]</f>
        <v>0</v>
      </c>
      <c r="IV7">
        <f>+Tabla520212223[[#This Row],[Recuento]]*Tabla520212223[[#This Row],[Área neta]]</f>
        <v>0</v>
      </c>
      <c r="IW7" s="26">
        <f t="shared" si="0"/>
        <v>0</v>
      </c>
      <c r="IY7" t="s">
        <v>1862</v>
      </c>
      <c r="IZ7" t="s">
        <v>1524</v>
      </c>
      <c r="JA7" t="s">
        <v>1676</v>
      </c>
      <c r="JB7">
        <v>0.98</v>
      </c>
      <c r="JC7">
        <v>8.14</v>
      </c>
      <c r="JD7">
        <v>1</v>
      </c>
      <c r="JE7">
        <f>+Tabla520212224[[#This Row],[Recuento]]*Tabla520212224[[#This Row],[Volúmen bruto]]</f>
        <v>0.98</v>
      </c>
      <c r="JF7">
        <f>+Tabla520212224[[#This Row],[Recuento]]*Tabla520212224[[#This Row],[Área neta]]</f>
        <v>8.14</v>
      </c>
      <c r="JG7" s="26">
        <f>+SUM(JF7)+SUM(JF60:JF61)</f>
        <v>8.14</v>
      </c>
      <c r="JI7" t="s">
        <v>1862</v>
      </c>
      <c r="JJ7" t="s">
        <v>1524</v>
      </c>
      <c r="JK7" t="s">
        <v>1628</v>
      </c>
      <c r="JL7">
        <v>0</v>
      </c>
      <c r="JM7">
        <v>0.02</v>
      </c>
      <c r="JN7">
        <v>2</v>
      </c>
      <c r="JO7">
        <f>+Tabla52021222425[[#This Row],[Recuento]]*Tabla52021222425[[#This Row],[Volúmen bruto]]</f>
        <v>0</v>
      </c>
      <c r="JP7">
        <f>+Tabla52021222425[[#This Row],[Recuento]]*Tabla52021222425[[#This Row],[Área neta]]</f>
        <v>0.04</v>
      </c>
      <c r="JQ7" s="26"/>
      <c r="JS7" t="s">
        <v>1862</v>
      </c>
      <c r="JT7" t="s">
        <v>1524</v>
      </c>
      <c r="JU7" t="s">
        <v>1628</v>
      </c>
      <c r="JV7">
        <v>0.01</v>
      </c>
      <c r="JW7">
        <v>0.41</v>
      </c>
      <c r="JX7">
        <v>2</v>
      </c>
      <c r="JY7">
        <f>+Tabla5202122242526[[#This Row],[Recuento]]*Tabla5202122242526[[#This Row],[Volúmen bruto]]</f>
        <v>0.02</v>
      </c>
      <c r="JZ7">
        <f>+Tabla5202122242526[[#This Row],[Recuento]]*Tabla5202122242526[[#This Row],[Área neta]]</f>
        <v>0.82</v>
      </c>
      <c r="KA7" s="26"/>
      <c r="KC7" t="s">
        <v>1549</v>
      </c>
      <c r="KD7" t="s">
        <v>1524</v>
      </c>
      <c r="KE7" t="s">
        <v>97</v>
      </c>
      <c r="KF7">
        <v>0.01</v>
      </c>
      <c r="KG7">
        <v>0.28999999999999998</v>
      </c>
      <c r="KH7">
        <v>1</v>
      </c>
      <c r="KI7">
        <f>+Tabla5202122242526104[[#This Row],[Recuento]]*Tabla5202122242526104[[#This Row],[Volúmen bruto]]</f>
        <v>0.01</v>
      </c>
      <c r="KJ7">
        <f>+Tabla5202122242526104[[#This Row],[Recuento]]*Tabla5202122242526104[[#This Row],[Área neta]]</f>
        <v>0.28999999999999998</v>
      </c>
      <c r="KK7" s="26"/>
      <c r="KM7" t="s">
        <v>1862</v>
      </c>
      <c r="KN7" t="s">
        <v>1524</v>
      </c>
      <c r="KO7" t="s">
        <v>1628</v>
      </c>
      <c r="KP7">
        <v>0.04</v>
      </c>
      <c r="KQ7">
        <v>1.87</v>
      </c>
      <c r="KR7">
        <v>1</v>
      </c>
      <c r="KS7">
        <f>+Tabla5202122242526104110[[#This Row],[Recuento]]*Tabla5202122242526104110[[#This Row],[Volúmen bruto]]</f>
        <v>0.04</v>
      </c>
      <c r="KT7">
        <f>+Tabla5202122242526104110[[#This Row],[Recuento]]*Tabla5202122242526104110[[#This Row],[Área neta]]</f>
        <v>1.87</v>
      </c>
      <c r="KU7" s="26"/>
      <c r="KW7" t="s">
        <v>1862</v>
      </c>
      <c r="KX7" t="s">
        <v>1524</v>
      </c>
      <c r="KY7" t="s">
        <v>1628</v>
      </c>
      <c r="KZ7">
        <v>0.13</v>
      </c>
      <c r="LA7">
        <v>1.34</v>
      </c>
      <c r="LB7">
        <v>1</v>
      </c>
      <c r="LC7">
        <f>+Tabla520212224252659[[#This Row],[Recuento]]*Tabla520212224252659[[#This Row],[Volúmen bruto]]</f>
        <v>0.13</v>
      </c>
      <c r="LD7">
        <f>+Tabla520212224252659[[#This Row],[Recuento]]*Tabla520212224252659[[#This Row],[Área neta]]</f>
        <v>1.34</v>
      </c>
      <c r="LE7" s="26"/>
      <c r="LG7" t="s">
        <v>1549</v>
      </c>
      <c r="LH7" t="s">
        <v>1524</v>
      </c>
      <c r="LI7" t="s">
        <v>98</v>
      </c>
      <c r="LJ7">
        <v>0</v>
      </c>
      <c r="LK7">
        <v>3.5</v>
      </c>
      <c r="LL7">
        <v>1</v>
      </c>
      <c r="LM7">
        <f>+Tabla520212224252659111[[#This Row],[Recuento]]*Tabla520212224252659111[[#This Row],[Volúmen bruto]]</f>
        <v>0</v>
      </c>
      <c r="LN7">
        <f>+Tabla520212224252659111[[#This Row],[Recuento]]*Tabla520212224252659111[[#This Row],[Área neta]]</f>
        <v>3.5</v>
      </c>
      <c r="LO7" s="26">
        <f>+SUM(LN7)</f>
        <v>3.5</v>
      </c>
      <c r="LQ7" t="s">
        <v>1863</v>
      </c>
      <c r="LR7" t="s">
        <v>1524</v>
      </c>
      <c r="LS7" t="s">
        <v>97</v>
      </c>
      <c r="LT7">
        <v>0.01</v>
      </c>
      <c r="LU7">
        <v>2.1800000000000002</v>
      </c>
      <c r="LV7">
        <v>2</v>
      </c>
      <c r="LW7">
        <f>+Tabla520212224252659111114[[#This Row],[Recuento]]*Tabla520212224252659111114[[#This Row],[Volúmen bruto]]</f>
        <v>0.02</v>
      </c>
      <c r="LX7">
        <f>+Tabla520212224252659111114[[#This Row],[Recuento]]*Tabla520212224252659111114[[#This Row],[Área neta]]</f>
        <v>4.3600000000000003</v>
      </c>
      <c r="LY7" s="26"/>
      <c r="MA7" t="s">
        <v>1862</v>
      </c>
      <c r="MB7" t="s">
        <v>1525</v>
      </c>
      <c r="MC7" t="s">
        <v>1628</v>
      </c>
      <c r="MD7">
        <v>0.17</v>
      </c>
      <c r="ME7">
        <v>4.24</v>
      </c>
      <c r="MF7">
        <v>2</v>
      </c>
      <c r="MG7">
        <f>+Tabla520212224252659111114128[[#This Row],[Recuento]]*Tabla520212224252659111114128[[#This Row],[Volúmen bruto]]</f>
        <v>0.34</v>
      </c>
      <c r="MH7">
        <f>+Tabla520212224252659111114128[[#This Row],[Recuento]]*Tabla520212224252659111114128[[#This Row],[Área neta]]</f>
        <v>8.48</v>
      </c>
      <c r="MI7" s="26"/>
      <c r="MK7" t="s">
        <v>1862</v>
      </c>
      <c r="ML7" t="s">
        <v>1525</v>
      </c>
      <c r="MM7" t="s">
        <v>97</v>
      </c>
      <c r="MN7">
        <v>0.04</v>
      </c>
      <c r="MO7">
        <v>1.81</v>
      </c>
      <c r="MP7">
        <v>2</v>
      </c>
      <c r="MQ7">
        <f>+Tabla520212224252627[[#This Row],[Recuento]]*Tabla520212224252627[[#This Row],[Volúmen bruto]]</f>
        <v>0.08</v>
      </c>
      <c r="MR7">
        <f>+Tabla520212224252627[[#This Row],[Recuento]]*Tabla520212224252627[[#This Row],[Área neta]]</f>
        <v>3.62</v>
      </c>
      <c r="MS7" s="415"/>
      <c r="MU7" t="s">
        <v>1549</v>
      </c>
      <c r="MV7" t="s">
        <v>1525</v>
      </c>
      <c r="MW7" t="s">
        <v>97</v>
      </c>
      <c r="MX7">
        <v>0</v>
      </c>
      <c r="MY7">
        <v>0.18</v>
      </c>
      <c r="MZ7">
        <v>1</v>
      </c>
      <c r="NA7">
        <f>+Tabla520212224252627129[[#This Row],[Recuento]]*Tabla520212224252627129[[#This Row],[Volúmen bruto]]</f>
        <v>0</v>
      </c>
      <c r="NB7">
        <f>+Tabla520212224252627129[[#This Row],[Recuento]]*Tabla520212224252627129[[#This Row],[Área neta]]</f>
        <v>0.18</v>
      </c>
      <c r="NC7" s="26"/>
      <c r="NE7" t="s">
        <v>1549</v>
      </c>
      <c r="NF7" t="s">
        <v>1525</v>
      </c>
      <c r="NG7" t="s">
        <v>97</v>
      </c>
      <c r="NH7">
        <v>0</v>
      </c>
      <c r="NI7">
        <v>0.18</v>
      </c>
      <c r="NJ7">
        <v>1</v>
      </c>
      <c r="NK7">
        <f>+Tabla520212224252627129125[[#This Row],[Recuento]]*Tabla520212224252627129125[[#This Row],[Volúmen bruto]]</f>
        <v>0</v>
      </c>
      <c r="NL7">
        <f>+Tabla520212224252627129125[[#This Row],[Recuento]]*Tabla520212224252627129125[[#This Row],[Área neta]]</f>
        <v>0.18</v>
      </c>
      <c r="NM7" s="26"/>
      <c r="NO7" t="s">
        <v>1549</v>
      </c>
      <c r="NP7" t="s">
        <v>1525</v>
      </c>
      <c r="NQ7" t="s">
        <v>1628</v>
      </c>
      <c r="NR7">
        <v>0.01</v>
      </c>
      <c r="NS7">
        <v>0.51</v>
      </c>
      <c r="NT7">
        <v>1</v>
      </c>
      <c r="NU7">
        <f>+Tabla520212224252627129125130[[#This Row],[Recuento]]*Tabla520212224252627129125130[[#This Row],[Volúmen bruto]]</f>
        <v>0.01</v>
      </c>
      <c r="NV7">
        <f>+Tabla520212224252627129125130[[#This Row],[Recuento]]*Tabla520212224252627129125130[[#This Row],[Área neta]]</f>
        <v>0.51</v>
      </c>
      <c r="NW7" s="26"/>
      <c r="NY7" t="s">
        <v>1549</v>
      </c>
      <c r="NZ7" t="s">
        <v>1525</v>
      </c>
      <c r="OA7" t="s">
        <v>97</v>
      </c>
      <c r="OB7">
        <v>0.01</v>
      </c>
      <c r="OC7">
        <v>0.67</v>
      </c>
      <c r="OD7">
        <v>2</v>
      </c>
      <c r="OE7">
        <f>+Tabla520212224252627129125130131[[#This Row],[Recuento]]*Tabla520212224252627129125130131[[#This Row],[Volúmen bruto]]</f>
        <v>0.02</v>
      </c>
      <c r="OF7">
        <f>+Tabla520212224252627129125130131[[#This Row],[Recuento]]*Tabla520212224252627129125130131[[#This Row],[Área neta]]</f>
        <v>1.34</v>
      </c>
      <c r="OG7" s="26"/>
      <c r="OI7" t="s">
        <v>1549</v>
      </c>
      <c r="OJ7" t="s">
        <v>1525</v>
      </c>
      <c r="OK7" t="s">
        <v>97</v>
      </c>
      <c r="OL7">
        <v>0.01</v>
      </c>
      <c r="OM7">
        <v>0.42</v>
      </c>
      <c r="ON7">
        <v>1</v>
      </c>
      <c r="OO7">
        <f>+Tabla520212224252627129125130131132[[#This Row],[Recuento]]*Tabla520212224252627129125130131132[[#This Row],[Volúmen bruto]]</f>
        <v>0.01</v>
      </c>
      <c r="OP7">
        <f>+Tabla520212224252627129125130131132[[#This Row],[Recuento]]*Tabla520212224252627129125130131132[[#This Row],[Área neta]]</f>
        <v>0.42</v>
      </c>
      <c r="OQ7" s="26"/>
      <c r="OS7" t="s">
        <v>1863</v>
      </c>
      <c r="OT7" t="s">
        <v>1525</v>
      </c>
      <c r="OU7" t="s">
        <v>1677</v>
      </c>
      <c r="OV7">
        <v>0</v>
      </c>
      <c r="OW7">
        <v>1.17</v>
      </c>
      <c r="OX7">
        <v>1</v>
      </c>
      <c r="OY7">
        <f>+Tabla52021222425262728[[#This Row],[Recuento]]*Tabla52021222425262728[[#This Row],[Volúmen bruto]]</f>
        <v>0</v>
      </c>
      <c r="OZ7">
        <f>+Tabla52021222425262728[[#This Row],[Recuento]]*Tabla52021222425262728[[#This Row],[Área neta]]</f>
        <v>1.17</v>
      </c>
      <c r="PA7" s="26">
        <f>+SUM(OZ7)</f>
        <v>1.17</v>
      </c>
      <c r="PC7" t="s">
        <v>1862</v>
      </c>
      <c r="PD7" t="s">
        <v>1525</v>
      </c>
      <c r="PE7" t="s">
        <v>1788</v>
      </c>
      <c r="PF7">
        <v>0.02</v>
      </c>
      <c r="PG7">
        <v>2.87</v>
      </c>
      <c r="PH7">
        <v>1</v>
      </c>
      <c r="PI7">
        <f>+Tabla52021222425262728133[[#This Row],[Recuento]]*Tabla52021222425262728133[[#This Row],[Volúmen bruto]]</f>
        <v>0.02</v>
      </c>
      <c r="PJ7">
        <f>+Tabla52021222425262728133[[#This Row],[Recuento]]*Tabla52021222425262728133[[#This Row],[Área neta]]</f>
        <v>2.87</v>
      </c>
      <c r="PK7" s="26"/>
      <c r="PM7" t="s">
        <v>1862</v>
      </c>
      <c r="PN7" t="s">
        <v>1525</v>
      </c>
      <c r="PO7" t="s">
        <v>97</v>
      </c>
      <c r="PP7">
        <v>0.1</v>
      </c>
      <c r="PQ7">
        <v>4.82</v>
      </c>
      <c r="PR7">
        <v>1</v>
      </c>
      <c r="PS7">
        <f>+Tabla5202122242526272893[[#This Row],[Recuento]]*Tabla5202122242526272893[[#This Row],[Volúmen bruto]]</f>
        <v>0.1</v>
      </c>
      <c r="PT7">
        <f>+Tabla5202122242526272893[[#This Row],[Recuento]]*Tabla5202122242526272893[[#This Row],[Área neta]]</f>
        <v>4.82</v>
      </c>
      <c r="PU7" s="26">
        <f>+SUM(PT7:PT8)</f>
        <v>8.7100000000000009</v>
      </c>
      <c r="PW7" t="s">
        <v>1862</v>
      </c>
      <c r="PX7" t="s">
        <v>1525</v>
      </c>
      <c r="PY7" t="s">
        <v>1788</v>
      </c>
      <c r="PZ7">
        <v>0.01</v>
      </c>
      <c r="QA7">
        <v>1.1100000000000001</v>
      </c>
      <c r="QB7">
        <v>1</v>
      </c>
      <c r="QC7">
        <f>+Tabla520212224252627289349[[#This Row],[Recuento]]*Tabla520212224252627289349[[#This Row],[Volúmen bruto]]</f>
        <v>0.01</v>
      </c>
      <c r="QD7">
        <f>+Tabla520212224252627289349[[#This Row],[Recuento]]*Tabla520212224252627289349[[#This Row],[Área neta]]</f>
        <v>1.1100000000000001</v>
      </c>
      <c r="QE7" s="26"/>
      <c r="QG7" t="s">
        <v>1549</v>
      </c>
      <c r="QH7" t="s">
        <v>1525</v>
      </c>
      <c r="QI7" t="s">
        <v>97</v>
      </c>
      <c r="QJ7">
        <v>0.03</v>
      </c>
      <c r="QK7">
        <v>1.45</v>
      </c>
      <c r="QL7">
        <v>1</v>
      </c>
      <c r="QM7">
        <f>+Tabla520212224252627289349134[[#This Row],[Recuento]]*Tabla520212224252627289349134[[#This Row],[Volúmen bruto]]</f>
        <v>0.03</v>
      </c>
      <c r="QN7">
        <f>+Tabla520212224252627289349134[[#This Row],[Recuento]]*Tabla520212224252627289349134[[#This Row],[Área neta]]</f>
        <v>1.45</v>
      </c>
      <c r="QO7" s="26">
        <f>+SUM(QN7:QN8)</f>
        <v>2.4900000000000002</v>
      </c>
      <c r="QQ7" t="s">
        <v>1862</v>
      </c>
      <c r="QR7" t="s">
        <v>1524</v>
      </c>
      <c r="QS7" t="s">
        <v>1726</v>
      </c>
      <c r="QT7">
        <v>0.17</v>
      </c>
      <c r="QU7">
        <v>0.86</v>
      </c>
      <c r="QV7">
        <v>1</v>
      </c>
      <c r="QW7">
        <v>1</v>
      </c>
      <c r="QX7">
        <f>+Tabla5202122242526272829[[#This Row],[Recuento]]*Tabla5202122242526272829[[#This Row],[Volúmen bruto]]</f>
        <v>0.17</v>
      </c>
      <c r="QY7">
        <f>+Tabla5202122242526272829[[#This Row],[Recuento]]*Tabla5202122242526272829[[#This Row],[Área neta]]</f>
        <v>0.86</v>
      </c>
      <c r="QZ7">
        <f>+Tabla5202122242526272829[[#This Row],[Recuento]]*Tabla5202122242526272829[[#This Row],[Longitud]]</f>
        <v>1</v>
      </c>
      <c r="RA7" s="26"/>
      <c r="RC7" t="s">
        <v>1549</v>
      </c>
      <c r="RD7" t="s">
        <v>1524</v>
      </c>
      <c r="RE7" t="s">
        <v>92</v>
      </c>
      <c r="RF7">
        <v>0.16</v>
      </c>
      <c r="RG7">
        <v>2.33</v>
      </c>
      <c r="RH7">
        <v>1</v>
      </c>
      <c r="RI7">
        <f>+Tabla520212224252627283132[[#This Row],[Recuento]]*Tabla520212224252627283132[[#This Row],[Volúmen bruto]]</f>
        <v>0.16</v>
      </c>
      <c r="RJ7">
        <f>+Tabla520212224252627283132[[#This Row],[Recuento]]*Tabla520212224252627283132[[#This Row],[Área neta]]</f>
        <v>2.33</v>
      </c>
      <c r="RK7" s="26"/>
      <c r="RM7" t="s">
        <v>1863</v>
      </c>
      <c r="RN7" t="s">
        <v>1525</v>
      </c>
      <c r="RO7" t="s">
        <v>1793</v>
      </c>
      <c r="RP7">
        <v>0.01</v>
      </c>
      <c r="RQ7">
        <v>0.96</v>
      </c>
      <c r="RR7">
        <v>1</v>
      </c>
      <c r="RS7">
        <f>+Tabla5202122242526272831329[[#This Row],[Recuento]]*Tabla5202122242526272831329[[#This Row],[Volúmen bruto]]</f>
        <v>0.01</v>
      </c>
      <c r="RT7">
        <f>+Tabla5202122242526272831329[[#This Row],[Recuento]]*Tabla5202122242526272831329[[#This Row],[Área neta]]</f>
        <v>0.96</v>
      </c>
      <c r="RU7" s="26"/>
      <c r="RW7" t="s">
        <v>1863</v>
      </c>
      <c r="RX7" t="s">
        <v>1524</v>
      </c>
      <c r="RY7" t="s">
        <v>93</v>
      </c>
      <c r="RZ7">
        <v>0.03</v>
      </c>
      <c r="SA7">
        <v>1.67</v>
      </c>
      <c r="SB7">
        <v>2</v>
      </c>
      <c r="SC7">
        <f>+Tabla52021222425262728313233[[#This Row],[Recuento]]*Tabla52021222425262728313233[[#This Row],[Volúmen bruto]]</f>
        <v>0.06</v>
      </c>
      <c r="SD7">
        <f>+Tabla52021222425262728313233[[#This Row],[Recuento]]*Tabla52021222425262728313233[[#This Row],[Área neta]]</f>
        <v>3.34</v>
      </c>
      <c r="SE7" s="26">
        <f>+SUM(SD7:SD9)</f>
        <v>5.6099999999999994</v>
      </c>
      <c r="SG7"/>
      <c r="SH7"/>
      <c r="SI7"/>
      <c r="SJ7"/>
      <c r="SK7"/>
      <c r="SL7"/>
      <c r="SM7">
        <f>+Tabla5202122242526272831323314[[#This Row],[Recuento]]*Tabla5202122242526272831323314[[#This Row],[Volúmen bruto]]</f>
        <v>0</v>
      </c>
      <c r="SN7">
        <f>+Tabla5202122242526272831323314[[#This Row],[Recuento]]*Tabla5202122242526272831323314[[#This Row],[Área neta]]</f>
        <v>0</v>
      </c>
      <c r="SO7" s="26"/>
      <c r="SQ7" t="s">
        <v>1862</v>
      </c>
      <c r="SR7" t="s">
        <v>1524</v>
      </c>
      <c r="SS7" t="s">
        <v>94</v>
      </c>
      <c r="ST7">
        <v>1.08</v>
      </c>
      <c r="SU7">
        <v>10.8</v>
      </c>
      <c r="SV7">
        <v>1</v>
      </c>
      <c r="SW7" s="34">
        <f>+Tabla5789141516[[#This Row],[Recuento]]*Tabla5789141516[[#This Row],[Volúmen bruto]]</f>
        <v>1.08</v>
      </c>
      <c r="SX7" s="34">
        <f>+Tabla5789141516[[#This Row],[Recuento]]*Tabla5789141516[[#This Row],[Área neta]]</f>
        <v>10.8</v>
      </c>
      <c r="SY7" s="35"/>
      <c r="SZ7" s="26"/>
      <c r="TA7"/>
      <c r="TB7"/>
      <c r="TC7"/>
      <c r="TD7"/>
      <c r="TE7"/>
      <c r="TF7"/>
      <c r="TG7" s="34">
        <f>+Tabla578914151634[[#This Row],[Recuento]]*Tabla578914151634[[#This Row],[Volúmen bruto]]</f>
        <v>0</v>
      </c>
      <c r="TH7" s="34">
        <f>+Tabla578914151634[[#This Row],[Recuento]]*Tabla578914151634[[#This Row],[Área neta]]</f>
        <v>0</v>
      </c>
      <c r="TI7" s="35"/>
      <c r="TJ7" s="26"/>
      <c r="TK7" t="s">
        <v>1862</v>
      </c>
      <c r="TL7" t="s">
        <v>1525</v>
      </c>
      <c r="TM7" t="s">
        <v>94</v>
      </c>
      <c r="TN7">
        <v>0.17</v>
      </c>
      <c r="TO7">
        <v>2.17</v>
      </c>
      <c r="TP7">
        <v>1</v>
      </c>
      <c r="TQ7" s="34">
        <f>+Tabla57891415163435[[#This Row],[Recuento]]*Tabla57891415163435[[#This Row],[Volúmen bruto]]</f>
        <v>0.17</v>
      </c>
      <c r="TR7" s="34">
        <f>+Tabla57891415163435[[#This Row],[Recuento]]*Tabla57891415163435[[#This Row],[Área neta]]</f>
        <v>2.17</v>
      </c>
      <c r="TS7" s="35"/>
      <c r="TT7" s="26"/>
      <c r="TU7"/>
      <c r="TV7"/>
      <c r="TW7"/>
      <c r="TX7"/>
      <c r="TY7"/>
      <c r="TZ7"/>
      <c r="UA7" s="34">
        <f>+Tabla5789141516343536[[#This Row],[Recuento]]*Tabla5789141516343536[[#This Row],[Volúmen bruto]]</f>
        <v>0</v>
      </c>
      <c r="UB7" s="34">
        <f>+Tabla5789141516343536[[#This Row],[Recuento]]*Tabla5789141516343536[[#This Row],[Área neta]]</f>
        <v>0</v>
      </c>
      <c r="UC7" s="35"/>
      <c r="UD7" s="26"/>
      <c r="UE7" t="s">
        <v>1862</v>
      </c>
      <c r="UF7" t="s">
        <v>1524</v>
      </c>
      <c r="UG7" t="s">
        <v>95</v>
      </c>
      <c r="UH7">
        <v>0.03</v>
      </c>
      <c r="UI7">
        <v>6.93</v>
      </c>
      <c r="UJ7">
        <v>1</v>
      </c>
      <c r="UK7" s="34">
        <f>+Tabla57891415163435363738[[#This Row],[Recuento]]*Tabla57891415163435363738[[#This Row],[Volúmen bruto]]</f>
        <v>0.03</v>
      </c>
      <c r="UL7" s="34">
        <f>+Tabla57891415163435363738[[#This Row],[Recuento]]*Tabla57891415163435363738[[#This Row],[Área neta]]</f>
        <v>6.93</v>
      </c>
      <c r="UM7" s="35">
        <f>+SUM(UL7:UL9)</f>
        <v>12.78</v>
      </c>
      <c r="UN7" s="26"/>
      <c r="UO7"/>
      <c r="UP7"/>
      <c r="UQ7"/>
      <c r="UR7"/>
      <c r="US7"/>
      <c r="UT7"/>
      <c r="UU7" s="34">
        <f>+Tabla5789141516343536373839[[#This Row],[Recuento]]*Tabla5789141516343536373839[[#This Row],[Volúmen bruto]]</f>
        <v>0</v>
      </c>
      <c r="UV7" s="34">
        <f>+Tabla5789141516343536373839[[#This Row],[Recuento]]*Tabla5789141516343536373839[[#This Row],[Área neta]]</f>
        <v>0</v>
      </c>
      <c r="UW7" s="36"/>
      <c r="UX7" s="26"/>
      <c r="UY7"/>
      <c r="UZ7"/>
      <c r="VA7"/>
      <c r="VB7"/>
      <c r="VC7"/>
      <c r="VD7" s="33"/>
      <c r="VE7" s="34">
        <f>+Tabla578914151634353637383940[[#This Row],[Recuento]]*Tabla578914151634353637383940[[#This Row],[Volúmen bruto]]</f>
        <v>0</v>
      </c>
      <c r="VF7" s="34">
        <f>+Tabla578914151634353637383940[[#This Row],[Recuento]]*Tabla578914151634353637383940[[#This Row],[Área neta]]</f>
        <v>0</v>
      </c>
      <c r="VG7" s="35"/>
      <c r="VH7" s="26"/>
      <c r="VI7" t="s">
        <v>1862</v>
      </c>
      <c r="VJ7" t="s">
        <v>1524</v>
      </c>
      <c r="VK7" t="s">
        <v>95</v>
      </c>
      <c r="VL7">
        <v>0.01</v>
      </c>
      <c r="VM7">
        <v>2.54</v>
      </c>
      <c r="VN7">
        <v>1</v>
      </c>
      <c r="VO7" s="34">
        <f>+Tabla57891415163435363738394041[[#This Row],[Recuento]]*Tabla57891415163435363738394041[[#This Row],[Volúmen bruto]]</f>
        <v>0.01</v>
      </c>
      <c r="VP7" s="34">
        <f>+Tabla57891415163435363738394041[[#This Row],[Recuento]]*Tabla57891415163435363738394041[[#This Row],[Área neta]]</f>
        <v>2.54</v>
      </c>
      <c r="VQ7" s="36"/>
      <c r="VR7" s="26"/>
      <c r="VS7"/>
      <c r="VT7"/>
      <c r="VU7"/>
      <c r="VV7"/>
      <c r="VW7"/>
      <c r="VX7"/>
      <c r="VY7" s="34"/>
      <c r="VZ7" s="34"/>
      <c r="WA7" s="36"/>
      <c r="WB7" s="26"/>
      <c r="WC7"/>
      <c r="WD7"/>
      <c r="WE7"/>
      <c r="WF7"/>
      <c r="WG7"/>
      <c r="WH7"/>
      <c r="WI7" s="34">
        <f>+Tabla5789141516343536373839404142[[#This Row],[Recuento]]*Tabla5789141516343536373839404142[[#This Row],[Volúmen bruto]]</f>
        <v>0</v>
      </c>
      <c r="WJ7" s="34">
        <f>+Tabla5789141516343536373839404142[[#This Row],[Recuento]]*Tabla5789141516343536373839404142[[#This Row],[Área neta]]</f>
        <v>0</v>
      </c>
      <c r="WK7" s="36"/>
      <c r="WL7" s="26"/>
      <c r="WM7" t="s">
        <v>1862</v>
      </c>
      <c r="WN7" t="s">
        <v>1525</v>
      </c>
      <c r="WO7" t="s">
        <v>99</v>
      </c>
      <c r="WP7">
        <v>0.01</v>
      </c>
      <c r="WQ7">
        <v>1.49</v>
      </c>
      <c r="WR7">
        <v>1</v>
      </c>
      <c r="WS7" s="34">
        <f>+Tabla578914151634353637383940414251[[#This Row],[Recuento]]*Tabla578914151634353637383940414251[[#This Row],[Volúmen bruto]]</f>
        <v>0.01</v>
      </c>
      <c r="WT7" s="34">
        <f>+Tabla578914151634353637383940414251[[#This Row],[Recuento]]*Tabla578914151634353637383940414251[[#This Row],[Área neta]]</f>
        <v>1.49</v>
      </c>
      <c r="WU7" s="35">
        <f>+SUM(WT7)</f>
        <v>1.49</v>
      </c>
      <c r="WV7" s="26"/>
      <c r="WW7" t="s">
        <v>1862</v>
      </c>
      <c r="WX7" t="s">
        <v>1525</v>
      </c>
      <c r="WY7" t="s">
        <v>1781</v>
      </c>
      <c r="WZ7">
        <v>0.01</v>
      </c>
      <c r="XA7">
        <v>1.29</v>
      </c>
      <c r="XB7">
        <v>1</v>
      </c>
      <c r="XC7" s="34">
        <f>+Tabla57891415163435363738394041425112[[#This Row],[Recuento]]*Tabla57891415163435363738394041425112[[#This Row],[Volúmen bruto]]</f>
        <v>0.01</v>
      </c>
      <c r="XD7" s="34">
        <f>+Tabla57891415163435363738394041425112[[#This Row],[Recuento]]*Tabla57891415163435363738394041425112[[#This Row],[Área neta]]</f>
        <v>1.29</v>
      </c>
      <c r="XE7" s="35">
        <f>+SUM(XD7)</f>
        <v>1.29</v>
      </c>
      <c r="XF7" s="26"/>
      <c r="XG7" t="s">
        <v>1862</v>
      </c>
      <c r="XH7" t="s">
        <v>1525</v>
      </c>
      <c r="XI7" t="s">
        <v>1785</v>
      </c>
      <c r="XJ7">
        <v>0.01</v>
      </c>
      <c r="XK7">
        <v>1.3</v>
      </c>
      <c r="XL7">
        <v>1</v>
      </c>
      <c r="XM7" s="34">
        <f>+Tabla578914151634353637383940414243444536[[#This Row],[Recuento]]*Tabla578914151634353637383940414243444536[[#This Row],[Volúmen bruto]]</f>
        <v>0.01</v>
      </c>
      <c r="XN7" s="34">
        <f>+Tabla578914151634353637383940414243444536[[#This Row],[Recuento]]*Tabla578914151634353637383940414243444536[[#This Row],[Área neta]]</f>
        <v>1.3</v>
      </c>
      <c r="XO7" s="35">
        <f>+SUM(XN7)</f>
        <v>1.3</v>
      </c>
      <c r="XP7" s="26"/>
      <c r="XQ7" t="s">
        <v>1862</v>
      </c>
      <c r="XR7" t="s">
        <v>1524</v>
      </c>
      <c r="XS7" t="s">
        <v>95</v>
      </c>
      <c r="XT7">
        <v>0.03</v>
      </c>
      <c r="XU7">
        <v>0.38</v>
      </c>
      <c r="XV7">
        <v>1</v>
      </c>
      <c r="XW7" s="34">
        <f>+Tabla5789141516343536373839404142434445[[#This Row],[Recuento]]*Tabla5789141516343536373839404142434445[[#This Row],[Volúmen bruto]]</f>
        <v>0.03</v>
      </c>
      <c r="XX7" s="34">
        <f>+Tabla5789141516343536373839404142434445[[#This Row],[Recuento]]*Tabla5789141516343536373839404142434445[[#This Row],[Área neta]]</f>
        <v>0.38</v>
      </c>
      <c r="XY7" s="35"/>
      <c r="XZ7" s="26"/>
      <c r="YA7"/>
      <c r="YB7"/>
      <c r="YC7"/>
      <c r="YD7"/>
      <c r="YE7"/>
      <c r="YF7"/>
      <c r="YG7" s="34">
        <f>+Tabla578914151634353637383940414243444558[[#This Row],[Recuento]]*Tabla578914151634353637383940414243444558[[#This Row],[Volúmen bruto]]</f>
        <v>0</v>
      </c>
      <c r="YH7" s="34">
        <f>+Tabla578914151634353637383940414243444558[[#This Row],[Recuento]]*Tabla578914151634353637383940414243444558[[#This Row],[Área neta]]</f>
        <v>0</v>
      </c>
      <c r="YI7" s="35"/>
      <c r="YJ7">
        <v>12</v>
      </c>
      <c r="YK7" t="s">
        <v>1549</v>
      </c>
      <c r="YL7" t="s">
        <v>1525</v>
      </c>
      <c r="YM7" t="s">
        <v>1719</v>
      </c>
      <c r="YN7">
        <v>5.05</v>
      </c>
      <c r="YO7">
        <f>+Tabla310113[[#This Row],[Longitud de eje]]*YJ7</f>
        <v>60.599999999999994</v>
      </c>
      <c r="YQ7"/>
      <c r="YR7"/>
      <c r="YS7"/>
      <c r="YT7"/>
      <c r="YU7"/>
      <c r="YV7" s="33"/>
      <c r="YW7" s="34"/>
      <c r="YX7" s="34"/>
      <c r="YY7" s="35"/>
      <c r="YZ7" s="26"/>
      <c r="ZA7" t="s">
        <v>1863</v>
      </c>
      <c r="ZB7" t="s">
        <v>1524</v>
      </c>
      <c r="ZC7" t="s">
        <v>92</v>
      </c>
      <c r="ZD7">
        <v>0.6</v>
      </c>
      <c r="ZE7">
        <v>7.49</v>
      </c>
      <c r="ZF7">
        <v>2</v>
      </c>
      <c r="ZG7" s="34">
        <f>+Tabla5789141516343536373839404142434445464748495038[[#This Row],[Recuento]]*Tabla5789141516343536373839404142434445464748495038[[#This Row],[Volúmen bruto]]</f>
        <v>1.2</v>
      </c>
      <c r="ZH7" s="34">
        <f>+Tabla5789141516343536373839404142434445464748495038[[#This Row],[Recuento]]*Tabla5789141516343536373839404142434445464748495038[[#This Row],[Área neta]]</f>
        <v>14.98</v>
      </c>
      <c r="ZI7" s="35"/>
      <c r="ZJ7" s="26"/>
      <c r="ZK7" t="s">
        <v>1862</v>
      </c>
      <c r="ZL7" t="s">
        <v>1525</v>
      </c>
      <c r="ZM7" t="s">
        <v>1485</v>
      </c>
      <c r="ZN7">
        <v>0.01</v>
      </c>
      <c r="ZO7">
        <v>0.5</v>
      </c>
      <c r="ZP7">
        <v>2</v>
      </c>
      <c r="ZQ7" s="34">
        <f>+Tabla5789141516343536373839404142434445464748495041[[#This Row],[Recuento]]*Tabla5789141516343536373839404142434445464748495041[[#This Row],[Volúmen bruto]]</f>
        <v>0.02</v>
      </c>
      <c r="ZR7" s="34">
        <f>+Tabla5789141516343536373839404142434445464748495041[[#This Row],[Recuento]]*Tabla5789141516343536373839404142434445464748495041[[#This Row],[Área neta]]</f>
        <v>1</v>
      </c>
      <c r="ZS7" s="35"/>
      <c r="ZT7" s="26"/>
      <c r="ZU7" t="s">
        <v>1862</v>
      </c>
      <c r="ZV7" t="s">
        <v>1524</v>
      </c>
      <c r="ZW7" t="s">
        <v>1485</v>
      </c>
      <c r="ZX7">
        <v>0.01</v>
      </c>
      <c r="ZY7">
        <v>0.34</v>
      </c>
      <c r="ZZ7">
        <v>1</v>
      </c>
      <c r="AAA7" s="34">
        <f>+Tabla57891415163435363738394041424344454647484950[[#This Row],[Recuento]]*Tabla57891415163435363738394041424344454647484950[[#This Row],[Volúmen bruto]]</f>
        <v>0.01</v>
      </c>
      <c r="AAB7" s="34">
        <f>+Tabla57891415163435363738394041424344454647484950[[#This Row],[Recuento]]*Tabla57891415163435363738394041424344454647484950[[#This Row],[Área neta]]</f>
        <v>0.34</v>
      </c>
      <c r="AAC7" s="35">
        <f>+SUM(AAB7:AAB9)</f>
        <v>1.8599999999999999</v>
      </c>
      <c r="AAD7" s="26"/>
      <c r="AAE7"/>
      <c r="AAF7"/>
      <c r="AAG7"/>
      <c r="AAH7"/>
      <c r="AAI7"/>
      <c r="AAJ7" s="33">
        <v>1</v>
      </c>
      <c r="AAK7" s="34">
        <f>+Tabla5789141516343536373839404142434445464748495054[[#This Row],[Recuento]]*Tabla5789141516343536373839404142434445464748495054[[#This Row],[Volúmen bruto]]</f>
        <v>0</v>
      </c>
      <c r="AAL7" s="34">
        <f>+Tabla5789141516343536373839404142434445464748495054[[#This Row],[Recuento]]*Tabla5789141516343536373839404142434445464748495054[[#This Row],[Área neta]]</f>
        <v>0</v>
      </c>
      <c r="AAM7" s="35"/>
      <c r="AAN7" s="26"/>
      <c r="AAO7" t="s">
        <v>1862</v>
      </c>
      <c r="AAP7" t="s">
        <v>1524</v>
      </c>
      <c r="AAQ7" t="s">
        <v>92</v>
      </c>
      <c r="AAR7">
        <v>0.03</v>
      </c>
      <c r="AAS7">
        <v>0.37</v>
      </c>
      <c r="AAT7">
        <v>1</v>
      </c>
      <c r="AAU7" s="34">
        <f>+Tabla5789141516343536373839404142434445464748495051[[#This Row],[Recuento]]*Tabla5789141516343536373839404142434445464748495051[[#This Row],[Volúmen bruto]]</f>
        <v>0.03</v>
      </c>
      <c r="AAV7" s="34">
        <f>+Tabla5789141516343536373839404142434445464748495051[[#This Row],[Recuento]]*Tabla5789141516343536373839404142434445464748495051[[#This Row],[Área neta]]</f>
        <v>0.37</v>
      </c>
      <c r="AAW7" s="35"/>
      <c r="AAX7" s="26"/>
      <c r="AAY7"/>
      <c r="AAZ7"/>
      <c r="ABA7"/>
      <c r="ABB7"/>
      <c r="ABC7"/>
      <c r="ABD7"/>
      <c r="ABE7" s="34">
        <f>+Tabla578914151634353637383940414243444546474849505152[[#This Row],[Recuento]]*Tabla578914151634353637383940414243444546474849505152[[#This Row],[Volúmen bruto]]</f>
        <v>0</v>
      </c>
      <c r="ABF7" s="34">
        <f>+Tabla578914151634353637383940414243444546474849505152[[#This Row],[Recuento]]*Tabla578914151634353637383940414243444546474849505152[[#This Row],[Área neta]]</f>
        <v>0</v>
      </c>
      <c r="ABG7" s="35"/>
      <c r="ABH7" s="26"/>
      <c r="ABI7" t="s">
        <v>1863</v>
      </c>
      <c r="ABJ7" t="s">
        <v>1524</v>
      </c>
      <c r="ABK7" t="s">
        <v>1793</v>
      </c>
      <c r="ABL7">
        <v>0.03</v>
      </c>
      <c r="ABM7">
        <v>1.7</v>
      </c>
      <c r="ABN7">
        <v>10</v>
      </c>
      <c r="ABO7" s="34">
        <f>+Tabla57891415163435363738394041424344454647484950515213[[#This Row],[Recuento]]*Tabla57891415163435363738394041424344454647484950515213[[#This Row],[Volúmen bruto]]</f>
        <v>0.3</v>
      </c>
      <c r="ABP7" s="34">
        <f>+Tabla57891415163435363738394041424344454647484950515213[[#This Row],[Recuento]]*Tabla57891415163435363738394041424344454647484950515213[[#This Row],[Área neta]]</f>
        <v>17</v>
      </c>
      <c r="ABQ7" s="35">
        <f>+SUM(ABP7:ABP9)</f>
        <v>26.53</v>
      </c>
      <c r="ABR7" s="26"/>
      <c r="ABS7"/>
      <c r="ABT7"/>
      <c r="ABU7"/>
      <c r="ABV7"/>
      <c r="ABW7"/>
      <c r="ABX7"/>
      <c r="ABY7" s="34">
        <f>+Tabla5789141516343536373839404142434445464748495051521340[[#This Row],[Recuento]]*Tabla5789141516343536373839404142434445464748495051521340[[#This Row],[Volúmen bruto]]</f>
        <v>0</v>
      </c>
      <c r="ABZ7" s="34">
        <f>+Tabla5789141516343536373839404142434445464748495051521340[[#This Row],[Recuento]]*Tabla5789141516343536373839404142434445464748495051521340[[#This Row],[Área neta]]</f>
        <v>0</v>
      </c>
      <c r="ACA7" s="35">
        <f>+SUM(ABZ7:ABZ9)</f>
        <v>0</v>
      </c>
      <c r="ACB7" s="26"/>
      <c r="ACC7"/>
      <c r="ACD7"/>
      <c r="ACE7"/>
      <c r="ACF7"/>
      <c r="ACG7"/>
      <c r="ACH7" s="33"/>
      <c r="ACI7" s="34"/>
      <c r="ACJ7" s="34"/>
      <c r="ACK7" s="35"/>
      <c r="ACL7" s="26"/>
      <c r="ACM7"/>
      <c r="ACN7"/>
      <c r="ACO7"/>
      <c r="ACP7"/>
      <c r="ACQ7"/>
      <c r="ACR7" s="33"/>
      <c r="ACS7" s="34"/>
      <c r="ACT7" s="34"/>
      <c r="ACU7" s="35"/>
      <c r="ACV7" s="26"/>
      <c r="ACW7" t="s">
        <v>1232</v>
      </c>
      <c r="ACX7" s="1">
        <v>1</v>
      </c>
      <c r="ACY7" s="2">
        <v>1.8</v>
      </c>
      <c r="ACZ7" s="2">
        <v>0.8</v>
      </c>
      <c r="ADA7">
        <v>2</v>
      </c>
      <c r="ADB7" s="2">
        <f t="shared" si="1"/>
        <v>2.8800000000000003</v>
      </c>
      <c r="ADD7" t="s">
        <v>1720</v>
      </c>
      <c r="ADE7">
        <v>2.75</v>
      </c>
      <c r="ADF7">
        <v>6</v>
      </c>
      <c r="ADG7" s="26">
        <f>+ADF7*ADE7</f>
        <v>16.5</v>
      </c>
      <c r="ADH7"/>
      <c r="ADI7" t="s">
        <v>1522</v>
      </c>
      <c r="ADJ7" t="s">
        <v>1523</v>
      </c>
      <c r="ADK7" t="s">
        <v>297</v>
      </c>
      <c r="ADL7">
        <v>29.95</v>
      </c>
      <c r="ADM7">
        <v>1</v>
      </c>
      <c r="ADN7">
        <f ca="1">+Tabla578914151634353637383940414243444546474849505152535560[[#This Row],[G. Total]]*Tabla578914151634353637383940414243444546474849505152535560[[#This Row],[Recuento]]</f>
        <v>29.95</v>
      </c>
      <c r="ADO7" s="36"/>
      <c r="ADP7" s="26"/>
      <c r="ADQ7"/>
      <c r="ADR7"/>
      <c r="ADS7"/>
      <c r="ADT7"/>
      <c r="ADU7"/>
      <c r="ADV7" s="35"/>
      <c r="ADW7" s="35"/>
      <c r="ADX7"/>
      <c r="ADY7"/>
      <c r="ADZ7"/>
      <c r="AEA7"/>
      <c r="AEB7"/>
      <c r="AEC7">
        <f ca="1">+Tabla57891415163435363738394041424344454647484950515253556062[[#This Row],[Total]]*Tabla57891415163435363738394041424344454647484950515253556062[[#This Row],[Recuento]]</f>
        <v>0</v>
      </c>
      <c r="AED7" s="35"/>
      <c r="AEE7" s="26"/>
      <c r="AEF7"/>
      <c r="AEG7"/>
      <c r="AEH7"/>
      <c r="AEI7"/>
      <c r="AEJ7"/>
      <c r="AEK7" s="35"/>
      <c r="AEL7" s="35"/>
      <c r="AEM7" t="s">
        <v>1522</v>
      </c>
      <c r="AEN7" t="s">
        <v>1523</v>
      </c>
      <c r="AEO7" t="s">
        <v>382</v>
      </c>
      <c r="AEP7">
        <v>3.84</v>
      </c>
      <c r="AEQ7">
        <v>1</v>
      </c>
      <c r="AER7">
        <f ca="1">+Tabla5789141516343536373839404142434445464748495051525355606264[[#This Row],[G. Total]]*Tabla5789141516343536373839404142434445464748495051525355606264[[#This Row],[Recuento]]</f>
        <v>3.84</v>
      </c>
      <c r="AES7" s="35"/>
      <c r="AET7" s="26"/>
      <c r="AEU7"/>
      <c r="AEV7"/>
      <c r="AEW7"/>
      <c r="AEX7"/>
      <c r="AEY7"/>
      <c r="AEZ7" s="35"/>
      <c r="AFA7" s="26"/>
      <c r="AFB7"/>
      <c r="AFC7" t="s">
        <v>1383</v>
      </c>
      <c r="AFD7" t="s">
        <v>1741</v>
      </c>
      <c r="AFE7">
        <v>3.95</v>
      </c>
      <c r="AFF7">
        <v>2</v>
      </c>
      <c r="AFG7">
        <f>+AFF7*AFE7</f>
        <v>7.9</v>
      </c>
      <c r="AFH7" t="s">
        <v>1522</v>
      </c>
      <c r="AFI7" t="s">
        <v>1524</v>
      </c>
      <c r="AFJ7" t="s">
        <v>419</v>
      </c>
      <c r="AFK7">
        <v>2.08</v>
      </c>
      <c r="AFL7">
        <v>1</v>
      </c>
      <c r="AFM7">
        <f ca="1">+Tabla578914151634353637383940414243444546474849505152535560626467[[#This Row],[G. Total]]*Tabla578914151634353637383940414243444546474849505152535560626467[[#This Row],[Recuento]]</f>
        <v>2.08</v>
      </c>
      <c r="AFN7" s="35">
        <f ca="1">+SUM(AFN7:AFN76)</f>
        <v>12.27</v>
      </c>
      <c r="AFO7" s="26"/>
      <c r="AFP7" s="2" t="s">
        <v>100</v>
      </c>
      <c r="AFQ7" s="2">
        <f>59*2</f>
        <v>118</v>
      </c>
      <c r="AFR7" s="2">
        <v>0.24</v>
      </c>
      <c r="AFS7" s="2">
        <f>+AFR7*AFQ7</f>
        <v>28.32</v>
      </c>
      <c r="AFT7" s="2">
        <v>2</v>
      </c>
      <c r="AFU7" s="2">
        <f>+AFT7*AFQ7</f>
        <v>236</v>
      </c>
      <c r="AFW7" s="2" t="s">
        <v>100</v>
      </c>
      <c r="AFX7" s="2">
        <v>16</v>
      </c>
      <c r="AFY7" s="2">
        <v>0.24</v>
      </c>
      <c r="AFZ7" s="2">
        <f>+AFY7*AFX7</f>
        <v>3.84</v>
      </c>
      <c r="AGA7" s="2">
        <v>2</v>
      </c>
      <c r="AGB7" s="2">
        <f>+AGA7*AFX7</f>
        <v>32</v>
      </c>
    </row>
    <row r="8" spans="1:860" ht="15" customHeight="1" x14ac:dyDescent="0.25">
      <c r="A8">
        <v>1</v>
      </c>
      <c r="B8" t="s">
        <v>1862</v>
      </c>
      <c r="C8" t="s">
        <v>1225</v>
      </c>
      <c r="D8" t="s">
        <v>1550</v>
      </c>
      <c r="E8">
        <v>0</v>
      </c>
      <c r="F8">
        <v>0.3</v>
      </c>
      <c r="G8"/>
      <c r="H8">
        <f>+Tabla3[[#This Row],[Volúmen neto]]*A8</f>
        <v>0</v>
      </c>
      <c r="I8">
        <f>+Tabla3[[#This Row],[Longitud de eje]]*A8</f>
        <v>0.3</v>
      </c>
      <c r="J8"/>
      <c r="K8"/>
      <c r="L8"/>
      <c r="M8"/>
      <c r="N8"/>
      <c r="O8"/>
      <c r="P8"/>
      <c r="Q8"/>
      <c r="R8">
        <f>+Tabla5[[#This Row],[Recuento]]*Tabla5[[#This Row],[Volúmen bruto]]</f>
        <v>0</v>
      </c>
      <c r="S8">
        <f>+Tabla5[[#This Row],[Recuento]]*Tabla5[[#This Row],[Área neta]]</f>
        <v>0</v>
      </c>
      <c r="T8">
        <f>+Tabla5[[#This Row],[Longitud nominal]]*Tabla5[[#This Row],[Recuento]]</f>
        <v>0</v>
      </c>
      <c r="U8" s="26"/>
      <c r="V8"/>
      <c r="W8"/>
      <c r="X8"/>
      <c r="Y8"/>
      <c r="Z8"/>
      <c r="AA8"/>
      <c r="AB8"/>
      <c r="AC8"/>
      <c r="AD8">
        <f>+Tabla522[[#This Row],[Recuento]]*Tabla522[[#This Row],[Volúmen bruto]]</f>
        <v>0</v>
      </c>
      <c r="AE8">
        <f>+Tabla522[[#This Row],[Recuento]]*Tabla522[[#This Row],[Área neta]]</f>
        <v>0</v>
      </c>
      <c r="AF8">
        <f>+Tabla522[[#This Row],[Longitud nominal]]*Tabla522[[#This Row],[Recuento]]</f>
        <v>0</v>
      </c>
      <c r="AG8" s="26"/>
      <c r="AH8"/>
      <c r="AI8"/>
      <c r="AJ8"/>
      <c r="AK8"/>
      <c r="AL8"/>
      <c r="AM8"/>
      <c r="AN8"/>
      <c r="AO8"/>
      <c r="AP8">
        <f>+Tabla52223[[#This Row],[Recuento]]*Tabla52223[[#This Row],[Volúmen bruto]]</f>
        <v>0</v>
      </c>
      <c r="AQ8">
        <f>+Tabla52223[[#This Row],[Recuento]]*Tabla52223[[#This Row],[Área neta]]</f>
        <v>0</v>
      </c>
      <c r="AR8">
        <f>+Tabla52223[[#This Row],[Longitud nominal]]*Tabla52223[[#This Row],[Recuento]]</f>
        <v>0</v>
      </c>
      <c r="AS8" s="26"/>
      <c r="AT8"/>
      <c r="AU8"/>
      <c r="AV8"/>
      <c r="AW8"/>
      <c r="AX8"/>
      <c r="AY8"/>
      <c r="AZ8"/>
      <c r="BA8"/>
      <c r="BB8">
        <f>+Tabla5222329[[#This Row],[Recuento]]*Tabla5222329[[#This Row],[Volúmen bruto]]</f>
        <v>0</v>
      </c>
      <c r="BC8">
        <f>+Tabla5222329[[#This Row],[Recuento]]*Tabla5222329[[#This Row],[Área neta]]</f>
        <v>0</v>
      </c>
      <c r="BD8">
        <f>+Tabla5222329[[#This Row],[Longitud nominal]]*Tabla5222329[[#This Row],[Recuento]]</f>
        <v>0</v>
      </c>
      <c r="BE8" s="26">
        <f>+SUM(BC8)</f>
        <v>0</v>
      </c>
      <c r="BF8">
        <v>1</v>
      </c>
      <c r="BG8" t="s">
        <v>1862</v>
      </c>
      <c r="BH8" t="s">
        <v>1524</v>
      </c>
      <c r="BI8" t="s">
        <v>1406</v>
      </c>
      <c r="BJ8">
        <v>2.2999999999999998</v>
      </c>
      <c r="BK8">
        <v>2.5</v>
      </c>
      <c r="BL8">
        <f>+Tabla3102[[#This Row],[En culmo]]*BF8</f>
        <v>2.5</v>
      </c>
      <c r="BM8"/>
      <c r="BN8"/>
      <c r="BO8"/>
      <c r="BP8"/>
      <c r="BQ8"/>
      <c r="BR8"/>
      <c r="BS8">
        <v>2</v>
      </c>
      <c r="BT8">
        <f>+Tabla31069[[#This Row],[En culmo]]*BN8</f>
        <v>0</v>
      </c>
      <c r="BU8"/>
      <c r="BV8">
        <v>3</v>
      </c>
      <c r="BW8" t="s">
        <v>1862</v>
      </c>
      <c r="BX8" t="s">
        <v>1525</v>
      </c>
      <c r="BY8" t="s">
        <v>1406</v>
      </c>
      <c r="BZ8">
        <v>2.59</v>
      </c>
      <c r="CA8">
        <v>3</v>
      </c>
      <c r="CB8">
        <f>+Tabla31011[[#This Row],[En culmo]]*BV8</f>
        <v>9</v>
      </c>
      <c r="CD8">
        <v>8</v>
      </c>
      <c r="CE8" t="s">
        <v>1862</v>
      </c>
      <c r="CF8" t="s">
        <v>1525</v>
      </c>
      <c r="CG8" t="s">
        <v>1405</v>
      </c>
      <c r="CH8">
        <v>1.85</v>
      </c>
      <c r="CI8">
        <v>2</v>
      </c>
      <c r="CJ8">
        <f>+Tabla3101170[[#This Row],[En culmo]]*CD8</f>
        <v>16</v>
      </c>
      <c r="CK8"/>
      <c r="CL8">
        <v>2</v>
      </c>
      <c r="CM8" t="s">
        <v>1862</v>
      </c>
      <c r="CN8" t="s">
        <v>1383</v>
      </c>
      <c r="CO8" t="s">
        <v>1406</v>
      </c>
      <c r="CP8">
        <v>7.57</v>
      </c>
      <c r="CQ8" s="26">
        <v>8</v>
      </c>
      <c r="CR8">
        <f>+Tabla31011116[[#This Row],[En culmo]]*CT8</f>
        <v>16</v>
      </c>
      <c r="CT8">
        <v>2</v>
      </c>
      <c r="CU8" t="s">
        <v>1862</v>
      </c>
      <c r="CV8" t="s">
        <v>1383</v>
      </c>
      <c r="CW8" t="s">
        <v>1405</v>
      </c>
      <c r="CX8">
        <v>1.83</v>
      </c>
      <c r="CY8">
        <v>1</v>
      </c>
      <c r="CZ8">
        <f>+Tabla3101170117[[#This Row],[En culmo]]*CT8</f>
        <v>2</v>
      </c>
      <c r="DA8"/>
      <c r="DB8">
        <v>4</v>
      </c>
      <c r="DC8" t="s">
        <v>1862</v>
      </c>
      <c r="DD8" t="s">
        <v>1383</v>
      </c>
      <c r="DE8" t="s">
        <v>1723</v>
      </c>
      <c r="DF8">
        <v>1.06</v>
      </c>
      <c r="DG8">
        <f>+Tabla31011704[[#This Row],[Longitud de eje]]*DB8</f>
        <v>4.24</v>
      </c>
      <c r="DH8"/>
      <c r="DI8">
        <v>2</v>
      </c>
      <c r="DJ8" t="s">
        <v>1862</v>
      </c>
      <c r="DK8" t="s">
        <v>1383</v>
      </c>
      <c r="DL8" t="s">
        <v>1720</v>
      </c>
      <c r="DM8">
        <v>1.1000000000000001</v>
      </c>
      <c r="DN8">
        <v>1.5</v>
      </c>
      <c r="DO8">
        <f t="shared" si="2"/>
        <v>3</v>
      </c>
      <c r="DP8">
        <v>2</v>
      </c>
      <c r="DQ8" t="s">
        <v>1862</v>
      </c>
      <c r="DR8" t="s">
        <v>1383</v>
      </c>
      <c r="DS8" t="s">
        <v>1740</v>
      </c>
      <c r="DT8">
        <v>0.8</v>
      </c>
      <c r="DU8">
        <f>+Tabla3101170411120[[#This Row],[Longitud de eje]]*DP8</f>
        <v>1.6</v>
      </c>
      <c r="DV8"/>
      <c r="DW8">
        <v>4</v>
      </c>
      <c r="DX8" t="s">
        <v>1862</v>
      </c>
      <c r="DY8" t="s">
        <v>1524</v>
      </c>
      <c r="DZ8" t="s">
        <v>1759</v>
      </c>
      <c r="EA8">
        <v>1.25</v>
      </c>
      <c r="EB8">
        <f>+Tabla3101170411120122[[#This Row],[Longitud de eje]]*DW8</f>
        <v>5</v>
      </c>
      <c r="EC8"/>
      <c r="ED8">
        <v>1</v>
      </c>
      <c r="EE8" t="s">
        <v>1862</v>
      </c>
      <c r="EF8" t="s">
        <v>1524</v>
      </c>
      <c r="EG8" t="s">
        <v>1406</v>
      </c>
      <c r="EH8">
        <v>1.47</v>
      </c>
      <c r="EI8">
        <v>2</v>
      </c>
      <c r="EJ8">
        <f>+Tabla3101112[[#This Row],[En culmo]]*ED8</f>
        <v>2</v>
      </c>
      <c r="EK8"/>
      <c r="EL8"/>
      <c r="EM8"/>
      <c r="EN8"/>
      <c r="EO8"/>
      <c r="EP8"/>
      <c r="EQ8"/>
      <c r="ER8">
        <f>+Tabla3101112123[[#This Row],[En culmo]]*EL8</f>
        <v>0</v>
      </c>
      <c r="ES8"/>
      <c r="ET8">
        <v>4</v>
      </c>
      <c r="EU8" t="s">
        <v>1862</v>
      </c>
      <c r="EV8" t="s">
        <v>1525</v>
      </c>
      <c r="EW8" t="s">
        <v>1406</v>
      </c>
      <c r="EX8">
        <v>1.32</v>
      </c>
      <c r="EY8">
        <v>1.5</v>
      </c>
      <c r="EZ8">
        <f>+Tabla310111257[[#This Row],[En culmo]]*ET8</f>
        <v>6</v>
      </c>
      <c r="FA8"/>
      <c r="FB8">
        <v>2</v>
      </c>
      <c r="FC8" t="s">
        <v>1862</v>
      </c>
      <c r="FD8" t="s">
        <v>1525</v>
      </c>
      <c r="FE8" t="s">
        <v>1770</v>
      </c>
      <c r="FF8">
        <v>1.1599999999999999</v>
      </c>
      <c r="FG8">
        <v>1.5</v>
      </c>
      <c r="FH8">
        <f>+Tabla310111257124[[#This Row],[En culmo]]*FB8</f>
        <v>3</v>
      </c>
      <c r="FI8"/>
      <c r="FJ8"/>
      <c r="FK8"/>
      <c r="FL8"/>
      <c r="FM8"/>
      <c r="FN8"/>
      <c r="FO8"/>
      <c r="FP8">
        <f>+Tabla310111213115[[#This Row],[Volúmen]]*FJ8</f>
        <v>0</v>
      </c>
      <c r="FQ8">
        <f>+Tabla310111213115[[#This Row],[Longitud del eje]]*FJ8</f>
        <v>0</v>
      </c>
      <c r="FR8"/>
      <c r="FS8"/>
      <c r="FT8"/>
      <c r="FU8"/>
      <c r="FV8"/>
      <c r="FW8"/>
      <c r="FX8">
        <f>+Tabla31011121311554[[#This Row],[Volúmen]]*FR8</f>
        <v>0</v>
      </c>
      <c r="FY8">
        <f>+Tabla31011121311554[[#This Row],[Longitud del eje]]*FR8</f>
        <v>0</v>
      </c>
      <c r="FZ8">
        <v>1</v>
      </c>
      <c r="GA8" t="s">
        <v>1862</v>
      </c>
      <c r="GB8" t="s">
        <v>1524</v>
      </c>
      <c r="GC8" t="s">
        <v>1584</v>
      </c>
      <c r="GD8">
        <v>0.01</v>
      </c>
      <c r="GE8">
        <v>0.4</v>
      </c>
      <c r="GF8">
        <f>+Tabla3101112131157[[#This Row],[Volúmen]]*FZ8</f>
        <v>0.01</v>
      </c>
      <c r="GG8">
        <f>+Tabla3101112131157[[#This Row],[Longitud del eje]]*FZ8</f>
        <v>0.4</v>
      </c>
      <c r="GI8"/>
      <c r="GJ8"/>
      <c r="GK8"/>
      <c r="GL8"/>
      <c r="GM8"/>
      <c r="GN8"/>
      <c r="GO8"/>
      <c r="GQ8" t="s">
        <v>1862</v>
      </c>
      <c r="GR8" t="s">
        <v>1383</v>
      </c>
      <c r="GS8" t="s">
        <v>1628</v>
      </c>
      <c r="GT8">
        <v>7.0000000000000007E-2</v>
      </c>
      <c r="GU8">
        <v>11.89</v>
      </c>
      <c r="GV8">
        <v>1</v>
      </c>
      <c r="GW8">
        <f>+Tabla578914[[#This Row],[Recuento]]*Tabla578914[[#This Row],[Volúmen bruto]]</f>
        <v>7.0000000000000007E-2</v>
      </c>
      <c r="GX8">
        <f>+Tabla578914[[#This Row],[Recuento]]*Tabla578914[[#This Row],[Área neta]]</f>
        <v>11.89</v>
      </c>
      <c r="GY8" s="35"/>
      <c r="HA8" t="s">
        <v>1862</v>
      </c>
      <c r="HB8" t="s">
        <v>1383</v>
      </c>
      <c r="HC8" t="s">
        <v>1628</v>
      </c>
      <c r="HD8">
        <v>0.06</v>
      </c>
      <c r="HE8">
        <v>9.6999999999999993</v>
      </c>
      <c r="HF8">
        <v>1</v>
      </c>
      <c r="HG8">
        <f>+Tabla578914126[[#This Row],[Recuento]]*Tabla578914126[[#This Row],[Volúmen bruto]]</f>
        <v>0.06</v>
      </c>
      <c r="HH8">
        <f>+Tabla578914126[[#This Row],[Recuento]]*Tabla578914126[[#This Row],[Área neta]]</f>
        <v>9.6999999999999993</v>
      </c>
      <c r="HI8" s="35"/>
      <c r="HK8" t="s">
        <v>1862</v>
      </c>
      <c r="HL8" t="s">
        <v>1383</v>
      </c>
      <c r="HM8" t="s">
        <v>97</v>
      </c>
      <c r="HN8">
        <v>0.05</v>
      </c>
      <c r="HO8">
        <v>8.4</v>
      </c>
      <c r="HP8">
        <v>1</v>
      </c>
      <c r="HQ8">
        <f>+Tabla578914126127[[#This Row],[Recuento]]*Tabla578914126127[[#This Row],[Volúmen bruto]]</f>
        <v>0.05</v>
      </c>
      <c r="HR8">
        <f>+Tabla578914126127[[#This Row],[Recuento]]*Tabla578914126127[[#This Row],[Área neta]]</f>
        <v>8.4</v>
      </c>
      <c r="HS8" s="35">
        <f>+SUM(HR8:HR11)</f>
        <v>17.590000000000003</v>
      </c>
      <c r="HT8" s="26"/>
      <c r="HU8" t="s">
        <v>1862</v>
      </c>
      <c r="HV8" t="s">
        <v>1383</v>
      </c>
      <c r="HW8" t="s">
        <v>1773</v>
      </c>
      <c r="HX8">
        <v>0.09</v>
      </c>
      <c r="HY8">
        <v>1.62</v>
      </c>
      <c r="HZ8">
        <v>1</v>
      </c>
      <c r="IA8">
        <f>+Tabla57891418[[#This Row],[Volúmen bruto]]*Tabla57891418[[#This Row],[Recuento]]</f>
        <v>0.09</v>
      </c>
      <c r="IB8">
        <f>+Tabla57891418[[#This Row],[Área neta]]*Tabla57891418[[#This Row],[Recuento]]</f>
        <v>1.62</v>
      </c>
      <c r="IC8" s="35"/>
      <c r="ID8" s="26"/>
      <c r="IE8"/>
      <c r="IF8"/>
      <c r="IG8"/>
      <c r="IH8"/>
      <c r="II8"/>
      <c r="IJ8"/>
      <c r="IK8"/>
      <c r="IL8"/>
      <c r="IM8" s="35"/>
      <c r="IN8" s="26"/>
      <c r="IO8"/>
      <c r="IP8"/>
      <c r="IQ8"/>
      <c r="IR8"/>
      <c r="IS8"/>
      <c r="IT8"/>
      <c r="IU8">
        <f>+Tabla520212223[[#This Row],[Recuento]]*Tabla520212223[[#This Row],[Volúmen bruto]]</f>
        <v>0</v>
      </c>
      <c r="IV8">
        <f>+Tabla520212223[[#This Row],[Recuento]]*Tabla520212223[[#This Row],[Área neta]]</f>
        <v>0</v>
      </c>
      <c r="IW8" s="26">
        <f t="shared" si="0"/>
        <v>0</v>
      </c>
      <c r="IY8"/>
      <c r="IZ8"/>
      <c r="JA8"/>
      <c r="JB8"/>
      <c r="JC8"/>
      <c r="JD8"/>
      <c r="JE8">
        <f>+Tabla520212224[[#This Row],[Recuento]]*Tabla520212224[[#This Row],[Volúmen bruto]]</f>
        <v>0</v>
      </c>
      <c r="JF8">
        <f>+Tabla520212224[[#This Row],[Recuento]]*Tabla520212224[[#This Row],[Área neta]]</f>
        <v>0</v>
      </c>
      <c r="JG8" s="26"/>
      <c r="JI8" t="s">
        <v>1862</v>
      </c>
      <c r="JJ8" t="s">
        <v>1524</v>
      </c>
      <c r="JK8" t="s">
        <v>1628</v>
      </c>
      <c r="JL8">
        <v>0.04</v>
      </c>
      <c r="JM8">
        <v>1.81</v>
      </c>
      <c r="JN8">
        <v>2</v>
      </c>
      <c r="JO8">
        <f>+Tabla52021222425[[#This Row],[Recuento]]*Tabla52021222425[[#This Row],[Volúmen bruto]]</f>
        <v>0.08</v>
      </c>
      <c r="JP8">
        <f>+Tabla52021222425[[#This Row],[Recuento]]*Tabla52021222425[[#This Row],[Área neta]]</f>
        <v>3.62</v>
      </c>
      <c r="JQ8" s="26"/>
      <c r="JS8" t="s">
        <v>1862</v>
      </c>
      <c r="JT8" t="s">
        <v>1524</v>
      </c>
      <c r="JU8" t="s">
        <v>1628</v>
      </c>
      <c r="JV8">
        <v>0.01</v>
      </c>
      <c r="JW8">
        <v>0.41</v>
      </c>
      <c r="JX8">
        <v>2</v>
      </c>
      <c r="JY8">
        <f>+Tabla5202122242526[[#This Row],[Recuento]]*Tabla5202122242526[[#This Row],[Volúmen bruto]]</f>
        <v>0.02</v>
      </c>
      <c r="JZ8">
        <f>+Tabla5202122242526[[#This Row],[Recuento]]*Tabla5202122242526[[#This Row],[Área neta]]</f>
        <v>0.82</v>
      </c>
      <c r="KA8" s="26"/>
      <c r="KC8" t="s">
        <v>1549</v>
      </c>
      <c r="KD8" t="s">
        <v>1524</v>
      </c>
      <c r="KE8" t="s">
        <v>98</v>
      </c>
      <c r="KF8">
        <v>0</v>
      </c>
      <c r="KG8">
        <v>0.51</v>
      </c>
      <c r="KH8">
        <v>1</v>
      </c>
      <c r="KI8">
        <f>+Tabla5202122242526104[[#This Row],[Recuento]]*Tabla5202122242526104[[#This Row],[Volúmen bruto]]</f>
        <v>0</v>
      </c>
      <c r="KJ8">
        <f>+Tabla5202122242526104[[#This Row],[Recuento]]*Tabla5202122242526104[[#This Row],[Área neta]]</f>
        <v>0.51</v>
      </c>
      <c r="KK8" s="26">
        <f>+SUM(KJ8:KJ9)</f>
        <v>0.81</v>
      </c>
      <c r="KM8" t="s">
        <v>1862</v>
      </c>
      <c r="KN8" t="s">
        <v>1525</v>
      </c>
      <c r="KO8" t="s">
        <v>1628</v>
      </c>
      <c r="KP8">
        <v>7.0000000000000007E-2</v>
      </c>
      <c r="KQ8">
        <v>1.89</v>
      </c>
      <c r="KR8">
        <v>1</v>
      </c>
      <c r="KS8">
        <f>+Tabla5202122242526104110[[#This Row],[Recuento]]*Tabla5202122242526104110[[#This Row],[Volúmen bruto]]</f>
        <v>7.0000000000000007E-2</v>
      </c>
      <c r="KT8">
        <f>+Tabla5202122242526104110[[#This Row],[Recuento]]*Tabla5202122242526104110[[#This Row],[Área neta]]</f>
        <v>1.89</v>
      </c>
      <c r="KU8" s="26"/>
      <c r="KW8" t="s">
        <v>1862</v>
      </c>
      <c r="KX8" t="s">
        <v>1524</v>
      </c>
      <c r="KY8" t="s">
        <v>97</v>
      </c>
      <c r="KZ8">
        <v>0.05</v>
      </c>
      <c r="LA8">
        <v>2.31</v>
      </c>
      <c r="LB8">
        <v>2</v>
      </c>
      <c r="LC8">
        <f>+Tabla520212224252659[[#This Row],[Recuento]]*Tabla520212224252659[[#This Row],[Volúmen bruto]]</f>
        <v>0.1</v>
      </c>
      <c r="LD8">
        <f>+Tabla520212224252659[[#This Row],[Recuento]]*Tabla520212224252659[[#This Row],[Área neta]]</f>
        <v>4.62</v>
      </c>
      <c r="LE8" s="26">
        <f>+SUM(LD8:LD11)</f>
        <v>10.39</v>
      </c>
      <c r="LG8" t="s">
        <v>1549</v>
      </c>
      <c r="LH8" t="s">
        <v>1524</v>
      </c>
      <c r="LI8" t="s">
        <v>1679</v>
      </c>
      <c r="LJ8">
        <v>0</v>
      </c>
      <c r="LK8">
        <v>3.53</v>
      </c>
      <c r="LL8">
        <v>1</v>
      </c>
      <c r="LM8">
        <f>+Tabla520212224252659111[[#This Row],[Recuento]]*Tabla520212224252659111[[#This Row],[Volúmen bruto]]</f>
        <v>0</v>
      </c>
      <c r="LN8">
        <f>+Tabla520212224252659111[[#This Row],[Recuento]]*Tabla520212224252659111[[#This Row],[Área neta]]</f>
        <v>3.53</v>
      </c>
      <c r="LO8" s="26">
        <f>+SUM(LN8)</f>
        <v>3.53</v>
      </c>
      <c r="LQ8" t="s">
        <v>1863</v>
      </c>
      <c r="LR8" t="s">
        <v>1525</v>
      </c>
      <c r="LS8" t="s">
        <v>97</v>
      </c>
      <c r="LT8">
        <v>0.09</v>
      </c>
      <c r="LU8">
        <v>4.37</v>
      </c>
      <c r="LV8">
        <v>1</v>
      </c>
      <c r="LW8">
        <f>+Tabla520212224252659111114[[#This Row],[Recuento]]*Tabla520212224252659111114[[#This Row],[Volúmen bruto]]</f>
        <v>0.09</v>
      </c>
      <c r="LX8">
        <f>+Tabla520212224252659111114[[#This Row],[Recuento]]*Tabla520212224252659111114[[#This Row],[Área neta]]</f>
        <v>4.37</v>
      </c>
      <c r="LY8" s="26"/>
      <c r="MA8" t="s">
        <v>1862</v>
      </c>
      <c r="MB8" t="s">
        <v>1525</v>
      </c>
      <c r="MC8" t="s">
        <v>1628</v>
      </c>
      <c r="MD8">
        <v>0.12</v>
      </c>
      <c r="ME8">
        <v>6.24</v>
      </c>
      <c r="MF8">
        <v>2</v>
      </c>
      <c r="MG8">
        <f>+Tabla520212224252659111114128[[#This Row],[Recuento]]*Tabla520212224252659111114128[[#This Row],[Volúmen bruto]]</f>
        <v>0.24</v>
      </c>
      <c r="MH8">
        <f>+Tabla520212224252659111114128[[#This Row],[Recuento]]*Tabla520212224252659111114128[[#This Row],[Área neta]]</f>
        <v>12.48</v>
      </c>
      <c r="MI8" s="26"/>
      <c r="MK8" t="s">
        <v>1862</v>
      </c>
      <c r="ML8" t="s">
        <v>1525</v>
      </c>
      <c r="MM8" t="s">
        <v>95</v>
      </c>
      <c r="MN8">
        <v>0.01</v>
      </c>
      <c r="MO8">
        <v>1</v>
      </c>
      <c r="MP8">
        <v>1</v>
      </c>
      <c r="MQ8">
        <f>+Tabla520212224252627[[#This Row],[Recuento]]*Tabla520212224252627[[#This Row],[Volúmen bruto]]</f>
        <v>0.01</v>
      </c>
      <c r="MR8">
        <f>+Tabla520212224252627[[#This Row],[Recuento]]*Tabla520212224252627[[#This Row],[Área neta]]</f>
        <v>1</v>
      </c>
      <c r="MS8" s="26">
        <f>+SUM(MR8:MR9)</f>
        <v>2.81</v>
      </c>
      <c r="MU8" t="s">
        <v>1549</v>
      </c>
      <c r="MV8" t="s">
        <v>1525</v>
      </c>
      <c r="MW8" t="s">
        <v>97</v>
      </c>
      <c r="MX8">
        <v>0</v>
      </c>
      <c r="MY8">
        <v>0.03</v>
      </c>
      <c r="MZ8">
        <v>2</v>
      </c>
      <c r="NA8">
        <f>+Tabla520212224252627129[[#This Row],[Recuento]]*Tabla520212224252627129[[#This Row],[Volúmen bruto]]</f>
        <v>0</v>
      </c>
      <c r="NB8">
        <f>+Tabla520212224252627129[[#This Row],[Recuento]]*Tabla520212224252627129[[#This Row],[Área neta]]</f>
        <v>0.06</v>
      </c>
      <c r="NC8" s="26"/>
      <c r="NE8" t="s">
        <v>1549</v>
      </c>
      <c r="NF8" t="s">
        <v>1525</v>
      </c>
      <c r="NG8" t="s">
        <v>95</v>
      </c>
      <c r="NH8">
        <v>0</v>
      </c>
      <c r="NI8">
        <v>0.03</v>
      </c>
      <c r="NJ8">
        <v>2</v>
      </c>
      <c r="NK8">
        <f>+Tabla520212224252627129125[[#This Row],[Recuento]]*Tabla520212224252627129125[[#This Row],[Volúmen bruto]]</f>
        <v>0</v>
      </c>
      <c r="NL8">
        <f>+Tabla520212224252627129125[[#This Row],[Recuento]]*Tabla520212224252627129125[[#This Row],[Área neta]]</f>
        <v>0.06</v>
      </c>
      <c r="NM8" s="26">
        <f>+SUM(NL8)</f>
        <v>0.06</v>
      </c>
      <c r="NO8" t="s">
        <v>1549</v>
      </c>
      <c r="NP8" t="s">
        <v>1525</v>
      </c>
      <c r="NQ8" t="s">
        <v>1628</v>
      </c>
      <c r="NR8">
        <v>0.03</v>
      </c>
      <c r="NS8">
        <v>1.63</v>
      </c>
      <c r="NT8">
        <v>2</v>
      </c>
      <c r="NU8">
        <f>+Tabla520212224252627129125130[[#This Row],[Recuento]]*Tabla520212224252627129125130[[#This Row],[Volúmen bruto]]</f>
        <v>0.06</v>
      </c>
      <c r="NV8">
        <f>+Tabla520212224252627129125130[[#This Row],[Recuento]]*Tabla520212224252627129125130[[#This Row],[Área neta]]</f>
        <v>3.26</v>
      </c>
      <c r="NW8" s="26"/>
      <c r="NY8" t="s">
        <v>1549</v>
      </c>
      <c r="NZ8" t="s">
        <v>1525</v>
      </c>
      <c r="OA8" t="s">
        <v>95</v>
      </c>
      <c r="OB8">
        <v>0.01</v>
      </c>
      <c r="OC8">
        <v>1.64</v>
      </c>
      <c r="OD8">
        <v>1</v>
      </c>
      <c r="OE8">
        <f>+Tabla520212224252627129125130131[[#This Row],[Recuento]]*Tabla520212224252627129125130131[[#This Row],[Volúmen bruto]]</f>
        <v>0.01</v>
      </c>
      <c r="OF8">
        <f>+Tabla520212224252627129125130131[[#This Row],[Recuento]]*Tabla520212224252627129125130131[[#This Row],[Área neta]]</f>
        <v>1.64</v>
      </c>
      <c r="OG8" s="26">
        <f>+SUM(OF8:OF9)</f>
        <v>2.31</v>
      </c>
      <c r="OI8" t="s">
        <v>1549</v>
      </c>
      <c r="OJ8" t="s">
        <v>1525</v>
      </c>
      <c r="OK8" t="s">
        <v>97</v>
      </c>
      <c r="OL8">
        <v>0</v>
      </c>
      <c r="OM8">
        <v>0.19</v>
      </c>
      <c r="ON8">
        <v>2</v>
      </c>
      <c r="OO8">
        <f>+Tabla520212224252627129125130131132[[#This Row],[Recuento]]*Tabla520212224252627129125130131132[[#This Row],[Volúmen bruto]]</f>
        <v>0</v>
      </c>
      <c r="OP8">
        <f>+Tabla520212224252627129125130131132[[#This Row],[Recuento]]*Tabla520212224252627129125130131132[[#This Row],[Área neta]]</f>
        <v>0.38</v>
      </c>
      <c r="OQ8" s="26"/>
      <c r="OS8" t="s">
        <v>1863</v>
      </c>
      <c r="OT8" t="s">
        <v>1525</v>
      </c>
      <c r="OU8" t="s">
        <v>99</v>
      </c>
      <c r="OV8">
        <v>0.01</v>
      </c>
      <c r="OW8">
        <v>1.17</v>
      </c>
      <c r="OX8">
        <v>1</v>
      </c>
      <c r="OY8">
        <f>+Tabla52021222425262728[[#This Row],[Recuento]]*Tabla52021222425262728[[#This Row],[Volúmen bruto]]</f>
        <v>0.01</v>
      </c>
      <c r="OZ8">
        <f>+Tabla52021222425262728[[#This Row],[Recuento]]*Tabla52021222425262728[[#This Row],[Área neta]]</f>
        <v>1.17</v>
      </c>
      <c r="PA8" s="26">
        <f>+SUM(OZ8)</f>
        <v>1.17</v>
      </c>
      <c r="PC8" t="s">
        <v>1862</v>
      </c>
      <c r="PD8" t="s">
        <v>1525</v>
      </c>
      <c r="PE8" t="s">
        <v>1788</v>
      </c>
      <c r="PF8">
        <v>0.01</v>
      </c>
      <c r="PG8">
        <v>1.01</v>
      </c>
      <c r="PH8">
        <v>1</v>
      </c>
      <c r="PI8">
        <f>+Tabla52021222425262728133[[#This Row],[Recuento]]*Tabla52021222425262728133[[#This Row],[Volúmen bruto]]</f>
        <v>0.01</v>
      </c>
      <c r="PJ8">
        <f>+Tabla52021222425262728133[[#This Row],[Recuento]]*Tabla52021222425262728133[[#This Row],[Área neta]]</f>
        <v>1.01</v>
      </c>
      <c r="PK8" s="26"/>
      <c r="PM8" t="s">
        <v>1862</v>
      </c>
      <c r="PN8" t="s">
        <v>1525</v>
      </c>
      <c r="PO8" t="s">
        <v>97</v>
      </c>
      <c r="PP8">
        <v>0.08</v>
      </c>
      <c r="PQ8">
        <v>3.89</v>
      </c>
      <c r="PR8">
        <v>1</v>
      </c>
      <c r="PS8">
        <f>+Tabla5202122242526272893[[#This Row],[Recuento]]*Tabla5202122242526272893[[#This Row],[Volúmen bruto]]</f>
        <v>0.08</v>
      </c>
      <c r="PT8">
        <f>+Tabla5202122242526272893[[#This Row],[Recuento]]*Tabla5202122242526272893[[#This Row],[Área neta]]</f>
        <v>3.89</v>
      </c>
      <c r="PU8" s="26"/>
      <c r="PW8" t="s">
        <v>1862</v>
      </c>
      <c r="PX8" t="s">
        <v>1525</v>
      </c>
      <c r="PY8" t="s">
        <v>1788</v>
      </c>
      <c r="PZ8">
        <v>0.01</v>
      </c>
      <c r="QA8">
        <v>1.2</v>
      </c>
      <c r="QB8">
        <v>1</v>
      </c>
      <c r="QC8">
        <f>+Tabla520212224252627289349[[#This Row],[Recuento]]*Tabla520212224252627289349[[#This Row],[Volúmen bruto]]</f>
        <v>0.01</v>
      </c>
      <c r="QD8">
        <f>+Tabla520212224252627289349[[#This Row],[Recuento]]*Tabla520212224252627289349[[#This Row],[Área neta]]</f>
        <v>1.2</v>
      </c>
      <c r="QE8" s="26"/>
      <c r="QG8" t="s">
        <v>1549</v>
      </c>
      <c r="QH8" t="s">
        <v>1525</v>
      </c>
      <c r="QI8" t="s">
        <v>97</v>
      </c>
      <c r="QJ8">
        <v>0.02</v>
      </c>
      <c r="QK8">
        <v>1.04</v>
      </c>
      <c r="QL8">
        <v>1</v>
      </c>
      <c r="QM8">
        <f>+Tabla520212224252627289349134[[#This Row],[Recuento]]*Tabla520212224252627289349134[[#This Row],[Volúmen bruto]]</f>
        <v>0.02</v>
      </c>
      <c r="QN8">
        <f>+Tabla520212224252627289349134[[#This Row],[Recuento]]*Tabla520212224252627289349134[[#This Row],[Área neta]]</f>
        <v>1.04</v>
      </c>
      <c r="QO8" s="26"/>
      <c r="QQ8" t="s">
        <v>1862</v>
      </c>
      <c r="QR8" t="s">
        <v>1524</v>
      </c>
      <c r="QS8" t="s">
        <v>1726</v>
      </c>
      <c r="QT8">
        <v>0.15</v>
      </c>
      <c r="QU8">
        <v>0.74</v>
      </c>
      <c r="QV8">
        <v>1</v>
      </c>
      <c r="QW8">
        <v>2</v>
      </c>
      <c r="QX8">
        <f>+Tabla5202122242526272829[[#This Row],[Recuento]]*Tabla5202122242526272829[[#This Row],[Volúmen bruto]]</f>
        <v>0.3</v>
      </c>
      <c r="QY8">
        <f>+Tabla5202122242526272829[[#This Row],[Recuento]]*Tabla5202122242526272829[[#This Row],[Área neta]]</f>
        <v>1.48</v>
      </c>
      <c r="QZ8">
        <f>+Tabla5202122242526272829[[#This Row],[Recuento]]*Tabla5202122242526272829[[#This Row],[Longitud]]</f>
        <v>2</v>
      </c>
      <c r="RA8" s="26"/>
      <c r="RC8" t="s">
        <v>1549</v>
      </c>
      <c r="RD8" t="s">
        <v>1524</v>
      </c>
      <c r="RE8" t="s">
        <v>98</v>
      </c>
      <c r="RF8">
        <v>0</v>
      </c>
      <c r="RG8">
        <v>0.47</v>
      </c>
      <c r="RH8">
        <v>14</v>
      </c>
      <c r="RI8">
        <f>+Tabla520212224252627283132[[#This Row],[Recuento]]*Tabla520212224252627283132[[#This Row],[Volúmen bruto]]</f>
        <v>0</v>
      </c>
      <c r="RJ8">
        <f>+Tabla520212224252627283132[[#This Row],[Recuento]]*Tabla520212224252627283132[[#This Row],[Área neta]]</f>
        <v>6.58</v>
      </c>
      <c r="RK8" s="26">
        <f>+SUM(RJ8:RJ13)</f>
        <v>14.930000000000001</v>
      </c>
      <c r="RM8"/>
      <c r="RN8"/>
      <c r="RO8"/>
      <c r="RP8"/>
      <c r="RQ8"/>
      <c r="RR8"/>
      <c r="RS8">
        <f>+Tabla5202122242526272831329[[#This Row],[Recuento]]*Tabla5202122242526272831329[[#This Row],[Volúmen bruto]]</f>
        <v>0</v>
      </c>
      <c r="RT8">
        <f>+Tabla5202122242526272831329[[#This Row],[Recuento]]*Tabla5202122242526272831329[[#This Row],[Área neta]]</f>
        <v>0</v>
      </c>
      <c r="RU8" s="26"/>
      <c r="RW8" t="s">
        <v>1863</v>
      </c>
      <c r="RX8" t="s">
        <v>1525</v>
      </c>
      <c r="RY8" t="s">
        <v>93</v>
      </c>
      <c r="RZ8">
        <v>0.03</v>
      </c>
      <c r="SA8">
        <v>2.27</v>
      </c>
      <c r="SB8">
        <v>1</v>
      </c>
      <c r="SC8">
        <f>+Tabla52021222425262728313233[[#This Row],[Recuento]]*Tabla52021222425262728313233[[#This Row],[Volúmen bruto]]</f>
        <v>0.03</v>
      </c>
      <c r="SD8">
        <f>+Tabla52021222425262728313233[[#This Row],[Recuento]]*Tabla52021222425262728313233[[#This Row],[Área neta]]</f>
        <v>2.27</v>
      </c>
      <c r="SE8" s="26"/>
      <c r="SG8"/>
      <c r="SH8"/>
      <c r="SI8"/>
      <c r="SJ8"/>
      <c r="SK8"/>
      <c r="SL8"/>
      <c r="SM8">
        <f>+Tabla5202122242526272831323314[[#This Row],[Recuento]]*Tabla5202122242526272831323314[[#This Row],[Volúmen bruto]]</f>
        <v>0</v>
      </c>
      <c r="SN8">
        <f>+Tabla5202122242526272831323314[[#This Row],[Recuento]]*Tabla5202122242526272831323314[[#This Row],[Área neta]]</f>
        <v>0</v>
      </c>
      <c r="SO8" s="26"/>
      <c r="SQ8" t="s">
        <v>1862</v>
      </c>
      <c r="SR8" t="s">
        <v>1524</v>
      </c>
      <c r="SS8" t="s">
        <v>94</v>
      </c>
      <c r="ST8">
        <v>0.87</v>
      </c>
      <c r="SU8">
        <v>8.73</v>
      </c>
      <c r="SV8">
        <v>1</v>
      </c>
      <c r="SW8" s="34">
        <f>+Tabla5789141516[[#This Row],[Recuento]]*Tabla5789141516[[#This Row],[Volúmen bruto]]</f>
        <v>0.87</v>
      </c>
      <c r="SX8" s="34">
        <f>+Tabla5789141516[[#This Row],[Recuento]]*Tabla5789141516[[#This Row],[Área neta]]</f>
        <v>8.73</v>
      </c>
      <c r="SY8" s="36"/>
      <c r="SZ8" s="26"/>
      <c r="TA8"/>
      <c r="TB8"/>
      <c r="TC8"/>
      <c r="TD8"/>
      <c r="TE8"/>
      <c r="TF8"/>
      <c r="TG8" s="34">
        <f>+Tabla578914151634[[#This Row],[Recuento]]*Tabla578914151634[[#This Row],[Volúmen bruto]]</f>
        <v>0</v>
      </c>
      <c r="TH8" s="34">
        <f>+Tabla578914151634[[#This Row],[Recuento]]*Tabla578914151634[[#This Row],[Área neta]]</f>
        <v>0</v>
      </c>
      <c r="TI8" s="35"/>
      <c r="TJ8" s="26"/>
      <c r="TK8" t="s">
        <v>1862</v>
      </c>
      <c r="TL8" t="s">
        <v>1525</v>
      </c>
      <c r="TM8" t="s">
        <v>94</v>
      </c>
      <c r="TN8">
        <v>0.32</v>
      </c>
      <c r="TO8">
        <v>3.95</v>
      </c>
      <c r="TP8">
        <v>1</v>
      </c>
      <c r="TQ8" s="34">
        <f>+Tabla57891415163435[[#This Row],[Recuento]]*Tabla57891415163435[[#This Row],[Volúmen bruto]]</f>
        <v>0.32</v>
      </c>
      <c r="TR8" s="34">
        <f>+Tabla57891415163435[[#This Row],[Recuento]]*Tabla57891415163435[[#This Row],[Área neta]]</f>
        <v>3.95</v>
      </c>
      <c r="TS8" s="35"/>
      <c r="TT8" s="26"/>
      <c r="TU8"/>
      <c r="TV8"/>
      <c r="TW8"/>
      <c r="TX8"/>
      <c r="TY8"/>
      <c r="TZ8"/>
      <c r="UA8" s="34">
        <f>+Tabla5789141516343536[[#This Row],[Recuento]]*Tabla5789141516343536[[#This Row],[Volúmen bruto]]</f>
        <v>0</v>
      </c>
      <c r="UB8" s="34">
        <f>+Tabla5789141516343536[[#This Row],[Recuento]]*Tabla5789141516343536[[#This Row],[Área neta]]</f>
        <v>0</v>
      </c>
      <c r="UC8" s="35"/>
      <c r="UD8" s="26"/>
      <c r="UE8" t="s">
        <v>1862</v>
      </c>
      <c r="UF8" t="s">
        <v>1524</v>
      </c>
      <c r="UG8" t="s">
        <v>95</v>
      </c>
      <c r="UH8">
        <v>0.01</v>
      </c>
      <c r="UI8">
        <v>1.27</v>
      </c>
      <c r="UJ8">
        <v>1</v>
      </c>
      <c r="UK8" s="34">
        <f>+Tabla57891415163435363738[[#This Row],[Recuento]]*Tabla57891415163435363738[[#This Row],[Volúmen bruto]]</f>
        <v>0.01</v>
      </c>
      <c r="UL8" s="34">
        <f>+Tabla57891415163435363738[[#This Row],[Recuento]]*Tabla57891415163435363738[[#This Row],[Área neta]]</f>
        <v>1.27</v>
      </c>
      <c r="UM8" s="36"/>
      <c r="UN8" s="26"/>
      <c r="UO8"/>
      <c r="UP8"/>
      <c r="UQ8"/>
      <c r="UR8"/>
      <c r="US8"/>
      <c r="UT8"/>
      <c r="UU8" s="34">
        <f>+Tabla5789141516343536373839[[#This Row],[Recuento]]*Tabla5789141516343536373839[[#This Row],[Volúmen bruto]]</f>
        <v>0</v>
      </c>
      <c r="UV8" s="34">
        <f>+Tabla5789141516343536373839[[#This Row],[Recuento]]*Tabla5789141516343536373839[[#This Row],[Área neta]]</f>
        <v>0</v>
      </c>
      <c r="UW8" s="35">
        <f>+SUM(UU4:UU9)</f>
        <v>0</v>
      </c>
      <c r="UX8" s="26"/>
      <c r="UY8"/>
      <c r="UZ8"/>
      <c r="VA8"/>
      <c r="VB8"/>
      <c r="VC8"/>
      <c r="VD8" s="33"/>
      <c r="VE8" s="34"/>
      <c r="VF8" s="34"/>
      <c r="VG8" s="35"/>
      <c r="VH8" s="26"/>
      <c r="VI8" t="s">
        <v>1862</v>
      </c>
      <c r="VJ8" t="s">
        <v>1524</v>
      </c>
      <c r="VK8" t="s">
        <v>1627</v>
      </c>
      <c r="VL8">
        <v>0.18</v>
      </c>
      <c r="VM8">
        <v>0.89</v>
      </c>
      <c r="VN8">
        <v>1</v>
      </c>
      <c r="VO8" s="34">
        <f>+Tabla57891415163435363738394041[[#This Row],[Recuento]]*Tabla57891415163435363738394041[[#This Row],[Volúmen bruto]]</f>
        <v>0.18</v>
      </c>
      <c r="VP8" s="34">
        <f>+Tabla57891415163435363738394041[[#This Row],[Recuento]]*Tabla57891415163435363738394041[[#This Row],[Área neta]]</f>
        <v>0.89</v>
      </c>
      <c r="VQ8" s="35">
        <f>+SUM(VO8:VO9)</f>
        <v>0.69</v>
      </c>
      <c r="VR8" s="26"/>
      <c r="VS8"/>
      <c r="VT8"/>
      <c r="VU8"/>
      <c r="VV8"/>
      <c r="VW8"/>
      <c r="VX8"/>
      <c r="VY8" s="34"/>
      <c r="VZ8" s="34"/>
      <c r="WA8" s="35"/>
      <c r="WB8" s="26"/>
      <c r="WC8"/>
      <c r="WD8"/>
      <c r="WE8"/>
      <c r="WF8"/>
      <c r="WG8"/>
      <c r="WH8"/>
      <c r="WI8" s="34">
        <f>+Tabla5789141516343536373839404142[[#This Row],[Recuento]]*Tabla5789141516343536373839404142[[#This Row],[Volúmen bruto]]</f>
        <v>0</v>
      </c>
      <c r="WJ8" s="34">
        <f>+Tabla5789141516343536373839404142[[#This Row],[Recuento]]*Tabla5789141516343536373839404142[[#This Row],[Área neta]]</f>
        <v>0</v>
      </c>
      <c r="WK8" s="35">
        <f>+SUM(WI8:WI9)</f>
        <v>0</v>
      </c>
      <c r="WL8" s="26"/>
      <c r="WM8" t="s">
        <v>1863</v>
      </c>
      <c r="WN8" t="s">
        <v>1525</v>
      </c>
      <c r="WO8" t="s">
        <v>92</v>
      </c>
      <c r="WP8">
        <v>0.14000000000000001</v>
      </c>
      <c r="WQ8">
        <v>1.84</v>
      </c>
      <c r="WR8">
        <v>1</v>
      </c>
      <c r="WS8" s="34">
        <f>+Tabla578914151634353637383940414251[[#This Row],[Recuento]]*Tabla578914151634353637383940414251[[#This Row],[Volúmen bruto]]</f>
        <v>0.14000000000000001</v>
      </c>
      <c r="WT8" s="34">
        <f>+Tabla578914151634353637383940414251[[#This Row],[Recuento]]*Tabla578914151634353637383940414251[[#This Row],[Área neta]]</f>
        <v>1.84</v>
      </c>
      <c r="WU8" s="35">
        <f>+SUM(WT8)</f>
        <v>1.84</v>
      </c>
      <c r="WV8" s="26"/>
      <c r="WW8"/>
      <c r="WX8"/>
      <c r="WY8"/>
      <c r="WZ8"/>
      <c r="XA8"/>
      <c r="XB8"/>
      <c r="XC8" s="34">
        <f>+Tabla57891415163435363738394041425112[[#This Row],[Recuento]]*Tabla57891415163435363738394041425112[[#This Row],[Volúmen bruto]]</f>
        <v>0</v>
      </c>
      <c r="XD8" s="34">
        <f>+Tabla57891415163435363738394041425112[[#This Row],[Recuento]]*Tabla57891415163435363738394041425112[[#This Row],[Área neta]]</f>
        <v>0</v>
      </c>
      <c r="XE8" s="35">
        <f>+SUM(XD8)</f>
        <v>0</v>
      </c>
      <c r="XF8" s="26"/>
      <c r="XG8"/>
      <c r="XH8"/>
      <c r="XI8"/>
      <c r="XJ8"/>
      <c r="XK8"/>
      <c r="XL8"/>
      <c r="XM8" s="34">
        <f>+Tabla578914151634353637383940414243444536[[#This Row],[Recuento]]*Tabla578914151634353637383940414243444536[[#This Row],[Volúmen bruto]]</f>
        <v>0</v>
      </c>
      <c r="XN8" s="34">
        <f>+Tabla578914151634353637383940414243444536[[#This Row],[Recuento]]*Tabla578914151634353637383940414243444536[[#This Row],[Área neta]]</f>
        <v>0</v>
      </c>
      <c r="XO8" s="36"/>
      <c r="XP8" s="26"/>
      <c r="XQ8" t="s">
        <v>1862</v>
      </c>
      <c r="XR8" t="s">
        <v>1524</v>
      </c>
      <c r="XS8" t="s">
        <v>1472</v>
      </c>
      <c r="XT8">
        <v>0.03</v>
      </c>
      <c r="XU8">
        <v>0.37</v>
      </c>
      <c r="XV8">
        <v>1</v>
      </c>
      <c r="XW8" s="34">
        <f>+Tabla5789141516343536373839404142434445[[#This Row],[Recuento]]*Tabla5789141516343536373839404142434445[[#This Row],[Volúmen bruto]]</f>
        <v>0.03</v>
      </c>
      <c r="XX8" s="34">
        <f>+Tabla5789141516343536373839404142434445[[#This Row],[Recuento]]*Tabla5789141516343536373839404142434445[[#This Row],[Área neta]]</f>
        <v>0.37</v>
      </c>
      <c r="XY8" s="35">
        <f>+SUM(XX8:XX12)</f>
        <v>2</v>
      </c>
      <c r="XZ8" s="26"/>
      <c r="YA8"/>
      <c r="YB8"/>
      <c r="YC8"/>
      <c r="YD8"/>
      <c r="YE8"/>
      <c r="YF8"/>
      <c r="YG8" s="34">
        <f>+Tabla578914151634353637383940414243444558[[#This Row],[Recuento]]*Tabla578914151634353637383940414243444558[[#This Row],[Volúmen bruto]]</f>
        <v>0</v>
      </c>
      <c r="YH8" s="34">
        <f>+Tabla578914151634353637383940414243444558[[#This Row],[Recuento]]*Tabla578914151634353637383940414243444558[[#This Row],[Área neta]]</f>
        <v>0</v>
      </c>
      <c r="YI8" s="35"/>
      <c r="YJ8">
        <v>14</v>
      </c>
      <c r="YK8" t="s">
        <v>1549</v>
      </c>
      <c r="YL8" t="s">
        <v>1525</v>
      </c>
      <c r="YM8" t="s">
        <v>1719</v>
      </c>
      <c r="YN8">
        <v>3.35</v>
      </c>
      <c r="YO8">
        <f>+Tabla310113[[#This Row],[Longitud de eje]]*YJ8</f>
        <v>46.9</v>
      </c>
      <c r="YQ8"/>
      <c r="YR8"/>
      <c r="YS8"/>
      <c r="YT8"/>
      <c r="YU8"/>
      <c r="YV8" s="33"/>
      <c r="YW8" s="34"/>
      <c r="YX8" s="34"/>
      <c r="YY8" s="35"/>
      <c r="YZ8" s="26"/>
      <c r="ZA8" t="s">
        <v>1863</v>
      </c>
      <c r="ZB8" t="s">
        <v>1524</v>
      </c>
      <c r="ZC8" t="s">
        <v>1485</v>
      </c>
      <c r="ZD8">
        <v>0.18</v>
      </c>
      <c r="ZE8">
        <v>5.97</v>
      </c>
      <c r="ZF8">
        <v>2</v>
      </c>
      <c r="ZG8" s="34">
        <f>+Tabla5789141516343536373839404142434445464748495038[[#This Row],[Recuento]]*Tabla5789141516343536373839404142434445464748495038[[#This Row],[Volúmen bruto]]</f>
        <v>0.36</v>
      </c>
      <c r="ZH8" s="34">
        <f>+Tabla5789141516343536373839404142434445464748495038[[#This Row],[Recuento]]*Tabla5789141516343536373839404142434445464748495038[[#This Row],[Área neta]]</f>
        <v>11.94</v>
      </c>
      <c r="ZI8" s="35">
        <f>+SUM(ZH8:ZH11)</f>
        <v>49.540000000000006</v>
      </c>
      <c r="ZJ8" s="26"/>
      <c r="ZK8" t="s">
        <v>1862</v>
      </c>
      <c r="ZL8" t="s">
        <v>1525</v>
      </c>
      <c r="ZM8" t="s">
        <v>1485</v>
      </c>
      <c r="ZN8">
        <v>0.03</v>
      </c>
      <c r="ZO8">
        <v>1.28</v>
      </c>
      <c r="ZP8">
        <v>2</v>
      </c>
      <c r="ZQ8" s="34">
        <f>+Tabla5789141516343536373839404142434445464748495041[[#This Row],[Recuento]]*Tabla5789141516343536373839404142434445464748495041[[#This Row],[Volúmen bruto]]</f>
        <v>0.06</v>
      </c>
      <c r="ZR8" s="34">
        <f>+Tabla5789141516343536373839404142434445464748495041[[#This Row],[Recuento]]*Tabla5789141516343536373839404142434445464748495041[[#This Row],[Área neta]]</f>
        <v>2.56</v>
      </c>
      <c r="ZS8" s="35"/>
      <c r="ZT8" s="26"/>
      <c r="ZU8" t="s">
        <v>1862</v>
      </c>
      <c r="ZV8" t="s">
        <v>1524</v>
      </c>
      <c r="ZW8" t="s">
        <v>1485</v>
      </c>
      <c r="ZX8">
        <v>0.01</v>
      </c>
      <c r="ZY8">
        <v>0.33</v>
      </c>
      <c r="ZZ8">
        <v>2</v>
      </c>
      <c r="AAA8" s="34">
        <f>+Tabla57891415163435363738394041424344454647484950[[#This Row],[Recuento]]*Tabla57891415163435363738394041424344454647484950[[#This Row],[Volúmen bruto]]</f>
        <v>0.02</v>
      </c>
      <c r="AAB8" s="34">
        <f>+Tabla57891415163435363738394041424344454647484950[[#This Row],[Recuento]]*Tabla57891415163435363738394041424344454647484950[[#This Row],[Área neta]]</f>
        <v>0.66</v>
      </c>
      <c r="AAC8" s="35"/>
      <c r="AAD8" s="26"/>
      <c r="AAE8"/>
      <c r="AAF8"/>
      <c r="AAG8"/>
      <c r="AAH8"/>
      <c r="AAI8"/>
      <c r="AAJ8" s="33">
        <v>1</v>
      </c>
      <c r="AAK8" s="34">
        <v>0.48653999999999997</v>
      </c>
      <c r="AAL8" s="34">
        <v>8.109</v>
      </c>
      <c r="AAM8" s="35"/>
      <c r="AAN8" s="26"/>
      <c r="AAO8" t="s">
        <v>1862</v>
      </c>
      <c r="AAP8" t="s">
        <v>1524</v>
      </c>
      <c r="AAQ8" t="s">
        <v>92</v>
      </c>
      <c r="AAR8">
        <v>0.21</v>
      </c>
      <c r="AAS8">
        <v>3.05</v>
      </c>
      <c r="AAT8">
        <v>1</v>
      </c>
      <c r="AAU8" s="34">
        <f>+Tabla5789141516343536373839404142434445464748495051[[#This Row],[Recuento]]*Tabla5789141516343536373839404142434445464748495051[[#This Row],[Volúmen bruto]]</f>
        <v>0.21</v>
      </c>
      <c r="AAV8" s="34">
        <f>+Tabla5789141516343536373839404142434445464748495051[[#This Row],[Recuento]]*Tabla5789141516343536373839404142434445464748495051[[#This Row],[Área neta]]</f>
        <v>3.05</v>
      </c>
      <c r="AAW8" s="36"/>
      <c r="AAX8" s="26"/>
      <c r="AAY8"/>
      <c r="AAZ8"/>
      <c r="ABA8"/>
      <c r="ABB8"/>
      <c r="ABC8"/>
      <c r="ABD8"/>
      <c r="ABE8" s="34">
        <f>+Tabla578914151634353637383940414243444546474849505152[[#This Row],[Recuento]]*Tabla578914151634353637383940414243444546474849505152[[#This Row],[Volúmen bruto]]</f>
        <v>0</v>
      </c>
      <c r="ABF8" s="34">
        <f>+Tabla578914151634353637383940414243444546474849505152[[#This Row],[Recuento]]*Tabla578914151634353637383940414243444546474849505152[[#This Row],[Área neta]]</f>
        <v>0</v>
      </c>
      <c r="ABG8" s="35"/>
      <c r="ABH8" s="26"/>
      <c r="ABI8" t="s">
        <v>1863</v>
      </c>
      <c r="ABJ8" t="s">
        <v>1525</v>
      </c>
      <c r="ABK8" t="s">
        <v>1793</v>
      </c>
      <c r="ABL8">
        <v>0.01</v>
      </c>
      <c r="ABM8">
        <v>0.73</v>
      </c>
      <c r="ABN8">
        <v>1</v>
      </c>
      <c r="ABO8" s="34">
        <f>+Tabla57891415163435363738394041424344454647484950515213[[#This Row],[Recuento]]*Tabla57891415163435363738394041424344454647484950515213[[#This Row],[Volúmen bruto]]</f>
        <v>0.01</v>
      </c>
      <c r="ABP8" s="34">
        <f>+Tabla57891415163435363738394041424344454647484950515213[[#This Row],[Recuento]]*Tabla57891415163435363738394041424344454647484950515213[[#This Row],[Área neta]]</f>
        <v>0.73</v>
      </c>
      <c r="ABQ8" s="35"/>
      <c r="ABR8" s="26"/>
      <c r="ABS8"/>
      <c r="ABT8"/>
      <c r="ABU8"/>
      <c r="ABV8"/>
      <c r="ABW8"/>
      <c r="ABX8"/>
      <c r="ABY8" s="34">
        <f>+Tabla5789141516343536373839404142434445464748495051521340[[#This Row],[Recuento]]*Tabla5789141516343536373839404142434445464748495051521340[[#This Row],[Volúmen bruto]]</f>
        <v>0</v>
      </c>
      <c r="ABZ8" s="34">
        <f>+Tabla5789141516343536373839404142434445464748495051521340[[#This Row],[Recuento]]*Tabla5789141516343536373839404142434445464748495051521340[[#This Row],[Área neta]]</f>
        <v>0</v>
      </c>
      <c r="ACA8" s="35"/>
      <c r="ACB8" s="26"/>
      <c r="ACC8"/>
      <c r="ACD8"/>
      <c r="ACE8"/>
      <c r="ACF8"/>
      <c r="ACG8"/>
      <c r="ACH8" s="33"/>
      <c r="ACI8" s="34"/>
      <c r="ACJ8" s="34"/>
      <c r="ACK8" s="35"/>
      <c r="ACL8" s="26"/>
      <c r="ACM8"/>
      <c r="ACN8"/>
      <c r="ACO8"/>
      <c r="ACP8"/>
      <c r="ACQ8"/>
      <c r="ACR8" s="33"/>
      <c r="ACS8" s="34"/>
      <c r="ACT8" s="34"/>
      <c r="ACU8" s="35"/>
      <c r="ACV8" s="26"/>
      <c r="ACW8" t="s">
        <v>1233</v>
      </c>
      <c r="ACX8" s="1">
        <v>1</v>
      </c>
      <c r="ACY8" s="2">
        <v>1.1499999999999999</v>
      </c>
      <c r="ACZ8" s="2">
        <v>1.99</v>
      </c>
      <c r="ADA8">
        <v>2</v>
      </c>
      <c r="ADB8" s="2">
        <f t="shared" si="1"/>
        <v>4.577</v>
      </c>
      <c r="ADD8" t="s">
        <v>1720</v>
      </c>
      <c r="ADE8">
        <v>0.25</v>
      </c>
      <c r="ADF8">
        <v>1</v>
      </c>
      <c r="ADG8" s="26">
        <f>+ADF8*ADE8</f>
        <v>0.25</v>
      </c>
      <c r="ADH8"/>
      <c r="ADI8" t="s">
        <v>1522</v>
      </c>
      <c r="ADJ8" t="s">
        <v>1524</v>
      </c>
      <c r="ADK8" t="s">
        <v>296</v>
      </c>
      <c r="ADL8">
        <v>7.0000000000000007E-2</v>
      </c>
      <c r="ADM8">
        <v>1</v>
      </c>
      <c r="ADN8">
        <f ca="1">+Tabla578914151634353637383940414243444546474849505152535560[[#This Row],[G. Total]]*Tabla578914151634353637383940414243444546474849505152535560[[#This Row],[Recuento]]</f>
        <v>7.0000000000000007E-2</v>
      </c>
      <c r="ADO8" s="35">
        <f ca="1">+Tabla578914151634353637383940414243444546474849505152535560[[#This Row],[TOTAL]]</f>
        <v>7.0000000000000007E-2</v>
      </c>
      <c r="ADP8" s="26"/>
      <c r="ADQ8"/>
      <c r="ADR8"/>
      <c r="ADS8"/>
      <c r="ADT8"/>
      <c r="ADU8"/>
      <c r="ADV8" s="35">
        <f>+SUM(ADR8:ADR47)</f>
        <v>0</v>
      </c>
      <c r="ADW8" s="35"/>
      <c r="ADX8"/>
      <c r="ADY8"/>
      <c r="ADZ8"/>
      <c r="AEA8"/>
      <c r="AEB8"/>
      <c r="AEC8">
        <f ca="1">+Tabla57891415163435363738394041424344454647484950515253556062[[#This Row],[Total]]*Tabla57891415163435363738394041424344454647484950515253556062[[#This Row],[Recuento]]</f>
        <v>0</v>
      </c>
      <c r="AED8" s="35"/>
      <c r="AEE8" s="26"/>
      <c r="AEF8"/>
      <c r="AEG8"/>
      <c r="AEH8"/>
      <c r="AEI8"/>
      <c r="AEJ8"/>
      <c r="AEK8" s="35"/>
      <c r="AEL8" s="35"/>
      <c r="AEM8" t="s">
        <v>1522</v>
      </c>
      <c r="AEN8" t="s">
        <v>1523</v>
      </c>
      <c r="AEO8" t="s">
        <v>382</v>
      </c>
      <c r="AEP8">
        <v>11.27</v>
      </c>
      <c r="AEQ8">
        <v>1</v>
      </c>
      <c r="AER8">
        <f ca="1">+Tabla5789141516343536373839404142434445464748495051525355606264[[#This Row],[G. Total]]*Tabla5789141516343536373839404142434445464748495051525355606264[[#This Row],[Recuento]]</f>
        <v>11.27</v>
      </c>
      <c r="AES8" s="35"/>
      <c r="AET8" s="26"/>
      <c r="AEU8"/>
      <c r="AEV8"/>
      <c r="AEW8"/>
      <c r="AEX8"/>
      <c r="AEY8"/>
      <c r="AEZ8" s="35"/>
      <c r="AFA8" s="26"/>
      <c r="AFB8"/>
      <c r="AFC8"/>
      <c r="AFD8"/>
      <c r="AFE8"/>
      <c r="AFF8"/>
      <c r="AFG8">
        <f>+AFF8*AFE8</f>
        <v>0</v>
      </c>
      <c r="AFH8" t="s">
        <v>1522</v>
      </c>
      <c r="AFI8" t="s">
        <v>1524</v>
      </c>
      <c r="AFJ8" t="s">
        <v>419</v>
      </c>
      <c r="AFK8">
        <v>0.23</v>
      </c>
      <c r="AFL8">
        <v>2</v>
      </c>
      <c r="AFM8">
        <f ca="1">+Tabla578914151634353637383940414243444546474849505152535560626467[[#This Row],[G. Total]]*Tabla578914151634353637383940414243444546474849505152535560626467[[#This Row],[Recuento]]</f>
        <v>0.46</v>
      </c>
      <c r="AFN8" s="35"/>
      <c r="AFO8" s="26"/>
      <c r="AFP8" s="2" t="s">
        <v>101</v>
      </c>
      <c r="AFW8" s="2" t="s">
        <v>101</v>
      </c>
    </row>
    <row r="9" spans="1:860" ht="15" customHeight="1" x14ac:dyDescent="0.25">
      <c r="A9">
        <v>1</v>
      </c>
      <c r="B9" t="s">
        <v>1862</v>
      </c>
      <c r="C9" t="s">
        <v>1225</v>
      </c>
      <c r="D9" t="s">
        <v>1550</v>
      </c>
      <c r="E9">
        <v>0.09</v>
      </c>
      <c r="F9">
        <v>1.44</v>
      </c>
      <c r="G9"/>
      <c r="H9">
        <f>+Tabla3[[#This Row],[Volúmen neto]]*A9</f>
        <v>0.09</v>
      </c>
      <c r="I9">
        <f>+Tabla3[[#This Row],[Longitud de eje]]*A9</f>
        <v>1.44</v>
      </c>
      <c r="J9"/>
      <c r="K9"/>
      <c r="L9"/>
      <c r="M9"/>
      <c r="N9"/>
      <c r="O9"/>
      <c r="P9"/>
      <c r="Q9"/>
      <c r="R9">
        <f>+Tabla5[[#This Row],[Recuento]]*Tabla5[[#This Row],[Volúmen bruto]]</f>
        <v>0</v>
      </c>
      <c r="S9">
        <f>+Tabla5[[#This Row],[Recuento]]*Tabla5[[#This Row],[Área neta]]</f>
        <v>0</v>
      </c>
      <c r="T9">
        <f>+Tabla5[[#This Row],[Longitud nominal]]*Tabla5[[#This Row],[Recuento]]</f>
        <v>0</v>
      </c>
      <c r="U9" s="26"/>
      <c r="V9"/>
      <c r="W9"/>
      <c r="X9"/>
      <c r="Y9"/>
      <c r="Z9"/>
      <c r="AA9"/>
      <c r="AB9"/>
      <c r="AC9"/>
      <c r="AD9">
        <f>+Tabla522[[#This Row],[Recuento]]*Tabla522[[#This Row],[Volúmen bruto]]</f>
        <v>0</v>
      </c>
      <c r="AE9">
        <f>+Tabla522[[#This Row],[Recuento]]*Tabla522[[#This Row],[Área neta]]</f>
        <v>0</v>
      </c>
      <c r="AF9">
        <f>+Tabla522[[#This Row],[Longitud nominal]]*Tabla522[[#This Row],[Recuento]]</f>
        <v>0</v>
      </c>
      <c r="AG9" s="26"/>
      <c r="AH9"/>
      <c r="AI9"/>
      <c r="AJ9"/>
      <c r="AK9"/>
      <c r="AL9"/>
      <c r="AM9"/>
      <c r="AN9"/>
      <c r="AO9"/>
      <c r="AP9">
        <f>+Tabla52223[[#This Row],[Recuento]]*Tabla52223[[#This Row],[Volúmen bruto]]</f>
        <v>0</v>
      </c>
      <c r="AQ9">
        <f>+Tabla52223[[#This Row],[Recuento]]*Tabla52223[[#This Row],[Área neta]]</f>
        <v>0</v>
      </c>
      <c r="AR9">
        <f>+Tabla52223[[#This Row],[Longitud nominal]]*Tabla52223[[#This Row],[Recuento]]</f>
        <v>0</v>
      </c>
      <c r="AS9" s="26"/>
      <c r="AT9"/>
      <c r="AU9"/>
      <c r="AV9"/>
      <c r="AW9"/>
      <c r="AX9"/>
      <c r="AY9"/>
      <c r="AZ9"/>
      <c r="BA9"/>
      <c r="BB9">
        <f>+Tabla5222329[[#This Row],[Recuento]]*Tabla5222329[[#This Row],[Volúmen bruto]]</f>
        <v>0</v>
      </c>
      <c r="BC9">
        <f>+Tabla5222329[[#This Row],[Recuento]]*Tabla5222329[[#This Row],[Área neta]]</f>
        <v>0</v>
      </c>
      <c r="BD9">
        <f>+Tabla5222329[[#This Row],[Longitud nominal]]*Tabla5222329[[#This Row],[Recuento]]</f>
        <v>0</v>
      </c>
      <c r="BE9" s="26"/>
      <c r="BF9">
        <v>5</v>
      </c>
      <c r="BG9" t="s">
        <v>1862</v>
      </c>
      <c r="BH9" t="s">
        <v>1524</v>
      </c>
      <c r="BI9" t="s">
        <v>1406</v>
      </c>
      <c r="BJ9">
        <v>10</v>
      </c>
      <c r="BK9">
        <v>10.5</v>
      </c>
      <c r="BL9">
        <f>+Tabla3102[[#This Row],[En culmo]]*BF9</f>
        <v>52.5</v>
      </c>
      <c r="BM9"/>
      <c r="BN9"/>
      <c r="BO9"/>
      <c r="BP9"/>
      <c r="BQ9"/>
      <c r="BR9"/>
      <c r="BS9">
        <v>2</v>
      </c>
      <c r="BT9">
        <f>+Tabla31069[[#This Row],[En culmo]]*BN9</f>
        <v>0</v>
      </c>
      <c r="BU9"/>
      <c r="BV9">
        <v>2</v>
      </c>
      <c r="BW9" t="s">
        <v>1862</v>
      </c>
      <c r="BX9" t="s">
        <v>1525</v>
      </c>
      <c r="BY9" t="s">
        <v>1406</v>
      </c>
      <c r="BZ9">
        <v>1.35</v>
      </c>
      <c r="CA9">
        <v>2</v>
      </c>
      <c r="CB9">
        <f>+Tabla31011[[#This Row],[En culmo]]*BV9</f>
        <v>4</v>
      </c>
      <c r="CD9">
        <v>6</v>
      </c>
      <c r="CE9" t="s">
        <v>1862</v>
      </c>
      <c r="CF9" t="s">
        <v>1525</v>
      </c>
      <c r="CG9" t="s">
        <v>1405</v>
      </c>
      <c r="CH9">
        <v>1.05</v>
      </c>
      <c r="CI9">
        <v>1.5</v>
      </c>
      <c r="CJ9">
        <f>+Tabla3101170[[#This Row],[En culmo]]*CD9</f>
        <v>9</v>
      </c>
      <c r="CK9"/>
      <c r="CL9">
        <v>4</v>
      </c>
      <c r="CM9" t="s">
        <v>1862</v>
      </c>
      <c r="CN9" t="s">
        <v>1383</v>
      </c>
      <c r="CO9" t="s">
        <v>1406</v>
      </c>
      <c r="CP9">
        <v>7.08</v>
      </c>
      <c r="CQ9" s="26">
        <v>7.5</v>
      </c>
      <c r="CR9">
        <f>+Tabla31011116[[#This Row],[En culmo]]*CT9</f>
        <v>15</v>
      </c>
      <c r="CT9">
        <v>2</v>
      </c>
      <c r="CU9" t="s">
        <v>1862</v>
      </c>
      <c r="CV9" t="s">
        <v>1383</v>
      </c>
      <c r="CW9" t="s">
        <v>1405</v>
      </c>
      <c r="CX9">
        <v>0.64</v>
      </c>
      <c r="CY9">
        <v>2</v>
      </c>
      <c r="CZ9">
        <f>+Tabla3101170117[[#This Row],[En culmo]]*CT9</f>
        <v>4</v>
      </c>
      <c r="DA9"/>
      <c r="DB9">
        <v>4</v>
      </c>
      <c r="DC9" t="s">
        <v>1862</v>
      </c>
      <c r="DD9" t="s">
        <v>1383</v>
      </c>
      <c r="DE9" t="s">
        <v>1723</v>
      </c>
      <c r="DF9">
        <v>0.42</v>
      </c>
      <c r="DG9">
        <f>+Tabla31011704[[#This Row],[Longitud de eje]]*DB9</f>
        <v>1.68</v>
      </c>
      <c r="DH9"/>
      <c r="DI9">
        <v>2</v>
      </c>
      <c r="DJ9" t="s">
        <v>1862</v>
      </c>
      <c r="DK9" t="s">
        <v>1383</v>
      </c>
      <c r="DL9" t="s">
        <v>1720</v>
      </c>
      <c r="DM9">
        <v>2</v>
      </c>
      <c r="DN9">
        <v>2.5</v>
      </c>
      <c r="DO9">
        <f t="shared" si="2"/>
        <v>5</v>
      </c>
      <c r="DP9">
        <v>2</v>
      </c>
      <c r="DQ9" t="s">
        <v>1862</v>
      </c>
      <c r="DR9" t="s">
        <v>1383</v>
      </c>
      <c r="DS9" t="s">
        <v>1740</v>
      </c>
      <c r="DT9">
        <v>1.1000000000000001</v>
      </c>
      <c r="DU9">
        <f>+Tabla3101170411120[[#This Row],[Longitud de eje]]*DP9</f>
        <v>2.2000000000000002</v>
      </c>
      <c r="DV9"/>
      <c r="DW9">
        <v>4</v>
      </c>
      <c r="DX9" t="s">
        <v>1862</v>
      </c>
      <c r="DY9" t="s">
        <v>1524</v>
      </c>
      <c r="DZ9" t="s">
        <v>1759</v>
      </c>
      <c r="EA9">
        <v>0.43</v>
      </c>
      <c r="EB9">
        <f>+Tabla3101170411120122[[#This Row],[Longitud de eje]]*DW9</f>
        <v>1.72</v>
      </c>
      <c r="EC9"/>
      <c r="ED9">
        <v>6</v>
      </c>
      <c r="EE9" t="s">
        <v>1862</v>
      </c>
      <c r="EF9" t="s">
        <v>1524</v>
      </c>
      <c r="EG9" t="s">
        <v>1406</v>
      </c>
      <c r="EH9">
        <v>0.66</v>
      </c>
      <c r="EI9">
        <v>1</v>
      </c>
      <c r="EJ9">
        <f>+Tabla3101112[[#This Row],[En culmo]]*ED9</f>
        <v>6</v>
      </c>
      <c r="EK9"/>
      <c r="EL9"/>
      <c r="EM9"/>
      <c r="EN9"/>
      <c r="EO9"/>
      <c r="EP9"/>
      <c r="EQ9"/>
      <c r="ER9">
        <f>+Tabla3101112123[[#This Row],[En culmo]]*EL9</f>
        <v>0</v>
      </c>
      <c r="ES9"/>
      <c r="ET9">
        <v>2</v>
      </c>
      <c r="EU9" t="s">
        <v>1862</v>
      </c>
      <c r="EV9" t="s">
        <v>1525</v>
      </c>
      <c r="EW9" t="s">
        <v>1406</v>
      </c>
      <c r="EX9">
        <v>1.35</v>
      </c>
      <c r="EY9">
        <v>1.5</v>
      </c>
      <c r="EZ9">
        <f>+Tabla310111257[[#This Row],[En culmo]]*ET9</f>
        <v>3</v>
      </c>
      <c r="FA9"/>
      <c r="FB9"/>
      <c r="FC9"/>
      <c r="FD9"/>
      <c r="FE9"/>
      <c r="FF9"/>
      <c r="FG9">
        <v>1.5</v>
      </c>
      <c r="FH9">
        <f>+Tabla310111257124[[#This Row],[En culmo]]*FB9</f>
        <v>0</v>
      </c>
      <c r="FI9"/>
      <c r="FJ9"/>
      <c r="FK9"/>
      <c r="FL9"/>
      <c r="FM9"/>
      <c r="FN9"/>
      <c r="FO9"/>
      <c r="FP9">
        <f>+Tabla310111213115[[#This Row],[Volúmen]]*FJ9</f>
        <v>0</v>
      </c>
      <c r="FQ9">
        <f>+Tabla310111213115[[#This Row],[Longitud del eje]]*FJ9</f>
        <v>0</v>
      </c>
      <c r="FR9"/>
      <c r="FS9"/>
      <c r="FT9"/>
      <c r="FU9"/>
      <c r="FV9"/>
      <c r="FW9"/>
      <c r="FX9">
        <f>+Tabla31011121311554[[#This Row],[Volúmen]]*FR9</f>
        <v>0</v>
      </c>
      <c r="FY9">
        <f>+Tabla31011121311554[[#This Row],[Longitud del eje]]*FR9</f>
        <v>0</v>
      </c>
      <c r="FZ9">
        <v>1</v>
      </c>
      <c r="GA9" t="s">
        <v>1862</v>
      </c>
      <c r="GB9" t="s">
        <v>1524</v>
      </c>
      <c r="GC9" t="s">
        <v>1584</v>
      </c>
      <c r="GD9">
        <v>0.01</v>
      </c>
      <c r="GE9">
        <v>0.1</v>
      </c>
      <c r="GF9">
        <f>+Tabla3101112131157[[#This Row],[Volúmen]]*FZ9</f>
        <v>0.01</v>
      </c>
      <c r="GG9">
        <f>+Tabla3101112131157[[#This Row],[Longitud del eje]]*FZ9</f>
        <v>0.1</v>
      </c>
      <c r="GI9"/>
      <c r="GJ9"/>
      <c r="GK9"/>
      <c r="GL9"/>
      <c r="GM9"/>
      <c r="GN9"/>
      <c r="GO9"/>
      <c r="GQ9" t="s">
        <v>1862</v>
      </c>
      <c r="GR9" t="s">
        <v>1383</v>
      </c>
      <c r="GS9" t="s">
        <v>1628</v>
      </c>
      <c r="GT9">
        <v>0.02</v>
      </c>
      <c r="GU9">
        <v>3.62</v>
      </c>
      <c r="GV9">
        <v>1</v>
      </c>
      <c r="GW9">
        <f>+Tabla578914[[#This Row],[Recuento]]*Tabla578914[[#This Row],[Volúmen bruto]]</f>
        <v>0.02</v>
      </c>
      <c r="GX9">
        <f>+Tabla578914[[#This Row],[Recuento]]*Tabla578914[[#This Row],[Área neta]]</f>
        <v>3.62</v>
      </c>
      <c r="GY9" s="35"/>
      <c r="HA9" t="s">
        <v>1862</v>
      </c>
      <c r="HB9" t="s">
        <v>1383</v>
      </c>
      <c r="HC9" t="s">
        <v>1628</v>
      </c>
      <c r="HD9">
        <v>0.06</v>
      </c>
      <c r="HE9">
        <v>9.9600000000000009</v>
      </c>
      <c r="HF9">
        <v>1</v>
      </c>
      <c r="HG9">
        <f>+Tabla578914126[[#This Row],[Recuento]]*Tabla578914126[[#This Row],[Volúmen bruto]]</f>
        <v>0.06</v>
      </c>
      <c r="HH9">
        <f>+Tabla578914126[[#This Row],[Recuento]]*Tabla578914126[[#This Row],[Área neta]]</f>
        <v>9.9600000000000009</v>
      </c>
      <c r="HI9" s="35"/>
      <c r="HK9" t="s">
        <v>1862</v>
      </c>
      <c r="HL9" t="s">
        <v>1383</v>
      </c>
      <c r="HM9" t="s">
        <v>97</v>
      </c>
      <c r="HN9">
        <v>0.02</v>
      </c>
      <c r="HO9">
        <v>3.18</v>
      </c>
      <c r="HP9">
        <v>1</v>
      </c>
      <c r="HQ9">
        <f>+Tabla578914126127[[#This Row],[Recuento]]*Tabla578914126127[[#This Row],[Volúmen bruto]]</f>
        <v>0.02</v>
      </c>
      <c r="HR9">
        <f>+Tabla578914126127[[#This Row],[Recuento]]*Tabla578914126127[[#This Row],[Área neta]]</f>
        <v>3.18</v>
      </c>
      <c r="HS9" s="35"/>
      <c r="HT9" s="26"/>
      <c r="HU9" t="s">
        <v>1862</v>
      </c>
      <c r="HV9" t="s">
        <v>1383</v>
      </c>
      <c r="HW9" t="s">
        <v>1773</v>
      </c>
      <c r="HX9">
        <v>0.15</v>
      </c>
      <c r="HY9">
        <v>3.05</v>
      </c>
      <c r="HZ9">
        <v>1</v>
      </c>
      <c r="IA9">
        <f>+Tabla57891418[[#This Row],[Volúmen bruto]]*Tabla57891418[[#This Row],[Recuento]]</f>
        <v>0.15</v>
      </c>
      <c r="IB9">
        <f>+Tabla57891418[[#This Row],[Área neta]]*Tabla57891418[[#This Row],[Recuento]]</f>
        <v>3.05</v>
      </c>
      <c r="IC9" s="35"/>
      <c r="ID9" s="26"/>
      <c r="IE9"/>
      <c r="IF9"/>
      <c r="IG9"/>
      <c r="IH9"/>
      <c r="II9"/>
      <c r="IJ9"/>
      <c r="IK9"/>
      <c r="IL9"/>
      <c r="IM9" s="35"/>
      <c r="IN9" s="26"/>
      <c r="IO9"/>
      <c r="IP9"/>
      <c r="IQ9"/>
      <c r="IR9"/>
      <c r="IS9"/>
      <c r="IT9"/>
      <c r="IU9">
        <f>+Tabla520212223[[#This Row],[Recuento]]*Tabla520212223[[#This Row],[Volúmen bruto]]</f>
        <v>0</v>
      </c>
      <c r="IV9">
        <f>+Tabla520212223[[#This Row],[Recuento]]*Tabla520212223[[#This Row],[Área neta]]</f>
        <v>0</v>
      </c>
      <c r="IW9" s="26">
        <f t="shared" si="0"/>
        <v>0</v>
      </c>
      <c r="IY9"/>
      <c r="IZ9"/>
      <c r="JA9"/>
      <c r="JB9"/>
      <c r="JC9"/>
      <c r="JD9"/>
      <c r="JE9">
        <f>+Tabla520212224[[#This Row],[Recuento]]*Tabla520212224[[#This Row],[Volúmen bruto]]</f>
        <v>0</v>
      </c>
      <c r="JF9">
        <f>+Tabla520212224[[#This Row],[Recuento]]*Tabla520212224[[#This Row],[Área neta]]</f>
        <v>0</v>
      </c>
      <c r="JG9" s="26"/>
      <c r="JI9" t="s">
        <v>1862</v>
      </c>
      <c r="JJ9" t="s">
        <v>1525</v>
      </c>
      <c r="JK9" t="s">
        <v>1628</v>
      </c>
      <c r="JL9">
        <v>0.16</v>
      </c>
      <c r="JM9">
        <v>7.77</v>
      </c>
      <c r="JN9">
        <v>2</v>
      </c>
      <c r="JO9">
        <f>+Tabla52021222425[[#This Row],[Recuento]]*Tabla52021222425[[#This Row],[Volúmen bruto]]</f>
        <v>0.32</v>
      </c>
      <c r="JP9">
        <f>+Tabla52021222425[[#This Row],[Recuento]]*Tabla52021222425[[#This Row],[Área neta]]</f>
        <v>15.54</v>
      </c>
      <c r="JQ9" s="26"/>
      <c r="JS9" t="s">
        <v>1862</v>
      </c>
      <c r="JT9" t="s">
        <v>1525</v>
      </c>
      <c r="JU9" t="s">
        <v>1628</v>
      </c>
      <c r="JV9">
        <v>7.0000000000000007E-2</v>
      </c>
      <c r="JW9">
        <v>3.04</v>
      </c>
      <c r="JX9">
        <v>2</v>
      </c>
      <c r="JY9">
        <f>+Tabla5202122242526[[#This Row],[Recuento]]*Tabla5202122242526[[#This Row],[Volúmen bruto]]</f>
        <v>0.14000000000000001</v>
      </c>
      <c r="JZ9">
        <f>+Tabla5202122242526[[#This Row],[Recuento]]*Tabla5202122242526[[#This Row],[Área neta]]</f>
        <v>6.08</v>
      </c>
      <c r="KA9" s="26"/>
      <c r="KC9" t="s">
        <v>1549</v>
      </c>
      <c r="KD9" t="s">
        <v>1524</v>
      </c>
      <c r="KE9" t="s">
        <v>98</v>
      </c>
      <c r="KF9">
        <v>0</v>
      </c>
      <c r="KG9">
        <v>0.3</v>
      </c>
      <c r="KH9">
        <v>1</v>
      </c>
      <c r="KI9">
        <f>+Tabla5202122242526104[[#This Row],[Recuento]]*Tabla5202122242526104[[#This Row],[Volúmen bruto]]</f>
        <v>0</v>
      </c>
      <c r="KJ9">
        <f>+Tabla5202122242526104[[#This Row],[Recuento]]*Tabla5202122242526104[[#This Row],[Área neta]]</f>
        <v>0.3</v>
      </c>
      <c r="KK9" s="26"/>
      <c r="KM9" t="s">
        <v>1862</v>
      </c>
      <c r="KN9" t="s">
        <v>1525</v>
      </c>
      <c r="KO9" t="s">
        <v>1628</v>
      </c>
      <c r="KP9">
        <v>7.0000000000000007E-2</v>
      </c>
      <c r="KQ9">
        <v>1.58</v>
      </c>
      <c r="KR9">
        <v>1</v>
      </c>
      <c r="KS9">
        <f>+Tabla5202122242526104110[[#This Row],[Recuento]]*Tabla5202122242526104110[[#This Row],[Volúmen bruto]]</f>
        <v>7.0000000000000007E-2</v>
      </c>
      <c r="KT9">
        <f>+Tabla5202122242526104110[[#This Row],[Recuento]]*Tabla5202122242526104110[[#This Row],[Área neta]]</f>
        <v>1.58</v>
      </c>
      <c r="KU9" s="26"/>
      <c r="KW9" t="s">
        <v>1862</v>
      </c>
      <c r="KX9" t="s">
        <v>1524</v>
      </c>
      <c r="KY9" t="s">
        <v>97</v>
      </c>
      <c r="KZ9">
        <v>0.04</v>
      </c>
      <c r="LA9">
        <v>2.21</v>
      </c>
      <c r="LB9">
        <v>1</v>
      </c>
      <c r="LC9">
        <f>+Tabla520212224252659[[#This Row],[Recuento]]*Tabla520212224252659[[#This Row],[Volúmen bruto]]</f>
        <v>0.04</v>
      </c>
      <c r="LD9">
        <f>+Tabla520212224252659[[#This Row],[Recuento]]*Tabla520212224252659[[#This Row],[Área neta]]</f>
        <v>2.21</v>
      </c>
      <c r="LE9" s="26"/>
      <c r="LG9"/>
      <c r="LH9"/>
      <c r="LI9"/>
      <c r="LJ9"/>
      <c r="LK9"/>
      <c r="LL9"/>
      <c r="LM9">
        <f>+Tabla520212224252659111[[#This Row],[Recuento]]*Tabla520212224252659111[[#This Row],[Volúmen bruto]]</f>
        <v>0</v>
      </c>
      <c r="LN9">
        <f>+Tabla520212224252659111[[#This Row],[Recuento]]*Tabla520212224252659111[[#This Row],[Área neta]]</f>
        <v>0</v>
      </c>
      <c r="LO9" s="26"/>
      <c r="LQ9" t="s">
        <v>1863</v>
      </c>
      <c r="LR9" t="s">
        <v>1525</v>
      </c>
      <c r="LS9" t="s">
        <v>97</v>
      </c>
      <c r="LT9">
        <v>0.03</v>
      </c>
      <c r="LU9">
        <v>4.26</v>
      </c>
      <c r="LV9">
        <v>1</v>
      </c>
      <c r="LW9">
        <f>+Tabla520212224252659111114[[#This Row],[Recuento]]*Tabla520212224252659111114[[#This Row],[Volúmen bruto]]</f>
        <v>0.03</v>
      </c>
      <c r="LX9">
        <f>+Tabla520212224252659111114[[#This Row],[Recuento]]*Tabla520212224252659111114[[#This Row],[Área neta]]</f>
        <v>4.26</v>
      </c>
      <c r="LY9" s="26"/>
      <c r="MA9" t="s">
        <v>1862</v>
      </c>
      <c r="MB9" t="s">
        <v>1525</v>
      </c>
      <c r="MC9" t="s">
        <v>1628</v>
      </c>
      <c r="MD9">
        <v>0.15</v>
      </c>
      <c r="ME9">
        <v>6.58</v>
      </c>
      <c r="MF9">
        <v>1</v>
      </c>
      <c r="MG9">
        <f>+Tabla520212224252659111114128[[#This Row],[Recuento]]*Tabla520212224252659111114128[[#This Row],[Volúmen bruto]]</f>
        <v>0.15</v>
      </c>
      <c r="MH9">
        <f>+Tabla520212224252659111114128[[#This Row],[Recuento]]*Tabla520212224252659111114128[[#This Row],[Área neta]]</f>
        <v>6.58</v>
      </c>
      <c r="MI9" s="26"/>
      <c r="MK9" t="s">
        <v>1862</v>
      </c>
      <c r="ML9" t="s">
        <v>1525</v>
      </c>
      <c r="MM9" t="s">
        <v>95</v>
      </c>
      <c r="MN9">
        <v>0.01</v>
      </c>
      <c r="MO9">
        <v>1.81</v>
      </c>
      <c r="MP9">
        <v>1</v>
      </c>
      <c r="MQ9">
        <f>+Tabla520212224252627[[#This Row],[Recuento]]*Tabla520212224252627[[#This Row],[Volúmen bruto]]</f>
        <v>0.01</v>
      </c>
      <c r="MR9">
        <f>+Tabla520212224252627[[#This Row],[Recuento]]*Tabla520212224252627[[#This Row],[Área neta]]</f>
        <v>1.81</v>
      </c>
      <c r="MS9" s="26"/>
      <c r="MU9" t="s">
        <v>1549</v>
      </c>
      <c r="MV9" t="s">
        <v>1525</v>
      </c>
      <c r="MW9" t="s">
        <v>97</v>
      </c>
      <c r="MX9">
        <v>0</v>
      </c>
      <c r="MY9">
        <v>0.12</v>
      </c>
      <c r="MZ9">
        <v>2</v>
      </c>
      <c r="NA9">
        <f>+Tabla520212224252627129[[#This Row],[Recuento]]*Tabla520212224252627129[[#This Row],[Volúmen bruto]]</f>
        <v>0</v>
      </c>
      <c r="NB9">
        <f>+Tabla520212224252627129[[#This Row],[Recuento]]*Tabla520212224252627129[[#This Row],[Área neta]]</f>
        <v>0.24</v>
      </c>
      <c r="NC9" s="26"/>
      <c r="NE9" t="s">
        <v>1549</v>
      </c>
      <c r="NF9" t="s">
        <v>1525</v>
      </c>
      <c r="NG9" t="s">
        <v>98</v>
      </c>
      <c r="NH9">
        <v>0</v>
      </c>
      <c r="NI9">
        <v>0.12</v>
      </c>
      <c r="NJ9">
        <v>2</v>
      </c>
      <c r="NK9">
        <f>+Tabla520212224252627129125[[#This Row],[Recuento]]*Tabla520212224252627129125[[#This Row],[Volúmen bruto]]</f>
        <v>0</v>
      </c>
      <c r="NL9">
        <f>+Tabla520212224252627129125[[#This Row],[Recuento]]*Tabla520212224252627129125[[#This Row],[Área neta]]</f>
        <v>0.24</v>
      </c>
      <c r="NM9" s="26">
        <f>+SUM(NL9)</f>
        <v>0.24</v>
      </c>
      <c r="NO9" t="s">
        <v>1549</v>
      </c>
      <c r="NP9" t="s">
        <v>1525</v>
      </c>
      <c r="NQ9" t="s">
        <v>97</v>
      </c>
      <c r="NR9">
        <v>0.01</v>
      </c>
      <c r="NS9">
        <v>0.36</v>
      </c>
      <c r="NT9">
        <v>1</v>
      </c>
      <c r="NU9">
        <f>+Tabla520212224252627129125130[[#This Row],[Recuento]]*Tabla520212224252627129125130[[#This Row],[Volúmen bruto]]</f>
        <v>0.01</v>
      </c>
      <c r="NV9">
        <f>+Tabla520212224252627129125130[[#This Row],[Recuento]]*Tabla520212224252627129125130[[#This Row],[Área neta]]</f>
        <v>0.36</v>
      </c>
      <c r="NW9" s="26">
        <f>+SUM(NV9:NV13)</f>
        <v>5.0399999999999991</v>
      </c>
      <c r="NY9" t="s">
        <v>1549</v>
      </c>
      <c r="NZ9" t="s">
        <v>1525</v>
      </c>
      <c r="OA9" t="s">
        <v>95</v>
      </c>
      <c r="OB9">
        <v>0</v>
      </c>
      <c r="OC9">
        <v>0.67</v>
      </c>
      <c r="OD9">
        <v>1</v>
      </c>
      <c r="OE9">
        <f>+Tabla520212224252627129125130131[[#This Row],[Recuento]]*Tabla520212224252627129125130131[[#This Row],[Volúmen bruto]]</f>
        <v>0</v>
      </c>
      <c r="OF9">
        <f>+Tabla520212224252627129125130131[[#This Row],[Recuento]]*Tabla520212224252627129125130131[[#This Row],[Área neta]]</f>
        <v>0.67</v>
      </c>
      <c r="OG9" s="26"/>
      <c r="OI9" t="s">
        <v>1549</v>
      </c>
      <c r="OJ9" t="s">
        <v>1525</v>
      </c>
      <c r="OK9" t="s">
        <v>97</v>
      </c>
      <c r="OL9">
        <v>0</v>
      </c>
      <c r="OM9">
        <v>0.05</v>
      </c>
      <c r="ON9">
        <v>2</v>
      </c>
      <c r="OO9">
        <f>+Tabla520212224252627129125130131132[[#This Row],[Recuento]]*Tabla520212224252627129125130131132[[#This Row],[Volúmen bruto]]</f>
        <v>0</v>
      </c>
      <c r="OP9">
        <f>+Tabla520212224252627129125130131132[[#This Row],[Recuento]]*Tabla520212224252627129125130131132[[#This Row],[Área neta]]</f>
        <v>0.1</v>
      </c>
      <c r="OQ9" s="26"/>
      <c r="OS9" t="s">
        <v>1863</v>
      </c>
      <c r="OT9" t="s">
        <v>1525</v>
      </c>
      <c r="OU9" t="s">
        <v>1676</v>
      </c>
      <c r="OV9">
        <v>0.14000000000000001</v>
      </c>
      <c r="OW9">
        <v>1.17</v>
      </c>
      <c r="OX9">
        <v>1</v>
      </c>
      <c r="OY9">
        <f>+Tabla52021222425262728[[#This Row],[Recuento]]*Tabla52021222425262728[[#This Row],[Volúmen bruto]]</f>
        <v>0.14000000000000001</v>
      </c>
      <c r="OZ9">
        <f>+Tabla52021222425262728[[#This Row],[Recuento]]*Tabla52021222425262728[[#This Row],[Área neta]]</f>
        <v>1.17</v>
      </c>
      <c r="PA9" s="26">
        <f>+SUM(OZ9)</f>
        <v>1.17</v>
      </c>
      <c r="PC9" t="s">
        <v>1862</v>
      </c>
      <c r="PD9" t="s">
        <v>1525</v>
      </c>
      <c r="PE9" t="s">
        <v>1788</v>
      </c>
      <c r="PF9">
        <v>0</v>
      </c>
      <c r="PG9">
        <v>0.85</v>
      </c>
      <c r="PH9">
        <v>1</v>
      </c>
      <c r="PI9">
        <f>+Tabla52021222425262728133[[#This Row],[Recuento]]*Tabla52021222425262728133[[#This Row],[Volúmen bruto]]</f>
        <v>0</v>
      </c>
      <c r="PJ9">
        <f>+Tabla52021222425262728133[[#This Row],[Recuento]]*Tabla52021222425262728133[[#This Row],[Área neta]]</f>
        <v>0.85</v>
      </c>
      <c r="PK9" s="26"/>
      <c r="PM9" t="s">
        <v>1862</v>
      </c>
      <c r="PN9" t="s">
        <v>1525</v>
      </c>
      <c r="PO9" t="s">
        <v>1679</v>
      </c>
      <c r="PP9">
        <v>0</v>
      </c>
      <c r="PQ9">
        <v>4.88</v>
      </c>
      <c r="PR9">
        <v>1</v>
      </c>
      <c r="PS9">
        <f>+Tabla5202122242526272893[[#This Row],[Recuento]]*Tabla5202122242526272893[[#This Row],[Volúmen bruto]]</f>
        <v>0</v>
      </c>
      <c r="PT9">
        <f>+Tabla5202122242526272893[[#This Row],[Recuento]]*Tabla5202122242526272893[[#This Row],[Área neta]]</f>
        <v>4.88</v>
      </c>
      <c r="PU9" s="26">
        <f>+SUM(PT9)</f>
        <v>4.88</v>
      </c>
      <c r="PW9" t="s">
        <v>1862</v>
      </c>
      <c r="PX9" t="s">
        <v>1525</v>
      </c>
      <c r="PY9" t="s">
        <v>1788</v>
      </c>
      <c r="PZ9">
        <v>0</v>
      </c>
      <c r="QA9">
        <v>0.8</v>
      </c>
      <c r="QB9">
        <v>1</v>
      </c>
      <c r="QC9">
        <f>+Tabla520212224252627289349[[#This Row],[Recuento]]*Tabla520212224252627289349[[#This Row],[Volúmen bruto]]</f>
        <v>0</v>
      </c>
      <c r="QD9">
        <f>+Tabla520212224252627289349[[#This Row],[Recuento]]*Tabla520212224252627289349[[#This Row],[Área neta]]</f>
        <v>0.8</v>
      </c>
      <c r="QE9" s="26"/>
      <c r="QG9" t="s">
        <v>1549</v>
      </c>
      <c r="QH9" t="s">
        <v>1525</v>
      </c>
      <c r="QI9" t="s">
        <v>95</v>
      </c>
      <c r="QJ9">
        <v>0.01</v>
      </c>
      <c r="QK9">
        <v>1.47</v>
      </c>
      <c r="QL9">
        <v>1</v>
      </c>
      <c r="QM9">
        <f>+Tabla520212224252627289349134[[#This Row],[Recuento]]*Tabla520212224252627289349134[[#This Row],[Volúmen bruto]]</f>
        <v>0.01</v>
      </c>
      <c r="QN9">
        <f>+Tabla520212224252627289349134[[#This Row],[Recuento]]*Tabla520212224252627289349134[[#This Row],[Área neta]]</f>
        <v>1.47</v>
      </c>
      <c r="QO9" s="26">
        <f>+SUM(QN9)</f>
        <v>1.47</v>
      </c>
      <c r="QQ9" t="s">
        <v>1862</v>
      </c>
      <c r="QR9" t="s">
        <v>1524</v>
      </c>
      <c r="QS9" t="s">
        <v>1726</v>
      </c>
      <c r="QT9">
        <v>0.96</v>
      </c>
      <c r="QU9">
        <v>4.78</v>
      </c>
      <c r="QV9">
        <v>2</v>
      </c>
      <c r="QW9">
        <v>1</v>
      </c>
      <c r="QX9">
        <f>+Tabla5202122242526272829[[#This Row],[Recuento]]*Tabla5202122242526272829[[#This Row],[Volúmen bruto]]</f>
        <v>0.96</v>
      </c>
      <c r="QY9">
        <f>+Tabla5202122242526272829[[#This Row],[Recuento]]*Tabla5202122242526272829[[#This Row],[Área neta]]</f>
        <v>4.78</v>
      </c>
      <c r="QZ9">
        <f>+Tabla5202122242526272829[[#This Row],[Recuento]]*Tabla5202122242526272829[[#This Row],[Longitud]]</f>
        <v>2</v>
      </c>
      <c r="RA9" s="26"/>
      <c r="RC9" t="s">
        <v>1549</v>
      </c>
      <c r="RD9" t="s">
        <v>1524</v>
      </c>
      <c r="RE9" t="s">
        <v>98</v>
      </c>
      <c r="RF9">
        <v>0</v>
      </c>
      <c r="RG9">
        <v>0.96</v>
      </c>
      <c r="RH9">
        <v>1</v>
      </c>
      <c r="RI9">
        <f>+Tabla520212224252627283132[[#This Row],[Recuento]]*Tabla520212224252627283132[[#This Row],[Volúmen bruto]]</f>
        <v>0</v>
      </c>
      <c r="RJ9">
        <f>+Tabla520212224252627283132[[#This Row],[Recuento]]*Tabla520212224252627283132[[#This Row],[Área neta]]</f>
        <v>0.96</v>
      </c>
      <c r="RK9" s="26"/>
      <c r="RM9"/>
      <c r="RN9"/>
      <c r="RO9"/>
      <c r="RP9"/>
      <c r="RQ9"/>
      <c r="RR9"/>
      <c r="RS9">
        <f>+Tabla5202122242526272831329[[#This Row],[Recuento]]*Tabla5202122242526272831329[[#This Row],[Volúmen bruto]]</f>
        <v>0</v>
      </c>
      <c r="RT9">
        <f>+Tabla5202122242526272831329[[#This Row],[Recuento]]*Tabla5202122242526272831329[[#This Row],[Área neta]]</f>
        <v>0</v>
      </c>
      <c r="RU9" s="26"/>
      <c r="RW9"/>
      <c r="RX9"/>
      <c r="RY9"/>
      <c r="RZ9"/>
      <c r="SA9"/>
      <c r="SB9"/>
      <c r="SC9">
        <f>+Tabla52021222425262728313233[[#This Row],[Recuento]]*Tabla52021222425262728313233[[#This Row],[Volúmen bruto]]</f>
        <v>0</v>
      </c>
      <c r="SD9">
        <f>+Tabla52021222425262728313233[[#This Row],[Recuento]]*Tabla52021222425262728313233[[#This Row],[Área neta]]</f>
        <v>0</v>
      </c>
      <c r="SE9" s="26"/>
      <c r="SG9"/>
      <c r="SH9"/>
      <c r="SI9"/>
      <c r="SJ9"/>
      <c r="SK9"/>
      <c r="SL9"/>
      <c r="SM9">
        <f>+Tabla5202122242526272831323314[[#This Row],[Recuento]]*Tabla5202122242526272831323314[[#This Row],[Volúmen bruto]]</f>
        <v>0</v>
      </c>
      <c r="SN9">
        <f>+Tabla5202122242526272831323314[[#This Row],[Recuento]]*Tabla5202122242526272831323314[[#This Row],[Área neta]]</f>
        <v>0</v>
      </c>
      <c r="SO9" s="26"/>
      <c r="SQ9" t="s">
        <v>1862</v>
      </c>
      <c r="SR9" t="s">
        <v>1524</v>
      </c>
      <c r="SS9" t="s">
        <v>94</v>
      </c>
      <c r="ST9">
        <v>0.61</v>
      </c>
      <c r="SU9">
        <v>6.11</v>
      </c>
      <c r="SV9">
        <v>1</v>
      </c>
      <c r="SW9" s="34">
        <f>+Tabla5789141516[[#This Row],[Recuento]]*Tabla5789141516[[#This Row],[Volúmen bruto]]</f>
        <v>0.61</v>
      </c>
      <c r="SX9" s="34">
        <f>+Tabla5789141516[[#This Row],[Recuento]]*Tabla5789141516[[#This Row],[Área neta]]</f>
        <v>6.11</v>
      </c>
      <c r="SY9" s="35"/>
      <c r="SZ9" s="26"/>
      <c r="TA9"/>
      <c r="TB9"/>
      <c r="TC9"/>
      <c r="TD9"/>
      <c r="TE9"/>
      <c r="TF9"/>
      <c r="TG9" s="34">
        <f>+Tabla578914151634[[#This Row],[Recuento]]*Tabla578914151634[[#This Row],[Volúmen bruto]]</f>
        <v>0</v>
      </c>
      <c r="TH9" s="34">
        <f>+Tabla578914151634[[#This Row],[Recuento]]*Tabla578914151634[[#This Row],[Área neta]]</f>
        <v>0</v>
      </c>
      <c r="TI9" s="35"/>
      <c r="TJ9" s="26"/>
      <c r="TK9" t="s">
        <v>1862</v>
      </c>
      <c r="TL9" t="s">
        <v>1525</v>
      </c>
      <c r="TM9" t="s">
        <v>94</v>
      </c>
      <c r="TN9">
        <v>0.32</v>
      </c>
      <c r="TO9">
        <v>4.05</v>
      </c>
      <c r="TP9">
        <v>1</v>
      </c>
      <c r="TQ9" s="34">
        <f>+Tabla57891415163435[[#This Row],[Recuento]]*Tabla57891415163435[[#This Row],[Volúmen bruto]]</f>
        <v>0.32</v>
      </c>
      <c r="TR9" s="34">
        <f>+Tabla57891415163435[[#This Row],[Recuento]]*Tabla57891415163435[[#This Row],[Área neta]]</f>
        <v>4.05</v>
      </c>
      <c r="TS9" s="36"/>
      <c r="TT9" s="26"/>
      <c r="TU9"/>
      <c r="TV9"/>
      <c r="TW9"/>
      <c r="TX9"/>
      <c r="TY9"/>
      <c r="TZ9"/>
      <c r="UA9" s="34">
        <f>+Tabla5789141516343536[[#This Row],[Recuento]]*Tabla5789141516343536[[#This Row],[Volúmen bruto]]</f>
        <v>0</v>
      </c>
      <c r="UB9" s="34">
        <f>+Tabla5789141516343536[[#This Row],[Recuento]]*Tabla5789141516343536[[#This Row],[Área neta]]</f>
        <v>0</v>
      </c>
      <c r="UC9" s="35"/>
      <c r="UD9" s="26"/>
      <c r="UE9" t="s">
        <v>1862</v>
      </c>
      <c r="UF9" t="s">
        <v>1524</v>
      </c>
      <c r="UG9" t="s">
        <v>95</v>
      </c>
      <c r="UH9">
        <v>0.02</v>
      </c>
      <c r="UI9">
        <v>4.58</v>
      </c>
      <c r="UJ9">
        <v>1</v>
      </c>
      <c r="UK9" s="34">
        <f>+Tabla57891415163435363738[[#This Row],[Recuento]]*Tabla57891415163435363738[[#This Row],[Volúmen bruto]]</f>
        <v>0.02</v>
      </c>
      <c r="UL9" s="34">
        <f>+Tabla57891415163435363738[[#This Row],[Recuento]]*Tabla57891415163435363738[[#This Row],[Área neta]]</f>
        <v>4.58</v>
      </c>
      <c r="UM9" s="35"/>
      <c r="UN9" s="26"/>
      <c r="UO9"/>
      <c r="UP9"/>
      <c r="UQ9"/>
      <c r="UR9"/>
      <c r="US9"/>
      <c r="UT9"/>
      <c r="UU9" s="34">
        <f>+Tabla5789141516343536373839[[#This Row],[Recuento]]*Tabla5789141516343536373839[[#This Row],[Volúmen bruto]]</f>
        <v>0</v>
      </c>
      <c r="UV9" s="34">
        <f>+Tabla5789141516343536373839[[#This Row],[Recuento]]*Tabla5789141516343536373839[[#This Row],[Área neta]]</f>
        <v>0</v>
      </c>
      <c r="UW9" s="35"/>
      <c r="UX9" s="26"/>
      <c r="UY9"/>
      <c r="UZ9"/>
      <c r="VA9"/>
      <c r="VB9"/>
      <c r="VC9"/>
      <c r="VD9" s="33"/>
      <c r="VE9" s="34"/>
      <c r="VF9" s="34"/>
      <c r="VG9" s="35"/>
      <c r="VH9" s="26"/>
      <c r="VI9" t="s">
        <v>1862</v>
      </c>
      <c r="VJ9" t="s">
        <v>1524</v>
      </c>
      <c r="VK9" t="s">
        <v>1627</v>
      </c>
      <c r="VL9">
        <v>0.51</v>
      </c>
      <c r="VM9">
        <v>2.54</v>
      </c>
      <c r="VN9">
        <v>1</v>
      </c>
      <c r="VO9" s="34">
        <f>+Tabla57891415163435363738394041[[#This Row],[Recuento]]*Tabla57891415163435363738394041[[#This Row],[Volúmen bruto]]</f>
        <v>0.51</v>
      </c>
      <c r="VP9" s="34">
        <f>+Tabla57891415163435363738394041[[#This Row],[Recuento]]*Tabla57891415163435363738394041[[#This Row],[Área neta]]</f>
        <v>2.54</v>
      </c>
      <c r="VQ9" s="35"/>
      <c r="VR9" s="26"/>
      <c r="VS9"/>
      <c r="VT9"/>
      <c r="VU9"/>
      <c r="VV9"/>
      <c r="VW9"/>
      <c r="VX9"/>
      <c r="VY9" s="34"/>
      <c r="VZ9" s="34"/>
      <c r="WA9" s="35"/>
      <c r="WB9" s="26"/>
      <c r="WC9"/>
      <c r="WD9"/>
      <c r="WE9"/>
      <c r="WF9"/>
      <c r="WG9"/>
      <c r="WH9"/>
      <c r="WI9" s="34">
        <f>+Tabla5789141516343536373839404142[[#This Row],[Recuento]]*Tabla5789141516343536373839404142[[#This Row],[Volúmen bruto]]</f>
        <v>0</v>
      </c>
      <c r="WJ9" s="34">
        <f>+Tabla5789141516343536373839404142[[#This Row],[Recuento]]*Tabla5789141516343536373839404142[[#This Row],[Área neta]]</f>
        <v>0</v>
      </c>
      <c r="WK9" s="35"/>
      <c r="WL9" s="26"/>
      <c r="WM9" t="s">
        <v>1863</v>
      </c>
      <c r="WN9" t="s">
        <v>1525</v>
      </c>
      <c r="WO9" t="s">
        <v>1628</v>
      </c>
      <c r="WP9">
        <v>0.01</v>
      </c>
      <c r="WQ9">
        <v>1.84</v>
      </c>
      <c r="WR9">
        <v>1</v>
      </c>
      <c r="WS9" s="34">
        <f>+Tabla578914151634353637383940414251[[#This Row],[Recuento]]*Tabla578914151634353637383940414251[[#This Row],[Volúmen bruto]]</f>
        <v>0.01</v>
      </c>
      <c r="WT9" s="34">
        <f>+Tabla578914151634353637383940414251[[#This Row],[Recuento]]*Tabla578914151634353637383940414251[[#This Row],[Área neta]]</f>
        <v>1.84</v>
      </c>
      <c r="WU9" s="35">
        <f>+SUM(WT9)</f>
        <v>1.84</v>
      </c>
      <c r="WV9" s="26"/>
      <c r="WW9"/>
      <c r="WX9"/>
      <c r="WY9"/>
      <c r="WZ9"/>
      <c r="XA9"/>
      <c r="XB9"/>
      <c r="XC9" s="34">
        <f>+Tabla57891415163435363738394041425112[[#This Row],[Recuento]]*Tabla57891415163435363738394041425112[[#This Row],[Volúmen bruto]]</f>
        <v>0</v>
      </c>
      <c r="XD9" s="34">
        <f>+Tabla57891415163435363738394041425112[[#This Row],[Recuento]]*Tabla57891415163435363738394041425112[[#This Row],[Área neta]]</f>
        <v>0</v>
      </c>
      <c r="XE9" s="35">
        <f>+SUM(XD9)</f>
        <v>0</v>
      </c>
      <c r="XF9" s="26"/>
      <c r="XG9"/>
      <c r="XH9"/>
      <c r="XI9"/>
      <c r="XJ9"/>
      <c r="XK9"/>
      <c r="XL9"/>
      <c r="XM9" s="34">
        <f>+Tabla578914151634353637383940414243444536[[#This Row],[Recuento]]*Tabla578914151634353637383940414243444536[[#This Row],[Volúmen bruto]]</f>
        <v>0</v>
      </c>
      <c r="XN9" s="34">
        <f>+Tabla578914151634353637383940414243444536[[#This Row],[Recuento]]*Tabla578914151634353637383940414243444536[[#This Row],[Área neta]]</f>
        <v>0</v>
      </c>
      <c r="XO9" s="35"/>
      <c r="XP9" s="26"/>
      <c r="XQ9" t="s">
        <v>1862</v>
      </c>
      <c r="XR9" t="s">
        <v>1524</v>
      </c>
      <c r="XS9" t="s">
        <v>1472</v>
      </c>
      <c r="XT9">
        <v>0</v>
      </c>
      <c r="XU9">
        <v>0.2</v>
      </c>
      <c r="XV9">
        <v>2</v>
      </c>
      <c r="XW9" s="34">
        <f>+Tabla5789141516343536373839404142434445[[#This Row],[Recuento]]*Tabla5789141516343536373839404142434445[[#This Row],[Volúmen bruto]]</f>
        <v>0</v>
      </c>
      <c r="XX9" s="34">
        <f>+Tabla5789141516343536373839404142434445[[#This Row],[Recuento]]*Tabla5789141516343536373839404142434445[[#This Row],[Área neta]]</f>
        <v>0.4</v>
      </c>
      <c r="XY9" s="36"/>
      <c r="XZ9" s="26"/>
      <c r="YA9"/>
      <c r="YB9"/>
      <c r="YC9"/>
      <c r="YD9"/>
      <c r="YE9"/>
      <c r="YF9"/>
      <c r="YG9" s="34">
        <f>+Tabla578914151634353637383940414243444558[[#This Row],[Recuento]]*Tabla578914151634353637383940414243444558[[#This Row],[Volúmen bruto]]</f>
        <v>0</v>
      </c>
      <c r="YH9" s="34">
        <f>+Tabla578914151634353637383940414243444558[[#This Row],[Recuento]]*Tabla578914151634353637383940414243444558[[#This Row],[Área neta]]</f>
        <v>0</v>
      </c>
      <c r="YI9" s="35">
        <f>+SUM(YH9:YH13)</f>
        <v>0</v>
      </c>
      <c r="YJ9">
        <v>3</v>
      </c>
      <c r="YK9" t="s">
        <v>1549</v>
      </c>
      <c r="YL9" t="s">
        <v>1525</v>
      </c>
      <c r="YM9" t="s">
        <v>1719</v>
      </c>
      <c r="YN9">
        <v>3.75</v>
      </c>
      <c r="YO9">
        <f>+Tabla310113[[#This Row],[Longitud de eje]]*YJ9</f>
        <v>11.25</v>
      </c>
      <c r="YQ9"/>
      <c r="YR9"/>
      <c r="YS9"/>
      <c r="YT9"/>
      <c r="YU9"/>
      <c r="YV9" s="33"/>
      <c r="YW9" s="34"/>
      <c r="YX9" s="34"/>
      <c r="YY9" s="35"/>
      <c r="YZ9" s="26"/>
      <c r="ZA9" t="s">
        <v>1863</v>
      </c>
      <c r="ZB9" t="s">
        <v>1524</v>
      </c>
      <c r="ZC9" t="s">
        <v>1485</v>
      </c>
      <c r="ZD9">
        <v>0.09</v>
      </c>
      <c r="ZE9">
        <v>3.16</v>
      </c>
      <c r="ZF9">
        <v>2</v>
      </c>
      <c r="ZG9" s="34">
        <f>+Tabla5789141516343536373839404142434445464748495038[[#This Row],[Recuento]]*Tabla5789141516343536373839404142434445464748495038[[#This Row],[Volúmen bruto]]</f>
        <v>0.18</v>
      </c>
      <c r="ZH9" s="34">
        <f>+Tabla5789141516343536373839404142434445464748495038[[#This Row],[Recuento]]*Tabla5789141516343536373839404142434445464748495038[[#This Row],[Área neta]]</f>
        <v>6.32</v>
      </c>
      <c r="ZI9" s="35"/>
      <c r="ZJ9" s="26"/>
      <c r="ZK9" t="s">
        <v>1862</v>
      </c>
      <c r="ZL9" t="s">
        <v>1525</v>
      </c>
      <c r="ZM9" t="s">
        <v>1485</v>
      </c>
      <c r="ZN9">
        <v>0.5</v>
      </c>
      <c r="ZO9">
        <v>20.059999999999999</v>
      </c>
      <c r="ZP9">
        <v>1</v>
      </c>
      <c r="ZQ9" s="34">
        <f>+Tabla5789141516343536373839404142434445464748495041[[#This Row],[Recuento]]*Tabla5789141516343536373839404142434445464748495041[[#This Row],[Volúmen bruto]]</f>
        <v>0.5</v>
      </c>
      <c r="ZR9" s="34">
        <f>+Tabla5789141516343536373839404142434445464748495041[[#This Row],[Recuento]]*Tabla5789141516343536373839404142434445464748495041[[#This Row],[Área neta]]</f>
        <v>20.059999999999999</v>
      </c>
      <c r="ZS9" s="35"/>
      <c r="ZT9" s="26"/>
      <c r="ZU9" t="s">
        <v>1862</v>
      </c>
      <c r="ZV9" t="s">
        <v>1524</v>
      </c>
      <c r="ZW9" t="s">
        <v>1485</v>
      </c>
      <c r="ZX9">
        <v>0.02</v>
      </c>
      <c r="ZY9">
        <v>0.86</v>
      </c>
      <c r="ZZ9">
        <v>1</v>
      </c>
      <c r="AAA9" s="34">
        <f>+Tabla57891415163435363738394041424344454647484950[[#This Row],[Recuento]]*Tabla57891415163435363738394041424344454647484950[[#This Row],[Volúmen bruto]]</f>
        <v>0.02</v>
      </c>
      <c r="AAB9" s="34">
        <f>+Tabla57891415163435363738394041424344454647484950[[#This Row],[Recuento]]*Tabla57891415163435363738394041424344454647484950[[#This Row],[Área neta]]</f>
        <v>0.86</v>
      </c>
      <c r="AAC9" s="35"/>
      <c r="AAD9" s="26"/>
      <c r="AAE9"/>
      <c r="AAF9"/>
      <c r="AAG9"/>
      <c r="AAH9"/>
      <c r="AAI9"/>
      <c r="AAJ9" s="33">
        <v>1</v>
      </c>
      <c r="AAK9" s="34">
        <v>2.02725</v>
      </c>
      <c r="AAL9" s="34">
        <v>8.109</v>
      </c>
      <c r="AAM9" s="35"/>
      <c r="AAN9" s="26"/>
      <c r="AAO9" t="s">
        <v>1862</v>
      </c>
      <c r="AAP9" t="s">
        <v>1525</v>
      </c>
      <c r="AAQ9" t="s">
        <v>92</v>
      </c>
      <c r="AAR9">
        <v>0.05</v>
      </c>
      <c r="AAS9">
        <v>0.69</v>
      </c>
      <c r="AAT9">
        <v>1</v>
      </c>
      <c r="AAU9" s="34">
        <f>+Tabla5789141516343536373839404142434445464748495051[[#This Row],[Recuento]]*Tabla5789141516343536373839404142434445464748495051[[#This Row],[Volúmen bruto]]</f>
        <v>0.05</v>
      </c>
      <c r="AAV9" s="34">
        <f>+Tabla5789141516343536373839404142434445464748495051[[#This Row],[Recuento]]*Tabla5789141516343536373839404142434445464748495051[[#This Row],[Área neta]]</f>
        <v>0.69</v>
      </c>
      <c r="AAW9" s="36"/>
      <c r="AAX9" s="26"/>
      <c r="AAY9"/>
      <c r="AAZ9"/>
      <c r="ABA9"/>
      <c r="ABB9"/>
      <c r="ABC9"/>
      <c r="ABD9"/>
      <c r="ABE9" s="34">
        <f>+Tabla578914151634353637383940414243444546474849505152[[#This Row],[Recuento]]*Tabla578914151634353637383940414243444546474849505152[[#This Row],[Volúmen bruto]]</f>
        <v>0</v>
      </c>
      <c r="ABF9" s="34">
        <f>+Tabla578914151634353637383940414243444546474849505152[[#This Row],[Recuento]]*Tabla578914151634353637383940414243444546474849505152[[#This Row],[Área neta]]</f>
        <v>0</v>
      </c>
      <c r="ABG9" s="35"/>
      <c r="ABH9" s="26"/>
      <c r="ABI9" t="s">
        <v>1863</v>
      </c>
      <c r="ABJ9" t="s">
        <v>1525</v>
      </c>
      <c r="ABK9" t="s">
        <v>1793</v>
      </c>
      <c r="ABL9">
        <v>0.04</v>
      </c>
      <c r="ABM9">
        <v>2.2000000000000002</v>
      </c>
      <c r="ABN9">
        <v>4</v>
      </c>
      <c r="ABO9" s="34">
        <f>+Tabla57891415163435363738394041424344454647484950515213[[#This Row],[Recuento]]*Tabla57891415163435363738394041424344454647484950515213[[#This Row],[Volúmen bruto]]</f>
        <v>0.16</v>
      </c>
      <c r="ABP9" s="34">
        <f>+Tabla57891415163435363738394041424344454647484950515213[[#This Row],[Recuento]]*Tabla57891415163435363738394041424344454647484950515213[[#This Row],[Área neta]]</f>
        <v>8.8000000000000007</v>
      </c>
      <c r="ABQ9" s="35"/>
      <c r="ABR9" s="26"/>
      <c r="ABS9"/>
      <c r="ABT9"/>
      <c r="ABU9"/>
      <c r="ABV9"/>
      <c r="ABW9"/>
      <c r="ABX9"/>
      <c r="ABY9" s="34">
        <f>+Tabla5789141516343536373839404142434445464748495051521340[[#This Row],[Recuento]]*Tabla5789141516343536373839404142434445464748495051521340[[#This Row],[Volúmen bruto]]</f>
        <v>0</v>
      </c>
      <c r="ABZ9" s="34">
        <f>+Tabla5789141516343536373839404142434445464748495051521340[[#This Row],[Recuento]]*Tabla5789141516343536373839404142434445464748495051521340[[#This Row],[Área neta]]</f>
        <v>0</v>
      </c>
      <c r="ACA9" s="35"/>
      <c r="ACB9" s="26"/>
      <c r="ACC9"/>
      <c r="ACD9"/>
      <c r="ACE9"/>
      <c r="ACF9"/>
      <c r="ACG9"/>
      <c r="ACH9" s="33"/>
      <c r="ACI9" s="34"/>
      <c r="ACJ9" s="34"/>
      <c r="ACK9" s="35"/>
      <c r="ACL9" s="26"/>
      <c r="ACM9"/>
      <c r="ACN9"/>
      <c r="ACO9"/>
      <c r="ACP9"/>
      <c r="ACQ9"/>
      <c r="ACR9" s="33"/>
      <c r="ACS9" s="34"/>
      <c r="ACT9" s="34"/>
      <c r="ACU9" s="35"/>
      <c r="ACV9" s="26"/>
      <c r="ACW9" t="s">
        <v>1234</v>
      </c>
      <c r="ACX9" s="1">
        <v>1</v>
      </c>
      <c r="ACY9" s="2">
        <v>0.7</v>
      </c>
      <c r="ACZ9" s="2">
        <v>1.1299999999999999</v>
      </c>
      <c r="ADA9">
        <v>1</v>
      </c>
      <c r="ADB9" s="2">
        <f t="shared" si="1"/>
        <v>0.79099999999999993</v>
      </c>
      <c r="ADD9" t="s">
        <v>1720</v>
      </c>
      <c r="ADE9">
        <v>2.57</v>
      </c>
      <c r="ADF9">
        <v>2</v>
      </c>
      <c r="ADG9" s="26">
        <f t="shared" ref="ADG9:ADG22" si="3">+ADF9*ADE9</f>
        <v>5.14</v>
      </c>
      <c r="ADH9"/>
      <c r="ADI9"/>
      <c r="ADJ9"/>
      <c r="ADK9"/>
      <c r="ADL9"/>
      <c r="ADM9"/>
      <c r="ADN9">
        <f ca="1">+Tabla578914151634353637383940414243444546474849505152535560[[#This Row],[G. Total]]*Tabla578914151634353637383940414243444546474849505152535560[[#This Row],[Recuento]]</f>
        <v>0</v>
      </c>
      <c r="ADO9" s="36"/>
      <c r="ADP9" s="26"/>
      <c r="ADQ9"/>
      <c r="ADR9"/>
      <c r="ADS9"/>
      <c r="ADT9"/>
      <c r="ADU9"/>
      <c r="ADV9" s="35"/>
      <c r="ADW9" s="35"/>
      <c r="ADX9"/>
      <c r="ADY9"/>
      <c r="ADZ9"/>
      <c r="AEA9"/>
      <c r="AEB9"/>
      <c r="AEC9">
        <f ca="1">+Tabla57891415163435363738394041424344454647484950515253556062[[#This Row],[Total]]*Tabla57891415163435363738394041424344454647484950515253556062[[#This Row],[Recuento]]</f>
        <v>0</v>
      </c>
      <c r="AED9" s="35"/>
      <c r="AEE9" s="26"/>
      <c r="AEF9"/>
      <c r="AEG9"/>
      <c r="AEH9"/>
      <c r="AEI9"/>
      <c r="AEJ9"/>
      <c r="AEK9" s="35"/>
      <c r="AEL9" s="35"/>
      <c r="AEM9" t="s">
        <v>1522</v>
      </c>
      <c r="AEN9" t="s">
        <v>1523</v>
      </c>
      <c r="AEO9" t="s">
        <v>382</v>
      </c>
      <c r="AEP9">
        <v>0.06</v>
      </c>
      <c r="AEQ9">
        <v>1</v>
      </c>
      <c r="AER9">
        <f ca="1">+Tabla5789141516343536373839404142434445464748495051525355606264[[#This Row],[G. Total]]*Tabla5789141516343536373839404142434445464748495051525355606264[[#This Row],[Recuento]]</f>
        <v>0.06</v>
      </c>
      <c r="AES9" s="35"/>
      <c r="AET9" s="26"/>
      <c r="AEU9"/>
      <c r="AEV9"/>
      <c r="AEW9"/>
      <c r="AEX9"/>
      <c r="AEY9"/>
      <c r="AEZ9" s="35"/>
      <c r="AFA9" s="26"/>
      <c r="AFB9"/>
      <c r="AFC9"/>
      <c r="AFD9"/>
      <c r="AFE9"/>
      <c r="AFF9"/>
      <c r="AFG9"/>
      <c r="AFH9" t="s">
        <v>1522</v>
      </c>
      <c r="AFI9" t="s">
        <v>1524</v>
      </c>
      <c r="AFJ9" t="s">
        <v>419</v>
      </c>
      <c r="AFK9">
        <v>0.8</v>
      </c>
      <c r="AFL9">
        <v>1</v>
      </c>
      <c r="AFM9">
        <f ca="1">+Tabla578914151634353637383940414243444546474849505152535560626467[[#This Row],[G. Total]]*Tabla578914151634353637383940414243444546474849505152535560626467[[#This Row],[Recuento]]</f>
        <v>0.8</v>
      </c>
      <c r="AFN9" s="35"/>
      <c r="AFO9" s="26"/>
      <c r="AFP9" s="2" t="s">
        <v>101</v>
      </c>
      <c r="AFQ9" s="2">
        <f>46*2</f>
        <v>92</v>
      </c>
      <c r="AFR9" s="2">
        <f>+((0.4+0.15)*3)+(0.24*2)</f>
        <v>2.13</v>
      </c>
      <c r="AFS9" s="2">
        <f>+AFR9*AFQ9</f>
        <v>195.95999999999998</v>
      </c>
      <c r="AFT9" s="2">
        <v>6</v>
      </c>
      <c r="AFU9" s="2">
        <f>+AFT9*AFQ9</f>
        <v>552</v>
      </c>
      <c r="AFW9" s="2" t="s">
        <v>101</v>
      </c>
      <c r="AFX9" s="2">
        <v>12</v>
      </c>
      <c r="AFY9" s="2">
        <f>+((0.4+0.15)*3)+(0.24*2)</f>
        <v>2.13</v>
      </c>
      <c r="AFZ9" s="2">
        <f>+AFY9*AFX9</f>
        <v>25.56</v>
      </c>
      <c r="AGA9" s="2">
        <v>6</v>
      </c>
      <c r="AGB9" s="2">
        <f>+AGA9*AFX9</f>
        <v>72</v>
      </c>
    </row>
    <row r="10" spans="1:860" ht="15" customHeight="1" x14ac:dyDescent="0.25">
      <c r="A10">
        <v>1</v>
      </c>
      <c r="B10" t="s">
        <v>1862</v>
      </c>
      <c r="C10" t="s">
        <v>1225</v>
      </c>
      <c r="D10" t="s">
        <v>1550</v>
      </c>
      <c r="E10">
        <v>0.09</v>
      </c>
      <c r="F10">
        <v>1.51</v>
      </c>
      <c r="G10"/>
      <c r="H10">
        <f>+Tabla3[[#This Row],[Volúmen neto]]*A10</f>
        <v>0.09</v>
      </c>
      <c r="I10">
        <f>+Tabla3[[#This Row],[Longitud de eje]]*A10</f>
        <v>1.51</v>
      </c>
      <c r="J10"/>
      <c r="K10"/>
      <c r="L10"/>
      <c r="M10"/>
      <c r="N10"/>
      <c r="O10"/>
      <c r="P10"/>
      <c r="Q10"/>
      <c r="R10">
        <f>+Tabla5[[#This Row],[Recuento]]*Tabla5[[#This Row],[Volúmen bruto]]</f>
        <v>0</v>
      </c>
      <c r="S10">
        <f>+Tabla5[[#This Row],[Recuento]]*Tabla5[[#This Row],[Área neta]]</f>
        <v>0</v>
      </c>
      <c r="T10">
        <f>+Tabla5[[#This Row],[Longitud nominal]]*Tabla5[[#This Row],[Recuento]]</f>
        <v>0</v>
      </c>
      <c r="U10" s="26"/>
      <c r="V10"/>
      <c r="W10"/>
      <c r="X10"/>
      <c r="Y10"/>
      <c r="Z10"/>
      <c r="AA10"/>
      <c r="AB10"/>
      <c r="AC10"/>
      <c r="AD10">
        <f>+Tabla522[[#This Row],[Recuento]]*Tabla522[[#This Row],[Volúmen bruto]]</f>
        <v>0</v>
      </c>
      <c r="AE10">
        <f>+Tabla522[[#This Row],[Recuento]]*Tabla522[[#This Row],[Área neta]]</f>
        <v>0</v>
      </c>
      <c r="AF10">
        <f>+Tabla522[[#This Row],[Longitud nominal]]*Tabla522[[#This Row],[Recuento]]</f>
        <v>0</v>
      </c>
      <c r="AG10" s="26">
        <f>+SUM(AE10:AE13)</f>
        <v>0</v>
      </c>
      <c r="AH10"/>
      <c r="AI10"/>
      <c r="AJ10"/>
      <c r="AK10"/>
      <c r="AL10"/>
      <c r="AM10"/>
      <c r="AN10"/>
      <c r="AO10"/>
      <c r="AP10">
        <f>+Tabla52223[[#This Row],[Recuento]]*Tabla52223[[#This Row],[Volúmen bruto]]</f>
        <v>0</v>
      </c>
      <c r="AQ10">
        <f>+Tabla52223[[#This Row],[Recuento]]*Tabla52223[[#This Row],[Área neta]]</f>
        <v>0</v>
      </c>
      <c r="AR10">
        <f>+Tabla52223[[#This Row],[Longitud nominal]]*Tabla52223[[#This Row],[Recuento]]</f>
        <v>0</v>
      </c>
      <c r="AS10" s="26"/>
      <c r="AT10"/>
      <c r="AU10"/>
      <c r="AV10"/>
      <c r="AW10"/>
      <c r="AX10"/>
      <c r="AY10"/>
      <c r="AZ10"/>
      <c r="BA10"/>
      <c r="BB10">
        <f>+Tabla5222329[[#This Row],[Recuento]]*Tabla5222329[[#This Row],[Volúmen bruto]]</f>
        <v>0</v>
      </c>
      <c r="BC10">
        <f>+Tabla5222329[[#This Row],[Recuento]]*Tabla5222329[[#This Row],[Área neta]]</f>
        <v>0</v>
      </c>
      <c r="BD10">
        <f>+Tabla5222329[[#This Row],[Longitud nominal]]*Tabla5222329[[#This Row],[Recuento]]</f>
        <v>0</v>
      </c>
      <c r="BE10" s="26"/>
      <c r="BF10">
        <v>2</v>
      </c>
      <c r="BG10" t="s">
        <v>1862</v>
      </c>
      <c r="BH10" t="s">
        <v>1524</v>
      </c>
      <c r="BI10" t="s">
        <v>1406</v>
      </c>
      <c r="BJ10">
        <v>11</v>
      </c>
      <c r="BK10">
        <v>11.5</v>
      </c>
      <c r="BL10">
        <f>+Tabla3102[[#This Row],[En culmo]]*BF10</f>
        <v>23</v>
      </c>
      <c r="BM10"/>
      <c r="BN10"/>
      <c r="BO10"/>
      <c r="BP10"/>
      <c r="BQ10"/>
      <c r="BR10"/>
      <c r="BS10">
        <v>2</v>
      </c>
      <c r="BT10">
        <f>+Tabla31069[[#This Row],[En culmo]]*BN10</f>
        <v>0</v>
      </c>
      <c r="BU10"/>
      <c r="BV10">
        <v>5</v>
      </c>
      <c r="BW10" t="s">
        <v>1862</v>
      </c>
      <c r="BX10" t="s">
        <v>1525</v>
      </c>
      <c r="BY10" t="s">
        <v>1406</v>
      </c>
      <c r="BZ10">
        <v>5.26</v>
      </c>
      <c r="CA10">
        <v>5.5</v>
      </c>
      <c r="CB10">
        <f>+Tabla31011[[#This Row],[En culmo]]*BV10</f>
        <v>27.5</v>
      </c>
      <c r="CD10">
        <v>3</v>
      </c>
      <c r="CE10" t="s">
        <v>1862</v>
      </c>
      <c r="CF10" t="s">
        <v>1525</v>
      </c>
      <c r="CG10" t="s">
        <v>1405</v>
      </c>
      <c r="CH10">
        <v>2.0499999999999998</v>
      </c>
      <c r="CI10">
        <v>2.5</v>
      </c>
      <c r="CJ10">
        <f>+Tabla3101170[[#This Row],[En culmo]]*CD10</f>
        <v>7.5</v>
      </c>
      <c r="CK10"/>
      <c r="CL10">
        <v>4</v>
      </c>
      <c r="CM10" t="s">
        <v>1862</v>
      </c>
      <c r="CN10" t="s">
        <v>1383</v>
      </c>
      <c r="CO10" t="s">
        <v>1406</v>
      </c>
      <c r="CP10">
        <v>7.21</v>
      </c>
      <c r="CQ10" s="26">
        <v>7.5</v>
      </c>
      <c r="CR10">
        <f>+Tabla31011116[[#This Row],[En culmo]]*CT10</f>
        <v>15</v>
      </c>
      <c r="CT10">
        <v>2</v>
      </c>
      <c r="CU10" t="s">
        <v>1862</v>
      </c>
      <c r="CV10" t="s">
        <v>1383</v>
      </c>
      <c r="CW10" t="s">
        <v>1405</v>
      </c>
      <c r="CX10">
        <v>1.66</v>
      </c>
      <c r="CY10">
        <v>3</v>
      </c>
      <c r="CZ10">
        <f>+Tabla3101170117[[#This Row],[En culmo]]*CT10</f>
        <v>6</v>
      </c>
      <c r="DA10"/>
      <c r="DB10">
        <v>6</v>
      </c>
      <c r="DC10" t="s">
        <v>1862</v>
      </c>
      <c r="DD10" t="s">
        <v>1383</v>
      </c>
      <c r="DE10" t="s">
        <v>1723</v>
      </c>
      <c r="DF10">
        <v>0.56000000000000005</v>
      </c>
      <c r="DG10">
        <f>+Tabla31011704[[#This Row],[Longitud de eje]]*DB10</f>
        <v>3.3600000000000003</v>
      </c>
      <c r="DH10"/>
      <c r="DI10">
        <v>2</v>
      </c>
      <c r="DJ10" t="s">
        <v>1862</v>
      </c>
      <c r="DK10" t="s">
        <v>1383</v>
      </c>
      <c r="DL10" t="s">
        <v>1720</v>
      </c>
      <c r="DM10">
        <v>0.57999999999999996</v>
      </c>
      <c r="DN10">
        <v>1</v>
      </c>
      <c r="DO10">
        <f t="shared" si="2"/>
        <v>2</v>
      </c>
      <c r="DP10">
        <v>2</v>
      </c>
      <c r="DQ10" t="s">
        <v>1862</v>
      </c>
      <c r="DR10" t="s">
        <v>1383</v>
      </c>
      <c r="DS10" t="s">
        <v>1740</v>
      </c>
      <c r="DT10">
        <v>0.57999999999999996</v>
      </c>
      <c r="DU10">
        <f>+Tabla3101170411120[[#This Row],[Longitud de eje]]*DP10</f>
        <v>1.1599999999999999</v>
      </c>
      <c r="DV10"/>
      <c r="DW10"/>
      <c r="DX10"/>
      <c r="DY10"/>
      <c r="DZ10"/>
      <c r="EA10"/>
      <c r="EB10">
        <f>+Tabla3101170411120122[[#This Row],[Longitud de eje]]*DW10</f>
        <v>0</v>
      </c>
      <c r="EC10"/>
      <c r="ED10">
        <v>6</v>
      </c>
      <c r="EE10" t="s">
        <v>1862</v>
      </c>
      <c r="EF10" t="s">
        <v>1524</v>
      </c>
      <c r="EG10" t="s">
        <v>1406</v>
      </c>
      <c r="EH10">
        <v>1.92</v>
      </c>
      <c r="EI10">
        <v>2.5</v>
      </c>
      <c r="EJ10">
        <f>+Tabla3101112[[#This Row],[En culmo]]*ED10</f>
        <v>15</v>
      </c>
      <c r="EK10"/>
      <c r="EL10"/>
      <c r="EM10"/>
      <c r="EN10"/>
      <c r="EO10"/>
      <c r="EP10"/>
      <c r="EQ10"/>
      <c r="ER10">
        <f>+Tabla3101112123[[#This Row],[En culmo]]*EL10</f>
        <v>0</v>
      </c>
      <c r="ES10"/>
      <c r="ET10">
        <v>1</v>
      </c>
      <c r="EU10" t="s">
        <v>1862</v>
      </c>
      <c r="EV10" t="s">
        <v>1525</v>
      </c>
      <c r="EW10" t="s">
        <v>1406</v>
      </c>
      <c r="EX10">
        <v>1.78</v>
      </c>
      <c r="EY10">
        <v>2</v>
      </c>
      <c r="EZ10">
        <f>+Tabla310111257[[#This Row],[En culmo]]*ET10</f>
        <v>2</v>
      </c>
      <c r="FA10"/>
      <c r="FB10"/>
      <c r="FC10"/>
      <c r="FD10"/>
      <c r="FE10"/>
      <c r="FF10"/>
      <c r="FG10">
        <v>1</v>
      </c>
      <c r="FH10">
        <f>+Tabla310111257124[[#This Row],[En culmo]]*FB10</f>
        <v>0</v>
      </c>
      <c r="FI10"/>
      <c r="FJ10"/>
      <c r="FK10"/>
      <c r="FL10"/>
      <c r="FM10"/>
      <c r="FN10"/>
      <c r="FO10"/>
      <c r="FP10">
        <f>+Tabla310111213115[[#This Row],[Volúmen]]*FJ10</f>
        <v>0</v>
      </c>
      <c r="FQ10">
        <f>+Tabla310111213115[[#This Row],[Longitud del eje]]*FJ10</f>
        <v>0</v>
      </c>
      <c r="FR10"/>
      <c r="FS10"/>
      <c r="FT10"/>
      <c r="FU10"/>
      <c r="FV10"/>
      <c r="FW10"/>
      <c r="FX10">
        <f>+Tabla31011121311554[[#This Row],[Volúmen]]*FR10</f>
        <v>0</v>
      </c>
      <c r="FY10">
        <f>+Tabla31011121311554[[#This Row],[Longitud del eje]]*FR10</f>
        <v>0</v>
      </c>
      <c r="FZ10">
        <v>1</v>
      </c>
      <c r="GA10" t="s">
        <v>1862</v>
      </c>
      <c r="GB10" t="s">
        <v>1524</v>
      </c>
      <c r="GC10" t="s">
        <v>1584</v>
      </c>
      <c r="GD10">
        <v>0.01</v>
      </c>
      <c r="GE10">
        <v>0.4</v>
      </c>
      <c r="GF10">
        <f>+Tabla3101112131157[[#This Row],[Volúmen]]*FZ10</f>
        <v>0.01</v>
      </c>
      <c r="GG10">
        <f>+Tabla3101112131157[[#This Row],[Longitud del eje]]*FZ10</f>
        <v>0.4</v>
      </c>
      <c r="GI10"/>
      <c r="GJ10"/>
      <c r="GK10"/>
      <c r="GL10"/>
      <c r="GM10"/>
      <c r="GN10"/>
      <c r="GO10"/>
      <c r="GQ10" t="s">
        <v>1862</v>
      </c>
      <c r="GR10" t="s">
        <v>1383</v>
      </c>
      <c r="GS10" t="s">
        <v>1628</v>
      </c>
      <c r="GT10">
        <v>0.12</v>
      </c>
      <c r="GU10">
        <v>19.760000000000002</v>
      </c>
      <c r="GV10">
        <v>1</v>
      </c>
      <c r="GW10">
        <f>+Tabla578914[[#This Row],[Recuento]]*Tabla578914[[#This Row],[Volúmen bruto]]</f>
        <v>0.12</v>
      </c>
      <c r="GX10">
        <f>+Tabla578914[[#This Row],[Recuento]]*Tabla578914[[#This Row],[Área neta]]</f>
        <v>19.760000000000002</v>
      </c>
      <c r="GY10" s="36"/>
      <c r="HA10" t="s">
        <v>1862</v>
      </c>
      <c r="HB10" t="s">
        <v>1383</v>
      </c>
      <c r="HC10" t="s">
        <v>97</v>
      </c>
      <c r="HD10">
        <v>0.06</v>
      </c>
      <c r="HE10">
        <v>9.93</v>
      </c>
      <c r="HF10">
        <v>1</v>
      </c>
      <c r="HG10">
        <f>+Tabla578914126[[#This Row],[Recuento]]*Tabla578914126[[#This Row],[Volúmen bruto]]</f>
        <v>0.06</v>
      </c>
      <c r="HH10">
        <f>+Tabla578914126[[#This Row],[Recuento]]*Tabla578914126[[#This Row],[Área neta]]</f>
        <v>9.93</v>
      </c>
      <c r="HI10" s="35">
        <f>+SUM(HH10:HH15)+SUM(HH31:HH33)</f>
        <v>87.280000000000015</v>
      </c>
      <c r="HK10" t="s">
        <v>1862</v>
      </c>
      <c r="HL10" t="s">
        <v>1383</v>
      </c>
      <c r="HM10" t="s">
        <v>97</v>
      </c>
      <c r="HN10">
        <v>0.03</v>
      </c>
      <c r="HO10">
        <v>4.66</v>
      </c>
      <c r="HP10">
        <v>1</v>
      </c>
      <c r="HQ10">
        <f>+Tabla578914126127[[#This Row],[Recuento]]*Tabla578914126127[[#This Row],[Volúmen bruto]]</f>
        <v>0.03</v>
      </c>
      <c r="HR10">
        <f>+Tabla578914126127[[#This Row],[Recuento]]*Tabla578914126127[[#This Row],[Área neta]]</f>
        <v>4.66</v>
      </c>
      <c r="HS10" s="36"/>
      <c r="HT10" s="26"/>
      <c r="HU10" t="s">
        <v>1862</v>
      </c>
      <c r="HV10" t="s">
        <v>1383</v>
      </c>
      <c r="HW10" t="s">
        <v>1773</v>
      </c>
      <c r="HX10">
        <v>0.15</v>
      </c>
      <c r="HY10">
        <v>2.97</v>
      </c>
      <c r="HZ10">
        <v>1</v>
      </c>
      <c r="IA10">
        <f>+Tabla57891418[[#This Row],[Volúmen bruto]]*Tabla57891418[[#This Row],[Recuento]]</f>
        <v>0.15</v>
      </c>
      <c r="IB10">
        <f>+Tabla57891418[[#This Row],[Área neta]]*Tabla57891418[[#This Row],[Recuento]]</f>
        <v>2.97</v>
      </c>
      <c r="IC10" s="36"/>
      <c r="ID10" s="26"/>
      <c r="IE10"/>
      <c r="IF10"/>
      <c r="IG10"/>
      <c r="IH10"/>
      <c r="II10"/>
      <c r="IJ10"/>
      <c r="IK10"/>
      <c r="IL10"/>
      <c r="IM10" s="36"/>
      <c r="IN10" s="26"/>
      <c r="IO10"/>
      <c r="IP10"/>
      <c r="IQ10"/>
      <c r="IR10"/>
      <c r="IS10"/>
      <c r="IT10"/>
      <c r="IU10">
        <f>+Tabla520212223[[#This Row],[Recuento]]*Tabla520212223[[#This Row],[Volúmen bruto]]</f>
        <v>0</v>
      </c>
      <c r="IV10">
        <f>+Tabla520212223[[#This Row],[Recuento]]*Tabla520212223[[#This Row],[Área neta]]</f>
        <v>0</v>
      </c>
      <c r="IW10" s="26">
        <f t="shared" si="0"/>
        <v>0</v>
      </c>
      <c r="IY10"/>
      <c r="IZ10"/>
      <c r="JA10"/>
      <c r="JB10"/>
      <c r="JC10"/>
      <c r="JD10"/>
      <c r="JE10">
        <f>+Tabla520212224[[#This Row],[Recuento]]*Tabla520212224[[#This Row],[Volúmen bruto]]</f>
        <v>0</v>
      </c>
      <c r="JF10">
        <f>+Tabla520212224[[#This Row],[Recuento]]*Tabla520212224[[#This Row],[Área neta]]</f>
        <v>0</v>
      </c>
      <c r="JG10" s="26"/>
      <c r="JI10" t="s">
        <v>1862</v>
      </c>
      <c r="JJ10" t="s">
        <v>1525</v>
      </c>
      <c r="JK10" t="s">
        <v>1628</v>
      </c>
      <c r="JL10">
        <v>0.22</v>
      </c>
      <c r="JM10">
        <v>11</v>
      </c>
      <c r="JN10">
        <v>4</v>
      </c>
      <c r="JO10">
        <f>+Tabla52021222425[[#This Row],[Recuento]]*Tabla52021222425[[#This Row],[Volúmen bruto]]</f>
        <v>0.88</v>
      </c>
      <c r="JP10">
        <f>+Tabla52021222425[[#This Row],[Recuento]]*Tabla52021222425[[#This Row],[Área neta]]</f>
        <v>44</v>
      </c>
      <c r="JQ10" s="26"/>
      <c r="JS10" t="s">
        <v>1862</v>
      </c>
      <c r="JT10" t="s">
        <v>1525</v>
      </c>
      <c r="JU10" t="s">
        <v>1628</v>
      </c>
      <c r="JV10">
        <v>0.06</v>
      </c>
      <c r="JW10">
        <v>2.33</v>
      </c>
      <c r="JX10">
        <v>2</v>
      </c>
      <c r="JY10">
        <f>+Tabla5202122242526[[#This Row],[Recuento]]*Tabla5202122242526[[#This Row],[Volúmen bruto]]</f>
        <v>0.12</v>
      </c>
      <c r="JZ10">
        <f>+Tabla5202122242526[[#This Row],[Recuento]]*Tabla5202122242526[[#This Row],[Área neta]]</f>
        <v>4.66</v>
      </c>
      <c r="KA10" s="26"/>
      <c r="KC10"/>
      <c r="KD10"/>
      <c r="KE10"/>
      <c r="KF10"/>
      <c r="KG10"/>
      <c r="KH10"/>
      <c r="KI10">
        <f>+Tabla5202122242526104[[#This Row],[Recuento]]*Tabla5202122242526104[[#This Row],[Volúmen bruto]]</f>
        <v>0</v>
      </c>
      <c r="KJ10">
        <f>+Tabla5202122242526104[[#This Row],[Recuento]]*Tabla5202122242526104[[#This Row],[Área neta]]</f>
        <v>0</v>
      </c>
      <c r="KK10" s="26"/>
      <c r="KM10" t="s">
        <v>1862</v>
      </c>
      <c r="KN10" t="s">
        <v>1525</v>
      </c>
      <c r="KO10" t="s">
        <v>1628</v>
      </c>
      <c r="KP10">
        <v>0.1</v>
      </c>
      <c r="KQ10">
        <v>4.96</v>
      </c>
      <c r="KR10">
        <v>1</v>
      </c>
      <c r="KS10">
        <f>+Tabla5202122242526104110[[#This Row],[Recuento]]*Tabla5202122242526104110[[#This Row],[Volúmen bruto]]</f>
        <v>0.1</v>
      </c>
      <c r="KT10">
        <f>+Tabla5202122242526104110[[#This Row],[Recuento]]*Tabla5202122242526104110[[#This Row],[Área neta]]</f>
        <v>4.96</v>
      </c>
      <c r="KU10" s="26"/>
      <c r="KW10" t="s">
        <v>1862</v>
      </c>
      <c r="KX10" t="s">
        <v>1524</v>
      </c>
      <c r="KY10" t="s">
        <v>97</v>
      </c>
      <c r="KZ10">
        <v>0.04</v>
      </c>
      <c r="LA10">
        <v>2.1800000000000002</v>
      </c>
      <c r="LB10">
        <v>1</v>
      </c>
      <c r="LC10">
        <f>+Tabla520212224252659[[#This Row],[Recuento]]*Tabla520212224252659[[#This Row],[Volúmen bruto]]</f>
        <v>0.04</v>
      </c>
      <c r="LD10">
        <f>+Tabla520212224252659[[#This Row],[Recuento]]*Tabla520212224252659[[#This Row],[Área neta]]</f>
        <v>2.1800000000000002</v>
      </c>
      <c r="LE10" s="415"/>
      <c r="LG10"/>
      <c r="LH10"/>
      <c r="LI10"/>
      <c r="LJ10"/>
      <c r="LK10"/>
      <c r="LL10"/>
      <c r="LM10">
        <f>+Tabla520212224252659111[[#This Row],[Recuento]]*Tabla520212224252659111[[#This Row],[Volúmen bruto]]</f>
        <v>0</v>
      </c>
      <c r="LN10">
        <f>+Tabla520212224252659111[[#This Row],[Recuento]]*Tabla520212224252659111[[#This Row],[Área neta]]</f>
        <v>0</v>
      </c>
      <c r="LO10" s="26"/>
      <c r="LQ10" t="s">
        <v>1863</v>
      </c>
      <c r="LR10" t="s">
        <v>1524</v>
      </c>
      <c r="LS10" t="s">
        <v>98</v>
      </c>
      <c r="LT10">
        <v>0</v>
      </c>
      <c r="LU10">
        <v>2.27</v>
      </c>
      <c r="LV10">
        <v>2</v>
      </c>
      <c r="LW10">
        <f>+Tabla520212224252659111114[[#This Row],[Recuento]]*Tabla520212224252659111114[[#This Row],[Volúmen bruto]]</f>
        <v>0</v>
      </c>
      <c r="LX10">
        <f>+Tabla520212224252659111114[[#This Row],[Recuento]]*Tabla520212224252659111114[[#This Row],[Área neta]]</f>
        <v>4.54</v>
      </c>
      <c r="LY10" s="26">
        <f>+SUM(LX10:LX11)</f>
        <v>8.9400000000000013</v>
      </c>
      <c r="MA10" t="s">
        <v>1862</v>
      </c>
      <c r="MB10" t="s">
        <v>1525</v>
      </c>
      <c r="MC10" t="s">
        <v>1628</v>
      </c>
      <c r="MD10">
        <v>0.23</v>
      </c>
      <c r="ME10">
        <v>6.19</v>
      </c>
      <c r="MF10">
        <v>1</v>
      </c>
      <c r="MG10">
        <f>+Tabla520212224252659111114128[[#This Row],[Recuento]]*Tabla520212224252659111114128[[#This Row],[Volúmen bruto]]</f>
        <v>0.23</v>
      </c>
      <c r="MH10">
        <f>+Tabla520212224252659111114128[[#This Row],[Recuento]]*Tabla520212224252659111114128[[#This Row],[Área neta]]</f>
        <v>6.19</v>
      </c>
      <c r="MI10" s="26"/>
      <c r="MK10" t="s">
        <v>1862</v>
      </c>
      <c r="ML10" t="s">
        <v>1525</v>
      </c>
      <c r="MM10" t="s">
        <v>98</v>
      </c>
      <c r="MN10">
        <v>0</v>
      </c>
      <c r="MO10">
        <v>1</v>
      </c>
      <c r="MP10">
        <v>1</v>
      </c>
      <c r="MQ10">
        <f>+Tabla520212224252627[[#This Row],[Recuento]]*Tabla520212224252627[[#This Row],[Volúmen bruto]]</f>
        <v>0</v>
      </c>
      <c r="MR10">
        <f>+Tabla520212224252627[[#This Row],[Recuento]]*Tabla520212224252627[[#This Row],[Área neta]]</f>
        <v>1</v>
      </c>
      <c r="MS10" s="26">
        <f>+SUM(MR10:MR11)</f>
        <v>2.81</v>
      </c>
      <c r="MU10" t="s">
        <v>1549</v>
      </c>
      <c r="MV10" t="s">
        <v>1525</v>
      </c>
      <c r="MW10" t="s">
        <v>95</v>
      </c>
      <c r="MX10">
        <v>0</v>
      </c>
      <c r="MY10">
        <v>0.05</v>
      </c>
      <c r="MZ10">
        <v>2</v>
      </c>
      <c r="NA10">
        <f>+Tabla520212224252627129[[#This Row],[Recuento]]*Tabla520212224252627129[[#This Row],[Volúmen bruto]]</f>
        <v>0</v>
      </c>
      <c r="NB10">
        <f>+Tabla520212224252627129[[#This Row],[Recuento]]*Tabla520212224252627129[[#This Row],[Área neta]]</f>
        <v>0.1</v>
      </c>
      <c r="NC10" s="26">
        <f>+SUM(NB10:NB15)</f>
        <v>0.91999999999999993</v>
      </c>
      <c r="NE10" t="s">
        <v>1549</v>
      </c>
      <c r="NF10" t="s">
        <v>1525</v>
      </c>
      <c r="NG10" t="s">
        <v>1781</v>
      </c>
      <c r="NH10">
        <v>0</v>
      </c>
      <c r="NI10">
        <v>0.05</v>
      </c>
      <c r="NJ10">
        <v>2</v>
      </c>
      <c r="NK10">
        <f>+Tabla520212224252627129125[[#This Row],[Recuento]]*Tabla520212224252627129125[[#This Row],[Volúmen bruto]]</f>
        <v>0</v>
      </c>
      <c r="NL10">
        <f>+Tabla520212224252627129125[[#This Row],[Recuento]]*Tabla520212224252627129125[[#This Row],[Área neta]]</f>
        <v>0.1</v>
      </c>
      <c r="NM10" s="26">
        <f>+SUM(NL10)</f>
        <v>0.1</v>
      </c>
      <c r="NO10" t="s">
        <v>1549</v>
      </c>
      <c r="NP10" t="s">
        <v>1525</v>
      </c>
      <c r="NQ10" t="s">
        <v>97</v>
      </c>
      <c r="NR10">
        <v>0.01</v>
      </c>
      <c r="NS10">
        <v>0.3</v>
      </c>
      <c r="NT10">
        <v>1</v>
      </c>
      <c r="NU10">
        <f>+Tabla520212224252627129125130[[#This Row],[Recuento]]*Tabla520212224252627129125130[[#This Row],[Volúmen bruto]]</f>
        <v>0.01</v>
      </c>
      <c r="NV10">
        <f>+Tabla520212224252627129125130[[#This Row],[Recuento]]*Tabla520212224252627129125130[[#This Row],[Área neta]]</f>
        <v>0.3</v>
      </c>
      <c r="NW10" s="26"/>
      <c r="NY10" t="s">
        <v>1549</v>
      </c>
      <c r="NZ10" t="s">
        <v>1525</v>
      </c>
      <c r="OA10" t="s">
        <v>98</v>
      </c>
      <c r="OB10">
        <v>0</v>
      </c>
      <c r="OC10">
        <v>1.64</v>
      </c>
      <c r="OD10">
        <v>1</v>
      </c>
      <c r="OE10">
        <f>+Tabla520212224252627129125130131[[#This Row],[Recuento]]*Tabla520212224252627129125130131[[#This Row],[Volúmen bruto]]</f>
        <v>0</v>
      </c>
      <c r="OF10">
        <f>+Tabla520212224252627129125130131[[#This Row],[Recuento]]*Tabla520212224252627129125130131[[#This Row],[Área neta]]</f>
        <v>1.64</v>
      </c>
      <c r="OG10" s="26">
        <f>+SUM(OF10:OF11)</f>
        <v>2.31</v>
      </c>
      <c r="OI10" t="s">
        <v>1549</v>
      </c>
      <c r="OJ10" t="s">
        <v>1525</v>
      </c>
      <c r="OK10" t="s">
        <v>95</v>
      </c>
      <c r="OL10">
        <v>0</v>
      </c>
      <c r="OM10">
        <v>0.04</v>
      </c>
      <c r="ON10">
        <v>2</v>
      </c>
      <c r="OO10">
        <f>+Tabla520212224252627129125130131132[[#This Row],[Recuento]]*Tabla520212224252627129125130131132[[#This Row],[Volúmen bruto]]</f>
        <v>0</v>
      </c>
      <c r="OP10">
        <f>+Tabla520212224252627129125130131132[[#This Row],[Recuento]]*Tabla520212224252627129125130131132[[#This Row],[Área neta]]</f>
        <v>0.08</v>
      </c>
      <c r="OQ10" s="26">
        <f>+SUM(OO10:OO15)</f>
        <v>0</v>
      </c>
      <c r="OS10"/>
      <c r="OT10"/>
      <c r="OU10"/>
      <c r="OV10"/>
      <c r="OW10"/>
      <c r="OX10"/>
      <c r="OY10">
        <f>+Tabla52021222425262728[[#This Row],[Recuento]]*Tabla52021222425262728[[#This Row],[Volúmen bruto]]</f>
        <v>0</v>
      </c>
      <c r="OZ10">
        <f>+Tabla52021222425262728[[#This Row],[Recuento]]*Tabla52021222425262728[[#This Row],[Área neta]]</f>
        <v>0</v>
      </c>
      <c r="PA10" s="26"/>
      <c r="PC10" t="s">
        <v>1862</v>
      </c>
      <c r="PD10" t="s">
        <v>1525</v>
      </c>
      <c r="PE10" t="s">
        <v>1788</v>
      </c>
      <c r="PF10">
        <v>0</v>
      </c>
      <c r="PG10">
        <v>0.8</v>
      </c>
      <c r="PH10">
        <v>1</v>
      </c>
      <c r="PI10">
        <f>+Tabla52021222425262728133[[#This Row],[Recuento]]*Tabla52021222425262728133[[#This Row],[Volúmen bruto]]</f>
        <v>0</v>
      </c>
      <c r="PJ10">
        <f>+Tabla52021222425262728133[[#This Row],[Recuento]]*Tabla52021222425262728133[[#This Row],[Área neta]]</f>
        <v>0.8</v>
      </c>
      <c r="PK10" s="26"/>
      <c r="PM10" t="s">
        <v>1862</v>
      </c>
      <c r="PN10" t="s">
        <v>1525</v>
      </c>
      <c r="PO10" t="s">
        <v>1680</v>
      </c>
      <c r="PP10">
        <v>0.03</v>
      </c>
      <c r="PQ10">
        <v>4.87</v>
      </c>
      <c r="PR10">
        <v>1</v>
      </c>
      <c r="PS10">
        <f>+Tabla5202122242526272893[[#This Row],[Recuento]]*Tabla5202122242526272893[[#This Row],[Volúmen bruto]]</f>
        <v>0.03</v>
      </c>
      <c r="PT10">
        <f>+Tabla5202122242526272893[[#This Row],[Recuento]]*Tabla5202122242526272893[[#This Row],[Área neta]]</f>
        <v>4.87</v>
      </c>
      <c r="PU10" s="26">
        <f>+SUM(PT10)</f>
        <v>4.87</v>
      </c>
      <c r="PW10" t="s">
        <v>1862</v>
      </c>
      <c r="PX10" t="s">
        <v>1525</v>
      </c>
      <c r="PY10" t="s">
        <v>1628</v>
      </c>
      <c r="PZ10">
        <v>0.05</v>
      </c>
      <c r="QA10">
        <v>2.33</v>
      </c>
      <c r="QB10">
        <v>1</v>
      </c>
      <c r="QC10">
        <f>+Tabla520212224252627289349[[#This Row],[Recuento]]*Tabla520212224252627289349[[#This Row],[Volúmen bruto]]</f>
        <v>0.05</v>
      </c>
      <c r="QD10">
        <f>+Tabla520212224252627289349[[#This Row],[Recuento]]*Tabla520212224252627289349[[#This Row],[Área neta]]</f>
        <v>2.33</v>
      </c>
      <c r="QE10" s="26">
        <f>+SUM(QD10:QD20)</f>
        <v>20.499999999999996</v>
      </c>
      <c r="QG10" t="s">
        <v>1549</v>
      </c>
      <c r="QH10" t="s">
        <v>1525</v>
      </c>
      <c r="QI10" t="s">
        <v>99</v>
      </c>
      <c r="QJ10">
        <v>0</v>
      </c>
      <c r="QK10">
        <v>1.48</v>
      </c>
      <c r="QL10">
        <v>1</v>
      </c>
      <c r="QM10">
        <f>+Tabla520212224252627289349134[[#This Row],[Recuento]]*Tabla520212224252627289349134[[#This Row],[Volúmen bruto]]</f>
        <v>0</v>
      </c>
      <c r="QN10">
        <f>+Tabla520212224252627289349134[[#This Row],[Recuento]]*Tabla520212224252627289349134[[#This Row],[Área neta]]</f>
        <v>1.48</v>
      </c>
      <c r="QO10" s="26">
        <f>+SUM(QN10)</f>
        <v>1.48</v>
      </c>
      <c r="QQ10" t="s">
        <v>1862</v>
      </c>
      <c r="QR10" t="s">
        <v>1524</v>
      </c>
      <c r="QS10" t="s">
        <v>1726</v>
      </c>
      <c r="QT10">
        <v>0.59</v>
      </c>
      <c r="QU10">
        <v>2.97</v>
      </c>
      <c r="QV10">
        <v>2</v>
      </c>
      <c r="QW10">
        <v>1</v>
      </c>
      <c r="QX10">
        <f>+Tabla5202122242526272829[[#This Row],[Recuento]]*Tabla5202122242526272829[[#This Row],[Volúmen bruto]]</f>
        <v>0.59</v>
      </c>
      <c r="QY10">
        <f>+Tabla5202122242526272829[[#This Row],[Recuento]]*Tabla5202122242526272829[[#This Row],[Área neta]]</f>
        <v>2.97</v>
      </c>
      <c r="QZ10">
        <f>+Tabla5202122242526272829[[#This Row],[Recuento]]*Tabla5202122242526272829[[#This Row],[Longitud]]</f>
        <v>2</v>
      </c>
      <c r="RA10" s="26"/>
      <c r="RC10" t="s">
        <v>1549</v>
      </c>
      <c r="RD10" t="s">
        <v>1524</v>
      </c>
      <c r="RE10" t="s">
        <v>98</v>
      </c>
      <c r="RF10">
        <v>0</v>
      </c>
      <c r="RG10">
        <v>0.93</v>
      </c>
      <c r="RH10">
        <v>1</v>
      </c>
      <c r="RI10">
        <f>+Tabla520212224252627283132[[#This Row],[Recuento]]*Tabla520212224252627283132[[#This Row],[Volúmen bruto]]</f>
        <v>0</v>
      </c>
      <c r="RJ10">
        <f>+Tabla520212224252627283132[[#This Row],[Recuento]]*Tabla520212224252627283132[[#This Row],[Área neta]]</f>
        <v>0.93</v>
      </c>
      <c r="RK10" s="26"/>
      <c r="RM10"/>
      <c r="RN10"/>
      <c r="RO10"/>
      <c r="RP10"/>
      <c r="RQ10"/>
      <c r="RR10"/>
      <c r="RS10">
        <f>+Tabla5202122242526272831329[[#This Row],[Recuento]]*Tabla5202122242526272831329[[#This Row],[Volúmen bruto]]</f>
        <v>0</v>
      </c>
      <c r="RT10">
        <f>+Tabla5202122242526272831329[[#This Row],[Recuento]]*Tabla5202122242526272831329[[#This Row],[Área neta]]</f>
        <v>0</v>
      </c>
      <c r="RU10" s="26"/>
      <c r="RW10"/>
      <c r="RX10"/>
      <c r="RY10"/>
      <c r="RZ10"/>
      <c r="SA10"/>
      <c r="SB10"/>
      <c r="SC10">
        <f>+Tabla52021222425262728313233[[#This Row],[Recuento]]*Tabla52021222425262728313233[[#This Row],[Volúmen bruto]]</f>
        <v>0</v>
      </c>
      <c r="SD10">
        <f>+Tabla52021222425262728313233[[#This Row],[Recuento]]*Tabla52021222425262728313233[[#This Row],[Área neta]]</f>
        <v>0</v>
      </c>
      <c r="SE10" s="26"/>
      <c r="SG10"/>
      <c r="SH10"/>
      <c r="SI10"/>
      <c r="SJ10"/>
      <c r="SK10"/>
      <c r="SL10"/>
      <c r="SM10">
        <f>+Tabla5202122242526272831323314[[#This Row],[Recuento]]*Tabla5202122242526272831323314[[#This Row],[Volúmen bruto]]</f>
        <v>0</v>
      </c>
      <c r="SN10">
        <f>+Tabla5202122242526272831323314[[#This Row],[Recuento]]*Tabla5202122242526272831323314[[#This Row],[Área neta]]</f>
        <v>0</v>
      </c>
      <c r="SO10" s="26"/>
      <c r="SQ10" t="s">
        <v>1862</v>
      </c>
      <c r="SR10" t="s">
        <v>1524</v>
      </c>
      <c r="SS10" t="s">
        <v>94</v>
      </c>
      <c r="ST10">
        <v>0.88</v>
      </c>
      <c r="SU10">
        <v>8.81</v>
      </c>
      <c r="SV10">
        <v>1</v>
      </c>
      <c r="SW10" s="34">
        <f>+Tabla5789141516[[#This Row],[Recuento]]*Tabla5789141516[[#This Row],[Volúmen bruto]]</f>
        <v>0.88</v>
      </c>
      <c r="SX10" s="34">
        <f>+Tabla5789141516[[#This Row],[Recuento]]*Tabla5789141516[[#This Row],[Área neta]]</f>
        <v>8.81</v>
      </c>
      <c r="SY10" s="35"/>
      <c r="SZ10" s="26"/>
      <c r="TA10"/>
      <c r="TB10"/>
      <c r="TC10"/>
      <c r="TD10"/>
      <c r="TE10"/>
      <c r="TF10"/>
      <c r="TG10" s="34">
        <f>+Tabla578914151634[[#This Row],[Recuento]]*Tabla578914151634[[#This Row],[Volúmen bruto]]</f>
        <v>0</v>
      </c>
      <c r="TH10" s="34">
        <f>+Tabla578914151634[[#This Row],[Recuento]]*Tabla578914151634[[#This Row],[Área neta]]</f>
        <v>0</v>
      </c>
      <c r="TI10" s="35"/>
      <c r="TJ10" s="26"/>
      <c r="TK10" t="s">
        <v>1862</v>
      </c>
      <c r="TL10" t="s">
        <v>1525</v>
      </c>
      <c r="TM10" t="s">
        <v>94</v>
      </c>
      <c r="TN10">
        <v>3.96</v>
      </c>
      <c r="TO10">
        <v>49.53</v>
      </c>
      <c r="TP10">
        <v>1</v>
      </c>
      <c r="TQ10" s="34">
        <f>+Tabla57891415163435[[#This Row],[Recuento]]*Tabla57891415163435[[#This Row],[Volúmen bruto]]</f>
        <v>3.96</v>
      </c>
      <c r="TR10" s="34">
        <f>+Tabla57891415163435[[#This Row],[Recuento]]*Tabla57891415163435[[#This Row],[Área neta]]</f>
        <v>49.53</v>
      </c>
      <c r="TS10" s="36"/>
      <c r="TT10" s="26"/>
      <c r="TU10"/>
      <c r="TV10"/>
      <c r="TW10"/>
      <c r="TX10"/>
      <c r="TY10"/>
      <c r="TZ10"/>
      <c r="UA10" s="34">
        <f>+Tabla5789141516343536[[#This Row],[Recuento]]*Tabla5789141516343536[[#This Row],[Volúmen bruto]]</f>
        <v>0</v>
      </c>
      <c r="UB10" s="34">
        <f>+Tabla5789141516343536[[#This Row],[Recuento]]*Tabla5789141516343536[[#This Row],[Área neta]]</f>
        <v>0</v>
      </c>
      <c r="UC10" s="35"/>
      <c r="UD10" s="26"/>
      <c r="UE10" t="s">
        <v>1862</v>
      </c>
      <c r="UF10" t="s">
        <v>1524</v>
      </c>
      <c r="UG10" t="s">
        <v>1627</v>
      </c>
      <c r="UH10">
        <v>1.39</v>
      </c>
      <c r="UI10">
        <v>6.93</v>
      </c>
      <c r="UJ10">
        <v>1</v>
      </c>
      <c r="UK10" s="34">
        <f>+Tabla57891415163435363738[[#This Row],[Recuento]]*Tabla57891415163435363738[[#This Row],[Volúmen bruto]]</f>
        <v>1.39</v>
      </c>
      <c r="UL10" s="34">
        <f>+Tabla57891415163435363738[[#This Row],[Recuento]]*Tabla57891415163435363738[[#This Row],[Área neta]]</f>
        <v>6.93</v>
      </c>
      <c r="UM10" s="35">
        <f>+SUM(UK10:UK12)</f>
        <v>2.56</v>
      </c>
      <c r="UN10" s="26"/>
      <c r="UO10"/>
      <c r="UP10"/>
      <c r="UQ10"/>
      <c r="UR10"/>
      <c r="US10"/>
      <c r="UT10"/>
      <c r="UU10" s="34">
        <f>+Tabla5789141516343536373839[[#This Row],[Recuento]]*Tabla5789141516343536373839[[#This Row],[Volúmen bruto]]</f>
        <v>0</v>
      </c>
      <c r="UV10" s="34">
        <f>+Tabla5789141516343536373839[[#This Row],[Recuento]]*Tabla5789141516343536373839[[#This Row],[Área neta]]</f>
        <v>0</v>
      </c>
      <c r="UW10" s="35">
        <f>+SUM(UV10:UV15)</f>
        <v>0</v>
      </c>
      <c r="UX10" s="26"/>
      <c r="UY10"/>
      <c r="UZ10"/>
      <c r="VA10"/>
      <c r="VB10"/>
      <c r="VC10"/>
      <c r="VD10" s="33"/>
      <c r="VE10" s="34"/>
      <c r="VF10" s="34"/>
      <c r="VG10" s="35"/>
      <c r="VH10" s="26"/>
      <c r="VI10" t="s">
        <v>1862</v>
      </c>
      <c r="VJ10" t="s">
        <v>1524</v>
      </c>
      <c r="VK10" t="s">
        <v>1631</v>
      </c>
      <c r="VL10">
        <v>0.01</v>
      </c>
      <c r="VM10">
        <v>0.89</v>
      </c>
      <c r="VN10">
        <v>1</v>
      </c>
      <c r="VO10" s="34">
        <f>+Tabla57891415163435363738394041[[#This Row],[Recuento]]*Tabla57891415163435363738394041[[#This Row],[Volúmen bruto]]</f>
        <v>0.01</v>
      </c>
      <c r="VP10" s="34">
        <f>+Tabla57891415163435363738394041[[#This Row],[Recuento]]*Tabla57891415163435363738394041[[#This Row],[Área neta]]</f>
        <v>0.89</v>
      </c>
      <c r="VQ10" s="35">
        <f>+SUM(VP10:VP11)</f>
        <v>3.43</v>
      </c>
      <c r="VR10" s="26"/>
      <c r="VS10"/>
      <c r="VT10"/>
      <c r="VU10"/>
      <c r="VV10"/>
      <c r="VW10"/>
      <c r="VX10"/>
      <c r="VY10" s="34"/>
      <c r="VZ10" s="34"/>
      <c r="WA10" s="35"/>
      <c r="WB10" s="26"/>
      <c r="WC10"/>
      <c r="WD10"/>
      <c r="WE10"/>
      <c r="WF10"/>
      <c r="WG10"/>
      <c r="WH10"/>
      <c r="WI10" s="34">
        <f>+Tabla5789141516343536373839404142[[#This Row],[Recuento]]*Tabla5789141516343536373839404142[[#This Row],[Volúmen bruto]]</f>
        <v>0</v>
      </c>
      <c r="WJ10" s="34">
        <f>+Tabla5789141516343536373839404142[[#This Row],[Recuento]]*Tabla5789141516343536373839404142[[#This Row],[Área neta]]</f>
        <v>0</v>
      </c>
      <c r="WK10" s="35">
        <f>+SUM(WJ10:WJ11)</f>
        <v>0</v>
      </c>
      <c r="WL10" s="26"/>
      <c r="WM10" t="s">
        <v>1863</v>
      </c>
      <c r="WN10" t="s">
        <v>1525</v>
      </c>
      <c r="WO10" t="s">
        <v>95</v>
      </c>
      <c r="WP10">
        <v>0.01</v>
      </c>
      <c r="WQ10">
        <v>1.84</v>
      </c>
      <c r="WR10">
        <v>1</v>
      </c>
      <c r="WS10" s="34">
        <f>+Tabla578914151634353637383940414251[[#This Row],[Recuento]]*Tabla578914151634353637383940414251[[#This Row],[Volúmen bruto]]</f>
        <v>0.01</v>
      </c>
      <c r="WT10" s="34">
        <f>+Tabla578914151634353637383940414251[[#This Row],[Recuento]]*Tabla578914151634353637383940414251[[#This Row],[Área neta]]</f>
        <v>1.84</v>
      </c>
      <c r="WU10" s="35">
        <f>+SUM(WT10)</f>
        <v>1.84</v>
      </c>
      <c r="WV10" s="26"/>
      <c r="WW10"/>
      <c r="WX10"/>
      <c r="WY10"/>
      <c r="WZ10"/>
      <c r="XA10"/>
      <c r="XB10"/>
      <c r="XC10" s="34">
        <f>+Tabla57891415163435363738394041425112[[#This Row],[Recuento]]*Tabla57891415163435363738394041425112[[#This Row],[Volúmen bruto]]</f>
        <v>0</v>
      </c>
      <c r="XD10" s="34">
        <f>+Tabla57891415163435363738394041425112[[#This Row],[Recuento]]*Tabla57891415163435363738394041425112[[#This Row],[Área neta]]</f>
        <v>0</v>
      </c>
      <c r="XE10" s="35">
        <f>+SUM(XD10)</f>
        <v>0</v>
      </c>
      <c r="XF10" s="26"/>
      <c r="XG10"/>
      <c r="XH10"/>
      <c r="XI10"/>
      <c r="XJ10"/>
      <c r="XK10"/>
      <c r="XL10"/>
      <c r="XM10" s="34">
        <f>+Tabla578914151634353637383940414243444536[[#This Row],[Recuento]]*Tabla578914151634353637383940414243444536[[#This Row],[Volúmen bruto]]</f>
        <v>0</v>
      </c>
      <c r="XN10" s="34">
        <f>+Tabla578914151634353637383940414243444536[[#This Row],[Recuento]]*Tabla578914151634353637383940414243444536[[#This Row],[Área neta]]</f>
        <v>0</v>
      </c>
      <c r="XO10" s="36"/>
      <c r="XP10" s="26"/>
      <c r="XQ10" t="s">
        <v>1862</v>
      </c>
      <c r="XR10" t="s">
        <v>1524</v>
      </c>
      <c r="XS10" t="s">
        <v>1472</v>
      </c>
      <c r="XT10">
        <v>0.01</v>
      </c>
      <c r="XU10">
        <v>1.06</v>
      </c>
      <c r="XV10">
        <v>1</v>
      </c>
      <c r="XW10" s="34">
        <f>+Tabla5789141516343536373839404142434445[[#This Row],[Recuento]]*Tabla5789141516343536373839404142434445[[#This Row],[Volúmen bruto]]</f>
        <v>0.01</v>
      </c>
      <c r="XX10" s="34">
        <f>+Tabla5789141516343536373839404142434445[[#This Row],[Recuento]]*Tabla5789141516343536373839404142434445[[#This Row],[Área neta]]</f>
        <v>1.06</v>
      </c>
      <c r="XY10" s="35"/>
      <c r="XZ10" s="26"/>
      <c r="YA10"/>
      <c r="YB10"/>
      <c r="YC10"/>
      <c r="YD10"/>
      <c r="YE10"/>
      <c r="YF10"/>
      <c r="YG10" s="34">
        <f>+Tabla578914151634353637383940414243444558[[#This Row],[Recuento]]*Tabla578914151634353637383940414243444558[[#This Row],[Volúmen bruto]]</f>
        <v>0</v>
      </c>
      <c r="YH10" s="34">
        <f>+Tabla578914151634353637383940414243444558[[#This Row],[Recuento]]*Tabla578914151634353637383940414243444558[[#This Row],[Área neta]]</f>
        <v>0</v>
      </c>
      <c r="YI10" s="35"/>
      <c r="YJ10">
        <v>6</v>
      </c>
      <c r="YK10" t="s">
        <v>1549</v>
      </c>
      <c r="YL10" t="s">
        <v>1525</v>
      </c>
      <c r="YM10" t="s">
        <v>1719</v>
      </c>
      <c r="YN10">
        <v>3.7</v>
      </c>
      <c r="YO10">
        <f>+Tabla310113[[#This Row],[Longitud de eje]]*YJ10</f>
        <v>22.200000000000003</v>
      </c>
      <c r="YQ10"/>
      <c r="YR10"/>
      <c r="YS10"/>
      <c r="YT10"/>
      <c r="YU10"/>
      <c r="YV10" s="33"/>
      <c r="YW10" s="34"/>
      <c r="YX10" s="34"/>
      <c r="YY10" s="35"/>
      <c r="YZ10" s="26"/>
      <c r="ZA10" t="s">
        <v>1863</v>
      </c>
      <c r="ZB10" t="s">
        <v>1524</v>
      </c>
      <c r="ZC10" t="s">
        <v>1485</v>
      </c>
      <c r="ZD10">
        <v>0.24</v>
      </c>
      <c r="ZE10">
        <v>8.15</v>
      </c>
      <c r="ZF10">
        <v>2</v>
      </c>
      <c r="ZG10" s="34">
        <f>+Tabla5789141516343536373839404142434445464748495038[[#This Row],[Recuento]]*Tabla5789141516343536373839404142434445464748495038[[#This Row],[Volúmen bruto]]</f>
        <v>0.48</v>
      </c>
      <c r="ZH10" s="34">
        <f>+Tabla5789141516343536373839404142434445464748495038[[#This Row],[Recuento]]*Tabla5789141516343536373839404142434445464748495038[[#This Row],[Área neta]]</f>
        <v>16.3</v>
      </c>
      <c r="ZI10" s="35"/>
      <c r="ZJ10" s="26"/>
      <c r="ZK10" t="s">
        <v>1862</v>
      </c>
      <c r="ZL10" t="s">
        <v>1525</v>
      </c>
      <c r="ZM10" t="s">
        <v>1485</v>
      </c>
      <c r="ZN10">
        <v>0.52</v>
      </c>
      <c r="ZO10">
        <v>20.81</v>
      </c>
      <c r="ZP10">
        <v>1</v>
      </c>
      <c r="ZQ10" s="34">
        <f>+Tabla5789141516343536373839404142434445464748495041[[#This Row],[Recuento]]*Tabla5789141516343536373839404142434445464748495041[[#This Row],[Volúmen bruto]]</f>
        <v>0.52</v>
      </c>
      <c r="ZR10" s="34">
        <f>+Tabla5789141516343536373839404142434445464748495041[[#This Row],[Recuento]]*Tabla5789141516343536373839404142434445464748495041[[#This Row],[Área neta]]</f>
        <v>20.81</v>
      </c>
      <c r="ZS10" s="35"/>
      <c r="ZT10" s="26"/>
      <c r="ZU10" t="s">
        <v>1862</v>
      </c>
      <c r="ZV10" t="s">
        <v>1524</v>
      </c>
      <c r="ZW10" t="s">
        <v>1633</v>
      </c>
      <c r="ZX10">
        <v>0</v>
      </c>
      <c r="ZY10">
        <v>0.34</v>
      </c>
      <c r="ZZ10">
        <v>1</v>
      </c>
      <c r="AAA10" s="34">
        <f>+Tabla57891415163435363738394041424344454647484950[[#This Row],[Recuento]]*Tabla57891415163435363738394041424344454647484950[[#This Row],[Volúmen bruto]]</f>
        <v>0</v>
      </c>
      <c r="AAB10" s="34">
        <f>+Tabla57891415163435363738394041424344454647484950[[#This Row],[Recuento]]*Tabla57891415163435363738394041424344454647484950[[#This Row],[Área neta]]</f>
        <v>0.34</v>
      </c>
      <c r="AAC10" s="35">
        <f>+SUM(AAB10:AAB15)</f>
        <v>1.8599999999999999</v>
      </c>
      <c r="AAD10" s="26"/>
      <c r="AAE10"/>
      <c r="AAF10"/>
      <c r="AAG10"/>
      <c r="AAH10"/>
      <c r="AAI10"/>
      <c r="AAJ10" s="33">
        <v>1</v>
      </c>
      <c r="AAK10" s="34">
        <v>0.20777999999999999</v>
      </c>
      <c r="AAL10" s="34">
        <v>3.4630000000000001</v>
      </c>
      <c r="AAM10" s="35">
        <f>+SUM(AAL10:AAL15)</f>
        <v>22.238</v>
      </c>
      <c r="AAN10" s="26"/>
      <c r="AAO10" t="s">
        <v>1862</v>
      </c>
      <c r="AAP10" t="s">
        <v>1525</v>
      </c>
      <c r="AAQ10" t="s">
        <v>92</v>
      </c>
      <c r="AAR10">
        <v>0.05</v>
      </c>
      <c r="AAS10">
        <v>0.7</v>
      </c>
      <c r="AAT10">
        <v>2</v>
      </c>
      <c r="AAU10" s="34">
        <f>+Tabla5789141516343536373839404142434445464748495051[[#This Row],[Recuento]]*Tabla5789141516343536373839404142434445464748495051[[#This Row],[Volúmen bruto]]</f>
        <v>0.1</v>
      </c>
      <c r="AAV10" s="34">
        <f>+Tabla5789141516343536373839404142434445464748495051[[#This Row],[Recuento]]*Tabla5789141516343536373839404142434445464748495051[[#This Row],[Área neta]]</f>
        <v>1.4</v>
      </c>
      <c r="AAW10" s="35"/>
      <c r="AAX10" s="26"/>
      <c r="AAY10"/>
      <c r="AAZ10"/>
      <c r="ABA10"/>
      <c r="ABB10"/>
      <c r="ABC10"/>
      <c r="ABD10"/>
      <c r="ABE10" s="34">
        <f>+Tabla578914151634353637383940414243444546474849505152[[#This Row],[Recuento]]*Tabla578914151634353637383940414243444546474849505152[[#This Row],[Volúmen bruto]]</f>
        <v>0</v>
      </c>
      <c r="ABF10" s="34">
        <f>+Tabla578914151634353637383940414243444546474849505152[[#This Row],[Recuento]]*Tabla578914151634353637383940414243444546474849505152[[#This Row],[Área neta]]</f>
        <v>0</v>
      </c>
      <c r="ABG10" s="35"/>
      <c r="ABH10" s="26"/>
      <c r="ABI10"/>
      <c r="ABJ10"/>
      <c r="ABK10"/>
      <c r="ABL10"/>
      <c r="ABM10"/>
      <c r="ABN10"/>
      <c r="ABO10" s="34">
        <f>+Tabla57891415163435363738394041424344454647484950515213[[#This Row],[Recuento]]*Tabla57891415163435363738394041424344454647484950515213[[#This Row],[Volúmen bruto]]</f>
        <v>0</v>
      </c>
      <c r="ABP10" s="34">
        <f>+Tabla57891415163435363738394041424344454647484950515213[[#This Row],[Recuento]]*Tabla57891415163435363738394041424344454647484950515213[[#This Row],[Área neta]]</f>
        <v>0</v>
      </c>
      <c r="ABQ10" s="35"/>
      <c r="ABR10" s="26"/>
      <c r="ABS10"/>
      <c r="ABT10"/>
      <c r="ABU10"/>
      <c r="ABV10"/>
      <c r="ABW10"/>
      <c r="ABX10"/>
      <c r="ABY10" s="34">
        <f>+Tabla5789141516343536373839404142434445464748495051521340[[#This Row],[Recuento]]*Tabla5789141516343536373839404142434445464748495051521340[[#This Row],[Volúmen bruto]]</f>
        <v>0</v>
      </c>
      <c r="ABZ10" s="34">
        <f>+Tabla5789141516343536373839404142434445464748495051521340[[#This Row],[Recuento]]*Tabla5789141516343536373839404142434445464748495051521340[[#This Row],[Área neta]]</f>
        <v>0</v>
      </c>
      <c r="ACA10" s="35"/>
      <c r="ACB10" s="26"/>
      <c r="ACC10"/>
      <c r="ACD10"/>
      <c r="ACE10"/>
      <c r="ACF10"/>
      <c r="ACG10"/>
      <c r="ACH10" s="33"/>
      <c r="ACI10" s="34"/>
      <c r="ACJ10" s="34"/>
      <c r="ACK10" s="35"/>
      <c r="ACL10" s="26"/>
      <c r="ACM10"/>
      <c r="ACN10"/>
      <c r="ACO10"/>
      <c r="ACP10"/>
      <c r="ACQ10"/>
      <c r="ACR10" s="33"/>
      <c r="ACS10" s="34"/>
      <c r="ACT10" s="34"/>
      <c r="ACU10" s="35"/>
      <c r="ACV10" s="26"/>
      <c r="ACW10" t="s">
        <v>1235</v>
      </c>
      <c r="ACX10" s="1">
        <v>1</v>
      </c>
      <c r="ACY10" s="2">
        <v>0.95</v>
      </c>
      <c r="ACZ10" s="2">
        <v>0.7</v>
      </c>
      <c r="ADA10">
        <v>2</v>
      </c>
      <c r="ADB10" s="2">
        <f t="shared" si="1"/>
        <v>1.3299999999999998</v>
      </c>
      <c r="ADD10" t="s">
        <v>1720</v>
      </c>
      <c r="ADE10">
        <v>3.85</v>
      </c>
      <c r="ADF10">
        <v>5</v>
      </c>
      <c r="ADG10" s="26">
        <f t="shared" si="3"/>
        <v>19.25</v>
      </c>
      <c r="ADH10"/>
      <c r="ADI10"/>
      <c r="ADJ10"/>
      <c r="ADK10"/>
      <c r="ADL10"/>
      <c r="ADM10"/>
      <c r="ADN10">
        <f ca="1">+Tabla578914151634353637383940414243444546474849505152535560[[#This Row],[G. Total]]*Tabla578914151634353637383940414243444546474849505152535560[[#This Row],[Recuento]]</f>
        <v>0</v>
      </c>
      <c r="ADO10" s="35"/>
      <c r="ADP10" s="26"/>
      <c r="ADQ10"/>
      <c r="ADR10"/>
      <c r="ADS10"/>
      <c r="ADT10"/>
      <c r="ADU10"/>
      <c r="ADV10" s="35"/>
      <c r="ADW10" s="35"/>
      <c r="ADX10"/>
      <c r="ADY10"/>
      <c r="ADZ10"/>
      <c r="AEA10"/>
      <c r="AEB10"/>
      <c r="AEC10">
        <f ca="1">+Tabla57891415163435363738394041424344454647484950515253556062[[#This Row],[Total]]*Tabla57891415163435363738394041424344454647484950515253556062[[#This Row],[Recuento]]</f>
        <v>0</v>
      </c>
      <c r="AED10" s="35">
        <f ca="1">+SUM(AEC10:AEC16)</f>
        <v>0</v>
      </c>
      <c r="AEE10" s="26"/>
      <c r="AEF10"/>
      <c r="AEG10"/>
      <c r="AEH10"/>
      <c r="AEI10"/>
      <c r="AEJ10"/>
      <c r="AEK10" s="35"/>
      <c r="AEL10" s="35"/>
      <c r="AEM10" t="s">
        <v>1522</v>
      </c>
      <c r="AEN10" t="s">
        <v>1523</v>
      </c>
      <c r="AEO10" t="s">
        <v>382</v>
      </c>
      <c r="AEP10">
        <v>0.56999999999999995</v>
      </c>
      <c r="AEQ10">
        <v>1</v>
      </c>
      <c r="AER10">
        <f ca="1">+Tabla5789141516343536373839404142434445464748495051525355606264[[#This Row],[G. Total]]*Tabla5789141516343536373839404142434445464748495051525355606264[[#This Row],[Recuento]]</f>
        <v>0.56999999999999995</v>
      </c>
      <c r="AES10" s="35"/>
      <c r="AET10" s="26"/>
      <c r="AEU10"/>
      <c r="AEV10"/>
      <c r="AEW10"/>
      <c r="AEX10"/>
      <c r="AEY10"/>
      <c r="AEZ10" s="35"/>
      <c r="AFA10" s="26"/>
      <c r="AFB10"/>
      <c r="AFC10"/>
      <c r="AFD10"/>
      <c r="AFE10"/>
      <c r="AFF10"/>
      <c r="AFG10"/>
      <c r="AFH10" t="s">
        <v>1522</v>
      </c>
      <c r="AFI10" t="s">
        <v>1524</v>
      </c>
      <c r="AFJ10" t="s">
        <v>419</v>
      </c>
      <c r="AFK10">
        <v>0.56999999999999995</v>
      </c>
      <c r="AFL10">
        <v>2</v>
      </c>
      <c r="AFM10">
        <f ca="1">+Tabla578914151634353637383940414243444546474849505152535560626467[[#This Row],[G. Total]]*Tabla578914151634353637383940414243444546474849505152535560626467[[#This Row],[Recuento]]</f>
        <v>1.1399999999999999</v>
      </c>
      <c r="AFN10" s="35"/>
      <c r="AFO10" s="26"/>
      <c r="AFP10" s="2" t="s">
        <v>102</v>
      </c>
      <c r="AFW10" s="2" t="s">
        <v>102</v>
      </c>
    </row>
    <row r="11" spans="1:860" ht="15" customHeight="1" x14ac:dyDescent="0.25">
      <c r="A11">
        <v>1</v>
      </c>
      <c r="B11" t="s">
        <v>1862</v>
      </c>
      <c r="C11" t="s">
        <v>1225</v>
      </c>
      <c r="D11" t="s">
        <v>1550</v>
      </c>
      <c r="E11">
        <v>0.38</v>
      </c>
      <c r="F11">
        <v>6.39</v>
      </c>
      <c r="G11"/>
      <c r="H11">
        <f>+Tabla3[[#This Row],[Volúmen neto]]*A11</f>
        <v>0.38</v>
      </c>
      <c r="I11">
        <f>+Tabla3[[#This Row],[Longitud de eje]]*A11</f>
        <v>6.39</v>
      </c>
      <c r="J11"/>
      <c r="K11"/>
      <c r="L11"/>
      <c r="M11"/>
      <c r="N11"/>
      <c r="O11"/>
      <c r="P11"/>
      <c r="Q11"/>
      <c r="R11">
        <f>+Tabla5[[#This Row],[Recuento]]*Tabla5[[#This Row],[Volúmen bruto]]</f>
        <v>0</v>
      </c>
      <c r="S11">
        <f>+Tabla5[[#This Row],[Recuento]]*Tabla5[[#This Row],[Área neta]]</f>
        <v>0</v>
      </c>
      <c r="T11">
        <f>+Tabla5[[#This Row],[Longitud nominal]]*Tabla5[[#This Row],[Recuento]]</f>
        <v>0</v>
      </c>
      <c r="U11" s="26"/>
      <c r="V11"/>
      <c r="W11"/>
      <c r="X11"/>
      <c r="Y11"/>
      <c r="Z11"/>
      <c r="AA11"/>
      <c r="AB11"/>
      <c r="AC11"/>
      <c r="AD11">
        <f>+Tabla522[[#This Row],[Recuento]]*Tabla522[[#This Row],[Volúmen bruto]]</f>
        <v>0</v>
      </c>
      <c r="AE11">
        <f>+Tabla522[[#This Row],[Recuento]]*Tabla522[[#This Row],[Área neta]]</f>
        <v>0</v>
      </c>
      <c r="AF11">
        <f>+Tabla522[[#This Row],[Longitud nominal]]*Tabla522[[#This Row],[Recuento]]</f>
        <v>0</v>
      </c>
      <c r="AG11" s="26"/>
      <c r="AH11"/>
      <c r="AI11"/>
      <c r="AJ11"/>
      <c r="AK11"/>
      <c r="AL11"/>
      <c r="AM11"/>
      <c r="AN11"/>
      <c r="AO11"/>
      <c r="AP11">
        <f>+Tabla52223[[#This Row],[Recuento]]*Tabla52223[[#This Row],[Volúmen bruto]]</f>
        <v>0</v>
      </c>
      <c r="AQ11">
        <f>+Tabla52223[[#This Row],[Recuento]]*Tabla52223[[#This Row],[Área neta]]</f>
        <v>0</v>
      </c>
      <c r="AR11">
        <f>+Tabla52223[[#This Row],[Longitud nominal]]*Tabla52223[[#This Row],[Recuento]]</f>
        <v>0</v>
      </c>
      <c r="AS11" s="26"/>
      <c r="AT11"/>
      <c r="AU11"/>
      <c r="AV11"/>
      <c r="AW11"/>
      <c r="AX11"/>
      <c r="AY11"/>
      <c r="AZ11"/>
      <c r="BA11"/>
      <c r="BB11">
        <f>+Tabla5222329[[#This Row],[Recuento]]*Tabla5222329[[#This Row],[Volúmen bruto]]</f>
        <v>0</v>
      </c>
      <c r="BC11">
        <f>+Tabla5222329[[#This Row],[Recuento]]*Tabla5222329[[#This Row],[Área neta]]</f>
        <v>0</v>
      </c>
      <c r="BD11">
        <f>+Tabla5222329[[#This Row],[Longitud nominal]]*Tabla5222329[[#This Row],[Recuento]]</f>
        <v>0</v>
      </c>
      <c r="BE11" s="26"/>
      <c r="BF11">
        <v>2</v>
      </c>
      <c r="BG11" t="s">
        <v>1862</v>
      </c>
      <c r="BH11" t="s">
        <v>1524</v>
      </c>
      <c r="BI11" t="s">
        <v>1406</v>
      </c>
      <c r="BJ11">
        <v>3.17</v>
      </c>
      <c r="BK11">
        <v>3.5</v>
      </c>
      <c r="BL11">
        <f>+Tabla3102[[#This Row],[En culmo]]*BF11</f>
        <v>7</v>
      </c>
      <c r="BM11"/>
      <c r="BN11"/>
      <c r="BO11"/>
      <c r="BP11"/>
      <c r="BQ11"/>
      <c r="BR11"/>
      <c r="BS11">
        <v>6.5</v>
      </c>
      <c r="BT11">
        <f>+Tabla31069[[#This Row],[En culmo]]*BN11</f>
        <v>0</v>
      </c>
      <c r="BU11"/>
      <c r="BV11">
        <v>6</v>
      </c>
      <c r="BW11" t="s">
        <v>1862</v>
      </c>
      <c r="BX11" t="s">
        <v>1525</v>
      </c>
      <c r="BY11" t="s">
        <v>1406</v>
      </c>
      <c r="BZ11">
        <v>2.52</v>
      </c>
      <c r="CA11">
        <v>3</v>
      </c>
      <c r="CB11">
        <f>+Tabla31011[[#This Row],[En culmo]]*BV11</f>
        <v>18</v>
      </c>
      <c r="CD11">
        <v>4</v>
      </c>
      <c r="CE11" t="s">
        <v>1862</v>
      </c>
      <c r="CF11" t="s">
        <v>1525</v>
      </c>
      <c r="CG11" t="s">
        <v>1405</v>
      </c>
      <c r="CH11">
        <v>3</v>
      </c>
      <c r="CI11">
        <v>3.5</v>
      </c>
      <c r="CJ11">
        <f>+Tabla3101170[[#This Row],[En culmo]]*CD11</f>
        <v>14</v>
      </c>
      <c r="CK11"/>
      <c r="CL11">
        <v>2</v>
      </c>
      <c r="CM11" t="s">
        <v>1862</v>
      </c>
      <c r="CN11" t="s">
        <v>1383</v>
      </c>
      <c r="CO11" t="s">
        <v>1406</v>
      </c>
      <c r="CP11">
        <v>1.95</v>
      </c>
      <c r="CQ11" s="26">
        <v>2.5</v>
      </c>
      <c r="CR11">
        <f>+Tabla31011116[[#This Row],[En culmo]]*CT11</f>
        <v>5</v>
      </c>
      <c r="CT11">
        <v>2</v>
      </c>
      <c r="CU11" t="s">
        <v>1862</v>
      </c>
      <c r="CV11" t="s">
        <v>1383</v>
      </c>
      <c r="CW11" t="s">
        <v>1405</v>
      </c>
      <c r="CX11">
        <v>2.48</v>
      </c>
      <c r="CY11">
        <v>4</v>
      </c>
      <c r="CZ11">
        <f>+Tabla3101170117[[#This Row],[En culmo]]*CT11</f>
        <v>8</v>
      </c>
      <c r="DA11"/>
      <c r="DB11">
        <v>4</v>
      </c>
      <c r="DC11" t="s">
        <v>1862</v>
      </c>
      <c r="DD11" t="s">
        <v>1383</v>
      </c>
      <c r="DE11" t="s">
        <v>1723</v>
      </c>
      <c r="DF11">
        <v>0.56999999999999995</v>
      </c>
      <c r="DG11">
        <f>+Tabla31011704[[#This Row],[Longitud de eje]]*DB11</f>
        <v>2.2799999999999998</v>
      </c>
      <c r="DH11"/>
      <c r="DI11"/>
      <c r="DJ11"/>
      <c r="DK11"/>
      <c r="DL11"/>
      <c r="DM11"/>
      <c r="DN11">
        <f>+Tabla3101170411[[#This Row],[Longitud de eje]]*DI11</f>
        <v>0</v>
      </c>
      <c r="DO11"/>
      <c r="DP11"/>
      <c r="DQ11"/>
      <c r="DR11"/>
      <c r="DS11"/>
      <c r="DT11"/>
      <c r="DU11">
        <f>+Tabla3101170411120[[#This Row],[Longitud de eje]]*DP11</f>
        <v>0</v>
      </c>
      <c r="DV11"/>
      <c r="DW11"/>
      <c r="DX11"/>
      <c r="DY11"/>
      <c r="DZ11"/>
      <c r="EA11"/>
      <c r="EB11">
        <f>+Tabla3101170411120122[[#This Row],[Longitud de eje]]*DW11</f>
        <v>0</v>
      </c>
      <c r="EC11"/>
      <c r="ED11">
        <v>2</v>
      </c>
      <c r="EE11" t="s">
        <v>1862</v>
      </c>
      <c r="EF11" t="s">
        <v>1524</v>
      </c>
      <c r="EG11" t="s">
        <v>1406</v>
      </c>
      <c r="EH11">
        <v>0.51</v>
      </c>
      <c r="EI11">
        <v>1</v>
      </c>
      <c r="EJ11">
        <f>+Tabla3101112[[#This Row],[En culmo]]*ED11</f>
        <v>2</v>
      </c>
      <c r="EK11"/>
      <c r="EL11"/>
      <c r="EM11"/>
      <c r="EN11"/>
      <c r="EO11"/>
      <c r="EP11"/>
      <c r="EQ11"/>
      <c r="ER11">
        <f>+Tabla3101112123[[#This Row],[En culmo]]*EL11</f>
        <v>0</v>
      </c>
      <c r="ES11"/>
      <c r="ET11">
        <v>7</v>
      </c>
      <c r="EU11" t="s">
        <v>1862</v>
      </c>
      <c r="EV11" t="s">
        <v>1525</v>
      </c>
      <c r="EW11" t="s">
        <v>1406</v>
      </c>
      <c r="EX11">
        <v>0.55000000000000004</v>
      </c>
      <c r="EY11">
        <v>1</v>
      </c>
      <c r="EZ11">
        <f>+Tabla310111257[[#This Row],[En culmo]]*ET11</f>
        <v>7</v>
      </c>
      <c r="FA11"/>
      <c r="FB11"/>
      <c r="FC11"/>
      <c r="FD11"/>
      <c r="FE11"/>
      <c r="FF11"/>
      <c r="FG11">
        <v>1</v>
      </c>
      <c r="FH11">
        <f>+Tabla310111257124[[#This Row],[En culmo]]*FB11</f>
        <v>0</v>
      </c>
      <c r="FI11"/>
      <c r="FJ11"/>
      <c r="FK11"/>
      <c r="FL11"/>
      <c r="FM11"/>
      <c r="FN11"/>
      <c r="FO11"/>
      <c r="FP11">
        <f>+Tabla310111213115[[#This Row],[Volúmen]]*FJ11</f>
        <v>0</v>
      </c>
      <c r="FQ11">
        <f>+Tabla310111213115[[#This Row],[Longitud del eje]]*FJ11</f>
        <v>0</v>
      </c>
      <c r="FR11"/>
      <c r="FS11"/>
      <c r="FT11"/>
      <c r="FU11"/>
      <c r="FV11"/>
      <c r="FW11"/>
      <c r="FX11">
        <f>+Tabla31011121311554[[#This Row],[Volúmen]]*FR11</f>
        <v>0</v>
      </c>
      <c r="FY11">
        <f>+Tabla31011121311554[[#This Row],[Longitud del eje]]*FR11</f>
        <v>0</v>
      </c>
      <c r="FZ11">
        <v>1</v>
      </c>
      <c r="GA11" t="s">
        <v>1862</v>
      </c>
      <c r="GB11" t="s">
        <v>1524</v>
      </c>
      <c r="GC11" t="s">
        <v>1584</v>
      </c>
      <c r="GD11">
        <v>0.15</v>
      </c>
      <c r="GE11">
        <v>1.9</v>
      </c>
      <c r="GF11">
        <f>+Tabla3101112131157[[#This Row],[Volúmen]]*FZ11</f>
        <v>0.15</v>
      </c>
      <c r="GG11">
        <f>+Tabla3101112131157[[#This Row],[Longitud del eje]]*FZ11</f>
        <v>1.9</v>
      </c>
      <c r="GI11"/>
      <c r="GJ11"/>
      <c r="GK11"/>
      <c r="GL11"/>
      <c r="GM11"/>
      <c r="GN11"/>
      <c r="GO11"/>
      <c r="GQ11" t="s">
        <v>1862</v>
      </c>
      <c r="GR11" t="s">
        <v>1383</v>
      </c>
      <c r="GS11" t="s">
        <v>1628</v>
      </c>
      <c r="GT11">
        <v>0.13</v>
      </c>
      <c r="GU11">
        <v>20.91</v>
      </c>
      <c r="GV11">
        <v>1</v>
      </c>
      <c r="GW11">
        <f>+Tabla578914[[#This Row],[Recuento]]*Tabla578914[[#This Row],[Volúmen bruto]]</f>
        <v>0.13</v>
      </c>
      <c r="GX11">
        <f>+Tabla578914[[#This Row],[Recuento]]*Tabla578914[[#This Row],[Área neta]]</f>
        <v>20.91</v>
      </c>
      <c r="GY11" s="36"/>
      <c r="HA11" t="s">
        <v>1862</v>
      </c>
      <c r="HB11" t="s">
        <v>1383</v>
      </c>
      <c r="HC11" t="s">
        <v>97</v>
      </c>
      <c r="HD11">
        <v>0.08</v>
      </c>
      <c r="HE11">
        <v>13.52</v>
      </c>
      <c r="HF11">
        <v>1</v>
      </c>
      <c r="HG11">
        <f>+Tabla578914126[[#This Row],[Recuento]]*Tabla578914126[[#This Row],[Volúmen bruto]]</f>
        <v>0.08</v>
      </c>
      <c r="HH11">
        <f>+Tabla578914126[[#This Row],[Recuento]]*Tabla578914126[[#This Row],[Área neta]]</f>
        <v>13.52</v>
      </c>
      <c r="HI11" s="36"/>
      <c r="HK11" t="s">
        <v>1862</v>
      </c>
      <c r="HL11" t="s">
        <v>1383</v>
      </c>
      <c r="HM11" t="s">
        <v>97</v>
      </c>
      <c r="HN11">
        <v>0.01</v>
      </c>
      <c r="HO11">
        <v>1.35</v>
      </c>
      <c r="HP11">
        <v>1</v>
      </c>
      <c r="HQ11">
        <f>+Tabla578914126127[[#This Row],[Recuento]]*Tabla578914126127[[#This Row],[Volúmen bruto]]</f>
        <v>0.01</v>
      </c>
      <c r="HR11">
        <f>+Tabla578914126127[[#This Row],[Recuento]]*Tabla578914126127[[#This Row],[Área neta]]</f>
        <v>1.35</v>
      </c>
      <c r="HS11" s="36"/>
      <c r="HT11" s="26"/>
      <c r="HU11"/>
      <c r="HV11"/>
      <c r="HW11"/>
      <c r="HX11"/>
      <c r="HY11"/>
      <c r="HZ11"/>
      <c r="IA11"/>
      <c r="IB11"/>
      <c r="IC11" s="35"/>
      <c r="ID11" s="26"/>
      <c r="IE11"/>
      <c r="IF11"/>
      <c r="IG11"/>
      <c r="IH11"/>
      <c r="II11"/>
      <c r="IJ11"/>
      <c r="IK11"/>
      <c r="IL11"/>
      <c r="IM11" s="35"/>
      <c r="IN11" s="26"/>
      <c r="IO11"/>
      <c r="IP11"/>
      <c r="IQ11"/>
      <c r="IR11"/>
      <c r="IS11"/>
      <c r="IT11"/>
      <c r="IU11">
        <f>+Tabla520212223[[#This Row],[Recuento]]*Tabla520212223[[#This Row],[Volúmen bruto]]</f>
        <v>0</v>
      </c>
      <c r="IV11">
        <f>+Tabla520212223[[#This Row],[Recuento]]*Tabla520212223[[#This Row],[Área neta]]</f>
        <v>0</v>
      </c>
      <c r="IW11" s="26">
        <f t="shared" si="0"/>
        <v>0</v>
      </c>
      <c r="IY11"/>
      <c r="IZ11"/>
      <c r="JA11"/>
      <c r="JB11"/>
      <c r="JC11"/>
      <c r="JD11"/>
      <c r="JE11">
        <f>+Tabla520212224[[#This Row],[Recuento]]*Tabla520212224[[#This Row],[Volúmen bruto]]</f>
        <v>0</v>
      </c>
      <c r="JF11">
        <f>+Tabla520212224[[#This Row],[Recuento]]*Tabla520212224[[#This Row],[Área neta]]</f>
        <v>0</v>
      </c>
      <c r="JG11" s="26"/>
      <c r="JI11" t="s">
        <v>1862</v>
      </c>
      <c r="JJ11" t="s">
        <v>1525</v>
      </c>
      <c r="JK11" t="s">
        <v>1628</v>
      </c>
      <c r="JL11">
        <v>0.15</v>
      </c>
      <c r="JM11">
        <v>5.5</v>
      </c>
      <c r="JN11">
        <v>4</v>
      </c>
      <c r="JO11">
        <f>+Tabla52021222425[[#This Row],[Recuento]]*Tabla52021222425[[#This Row],[Volúmen bruto]]</f>
        <v>0.6</v>
      </c>
      <c r="JP11">
        <f>+Tabla52021222425[[#This Row],[Recuento]]*Tabla52021222425[[#This Row],[Área neta]]</f>
        <v>22</v>
      </c>
      <c r="JQ11" s="26"/>
      <c r="JS11" t="s">
        <v>1862</v>
      </c>
      <c r="JT11" t="s">
        <v>1525</v>
      </c>
      <c r="JU11" t="s">
        <v>1628</v>
      </c>
      <c r="JV11">
        <v>0.05</v>
      </c>
      <c r="JW11">
        <v>1.65</v>
      </c>
      <c r="JX11">
        <v>2</v>
      </c>
      <c r="JY11">
        <f>+Tabla5202122242526[[#This Row],[Recuento]]*Tabla5202122242526[[#This Row],[Volúmen bruto]]</f>
        <v>0.1</v>
      </c>
      <c r="JZ11">
        <f>+Tabla5202122242526[[#This Row],[Recuento]]*Tabla5202122242526[[#This Row],[Área neta]]</f>
        <v>3.3</v>
      </c>
      <c r="KA11" s="26"/>
      <c r="KC11"/>
      <c r="KD11"/>
      <c r="KE11"/>
      <c r="KF11"/>
      <c r="KG11"/>
      <c r="KH11"/>
      <c r="KI11">
        <f>+Tabla5202122242526104[[#This Row],[Recuento]]*Tabla5202122242526104[[#This Row],[Volúmen bruto]]</f>
        <v>0</v>
      </c>
      <c r="KJ11">
        <f>+Tabla5202122242526104[[#This Row],[Recuento]]*Tabla5202122242526104[[#This Row],[Área neta]]</f>
        <v>0</v>
      </c>
      <c r="KK11" s="26"/>
      <c r="KM11" t="s">
        <v>1862</v>
      </c>
      <c r="KN11" t="s">
        <v>1525</v>
      </c>
      <c r="KO11" t="s">
        <v>1628</v>
      </c>
      <c r="KP11">
        <v>0.09</v>
      </c>
      <c r="KQ11">
        <v>4.34</v>
      </c>
      <c r="KR11">
        <v>1</v>
      </c>
      <c r="KS11">
        <f>+Tabla5202122242526104110[[#This Row],[Recuento]]*Tabla5202122242526104110[[#This Row],[Volúmen bruto]]</f>
        <v>0.09</v>
      </c>
      <c r="KT11">
        <f>+Tabla5202122242526104110[[#This Row],[Recuento]]*Tabla5202122242526104110[[#This Row],[Área neta]]</f>
        <v>4.34</v>
      </c>
      <c r="KU11" s="26"/>
      <c r="KW11" t="s">
        <v>1862</v>
      </c>
      <c r="KX11" t="s">
        <v>1524</v>
      </c>
      <c r="KY11" t="s">
        <v>97</v>
      </c>
      <c r="KZ11">
        <v>0.13</v>
      </c>
      <c r="LA11">
        <v>1.38</v>
      </c>
      <c r="LB11">
        <v>1</v>
      </c>
      <c r="LC11">
        <f>+Tabla520212224252659[[#This Row],[Recuento]]*Tabla520212224252659[[#This Row],[Volúmen bruto]]</f>
        <v>0.13</v>
      </c>
      <c r="LD11">
        <f>+Tabla520212224252659[[#This Row],[Recuento]]*Tabla520212224252659[[#This Row],[Área neta]]</f>
        <v>1.38</v>
      </c>
      <c r="LE11" s="26"/>
      <c r="LG11"/>
      <c r="LH11"/>
      <c r="LI11"/>
      <c r="LJ11"/>
      <c r="LK11"/>
      <c r="LL11"/>
      <c r="LM11">
        <f>+Tabla520212224252659111[[#This Row],[Recuento]]*Tabla520212224252659111[[#This Row],[Volúmen bruto]]</f>
        <v>0</v>
      </c>
      <c r="LN11">
        <f>+Tabla520212224252659111[[#This Row],[Recuento]]*Tabla520212224252659111[[#This Row],[Área neta]]</f>
        <v>0</v>
      </c>
      <c r="LO11" s="26"/>
      <c r="LQ11" t="s">
        <v>1863</v>
      </c>
      <c r="LR11" t="s">
        <v>1525</v>
      </c>
      <c r="LS11" t="s">
        <v>98</v>
      </c>
      <c r="LT11">
        <v>0</v>
      </c>
      <c r="LU11">
        <v>4.4000000000000004</v>
      </c>
      <c r="LV11">
        <v>1</v>
      </c>
      <c r="LW11">
        <f>+Tabla520212224252659111114[[#This Row],[Recuento]]*Tabla520212224252659111114[[#This Row],[Volúmen bruto]]</f>
        <v>0</v>
      </c>
      <c r="LX11">
        <f>+Tabla520212224252659111114[[#This Row],[Recuento]]*Tabla520212224252659111114[[#This Row],[Área neta]]</f>
        <v>4.4000000000000004</v>
      </c>
      <c r="LY11" s="26"/>
      <c r="MA11" t="s">
        <v>1862</v>
      </c>
      <c r="MB11" t="s">
        <v>1524</v>
      </c>
      <c r="MC11" t="s">
        <v>97</v>
      </c>
      <c r="MD11">
        <v>0.02</v>
      </c>
      <c r="ME11">
        <v>1.19</v>
      </c>
      <c r="MF11">
        <v>1</v>
      </c>
      <c r="MG11">
        <f>+Tabla520212224252659111114128[[#This Row],[Recuento]]*Tabla520212224252659111114128[[#This Row],[Volúmen bruto]]</f>
        <v>0.02</v>
      </c>
      <c r="MH11">
        <f>+Tabla520212224252659111114128[[#This Row],[Recuento]]*Tabla520212224252659111114128[[#This Row],[Área neta]]</f>
        <v>1.19</v>
      </c>
      <c r="MI11" s="26">
        <f>+SUM(MH11:MH24)</f>
        <v>78.44</v>
      </c>
      <c r="MK11" t="s">
        <v>1862</v>
      </c>
      <c r="ML11" t="s">
        <v>1525</v>
      </c>
      <c r="MM11" t="s">
        <v>98</v>
      </c>
      <c r="MN11">
        <v>0</v>
      </c>
      <c r="MO11">
        <v>1.81</v>
      </c>
      <c r="MP11">
        <v>1</v>
      </c>
      <c r="MQ11">
        <f>+Tabla520212224252627[[#This Row],[Recuento]]*Tabla520212224252627[[#This Row],[Volúmen bruto]]</f>
        <v>0</v>
      </c>
      <c r="MR11">
        <f>+Tabla520212224252627[[#This Row],[Recuento]]*Tabla520212224252627[[#This Row],[Área neta]]</f>
        <v>1.81</v>
      </c>
      <c r="MS11" s="26"/>
      <c r="MU11" t="s">
        <v>1549</v>
      </c>
      <c r="MV11" t="s">
        <v>1525</v>
      </c>
      <c r="MW11" t="s">
        <v>95</v>
      </c>
      <c r="MX11">
        <v>0</v>
      </c>
      <c r="MY11">
        <v>0.23</v>
      </c>
      <c r="MZ11">
        <v>1</v>
      </c>
      <c r="NA11">
        <f>+Tabla520212224252627129[[#This Row],[Recuento]]*Tabla520212224252627129[[#This Row],[Volúmen bruto]]</f>
        <v>0</v>
      </c>
      <c r="NB11">
        <f>+Tabla520212224252627129[[#This Row],[Recuento]]*Tabla520212224252627129[[#This Row],[Área neta]]</f>
        <v>0.23</v>
      </c>
      <c r="NC11" s="26"/>
      <c r="NE11" t="s">
        <v>1549</v>
      </c>
      <c r="NF11" t="s">
        <v>1525</v>
      </c>
      <c r="NG11" t="s">
        <v>1676</v>
      </c>
      <c r="NH11">
        <v>0</v>
      </c>
      <c r="NI11">
        <v>0.23</v>
      </c>
      <c r="NJ11">
        <v>1</v>
      </c>
      <c r="NK11">
        <f>+Tabla520212224252627129125[[#This Row],[Recuento]]*Tabla520212224252627129125[[#This Row],[Volúmen bruto]]</f>
        <v>0</v>
      </c>
      <c r="NL11">
        <f>+Tabla520212224252627129125[[#This Row],[Recuento]]*Tabla520212224252627129125[[#This Row],[Área neta]]</f>
        <v>0.23</v>
      </c>
      <c r="NM11" s="26">
        <f>+SUM(NL11)</f>
        <v>0.23</v>
      </c>
      <c r="NO11" t="s">
        <v>1549</v>
      </c>
      <c r="NP11" t="s">
        <v>1525</v>
      </c>
      <c r="NQ11" t="s">
        <v>97</v>
      </c>
      <c r="NR11">
        <v>0.01</v>
      </c>
      <c r="NS11">
        <v>0.62</v>
      </c>
      <c r="NT11">
        <v>1</v>
      </c>
      <c r="NU11">
        <f>+Tabla520212224252627129125130[[#This Row],[Recuento]]*Tabla520212224252627129125130[[#This Row],[Volúmen bruto]]</f>
        <v>0.01</v>
      </c>
      <c r="NV11">
        <f>+Tabla520212224252627129125130[[#This Row],[Recuento]]*Tabla520212224252627129125130[[#This Row],[Área neta]]</f>
        <v>0.62</v>
      </c>
      <c r="NW11" s="26"/>
      <c r="NY11" t="s">
        <v>1549</v>
      </c>
      <c r="NZ11" t="s">
        <v>1525</v>
      </c>
      <c r="OA11" t="s">
        <v>98</v>
      </c>
      <c r="OB11">
        <v>0</v>
      </c>
      <c r="OC11">
        <v>0.67</v>
      </c>
      <c r="OD11">
        <v>1</v>
      </c>
      <c r="OE11">
        <f>+Tabla520212224252627129125130131[[#This Row],[Recuento]]*Tabla520212224252627129125130131[[#This Row],[Volúmen bruto]]</f>
        <v>0</v>
      </c>
      <c r="OF11">
        <f>+Tabla520212224252627129125130131[[#This Row],[Recuento]]*Tabla520212224252627129125130131[[#This Row],[Área neta]]</f>
        <v>0.67</v>
      </c>
      <c r="OG11" s="26"/>
      <c r="OI11" t="s">
        <v>1549</v>
      </c>
      <c r="OJ11" t="s">
        <v>1525</v>
      </c>
      <c r="OK11" t="s">
        <v>95</v>
      </c>
      <c r="OL11">
        <v>0</v>
      </c>
      <c r="OM11">
        <v>0.22</v>
      </c>
      <c r="ON11">
        <v>1</v>
      </c>
      <c r="OO11">
        <f>+Tabla520212224252627129125130131132[[#This Row],[Recuento]]*Tabla520212224252627129125130131132[[#This Row],[Volúmen bruto]]</f>
        <v>0</v>
      </c>
      <c r="OP11">
        <f>+Tabla520212224252627129125130131132[[#This Row],[Recuento]]*Tabla520212224252627129125130131132[[#This Row],[Área neta]]</f>
        <v>0.22</v>
      </c>
      <c r="OQ11" s="26"/>
      <c r="OS11"/>
      <c r="OT11"/>
      <c r="OU11"/>
      <c r="OV11"/>
      <c r="OW11"/>
      <c r="OX11"/>
      <c r="OY11">
        <f>+Tabla52021222425262728[[#This Row],[Recuento]]*Tabla52021222425262728[[#This Row],[Volúmen bruto]]</f>
        <v>0</v>
      </c>
      <c r="OZ11">
        <f>+Tabla52021222425262728[[#This Row],[Recuento]]*Tabla52021222425262728[[#This Row],[Área neta]]</f>
        <v>0</v>
      </c>
      <c r="PA11" s="26"/>
      <c r="PC11" t="s">
        <v>1862</v>
      </c>
      <c r="PD11" t="s">
        <v>1525</v>
      </c>
      <c r="PE11" t="s">
        <v>1788</v>
      </c>
      <c r="PF11">
        <v>0.01</v>
      </c>
      <c r="PG11">
        <v>1.31</v>
      </c>
      <c r="PH11">
        <v>1</v>
      </c>
      <c r="PI11">
        <f>+Tabla52021222425262728133[[#This Row],[Recuento]]*Tabla52021222425262728133[[#This Row],[Volúmen bruto]]</f>
        <v>0.01</v>
      </c>
      <c r="PJ11">
        <f>+Tabla52021222425262728133[[#This Row],[Recuento]]*Tabla52021222425262728133[[#This Row],[Área neta]]</f>
        <v>1.31</v>
      </c>
      <c r="PK11" s="26"/>
      <c r="PM11" t="s">
        <v>1862</v>
      </c>
      <c r="PN11" t="s">
        <v>1525</v>
      </c>
      <c r="PO11" t="s">
        <v>1676</v>
      </c>
      <c r="PP11">
        <v>0.51</v>
      </c>
      <c r="PQ11">
        <v>4.22</v>
      </c>
      <c r="PR11">
        <v>1</v>
      </c>
      <c r="PS11">
        <f>+Tabla5202122242526272893[[#This Row],[Recuento]]*Tabla5202122242526272893[[#This Row],[Volúmen bruto]]</f>
        <v>0.51</v>
      </c>
      <c r="PT11">
        <f>+Tabla5202122242526272893[[#This Row],[Recuento]]*Tabla5202122242526272893[[#This Row],[Área neta]]</f>
        <v>4.22</v>
      </c>
      <c r="PU11" s="26">
        <f>+SUM(PT11)</f>
        <v>4.22</v>
      </c>
      <c r="PW11" t="s">
        <v>1862</v>
      </c>
      <c r="PX11" t="s">
        <v>1525</v>
      </c>
      <c r="PY11" t="s">
        <v>1628</v>
      </c>
      <c r="PZ11">
        <v>0.04</v>
      </c>
      <c r="QA11">
        <v>2.02</v>
      </c>
      <c r="QB11">
        <v>1</v>
      </c>
      <c r="QC11">
        <f>+Tabla520212224252627289349[[#This Row],[Recuento]]*Tabla520212224252627289349[[#This Row],[Volúmen bruto]]</f>
        <v>0.04</v>
      </c>
      <c r="QD11">
        <f>+Tabla520212224252627289349[[#This Row],[Recuento]]*Tabla520212224252627289349[[#This Row],[Área neta]]</f>
        <v>2.02</v>
      </c>
      <c r="QE11" s="26"/>
      <c r="QG11" t="s">
        <v>1549</v>
      </c>
      <c r="QH11" t="s">
        <v>1525</v>
      </c>
      <c r="QI11" t="s">
        <v>1676</v>
      </c>
      <c r="QJ11">
        <v>0.15</v>
      </c>
      <c r="QK11">
        <v>1.24</v>
      </c>
      <c r="QL11">
        <v>1</v>
      </c>
      <c r="QM11">
        <f>+Tabla520212224252627289349134[[#This Row],[Recuento]]*Tabla520212224252627289349134[[#This Row],[Volúmen bruto]]</f>
        <v>0.15</v>
      </c>
      <c r="QN11">
        <f>+Tabla520212224252627289349134[[#This Row],[Recuento]]*Tabla520212224252627289349134[[#This Row],[Área neta]]</f>
        <v>1.24</v>
      </c>
      <c r="QO11" s="26">
        <f>+SUM(QN11)</f>
        <v>1.24</v>
      </c>
      <c r="QQ11" t="s">
        <v>1862</v>
      </c>
      <c r="QR11" t="s">
        <v>1524</v>
      </c>
      <c r="QS11" t="s">
        <v>1726</v>
      </c>
      <c r="QT11">
        <v>7.0000000000000007E-2</v>
      </c>
      <c r="QU11">
        <v>0.46</v>
      </c>
      <c r="QV11">
        <v>1</v>
      </c>
      <c r="QW11">
        <v>1</v>
      </c>
      <c r="QX11">
        <f>+Tabla5202122242526272829[[#This Row],[Recuento]]*Tabla5202122242526272829[[#This Row],[Volúmen bruto]]</f>
        <v>7.0000000000000007E-2</v>
      </c>
      <c r="QY11">
        <f>+Tabla5202122242526272829[[#This Row],[Recuento]]*Tabla5202122242526272829[[#This Row],[Área neta]]</f>
        <v>0.46</v>
      </c>
      <c r="QZ11">
        <f>+Tabla5202122242526272829[[#This Row],[Recuento]]*Tabla5202122242526272829[[#This Row],[Longitud]]</f>
        <v>1</v>
      </c>
      <c r="RA11" s="26"/>
      <c r="RC11" t="s">
        <v>1549</v>
      </c>
      <c r="RD11" t="s">
        <v>1524</v>
      </c>
      <c r="RE11" t="s">
        <v>98</v>
      </c>
      <c r="RF11">
        <v>0</v>
      </c>
      <c r="RG11">
        <v>0.9</v>
      </c>
      <c r="RH11">
        <v>2</v>
      </c>
      <c r="RI11">
        <f>+Tabla520212224252627283132[[#This Row],[Recuento]]*Tabla520212224252627283132[[#This Row],[Volúmen bruto]]</f>
        <v>0</v>
      </c>
      <c r="RJ11">
        <f>+Tabla520212224252627283132[[#This Row],[Recuento]]*Tabla520212224252627283132[[#This Row],[Área neta]]</f>
        <v>1.8</v>
      </c>
      <c r="RK11" s="26"/>
      <c r="RM11"/>
      <c r="RN11"/>
      <c r="RO11"/>
      <c r="RP11"/>
      <c r="RQ11"/>
      <c r="RR11"/>
      <c r="RS11">
        <f>+Tabla5202122242526272831329[[#This Row],[Recuento]]*Tabla5202122242526272831329[[#This Row],[Volúmen bruto]]</f>
        <v>0</v>
      </c>
      <c r="RT11">
        <f>+Tabla5202122242526272831329[[#This Row],[Recuento]]*Tabla5202122242526272831329[[#This Row],[Área neta]]</f>
        <v>0</v>
      </c>
      <c r="RU11" s="26"/>
      <c r="RW11"/>
      <c r="RX11"/>
      <c r="RY11"/>
      <c r="RZ11"/>
      <c r="SA11"/>
      <c r="SB11"/>
      <c r="SC11">
        <f>+Tabla52021222425262728313233[[#This Row],[Recuento]]*Tabla52021222425262728313233[[#This Row],[Volúmen bruto]]</f>
        <v>0</v>
      </c>
      <c r="SD11">
        <f>+Tabla52021222425262728313233[[#This Row],[Recuento]]*Tabla52021222425262728313233[[#This Row],[Área neta]]</f>
        <v>0</v>
      </c>
      <c r="SE11" s="26"/>
      <c r="SG11"/>
      <c r="SH11"/>
      <c r="SI11"/>
      <c r="SJ11"/>
      <c r="SK11"/>
      <c r="SL11"/>
      <c r="SM11">
        <f>+Tabla5202122242526272831323314[[#This Row],[Recuento]]*Tabla5202122242526272831323314[[#This Row],[Volúmen bruto]]</f>
        <v>0</v>
      </c>
      <c r="SN11">
        <f>+Tabla5202122242526272831323314[[#This Row],[Recuento]]*Tabla5202122242526272831323314[[#This Row],[Área neta]]</f>
        <v>0</v>
      </c>
      <c r="SO11" s="26"/>
      <c r="SQ11" t="s">
        <v>1862</v>
      </c>
      <c r="SR11" t="s">
        <v>1524</v>
      </c>
      <c r="SS11" t="s">
        <v>94</v>
      </c>
      <c r="ST11">
        <v>0.04</v>
      </c>
      <c r="SU11">
        <v>0.36</v>
      </c>
      <c r="SV11">
        <v>6</v>
      </c>
      <c r="SW11" s="34">
        <f>+Tabla5789141516[[#This Row],[Recuento]]*Tabla5789141516[[#This Row],[Volúmen bruto]]</f>
        <v>0.24</v>
      </c>
      <c r="SX11" s="34">
        <f>+Tabla5789141516[[#This Row],[Recuento]]*Tabla5789141516[[#This Row],[Área neta]]</f>
        <v>2.16</v>
      </c>
      <c r="SY11" s="35"/>
      <c r="SZ11" s="26"/>
      <c r="TA11"/>
      <c r="TB11"/>
      <c r="TC11"/>
      <c r="TD11"/>
      <c r="TE11"/>
      <c r="TF11"/>
      <c r="TG11" s="34">
        <f>+Tabla578914151634[[#This Row],[Recuento]]*Tabla578914151634[[#This Row],[Volúmen bruto]]</f>
        <v>0</v>
      </c>
      <c r="TH11" s="34">
        <f>+Tabla578914151634[[#This Row],[Recuento]]*Tabla578914151634[[#This Row],[Área neta]]</f>
        <v>0</v>
      </c>
      <c r="TI11" s="35"/>
      <c r="TJ11" s="26"/>
      <c r="TK11" t="s">
        <v>1862</v>
      </c>
      <c r="TL11" t="s">
        <v>1525</v>
      </c>
      <c r="TM11" t="s">
        <v>1628</v>
      </c>
      <c r="TN11">
        <v>0.04</v>
      </c>
      <c r="TO11">
        <v>2.15</v>
      </c>
      <c r="TP11">
        <v>1</v>
      </c>
      <c r="TQ11" s="34">
        <f>+Tabla57891415163435[[#This Row],[Recuento]]*Tabla57891415163435[[#This Row],[Volúmen bruto]]</f>
        <v>0.04</v>
      </c>
      <c r="TR11" s="34">
        <f>+Tabla57891415163435[[#This Row],[Recuento]]*Tabla57891415163435[[#This Row],[Área neta]]</f>
        <v>2.15</v>
      </c>
      <c r="TS11" s="35">
        <f>+SUM(TR11:TR17)</f>
        <v>78.06</v>
      </c>
      <c r="TT11" s="26"/>
      <c r="TU11"/>
      <c r="TV11"/>
      <c r="TW11"/>
      <c r="TX11"/>
      <c r="TY11"/>
      <c r="TZ11"/>
      <c r="UA11" s="34">
        <f>+Tabla5789141516343536[[#This Row],[Recuento]]*Tabla5789141516343536[[#This Row],[Volúmen bruto]]</f>
        <v>0</v>
      </c>
      <c r="UB11" s="34">
        <f>+Tabla5789141516343536[[#This Row],[Recuento]]*Tabla5789141516343536[[#This Row],[Área neta]]</f>
        <v>0</v>
      </c>
      <c r="UC11" s="35"/>
      <c r="UD11" s="26"/>
      <c r="UE11" t="s">
        <v>1862</v>
      </c>
      <c r="UF11" t="s">
        <v>1524</v>
      </c>
      <c r="UG11" t="s">
        <v>1627</v>
      </c>
      <c r="UH11">
        <v>0.25</v>
      </c>
      <c r="UI11">
        <v>1.27</v>
      </c>
      <c r="UJ11">
        <v>1</v>
      </c>
      <c r="UK11" s="34">
        <f>+Tabla57891415163435363738[[#This Row],[Recuento]]*Tabla57891415163435363738[[#This Row],[Volúmen bruto]]</f>
        <v>0.25</v>
      </c>
      <c r="UL11" s="34">
        <f>+Tabla57891415163435363738[[#This Row],[Recuento]]*Tabla57891415163435363738[[#This Row],[Área neta]]</f>
        <v>1.27</v>
      </c>
      <c r="UM11" s="35"/>
      <c r="UN11" s="26"/>
      <c r="UO11"/>
      <c r="UP11"/>
      <c r="UQ11"/>
      <c r="UR11"/>
      <c r="US11"/>
      <c r="UT11"/>
      <c r="UU11" s="34">
        <f>+Tabla5789141516343536373839[[#This Row],[Recuento]]*Tabla5789141516343536373839[[#This Row],[Volúmen bruto]]</f>
        <v>0</v>
      </c>
      <c r="UV11" s="34">
        <f>+Tabla5789141516343536373839[[#This Row],[Recuento]]*Tabla5789141516343536373839[[#This Row],[Área neta]]</f>
        <v>0</v>
      </c>
      <c r="UW11" s="35"/>
      <c r="UX11" s="26"/>
      <c r="UY11"/>
      <c r="UZ11"/>
      <c r="VA11"/>
      <c r="VB11"/>
      <c r="VC11"/>
      <c r="VD11" s="33"/>
      <c r="VE11" s="34"/>
      <c r="VF11" s="34"/>
      <c r="VG11" s="35"/>
      <c r="VH11" s="26"/>
      <c r="VI11" t="s">
        <v>1862</v>
      </c>
      <c r="VJ11" t="s">
        <v>1524</v>
      </c>
      <c r="VK11" t="s">
        <v>1631</v>
      </c>
      <c r="VL11">
        <v>0.03</v>
      </c>
      <c r="VM11">
        <v>2.54</v>
      </c>
      <c r="VN11">
        <v>1</v>
      </c>
      <c r="VO11" s="34">
        <f>+Tabla57891415163435363738394041[[#This Row],[Recuento]]*Tabla57891415163435363738394041[[#This Row],[Volúmen bruto]]</f>
        <v>0.03</v>
      </c>
      <c r="VP11" s="34">
        <f>+Tabla57891415163435363738394041[[#This Row],[Recuento]]*Tabla57891415163435363738394041[[#This Row],[Área neta]]</f>
        <v>2.54</v>
      </c>
      <c r="VQ11" s="35"/>
      <c r="VR11" s="26"/>
      <c r="VS11"/>
      <c r="VT11"/>
      <c r="VU11"/>
      <c r="VV11"/>
      <c r="VW11"/>
      <c r="VX11"/>
      <c r="VY11" s="34"/>
      <c r="VZ11" s="34"/>
      <c r="WA11" s="35"/>
      <c r="WB11" s="26"/>
      <c r="WC11"/>
      <c r="WD11"/>
      <c r="WE11"/>
      <c r="WF11"/>
      <c r="WG11"/>
      <c r="WH11"/>
      <c r="WI11" s="34">
        <f>+Tabla5789141516343536373839404142[[#This Row],[Recuento]]*Tabla5789141516343536373839404142[[#This Row],[Volúmen bruto]]</f>
        <v>0</v>
      </c>
      <c r="WJ11" s="34">
        <f>+Tabla5789141516343536373839404142[[#This Row],[Recuento]]*Tabla5789141516343536373839404142[[#This Row],[Área neta]]</f>
        <v>0</v>
      </c>
      <c r="WK11" s="35"/>
      <c r="WL11" s="26"/>
      <c r="WM11" t="s">
        <v>1863</v>
      </c>
      <c r="WN11" t="s">
        <v>1525</v>
      </c>
      <c r="WO11" t="s">
        <v>99</v>
      </c>
      <c r="WP11">
        <v>0.02</v>
      </c>
      <c r="WQ11">
        <v>1.84</v>
      </c>
      <c r="WR11">
        <v>1</v>
      </c>
      <c r="WS11" s="34">
        <f>+Tabla578914151634353637383940414251[[#This Row],[Recuento]]*Tabla578914151634353637383940414251[[#This Row],[Volúmen bruto]]</f>
        <v>0.02</v>
      </c>
      <c r="WT11" s="34">
        <f>+Tabla578914151634353637383940414251[[#This Row],[Recuento]]*Tabla578914151634353637383940414251[[#This Row],[Área neta]]</f>
        <v>1.84</v>
      </c>
      <c r="WU11" s="35">
        <f>+SUM(WT11)</f>
        <v>1.84</v>
      </c>
      <c r="WV11" s="26"/>
      <c r="WW11"/>
      <c r="WX11"/>
      <c r="WY11"/>
      <c r="WZ11"/>
      <c r="XA11"/>
      <c r="XB11"/>
      <c r="XC11" s="34">
        <f>+Tabla57891415163435363738394041425112[[#This Row],[Recuento]]*Tabla57891415163435363738394041425112[[#This Row],[Volúmen bruto]]</f>
        <v>0</v>
      </c>
      <c r="XD11" s="34">
        <f>+Tabla57891415163435363738394041425112[[#This Row],[Recuento]]*Tabla57891415163435363738394041425112[[#This Row],[Área neta]]</f>
        <v>0</v>
      </c>
      <c r="XE11" s="35">
        <f>+SUM(XD11)</f>
        <v>0</v>
      </c>
      <c r="XF11" s="26"/>
      <c r="XG11"/>
      <c r="XH11"/>
      <c r="XI11"/>
      <c r="XJ11"/>
      <c r="XK11"/>
      <c r="XL11"/>
      <c r="XM11" s="34">
        <f>+Tabla578914151634353637383940414243444536[[#This Row],[Recuento]]*Tabla578914151634353637383940414243444536[[#This Row],[Volúmen bruto]]</f>
        <v>0</v>
      </c>
      <c r="XN11" s="34">
        <f>+Tabla578914151634353637383940414243444536[[#This Row],[Recuento]]*Tabla578914151634353637383940414243444536[[#This Row],[Área neta]]</f>
        <v>0</v>
      </c>
      <c r="XO11" s="35"/>
      <c r="XP11" s="26"/>
      <c r="XQ11" t="s">
        <v>1862</v>
      </c>
      <c r="XR11" t="s">
        <v>1524</v>
      </c>
      <c r="XS11" t="s">
        <v>1472</v>
      </c>
      <c r="XT11">
        <v>0</v>
      </c>
      <c r="XU11">
        <v>0.17</v>
      </c>
      <c r="XV11">
        <v>1</v>
      </c>
      <c r="XW11" s="34">
        <f>+Tabla5789141516343536373839404142434445[[#This Row],[Recuento]]*Tabla5789141516343536373839404142434445[[#This Row],[Volúmen bruto]]</f>
        <v>0</v>
      </c>
      <c r="XX11" s="34">
        <f>+Tabla5789141516343536373839404142434445[[#This Row],[Recuento]]*Tabla5789141516343536373839404142434445[[#This Row],[Área neta]]</f>
        <v>0.17</v>
      </c>
      <c r="XY11" s="35"/>
      <c r="XZ11" s="26"/>
      <c r="YA11"/>
      <c r="YB11"/>
      <c r="YC11"/>
      <c r="YD11"/>
      <c r="YE11"/>
      <c r="YF11"/>
      <c r="YG11" s="34">
        <f>+Tabla578914151634353637383940414243444558[[#This Row],[Recuento]]*Tabla578914151634353637383940414243444558[[#This Row],[Volúmen bruto]]</f>
        <v>0</v>
      </c>
      <c r="YH11" s="34">
        <f>+Tabla578914151634353637383940414243444558[[#This Row],[Recuento]]*Tabla578914151634353637383940414243444558[[#This Row],[Área neta]]</f>
        <v>0</v>
      </c>
      <c r="YI11" s="35"/>
      <c r="YJ11" s="35"/>
      <c r="YK11"/>
      <c r="YL11"/>
      <c r="YM11"/>
      <c r="YN11"/>
      <c r="YO11"/>
      <c r="YQ11"/>
      <c r="YR11"/>
      <c r="YS11"/>
      <c r="YT11"/>
      <c r="YU11"/>
      <c r="YV11" s="33"/>
      <c r="YW11" s="34"/>
      <c r="YX11" s="34"/>
      <c r="YY11" s="35"/>
      <c r="YZ11" s="26"/>
      <c r="ZA11" t="s">
        <v>1863</v>
      </c>
      <c r="ZB11" t="s">
        <v>1524</v>
      </c>
      <c r="ZC11" t="s">
        <v>1485</v>
      </c>
      <c r="ZD11">
        <v>0.22</v>
      </c>
      <c r="ZE11">
        <v>7.49</v>
      </c>
      <c r="ZF11">
        <v>2</v>
      </c>
      <c r="ZG11" s="34">
        <f>+Tabla5789141516343536373839404142434445464748495038[[#This Row],[Recuento]]*Tabla5789141516343536373839404142434445464748495038[[#This Row],[Volúmen bruto]]</f>
        <v>0.44</v>
      </c>
      <c r="ZH11" s="34">
        <f>+Tabla5789141516343536373839404142434445464748495038[[#This Row],[Recuento]]*Tabla5789141516343536373839404142434445464748495038[[#This Row],[Área neta]]</f>
        <v>14.98</v>
      </c>
      <c r="ZI11" s="35"/>
      <c r="ZJ11" s="26"/>
      <c r="ZK11" t="s">
        <v>1862</v>
      </c>
      <c r="ZL11" t="s">
        <v>1525</v>
      </c>
      <c r="ZM11" t="s">
        <v>1485</v>
      </c>
      <c r="ZN11">
        <v>0.47</v>
      </c>
      <c r="ZO11">
        <v>18.78</v>
      </c>
      <c r="ZP11">
        <v>1</v>
      </c>
      <c r="ZQ11" s="34">
        <f>+Tabla5789141516343536373839404142434445464748495041[[#This Row],[Recuento]]*Tabla5789141516343536373839404142434445464748495041[[#This Row],[Volúmen bruto]]</f>
        <v>0.47</v>
      </c>
      <c r="ZR11" s="34">
        <f>+Tabla5789141516343536373839404142434445464748495041[[#This Row],[Recuento]]*Tabla5789141516343536373839404142434445464748495041[[#This Row],[Área neta]]</f>
        <v>18.78</v>
      </c>
      <c r="ZS11" s="35"/>
      <c r="ZT11" s="26"/>
      <c r="ZU11" t="s">
        <v>1862</v>
      </c>
      <c r="ZV11" t="s">
        <v>1524</v>
      </c>
      <c r="ZW11" t="s">
        <v>1633</v>
      </c>
      <c r="ZX11">
        <v>0</v>
      </c>
      <c r="ZY11">
        <v>0.33</v>
      </c>
      <c r="ZZ11">
        <v>2</v>
      </c>
      <c r="AAA11" s="34">
        <f>+Tabla57891415163435363738394041424344454647484950[[#This Row],[Recuento]]*Tabla57891415163435363738394041424344454647484950[[#This Row],[Volúmen bruto]]</f>
        <v>0</v>
      </c>
      <c r="AAB11" s="34">
        <f>+Tabla57891415163435363738394041424344454647484950[[#This Row],[Recuento]]*Tabla57891415163435363738394041424344454647484950[[#This Row],[Área neta]]</f>
        <v>0.66</v>
      </c>
      <c r="AAC11" s="35"/>
      <c r="AAD11" s="26"/>
      <c r="AAE11"/>
      <c r="AAF11"/>
      <c r="AAG11"/>
      <c r="AAH11"/>
      <c r="AAI11"/>
      <c r="AAJ11" s="33">
        <v>1</v>
      </c>
      <c r="AAK11" s="34">
        <v>0.86575000000000002</v>
      </c>
      <c r="AAL11" s="34">
        <v>3.4630000000000001</v>
      </c>
      <c r="AAM11" s="35"/>
      <c r="AAN11" s="26"/>
      <c r="AAO11" t="s">
        <v>1862</v>
      </c>
      <c r="AAP11" t="s">
        <v>1524</v>
      </c>
      <c r="AAQ11" t="s">
        <v>98</v>
      </c>
      <c r="AAR11">
        <v>0</v>
      </c>
      <c r="AAS11">
        <v>2.29</v>
      </c>
      <c r="AAT11">
        <v>2</v>
      </c>
      <c r="AAU11" s="34">
        <f>+Tabla5789141516343536373839404142434445464748495051[[#This Row],[Recuento]]*Tabla5789141516343536373839404142434445464748495051[[#This Row],[Volúmen bruto]]</f>
        <v>0</v>
      </c>
      <c r="AAV11" s="34">
        <f>+Tabla5789141516343536373839404142434445464748495051[[#This Row],[Recuento]]*Tabla5789141516343536373839404142434445464748495051[[#This Row],[Área neta]]</f>
        <v>4.58</v>
      </c>
      <c r="AAW11" s="35">
        <f>+SUM(AAV11:AAV17)</f>
        <v>32.339999999999996</v>
      </c>
      <c r="AAX11" s="26"/>
      <c r="AAY11"/>
      <c r="AAZ11"/>
      <c r="ABA11"/>
      <c r="ABB11"/>
      <c r="ABC11"/>
      <c r="ABD11"/>
      <c r="ABE11" s="34">
        <f>+Tabla578914151634353637383940414243444546474849505152[[#This Row],[Recuento]]*Tabla578914151634353637383940414243444546474849505152[[#This Row],[Volúmen bruto]]</f>
        <v>0</v>
      </c>
      <c r="ABF11" s="34">
        <f>+Tabla578914151634353637383940414243444546474849505152[[#This Row],[Recuento]]*Tabla578914151634353637383940414243444546474849505152[[#This Row],[Área neta]]</f>
        <v>0</v>
      </c>
      <c r="ABG11" s="35"/>
      <c r="ABH11" s="26"/>
      <c r="ABI11"/>
      <c r="ABJ11"/>
      <c r="ABK11"/>
      <c r="ABL11"/>
      <c r="ABM11"/>
      <c r="ABN11"/>
      <c r="ABO11" s="34">
        <f>+Tabla57891415163435363738394041424344454647484950515213[[#This Row],[Recuento]]*Tabla57891415163435363738394041424344454647484950515213[[#This Row],[Volúmen bruto]]</f>
        <v>0</v>
      </c>
      <c r="ABP11" s="34">
        <f>+Tabla57891415163435363738394041424344454647484950515213[[#This Row],[Recuento]]*Tabla57891415163435363738394041424344454647484950515213[[#This Row],[Área neta]]</f>
        <v>0</v>
      </c>
      <c r="ABQ11" s="35"/>
      <c r="ABR11" s="26"/>
      <c r="ABS11"/>
      <c r="ABT11"/>
      <c r="ABU11"/>
      <c r="ABV11"/>
      <c r="ABW11"/>
      <c r="ABX11"/>
      <c r="ABY11" s="34">
        <f>+Tabla5789141516343536373839404142434445464748495051521340[[#This Row],[Recuento]]*Tabla5789141516343536373839404142434445464748495051521340[[#This Row],[Volúmen bruto]]</f>
        <v>0</v>
      </c>
      <c r="ABZ11" s="34">
        <f>+Tabla5789141516343536373839404142434445464748495051521340[[#This Row],[Recuento]]*Tabla5789141516343536373839404142434445464748495051521340[[#This Row],[Área neta]]</f>
        <v>0</v>
      </c>
      <c r="ACA11" s="35"/>
      <c r="ACB11" s="26"/>
      <c r="ACC11"/>
      <c r="ACD11"/>
      <c r="ACE11"/>
      <c r="ACF11"/>
      <c r="ACG11"/>
      <c r="ACH11" s="33"/>
      <c r="ACI11" s="34"/>
      <c r="ACJ11" s="34"/>
      <c r="ACK11" s="35"/>
      <c r="ACL11" s="26"/>
      <c r="ACM11"/>
      <c r="ACN11"/>
      <c r="ACO11"/>
      <c r="ACP11"/>
      <c r="ACQ11"/>
      <c r="ACR11" s="33"/>
      <c r="ACS11" s="34"/>
      <c r="ACT11" s="34"/>
      <c r="ACU11" s="35"/>
      <c r="ACV11" s="26"/>
      <c r="ACW11" t="s">
        <v>1239</v>
      </c>
      <c r="ACX11" s="1">
        <v>1</v>
      </c>
      <c r="ACY11" s="2">
        <v>0.7</v>
      </c>
      <c r="ACZ11" s="2">
        <v>0.84499999999999997</v>
      </c>
      <c r="ADA11">
        <v>1</v>
      </c>
      <c r="ADB11" s="2">
        <f t="shared" si="1"/>
        <v>0.59149999999999991</v>
      </c>
      <c r="ADD11" t="s">
        <v>1720</v>
      </c>
      <c r="ADE11">
        <v>0.56999999999999995</v>
      </c>
      <c r="ADF11">
        <v>2</v>
      </c>
      <c r="ADG11" s="26">
        <f t="shared" si="3"/>
        <v>1.1399999999999999</v>
      </c>
      <c r="ADH11"/>
      <c r="ADI11"/>
      <c r="ADJ11"/>
      <c r="ADK11"/>
      <c r="ADL11"/>
      <c r="ADM11"/>
      <c r="ADN11">
        <f ca="1">+Tabla578914151634353637383940414243444546474849505152535560[[#This Row],[G. Total]]*Tabla578914151634353637383940414243444546474849505152535560[[#This Row],[Recuento]]</f>
        <v>0</v>
      </c>
      <c r="ADO11" s="35"/>
      <c r="ADP11" s="26"/>
      <c r="ADQ11"/>
      <c r="ADR11"/>
      <c r="ADS11"/>
      <c r="ADT11"/>
      <c r="ADU11"/>
      <c r="ADV11" s="35"/>
      <c r="ADW11" s="35"/>
      <c r="ADX11"/>
      <c r="ADY11"/>
      <c r="ADZ11"/>
      <c r="AEA11"/>
      <c r="AEB11"/>
      <c r="AEC11">
        <f ca="1">+Tabla57891415163435363738394041424344454647484950515253556062[[#This Row],[Total]]*Tabla57891415163435363738394041424344454647484950515253556062[[#This Row],[Recuento]]</f>
        <v>0</v>
      </c>
      <c r="AED11" s="35"/>
      <c r="AEE11" s="26"/>
      <c r="AEF11"/>
      <c r="AEG11"/>
      <c r="AEH11"/>
      <c r="AEI11"/>
      <c r="AEJ11"/>
      <c r="AEK11" s="35"/>
      <c r="AEL11" s="35"/>
      <c r="AEM11" t="s">
        <v>1522</v>
      </c>
      <c r="AEN11" t="s">
        <v>1523</v>
      </c>
      <c r="AEO11" t="s">
        <v>382</v>
      </c>
      <c r="AEP11">
        <v>2.2000000000000002</v>
      </c>
      <c r="AEQ11">
        <v>1</v>
      </c>
      <c r="AER11">
        <f ca="1">+Tabla5789141516343536373839404142434445464748495051525355606264[[#This Row],[G. Total]]*Tabla5789141516343536373839404142434445464748495051525355606264[[#This Row],[Recuento]]</f>
        <v>2.2000000000000002</v>
      </c>
      <c r="AES11" s="35"/>
      <c r="AET11" s="26"/>
      <c r="AEU11"/>
      <c r="AEV11"/>
      <c r="AEW11"/>
      <c r="AEX11"/>
      <c r="AEY11"/>
      <c r="AEZ11" s="35"/>
      <c r="AFA11" s="26"/>
      <c r="AFB11"/>
      <c r="AFC11"/>
      <c r="AFD11"/>
      <c r="AFE11"/>
      <c r="AFF11"/>
      <c r="AFG11"/>
      <c r="AFH11" t="s">
        <v>1522</v>
      </c>
      <c r="AFI11" t="s">
        <v>1524</v>
      </c>
      <c r="AFJ11" t="s">
        <v>419</v>
      </c>
      <c r="AFK11">
        <v>0.9</v>
      </c>
      <c r="AFL11">
        <v>1</v>
      </c>
      <c r="AFM11">
        <f ca="1">+Tabla578914151634353637383940414243444546474849505152535560626467[[#This Row],[G. Total]]*Tabla578914151634353637383940414243444546474849505152535560626467[[#This Row],[Recuento]]</f>
        <v>0.9</v>
      </c>
      <c r="AFN11" s="35"/>
      <c r="AFO11" s="26"/>
      <c r="AFP11" s="2" t="s">
        <v>102</v>
      </c>
      <c r="AFQ11" s="2">
        <f>19*2</f>
        <v>38</v>
      </c>
      <c r="AFR11" s="2">
        <f>+((0.4+0.15)*2)+0.12+0.24</f>
        <v>1.4600000000000002</v>
      </c>
      <c r="AFS11" s="2">
        <f>+AFR11*AFQ11</f>
        <v>55.480000000000004</v>
      </c>
      <c r="AFT11" s="2">
        <v>6</v>
      </c>
      <c r="AFU11" s="2">
        <f>+AFT11*AFQ11</f>
        <v>228</v>
      </c>
      <c r="AFW11" s="2" t="s">
        <v>102</v>
      </c>
      <c r="AFY11" s="2">
        <f>+((0.4+0.15)*2)+0.12+0.24</f>
        <v>1.4600000000000002</v>
      </c>
      <c r="AFZ11" s="2">
        <f>+AFY11*AFX11</f>
        <v>0</v>
      </c>
      <c r="AGA11" s="2">
        <v>6</v>
      </c>
      <c r="AGB11" s="2">
        <f>+AGA11*AFX11</f>
        <v>0</v>
      </c>
    </row>
    <row r="12" spans="1:860" ht="15" customHeight="1" x14ac:dyDescent="0.25">
      <c r="A12">
        <v>1</v>
      </c>
      <c r="B12" t="s">
        <v>1862</v>
      </c>
      <c r="C12" t="s">
        <v>1225</v>
      </c>
      <c r="D12" t="s">
        <v>1550</v>
      </c>
      <c r="E12">
        <v>0.27</v>
      </c>
      <c r="F12">
        <v>4.5</v>
      </c>
      <c r="G12"/>
      <c r="H12">
        <f>+Tabla3[[#This Row],[Volúmen neto]]*A12</f>
        <v>0.27</v>
      </c>
      <c r="I12">
        <f>+Tabla3[[#This Row],[Longitud de eje]]*A12</f>
        <v>4.5</v>
      </c>
      <c r="J12"/>
      <c r="K12"/>
      <c r="L12"/>
      <c r="M12"/>
      <c r="N12"/>
      <c r="O12"/>
      <c r="P12"/>
      <c r="Q12"/>
      <c r="R12">
        <f>+Tabla5[[#This Row],[Recuento]]*Tabla5[[#This Row],[Volúmen bruto]]</f>
        <v>0</v>
      </c>
      <c r="S12">
        <f>+Tabla5[[#This Row],[Recuento]]*Tabla5[[#This Row],[Área neta]]</f>
        <v>0</v>
      </c>
      <c r="T12">
        <f>+Tabla5[[#This Row],[Longitud nominal]]*Tabla5[[#This Row],[Recuento]]</f>
        <v>0</v>
      </c>
      <c r="U12" s="26"/>
      <c r="V12"/>
      <c r="W12"/>
      <c r="X12"/>
      <c r="Y12"/>
      <c r="Z12"/>
      <c r="AA12"/>
      <c r="AB12"/>
      <c r="AC12"/>
      <c r="AD12">
        <f>+Tabla522[[#This Row],[Recuento]]*Tabla522[[#This Row],[Volúmen bruto]]</f>
        <v>0</v>
      </c>
      <c r="AE12">
        <f>+Tabla522[[#This Row],[Recuento]]*Tabla522[[#This Row],[Área neta]]</f>
        <v>0</v>
      </c>
      <c r="AF12">
        <f>+Tabla522[[#This Row],[Longitud nominal]]*Tabla522[[#This Row],[Recuento]]</f>
        <v>0</v>
      </c>
      <c r="AG12" s="26"/>
      <c r="AH12"/>
      <c r="AI12"/>
      <c r="AJ12"/>
      <c r="AK12"/>
      <c r="AL12"/>
      <c r="AM12"/>
      <c r="AN12"/>
      <c r="AO12"/>
      <c r="AP12">
        <f>+Tabla52223[[#This Row],[Recuento]]*Tabla52223[[#This Row],[Volúmen bruto]]</f>
        <v>0</v>
      </c>
      <c r="AQ12">
        <f>+Tabla52223[[#This Row],[Recuento]]*Tabla52223[[#This Row],[Área neta]]</f>
        <v>0</v>
      </c>
      <c r="AR12">
        <f>+Tabla52223[[#This Row],[Longitud nominal]]*Tabla52223[[#This Row],[Recuento]]</f>
        <v>0</v>
      </c>
      <c r="AS12" s="26"/>
      <c r="AT12"/>
      <c r="AU12"/>
      <c r="AV12"/>
      <c r="AW12"/>
      <c r="AX12"/>
      <c r="AY12"/>
      <c r="AZ12"/>
      <c r="BA12"/>
      <c r="BB12">
        <f>+Tabla5222329[[#This Row],[Recuento]]*Tabla5222329[[#This Row],[Volúmen bruto]]</f>
        <v>0</v>
      </c>
      <c r="BC12">
        <f>+Tabla5222329[[#This Row],[Recuento]]*Tabla5222329[[#This Row],[Área neta]]</f>
        <v>0</v>
      </c>
      <c r="BD12">
        <f>+Tabla5222329[[#This Row],[Longitud nominal]]*Tabla5222329[[#This Row],[Recuento]]</f>
        <v>0</v>
      </c>
      <c r="BE12" s="26"/>
      <c r="BF12">
        <v>1</v>
      </c>
      <c r="BG12" t="s">
        <v>1862</v>
      </c>
      <c r="BH12" t="s">
        <v>1524</v>
      </c>
      <c r="BI12" t="s">
        <v>1406</v>
      </c>
      <c r="BJ12">
        <v>3.6</v>
      </c>
      <c r="BK12">
        <v>4</v>
      </c>
      <c r="BL12">
        <f>+Tabla3102[[#This Row],[En culmo]]*BF12</f>
        <v>4</v>
      </c>
      <c r="BM12"/>
      <c r="BN12"/>
      <c r="BO12"/>
      <c r="BP12"/>
      <c r="BQ12"/>
      <c r="BR12"/>
      <c r="BS12">
        <v>3.5</v>
      </c>
      <c r="BT12">
        <f>+Tabla31069[[#This Row],[En culmo]]*BN12</f>
        <v>0</v>
      </c>
      <c r="BU12"/>
      <c r="BV12">
        <v>2</v>
      </c>
      <c r="BW12" t="s">
        <v>1862</v>
      </c>
      <c r="BX12" t="s">
        <v>1525</v>
      </c>
      <c r="BY12" t="s">
        <v>1406</v>
      </c>
      <c r="BZ12">
        <v>2.15</v>
      </c>
      <c r="CA12">
        <v>2.5</v>
      </c>
      <c r="CB12">
        <f>+Tabla31011[[#This Row],[En culmo]]*BV12</f>
        <v>5</v>
      </c>
      <c r="CD12">
        <v>2</v>
      </c>
      <c r="CE12" t="s">
        <v>1862</v>
      </c>
      <c r="CF12" t="s">
        <v>1525</v>
      </c>
      <c r="CG12" t="s">
        <v>1405</v>
      </c>
      <c r="CH12">
        <v>2.9</v>
      </c>
      <c r="CI12">
        <v>3.5</v>
      </c>
      <c r="CJ12">
        <f>+Tabla3101170[[#This Row],[En culmo]]*CD12</f>
        <v>7</v>
      </c>
      <c r="CK12"/>
      <c r="CL12">
        <v>2</v>
      </c>
      <c r="CM12" t="s">
        <v>1862</v>
      </c>
      <c r="CN12" t="s">
        <v>1383</v>
      </c>
      <c r="CO12" t="s">
        <v>1406</v>
      </c>
      <c r="CP12">
        <v>2.96</v>
      </c>
      <c r="CQ12" s="26">
        <v>3.5</v>
      </c>
      <c r="CR12">
        <f>+Tabla31011116[[#This Row],[En culmo]]*CT12</f>
        <v>119</v>
      </c>
      <c r="CT12">
        <v>34</v>
      </c>
      <c r="CU12" t="s">
        <v>1862</v>
      </c>
      <c r="CV12" t="s">
        <v>1383</v>
      </c>
      <c r="CW12" t="s">
        <v>1405</v>
      </c>
      <c r="CX12">
        <v>3.37</v>
      </c>
      <c r="CY12">
        <v>1.5</v>
      </c>
      <c r="CZ12">
        <f>+Tabla3101170117[[#This Row],[En culmo]]*CT12</f>
        <v>51</v>
      </c>
      <c r="DA12"/>
      <c r="DB12">
        <v>2</v>
      </c>
      <c r="DC12" t="s">
        <v>1862</v>
      </c>
      <c r="DD12" t="s">
        <v>1383</v>
      </c>
      <c r="DE12" t="s">
        <v>1723</v>
      </c>
      <c r="DF12">
        <v>0.63</v>
      </c>
      <c r="DG12">
        <f>+Tabla31011704[[#This Row],[Longitud de eje]]*DB12</f>
        <v>1.26</v>
      </c>
      <c r="DH12"/>
      <c r="DI12"/>
      <c r="DJ12"/>
      <c r="DK12"/>
      <c r="DL12"/>
      <c r="DM12"/>
      <c r="DN12">
        <f>+Tabla3101170411[[#This Row],[Longitud de eje]]*DI12</f>
        <v>0</v>
      </c>
      <c r="DO12"/>
      <c r="DP12"/>
      <c r="DQ12"/>
      <c r="DR12"/>
      <c r="DS12"/>
      <c r="DT12"/>
      <c r="DU12">
        <f>+Tabla3101170411120[[#This Row],[Longitud de eje]]*DP12</f>
        <v>0</v>
      </c>
      <c r="DV12"/>
      <c r="DW12"/>
      <c r="DX12"/>
      <c r="DY12"/>
      <c r="DZ12"/>
      <c r="EA12"/>
      <c r="EB12">
        <f>+Tabla3101170411120122[[#This Row],[Longitud de eje]]*DW12</f>
        <v>0</v>
      </c>
      <c r="EC12"/>
      <c r="ED12">
        <v>2</v>
      </c>
      <c r="EE12" t="s">
        <v>1862</v>
      </c>
      <c r="EF12" t="s">
        <v>1524</v>
      </c>
      <c r="EG12" t="s">
        <v>1406</v>
      </c>
      <c r="EH12">
        <v>0.42</v>
      </c>
      <c r="EI12">
        <v>1</v>
      </c>
      <c r="EJ12">
        <f>+Tabla3101112[[#This Row],[En culmo]]*ED12</f>
        <v>2</v>
      </c>
      <c r="EK12"/>
      <c r="EL12"/>
      <c r="EM12"/>
      <c r="EN12"/>
      <c r="EO12"/>
      <c r="EP12"/>
      <c r="EQ12"/>
      <c r="ER12">
        <f>+Tabla3101112123[[#This Row],[En culmo]]*EL12</f>
        <v>0</v>
      </c>
      <c r="ES12"/>
      <c r="ET12">
        <v>10</v>
      </c>
      <c r="EU12" t="s">
        <v>1862</v>
      </c>
      <c r="EV12" t="s">
        <v>1525</v>
      </c>
      <c r="EW12" t="s">
        <v>1406</v>
      </c>
      <c r="EX12">
        <v>0.7</v>
      </c>
      <c r="EY12">
        <v>1</v>
      </c>
      <c r="EZ12">
        <f>+Tabla310111257[[#This Row],[En culmo]]*ET12</f>
        <v>10</v>
      </c>
      <c r="FA12"/>
      <c r="FB12"/>
      <c r="FC12"/>
      <c r="FD12"/>
      <c r="FE12"/>
      <c r="FF12"/>
      <c r="FG12">
        <v>1</v>
      </c>
      <c r="FH12">
        <f>+Tabla310111257124[[#This Row],[En culmo]]*FB12</f>
        <v>0</v>
      </c>
      <c r="FI12"/>
      <c r="FJ12"/>
      <c r="FK12"/>
      <c r="FL12"/>
      <c r="FM12"/>
      <c r="FN12"/>
      <c r="FO12"/>
      <c r="FP12">
        <f>+Tabla310111213115[[#This Row],[Volúmen]]*FJ12</f>
        <v>0</v>
      </c>
      <c r="FQ12">
        <f>+Tabla310111213115[[#This Row],[Longitud del eje]]*FJ12</f>
        <v>0</v>
      </c>
      <c r="FR12"/>
      <c r="FS12"/>
      <c r="FT12"/>
      <c r="FU12"/>
      <c r="FV12"/>
      <c r="FW12"/>
      <c r="FX12">
        <f>+Tabla31011121311554[[#This Row],[Volúmen]]*FR12</f>
        <v>0</v>
      </c>
      <c r="FY12">
        <f>+Tabla31011121311554[[#This Row],[Longitud del eje]]*FR12</f>
        <v>0</v>
      </c>
      <c r="FZ12">
        <v>4</v>
      </c>
      <c r="GA12" t="s">
        <v>1862</v>
      </c>
      <c r="GB12" t="s">
        <v>1524</v>
      </c>
      <c r="GC12" t="s">
        <v>1584</v>
      </c>
      <c r="GD12">
        <f>+(0.4*0.2)*Tabla3101112131157[[#This Row],[Longitud del eje]]</f>
        <v>0.15200000000000002</v>
      </c>
      <c r="GE12">
        <v>1.9</v>
      </c>
      <c r="GF12">
        <f>+Tabla3101112131157[[#This Row],[Volúmen]]*FZ12</f>
        <v>0.6080000000000001</v>
      </c>
      <c r="GG12">
        <f>+Tabla3101112131157[[#This Row],[Longitud del eje]]*FZ12</f>
        <v>7.6</v>
      </c>
      <c r="GI12"/>
      <c r="GJ12"/>
      <c r="GK12"/>
      <c r="GL12"/>
      <c r="GM12"/>
      <c r="GN12"/>
      <c r="GO12"/>
      <c r="GQ12" t="s">
        <v>1862</v>
      </c>
      <c r="GR12" t="s">
        <v>1383</v>
      </c>
      <c r="GS12" t="s">
        <v>1628</v>
      </c>
      <c r="GT12">
        <v>0.01</v>
      </c>
      <c r="GU12">
        <v>2.06</v>
      </c>
      <c r="GV12">
        <v>1</v>
      </c>
      <c r="GW12">
        <f>+Tabla578914[[#This Row],[Recuento]]*Tabla578914[[#This Row],[Volúmen bruto]]</f>
        <v>0.01</v>
      </c>
      <c r="GX12">
        <f>+Tabla578914[[#This Row],[Recuento]]*Tabla578914[[#This Row],[Área neta]]</f>
        <v>2.06</v>
      </c>
      <c r="GY12" s="36"/>
      <c r="HA12" t="s">
        <v>1862</v>
      </c>
      <c r="HB12" t="s">
        <v>1383</v>
      </c>
      <c r="HC12" t="s">
        <v>97</v>
      </c>
      <c r="HD12">
        <v>0.06</v>
      </c>
      <c r="HE12">
        <v>9.9700000000000006</v>
      </c>
      <c r="HF12">
        <v>1</v>
      </c>
      <c r="HG12">
        <f>+Tabla578914126[[#This Row],[Recuento]]*Tabla578914126[[#This Row],[Volúmen bruto]]</f>
        <v>0.06</v>
      </c>
      <c r="HH12">
        <f>+Tabla578914126[[#This Row],[Recuento]]*Tabla578914126[[#This Row],[Área neta]]</f>
        <v>9.9700000000000006</v>
      </c>
      <c r="HI12" s="36"/>
      <c r="HK12" t="s">
        <v>1862</v>
      </c>
      <c r="HL12" t="s">
        <v>1383</v>
      </c>
      <c r="HM12" t="s">
        <v>1679</v>
      </c>
      <c r="HN12">
        <v>0.01</v>
      </c>
      <c r="HO12">
        <v>8.4</v>
      </c>
      <c r="HP12">
        <v>1</v>
      </c>
      <c r="HQ12">
        <f>+Tabla578914126127[[#This Row],[Recuento]]*Tabla578914126127[[#This Row],[Volúmen bruto]]</f>
        <v>0.01</v>
      </c>
      <c r="HR12">
        <f>+Tabla578914126127[[#This Row],[Recuento]]*Tabla578914126127[[#This Row],[Área neta]]</f>
        <v>8.4</v>
      </c>
      <c r="HS12" s="35">
        <f>+SUM(HR12:HR15)</f>
        <v>17.590000000000003</v>
      </c>
      <c r="HT12" s="26"/>
      <c r="HU12"/>
      <c r="HV12"/>
      <c r="HW12"/>
      <c r="HX12"/>
      <c r="HY12"/>
      <c r="HZ12"/>
      <c r="IA12"/>
      <c r="IB12"/>
      <c r="IC12" s="35"/>
      <c r="ID12" s="26"/>
      <c r="IE12"/>
      <c r="IF12"/>
      <c r="IG12"/>
      <c r="IH12"/>
      <c r="II12"/>
      <c r="IJ12"/>
      <c r="IK12"/>
      <c r="IL12"/>
      <c r="IM12" s="35"/>
      <c r="IN12" s="26"/>
      <c r="IO12"/>
      <c r="IP12"/>
      <c r="IQ12"/>
      <c r="IR12"/>
      <c r="IS12"/>
      <c r="IT12"/>
      <c r="IU12">
        <f>+Tabla520212223[[#This Row],[Recuento]]*Tabla520212223[[#This Row],[Volúmen bruto]]</f>
        <v>0</v>
      </c>
      <c r="IV12">
        <f>+Tabla520212223[[#This Row],[Recuento]]*Tabla520212223[[#This Row],[Área neta]]</f>
        <v>0</v>
      </c>
      <c r="IW12" s="26">
        <f t="shared" si="0"/>
        <v>0</v>
      </c>
      <c r="IY12"/>
      <c r="IZ12"/>
      <c r="JA12"/>
      <c r="JB12"/>
      <c r="JC12"/>
      <c r="JD12"/>
      <c r="JE12">
        <f>+Tabla520212224[[#This Row],[Recuento]]*Tabla520212224[[#This Row],[Volúmen bruto]]</f>
        <v>0</v>
      </c>
      <c r="JF12">
        <f>+Tabla520212224[[#This Row],[Recuento]]*Tabla520212224[[#This Row],[Área neta]]</f>
        <v>0</v>
      </c>
      <c r="JG12" s="26"/>
      <c r="JI12" t="s">
        <v>1862</v>
      </c>
      <c r="JJ12" t="s">
        <v>1525</v>
      </c>
      <c r="JK12" t="s">
        <v>1628</v>
      </c>
      <c r="JL12">
        <v>0</v>
      </c>
      <c r="JM12">
        <v>0.22</v>
      </c>
      <c r="JN12">
        <v>2</v>
      </c>
      <c r="JO12">
        <f>+Tabla52021222425[[#This Row],[Recuento]]*Tabla52021222425[[#This Row],[Volúmen bruto]]</f>
        <v>0</v>
      </c>
      <c r="JP12">
        <f>+Tabla52021222425[[#This Row],[Recuento]]*Tabla52021222425[[#This Row],[Área neta]]</f>
        <v>0.44</v>
      </c>
      <c r="JQ12" s="26"/>
      <c r="JS12" t="s">
        <v>1862</v>
      </c>
      <c r="JT12" t="s">
        <v>1525</v>
      </c>
      <c r="JU12" t="s">
        <v>1628</v>
      </c>
      <c r="JV12">
        <v>0.01</v>
      </c>
      <c r="JW12">
        <v>0.68</v>
      </c>
      <c r="JX12">
        <v>2</v>
      </c>
      <c r="JY12">
        <f>+Tabla5202122242526[[#This Row],[Recuento]]*Tabla5202122242526[[#This Row],[Volúmen bruto]]</f>
        <v>0.02</v>
      </c>
      <c r="JZ12">
        <f>+Tabla5202122242526[[#This Row],[Recuento]]*Tabla5202122242526[[#This Row],[Área neta]]</f>
        <v>1.36</v>
      </c>
      <c r="KA12" s="26"/>
      <c r="KC12"/>
      <c r="KD12"/>
      <c r="KE12"/>
      <c r="KF12"/>
      <c r="KG12"/>
      <c r="KH12"/>
      <c r="KI12">
        <f>+Tabla5202122242526104[[#This Row],[Recuento]]*Tabla5202122242526104[[#This Row],[Volúmen bruto]]</f>
        <v>0</v>
      </c>
      <c r="KJ12">
        <f>+Tabla5202122242526104[[#This Row],[Recuento]]*Tabla5202122242526104[[#This Row],[Área neta]]</f>
        <v>0</v>
      </c>
      <c r="KK12" s="26"/>
      <c r="KM12" t="s">
        <v>1862</v>
      </c>
      <c r="KN12" t="s">
        <v>1525</v>
      </c>
      <c r="KO12" t="s">
        <v>1628</v>
      </c>
      <c r="KP12">
        <v>0.1</v>
      </c>
      <c r="KQ12">
        <v>4.95</v>
      </c>
      <c r="KR12">
        <v>1</v>
      </c>
      <c r="KS12">
        <f>+Tabla5202122242526104110[[#This Row],[Recuento]]*Tabla5202122242526104110[[#This Row],[Volúmen bruto]]</f>
        <v>0.1</v>
      </c>
      <c r="KT12">
        <f>+Tabla5202122242526104110[[#This Row],[Recuento]]*Tabla5202122242526104110[[#This Row],[Área neta]]</f>
        <v>4.95</v>
      </c>
      <c r="KU12" s="26"/>
      <c r="KW12" t="s">
        <v>1862</v>
      </c>
      <c r="KX12" t="s">
        <v>1524</v>
      </c>
      <c r="KY12" t="s">
        <v>1677</v>
      </c>
      <c r="KZ12">
        <v>0</v>
      </c>
      <c r="LA12">
        <v>2.3199999999999998</v>
      </c>
      <c r="LB12">
        <v>2</v>
      </c>
      <c r="LC12">
        <f>+Tabla520212224252659[[#This Row],[Recuento]]*Tabla520212224252659[[#This Row],[Volúmen bruto]]</f>
        <v>0</v>
      </c>
      <c r="LD12">
        <f>+Tabla520212224252659[[#This Row],[Recuento]]*Tabla520212224252659[[#This Row],[Área neta]]</f>
        <v>4.6399999999999997</v>
      </c>
      <c r="LE12" s="26">
        <f>+SUM(LD12:LD15)</f>
        <v>10.43</v>
      </c>
      <c r="LG12"/>
      <c r="LH12"/>
      <c r="LI12"/>
      <c r="LJ12"/>
      <c r="LK12"/>
      <c r="LL12"/>
      <c r="LM12">
        <f>+Tabla520212224252659111[[#This Row],[Recuento]]*Tabla520212224252659111[[#This Row],[Volúmen bruto]]</f>
        <v>0</v>
      </c>
      <c r="LN12">
        <f>+Tabla520212224252659111[[#This Row],[Recuento]]*Tabla520212224252659111[[#This Row],[Área neta]]</f>
        <v>0</v>
      </c>
      <c r="LO12" s="26"/>
      <c r="LQ12" t="s">
        <v>1863</v>
      </c>
      <c r="LR12" t="s">
        <v>1524</v>
      </c>
      <c r="LS12" t="s">
        <v>1679</v>
      </c>
      <c r="LT12">
        <v>0</v>
      </c>
      <c r="LU12">
        <v>2.1800000000000002</v>
      </c>
      <c r="LV12">
        <v>2</v>
      </c>
      <c r="LW12">
        <f>+Tabla520212224252659111114[[#This Row],[Recuento]]*Tabla520212224252659111114[[#This Row],[Volúmen bruto]]</f>
        <v>0</v>
      </c>
      <c r="LX12">
        <f>+Tabla520212224252659111114[[#This Row],[Recuento]]*Tabla520212224252659111114[[#This Row],[Área neta]]</f>
        <v>4.3600000000000003</v>
      </c>
      <c r="LY12" s="26">
        <f>+SUM(LX12:LX13)</f>
        <v>8.61</v>
      </c>
      <c r="MA12" t="s">
        <v>1862</v>
      </c>
      <c r="MB12" t="s">
        <v>1524</v>
      </c>
      <c r="MC12" t="s">
        <v>97</v>
      </c>
      <c r="MD12">
        <v>0.01</v>
      </c>
      <c r="ME12">
        <v>1.1200000000000001</v>
      </c>
      <c r="MF12">
        <v>1</v>
      </c>
      <c r="MG12">
        <f>+Tabla520212224252659111114128[[#This Row],[Recuento]]*Tabla520212224252659111114128[[#This Row],[Volúmen bruto]]</f>
        <v>0.01</v>
      </c>
      <c r="MH12">
        <f>+Tabla520212224252659111114128[[#This Row],[Recuento]]*Tabla520212224252659111114128[[#This Row],[Área neta]]</f>
        <v>1.1200000000000001</v>
      </c>
      <c r="MI12" s="26"/>
      <c r="MK12" t="s">
        <v>1862</v>
      </c>
      <c r="ML12" t="s">
        <v>1525</v>
      </c>
      <c r="MM12" t="s">
        <v>99</v>
      </c>
      <c r="MN12">
        <v>0.01</v>
      </c>
      <c r="MO12">
        <v>1</v>
      </c>
      <c r="MP12">
        <v>1</v>
      </c>
      <c r="MQ12">
        <f>+Tabla520212224252627[[#This Row],[Recuento]]*Tabla520212224252627[[#This Row],[Volúmen bruto]]</f>
        <v>0.01</v>
      </c>
      <c r="MR12">
        <f>+Tabla520212224252627[[#This Row],[Recuento]]*Tabla520212224252627[[#This Row],[Área neta]]</f>
        <v>1</v>
      </c>
      <c r="MS12" s="26">
        <f>+SUM(MR12:MR13)</f>
        <v>4.2699999999999996</v>
      </c>
      <c r="MU12" t="s">
        <v>1549</v>
      </c>
      <c r="MV12" t="s">
        <v>1525</v>
      </c>
      <c r="MW12" t="s">
        <v>95</v>
      </c>
      <c r="MX12">
        <v>0</v>
      </c>
      <c r="MY12">
        <v>0.09</v>
      </c>
      <c r="MZ12">
        <v>2</v>
      </c>
      <c r="NA12">
        <f>+Tabla520212224252627129[[#This Row],[Recuento]]*Tabla520212224252627129[[#This Row],[Volúmen bruto]]</f>
        <v>0</v>
      </c>
      <c r="NB12">
        <f>+Tabla520212224252627129[[#This Row],[Recuento]]*Tabla520212224252627129[[#This Row],[Área neta]]</f>
        <v>0.18</v>
      </c>
      <c r="NC12" s="26"/>
      <c r="NE12"/>
      <c r="NF12"/>
      <c r="NG12"/>
      <c r="NH12"/>
      <c r="NI12"/>
      <c r="NJ12"/>
      <c r="NK12">
        <f>+Tabla520212224252627129125[[#This Row],[Recuento]]*Tabla520212224252627129125[[#This Row],[Volúmen bruto]]</f>
        <v>0</v>
      </c>
      <c r="NL12">
        <f>+Tabla520212224252627129125[[#This Row],[Recuento]]*Tabla520212224252627129125[[#This Row],[Área neta]]</f>
        <v>0</v>
      </c>
      <c r="NM12" s="26"/>
      <c r="NO12" t="s">
        <v>1549</v>
      </c>
      <c r="NP12" t="s">
        <v>1525</v>
      </c>
      <c r="NQ12" t="s">
        <v>97</v>
      </c>
      <c r="NR12">
        <v>0.01</v>
      </c>
      <c r="NS12">
        <v>0.5</v>
      </c>
      <c r="NT12">
        <v>1</v>
      </c>
      <c r="NU12">
        <f>+Tabla520212224252627129125130[[#This Row],[Recuento]]*Tabla520212224252627129125130[[#This Row],[Volúmen bruto]]</f>
        <v>0.01</v>
      </c>
      <c r="NV12">
        <f>+Tabla520212224252627129125130[[#This Row],[Recuento]]*Tabla520212224252627129125130[[#This Row],[Área neta]]</f>
        <v>0.5</v>
      </c>
      <c r="NW12" s="26"/>
      <c r="NY12" t="s">
        <v>1549</v>
      </c>
      <c r="NZ12" t="s">
        <v>1525</v>
      </c>
      <c r="OA12" t="s">
        <v>1785</v>
      </c>
      <c r="OB12">
        <v>0.02</v>
      </c>
      <c r="OC12">
        <v>1.64</v>
      </c>
      <c r="OD12">
        <v>1</v>
      </c>
      <c r="OE12">
        <f>+Tabla520212224252627129125130131[[#This Row],[Recuento]]*Tabla520212224252627129125130131[[#This Row],[Volúmen bruto]]</f>
        <v>0.02</v>
      </c>
      <c r="OF12">
        <f>+Tabla520212224252627129125130131[[#This Row],[Recuento]]*Tabla520212224252627129125130131[[#This Row],[Área neta]]</f>
        <v>1.64</v>
      </c>
      <c r="OG12" s="26">
        <f>+SUM(OF12:OF13)</f>
        <v>2.31</v>
      </c>
      <c r="OI12" t="s">
        <v>1549</v>
      </c>
      <c r="OJ12" t="s">
        <v>1525</v>
      </c>
      <c r="OK12" t="s">
        <v>95</v>
      </c>
      <c r="OL12">
        <v>0</v>
      </c>
      <c r="OM12">
        <v>0.1</v>
      </c>
      <c r="ON12">
        <v>2</v>
      </c>
      <c r="OO12">
        <f>+Tabla520212224252627129125130131132[[#This Row],[Recuento]]*Tabla520212224252627129125130131132[[#This Row],[Volúmen bruto]]</f>
        <v>0</v>
      </c>
      <c r="OP12">
        <f>+Tabla520212224252627129125130131132[[#This Row],[Recuento]]*Tabla520212224252627129125130131132[[#This Row],[Área neta]]</f>
        <v>0.2</v>
      </c>
      <c r="OQ12" s="26"/>
      <c r="OS12"/>
      <c r="OT12"/>
      <c r="OU12"/>
      <c r="OV12"/>
      <c r="OW12"/>
      <c r="OX12"/>
      <c r="OY12">
        <f>+Tabla52021222425262728[[#This Row],[Recuento]]*Tabla52021222425262728[[#This Row],[Volúmen bruto]]</f>
        <v>0</v>
      </c>
      <c r="OZ12">
        <f>+Tabla52021222425262728[[#This Row],[Recuento]]*Tabla52021222425262728[[#This Row],[Área neta]]</f>
        <v>0</v>
      </c>
      <c r="PA12" s="26"/>
      <c r="PC12" t="s">
        <v>1862</v>
      </c>
      <c r="PD12" t="s">
        <v>1525</v>
      </c>
      <c r="PE12" t="s">
        <v>1628</v>
      </c>
      <c r="PF12">
        <v>0.01</v>
      </c>
      <c r="PG12">
        <v>0.6</v>
      </c>
      <c r="PH12">
        <v>2</v>
      </c>
      <c r="PI12">
        <f>+Tabla52021222425262728133[[#This Row],[Recuento]]*Tabla52021222425262728133[[#This Row],[Volúmen bruto]]</f>
        <v>0.02</v>
      </c>
      <c r="PJ12">
        <f>+Tabla52021222425262728133[[#This Row],[Recuento]]*Tabla52021222425262728133[[#This Row],[Área neta]]</f>
        <v>1.2</v>
      </c>
      <c r="PK12" s="26">
        <f>+SUM(PJ12:PJ26)</f>
        <v>25.85</v>
      </c>
      <c r="PM12" t="s">
        <v>1863</v>
      </c>
      <c r="PN12" t="s">
        <v>1524</v>
      </c>
      <c r="PO12" t="s">
        <v>1788</v>
      </c>
      <c r="PP12">
        <v>0.02</v>
      </c>
      <c r="PQ12">
        <v>1.78</v>
      </c>
      <c r="PR12">
        <v>1</v>
      </c>
      <c r="PS12">
        <f>+Tabla5202122242526272893[[#This Row],[Recuento]]*Tabla5202122242526272893[[#This Row],[Volúmen bruto]]</f>
        <v>0.02</v>
      </c>
      <c r="PT12">
        <f>+Tabla5202122242526272893[[#This Row],[Recuento]]*Tabla5202122242526272893[[#This Row],[Área neta]]</f>
        <v>1.78</v>
      </c>
      <c r="PU12" s="26">
        <f>+SUM(PT12)</f>
        <v>1.78</v>
      </c>
      <c r="PW12" t="s">
        <v>1862</v>
      </c>
      <c r="PX12" t="s">
        <v>1525</v>
      </c>
      <c r="PY12" t="s">
        <v>1628</v>
      </c>
      <c r="PZ12">
        <v>0.03</v>
      </c>
      <c r="QA12">
        <v>1.54</v>
      </c>
      <c r="QB12">
        <v>1</v>
      </c>
      <c r="QC12">
        <f>+Tabla520212224252627289349[[#This Row],[Recuento]]*Tabla520212224252627289349[[#This Row],[Volúmen bruto]]</f>
        <v>0.03</v>
      </c>
      <c r="QD12">
        <f>+Tabla520212224252627289349[[#This Row],[Recuento]]*Tabla520212224252627289349[[#This Row],[Área neta]]</f>
        <v>1.54</v>
      </c>
      <c r="QE12" s="26"/>
      <c r="QG12"/>
      <c r="QH12"/>
      <c r="QI12"/>
      <c r="QJ12"/>
      <c r="QK12"/>
      <c r="QL12"/>
      <c r="QM12">
        <f>+Tabla520212224252627289349134[[#This Row],[Recuento]]*Tabla520212224252627289349134[[#This Row],[Volúmen bruto]]</f>
        <v>0</v>
      </c>
      <c r="QN12">
        <f>+Tabla520212224252627289349134[[#This Row],[Recuento]]*Tabla520212224252627289349134[[#This Row],[Área neta]]</f>
        <v>0</v>
      </c>
      <c r="QO12" s="26"/>
      <c r="QQ12" t="s">
        <v>1862</v>
      </c>
      <c r="QR12" t="s">
        <v>1524</v>
      </c>
      <c r="QS12" t="s">
        <v>1726</v>
      </c>
      <c r="QT12">
        <v>0.69</v>
      </c>
      <c r="QU12">
        <v>3.43</v>
      </c>
      <c r="QV12">
        <v>1</v>
      </c>
      <c r="QW12">
        <v>2</v>
      </c>
      <c r="QX12">
        <f>+Tabla5202122242526272829[[#This Row],[Recuento]]*Tabla5202122242526272829[[#This Row],[Volúmen bruto]]</f>
        <v>1.38</v>
      </c>
      <c r="QY12">
        <f>+Tabla5202122242526272829[[#This Row],[Recuento]]*Tabla5202122242526272829[[#This Row],[Área neta]]</f>
        <v>6.86</v>
      </c>
      <c r="QZ12">
        <f>+Tabla5202122242526272829[[#This Row],[Recuento]]*Tabla5202122242526272829[[#This Row],[Longitud]]</f>
        <v>2</v>
      </c>
      <c r="RA12" s="26"/>
      <c r="RC12" t="s">
        <v>1549</v>
      </c>
      <c r="RD12" t="s">
        <v>1524</v>
      </c>
      <c r="RE12" t="s">
        <v>98</v>
      </c>
      <c r="RF12">
        <v>0</v>
      </c>
      <c r="RG12">
        <v>2.27</v>
      </c>
      <c r="RH12">
        <v>1</v>
      </c>
      <c r="RI12">
        <f>+Tabla520212224252627283132[[#This Row],[Recuento]]*Tabla520212224252627283132[[#This Row],[Volúmen bruto]]</f>
        <v>0</v>
      </c>
      <c r="RJ12">
        <f>+Tabla520212224252627283132[[#This Row],[Recuento]]*Tabla520212224252627283132[[#This Row],[Área neta]]</f>
        <v>2.27</v>
      </c>
      <c r="RK12" s="26"/>
      <c r="RM12"/>
      <c r="RN12"/>
      <c r="RO12"/>
      <c r="RP12"/>
      <c r="RQ12"/>
      <c r="RR12"/>
      <c r="RS12">
        <f>+Tabla5202122242526272831329[[#This Row],[Recuento]]*Tabla5202122242526272831329[[#This Row],[Volúmen bruto]]</f>
        <v>0</v>
      </c>
      <c r="RT12">
        <f>+Tabla5202122242526272831329[[#This Row],[Recuento]]*Tabla5202122242526272831329[[#This Row],[Área neta]]</f>
        <v>0</v>
      </c>
      <c r="RU12" s="26"/>
      <c r="RW12"/>
      <c r="RX12"/>
      <c r="RY12"/>
      <c r="RZ12"/>
      <c r="SA12"/>
      <c r="SB12"/>
      <c r="SC12">
        <f>+Tabla52021222425262728313233[[#This Row],[Recuento]]*Tabla52021222425262728313233[[#This Row],[Volúmen bruto]]</f>
        <v>0</v>
      </c>
      <c r="SD12">
        <f>+Tabla52021222425262728313233[[#This Row],[Recuento]]*Tabla52021222425262728313233[[#This Row],[Área neta]]</f>
        <v>0</v>
      </c>
      <c r="SE12" s="26"/>
      <c r="SG12"/>
      <c r="SH12"/>
      <c r="SI12"/>
      <c r="SJ12"/>
      <c r="SK12"/>
      <c r="SL12"/>
      <c r="SM12">
        <f>+Tabla5202122242526272831323314[[#This Row],[Recuento]]*Tabla5202122242526272831323314[[#This Row],[Volúmen bruto]]</f>
        <v>0</v>
      </c>
      <c r="SN12">
        <f>+Tabla5202122242526272831323314[[#This Row],[Recuento]]*Tabla5202122242526272831323314[[#This Row],[Área neta]]</f>
        <v>0</v>
      </c>
      <c r="SO12" s="26">
        <f>+SUM(SN12:SN20)</f>
        <v>0</v>
      </c>
      <c r="SQ12" t="s">
        <v>1862</v>
      </c>
      <c r="SR12" t="s">
        <v>1524</v>
      </c>
      <c r="SS12" t="s">
        <v>94</v>
      </c>
      <c r="ST12">
        <v>0.11</v>
      </c>
      <c r="SU12">
        <v>1.08</v>
      </c>
      <c r="SV12">
        <v>1</v>
      </c>
      <c r="SW12" s="34">
        <f>+Tabla5789141516[[#This Row],[Recuento]]*Tabla5789141516[[#This Row],[Volúmen bruto]]</f>
        <v>0.11</v>
      </c>
      <c r="SX12" s="34">
        <f>+Tabla5789141516[[#This Row],[Recuento]]*Tabla5789141516[[#This Row],[Área neta]]</f>
        <v>1.08</v>
      </c>
      <c r="SY12" s="35"/>
      <c r="SZ12" s="26"/>
      <c r="TA12"/>
      <c r="TB12"/>
      <c r="TC12"/>
      <c r="TD12"/>
      <c r="TE12"/>
      <c r="TF12"/>
      <c r="TG12" s="34">
        <f>+Tabla578914151634[[#This Row],[Recuento]]*Tabla578914151634[[#This Row],[Volúmen bruto]]</f>
        <v>0</v>
      </c>
      <c r="TH12" s="34">
        <f>+Tabla578914151634[[#This Row],[Recuento]]*Tabla578914151634[[#This Row],[Área neta]]</f>
        <v>0</v>
      </c>
      <c r="TI12" s="35"/>
      <c r="TJ12" s="26"/>
      <c r="TK12" t="s">
        <v>1862</v>
      </c>
      <c r="TL12" t="s">
        <v>1525</v>
      </c>
      <c r="TM12" t="s">
        <v>1628</v>
      </c>
      <c r="TN12">
        <v>0.09</v>
      </c>
      <c r="TO12">
        <v>4.29</v>
      </c>
      <c r="TP12">
        <v>2</v>
      </c>
      <c r="TQ12" s="34">
        <f>+Tabla57891415163435[[#This Row],[Recuento]]*Tabla57891415163435[[#This Row],[Volúmen bruto]]</f>
        <v>0.18</v>
      </c>
      <c r="TR12" s="34">
        <f>+Tabla57891415163435[[#This Row],[Recuento]]*Tabla57891415163435[[#This Row],[Área neta]]</f>
        <v>8.58</v>
      </c>
      <c r="TS12" s="35"/>
      <c r="TT12" s="26"/>
      <c r="TU12"/>
      <c r="TV12"/>
      <c r="TW12"/>
      <c r="TX12"/>
      <c r="TY12"/>
      <c r="TZ12"/>
      <c r="UA12" s="34">
        <f>+Tabla5789141516343536[[#This Row],[Recuento]]*Tabla5789141516343536[[#This Row],[Volúmen bruto]]</f>
        <v>0</v>
      </c>
      <c r="UB12" s="34">
        <f>+Tabla5789141516343536[[#This Row],[Recuento]]*Tabla5789141516343536[[#This Row],[Área neta]]</f>
        <v>0</v>
      </c>
      <c r="UC12" s="35"/>
      <c r="UD12" s="26"/>
      <c r="UE12" t="s">
        <v>1862</v>
      </c>
      <c r="UF12" t="s">
        <v>1524</v>
      </c>
      <c r="UG12" t="s">
        <v>1627</v>
      </c>
      <c r="UH12">
        <v>0.92</v>
      </c>
      <c r="UI12">
        <v>4.58</v>
      </c>
      <c r="UJ12">
        <v>1</v>
      </c>
      <c r="UK12" s="34">
        <f>+Tabla57891415163435363738[[#This Row],[Recuento]]*Tabla57891415163435363738[[#This Row],[Volúmen bruto]]</f>
        <v>0.92</v>
      </c>
      <c r="UL12" s="34">
        <f>+Tabla57891415163435363738[[#This Row],[Recuento]]*Tabla57891415163435363738[[#This Row],[Área neta]]</f>
        <v>4.58</v>
      </c>
      <c r="UM12" s="35"/>
      <c r="UN12" s="26"/>
      <c r="UO12"/>
      <c r="UP12"/>
      <c r="UQ12"/>
      <c r="UR12"/>
      <c r="US12"/>
      <c r="UT12"/>
      <c r="UU12" s="34">
        <f>+Tabla5789141516343536373839[[#This Row],[Recuento]]*Tabla5789141516343536373839[[#This Row],[Volúmen bruto]]</f>
        <v>0</v>
      </c>
      <c r="UV12" s="34">
        <f>+Tabla5789141516343536373839[[#This Row],[Recuento]]*Tabla5789141516343536373839[[#This Row],[Área neta]]</f>
        <v>0</v>
      </c>
      <c r="UW12" s="35"/>
      <c r="UX12" s="26"/>
      <c r="UY12"/>
      <c r="UZ12"/>
      <c r="VA12"/>
      <c r="VB12"/>
      <c r="VC12"/>
      <c r="VD12" s="33"/>
      <c r="VE12" s="34"/>
      <c r="VF12" s="34"/>
      <c r="VG12" s="35"/>
      <c r="VH12" s="26"/>
      <c r="VI12"/>
      <c r="VJ12"/>
      <c r="VK12"/>
      <c r="VL12"/>
      <c r="VM12"/>
      <c r="VN12" s="33"/>
      <c r="VO12" s="34"/>
      <c r="VP12" s="34"/>
      <c r="VQ12" s="35"/>
      <c r="VR12" s="26"/>
      <c r="VS12"/>
      <c r="VT12"/>
      <c r="VU12"/>
      <c r="VV12"/>
      <c r="VW12"/>
      <c r="VX12" s="33"/>
      <c r="VY12" s="34"/>
      <c r="VZ12" s="34"/>
      <c r="WA12" s="35"/>
      <c r="WB12" s="26"/>
      <c r="WC12"/>
      <c r="WD12"/>
      <c r="WE12"/>
      <c r="WF12"/>
      <c r="WG12"/>
      <c r="WH12"/>
      <c r="WI12" s="34">
        <f>+Tabla5789141516343536373839404142[[#This Row],[Recuento]]*Tabla5789141516343536373839404142[[#This Row],[Volúmen bruto]]</f>
        <v>0</v>
      </c>
      <c r="WJ12" s="34">
        <f>+Tabla5789141516343536373839404142[[#This Row],[Recuento]]*Tabla5789141516343536373839404142[[#This Row],[Área neta]]</f>
        <v>0</v>
      </c>
      <c r="WK12" s="35"/>
      <c r="WL12" s="26"/>
      <c r="WM12"/>
      <c r="WN12"/>
      <c r="WO12"/>
      <c r="WP12"/>
      <c r="WQ12"/>
      <c r="WR12"/>
      <c r="WS12" s="34"/>
      <c r="WT12" s="34"/>
      <c r="WU12" s="35"/>
      <c r="WV12" s="26"/>
      <c r="WW12"/>
      <c r="WX12"/>
      <c r="WY12"/>
      <c r="WZ12"/>
      <c r="XA12"/>
      <c r="XB12"/>
      <c r="XC12" s="34"/>
      <c r="XD12" s="34"/>
      <c r="XE12" s="35"/>
      <c r="XF12" s="26"/>
      <c r="XG12"/>
      <c r="XH12"/>
      <c r="XI12"/>
      <c r="XJ12"/>
      <c r="XK12"/>
      <c r="XL12"/>
      <c r="XM12" s="34">
        <f>+Tabla578914151634353637383940414243444536[[#This Row],[Recuento]]*Tabla578914151634353637383940414243444536[[#This Row],[Volúmen bruto]]</f>
        <v>0</v>
      </c>
      <c r="XN12" s="34">
        <f>+Tabla578914151634353637383940414243444536[[#This Row],[Recuento]]*Tabla578914151634353637383940414243444536[[#This Row],[Área neta]]</f>
        <v>0</v>
      </c>
      <c r="XO12" s="36"/>
      <c r="XP12" s="26"/>
      <c r="XQ12"/>
      <c r="XR12"/>
      <c r="XS12"/>
      <c r="XT12"/>
      <c r="XU12"/>
      <c r="XV12"/>
      <c r="XW12" s="34">
        <f>+Tabla5789141516343536373839404142434445[[#This Row],[Recuento]]*Tabla5789141516343536373839404142434445[[#This Row],[Volúmen bruto]]</f>
        <v>0</v>
      </c>
      <c r="XX12" s="34">
        <f>+Tabla5789141516343536373839404142434445[[#This Row],[Recuento]]*Tabla5789141516343536373839404142434445[[#This Row],[Área neta]]</f>
        <v>0</v>
      </c>
      <c r="XY12" s="35"/>
      <c r="XZ12" s="26"/>
      <c r="YA12"/>
      <c r="YB12"/>
      <c r="YC12"/>
      <c r="YD12"/>
      <c r="YE12"/>
      <c r="YF12"/>
      <c r="YG12" s="34">
        <f>+Tabla578914151634353637383940414243444558[[#This Row],[Recuento]]*Tabla578914151634353637383940414243444558[[#This Row],[Volúmen bruto]]</f>
        <v>0</v>
      </c>
      <c r="YH12" s="34">
        <f>+Tabla578914151634353637383940414243444558[[#This Row],[Recuento]]*Tabla578914151634353637383940414243444558[[#This Row],[Área neta]]</f>
        <v>0</v>
      </c>
      <c r="YI12" s="35"/>
      <c r="YJ12" s="35"/>
      <c r="YK12"/>
      <c r="YL12"/>
      <c r="YM12"/>
      <c r="YN12"/>
      <c r="YO12"/>
      <c r="YQ12"/>
      <c r="YR12"/>
      <c r="YS12"/>
      <c r="YT12"/>
      <c r="YU12"/>
      <c r="YV12" s="33"/>
      <c r="YW12" s="34"/>
      <c r="YX12" s="34"/>
      <c r="YY12" s="35"/>
      <c r="YZ12" s="26"/>
      <c r="ZA12"/>
      <c r="ZB12"/>
      <c r="ZC12"/>
      <c r="ZD12"/>
      <c r="ZE12"/>
      <c r="ZF12" s="33">
        <v>1</v>
      </c>
      <c r="ZG12" s="34">
        <f>+Tabla5789141516343536373839404142434445464748495038[[#This Row],[Área total]]*0.25</f>
        <v>12.385000000000002</v>
      </c>
      <c r="ZH12" s="34">
        <f>+ZH8+ZH9+ZH10+ZH11</f>
        <v>49.540000000000006</v>
      </c>
      <c r="ZI12" s="35">
        <f>+SUM(ZG12)</f>
        <v>12.385000000000002</v>
      </c>
      <c r="ZJ12" s="26"/>
      <c r="ZK12" t="s">
        <v>1862</v>
      </c>
      <c r="ZL12" t="s">
        <v>1525</v>
      </c>
      <c r="ZM12" t="s">
        <v>1730</v>
      </c>
      <c r="ZN12">
        <v>0</v>
      </c>
      <c r="ZO12">
        <v>0.12</v>
      </c>
      <c r="ZP12">
        <v>2</v>
      </c>
      <c r="ZQ12" s="34">
        <f>+Tabla5789141516343536373839404142434445464748495041[[#This Row],[Recuento]]*Tabla5789141516343536373839404142434445464748495041[[#This Row],[Volúmen bruto]]</f>
        <v>0</v>
      </c>
      <c r="ZR12" s="34">
        <f>+Tabla5789141516343536373839404142434445464748495041[[#This Row],[Recuento]]*Tabla5789141516343536373839404142434445464748495041[[#This Row],[Área neta]]</f>
        <v>0.24</v>
      </c>
      <c r="ZS12" s="35"/>
      <c r="ZT12" s="26"/>
      <c r="ZU12" t="s">
        <v>1862</v>
      </c>
      <c r="ZV12" t="s">
        <v>1524</v>
      </c>
      <c r="ZW12" t="s">
        <v>1633</v>
      </c>
      <c r="ZX12">
        <v>0</v>
      </c>
      <c r="ZY12">
        <v>0.86</v>
      </c>
      <c r="ZZ12">
        <v>1</v>
      </c>
      <c r="AAA12" s="34">
        <f>+Tabla57891415163435363738394041424344454647484950[[#This Row],[Recuento]]*Tabla57891415163435363738394041424344454647484950[[#This Row],[Volúmen bruto]]</f>
        <v>0</v>
      </c>
      <c r="AAB12" s="34">
        <f>+Tabla57891415163435363738394041424344454647484950[[#This Row],[Recuento]]*Tabla57891415163435363738394041424344454647484950[[#This Row],[Área neta]]</f>
        <v>0.86</v>
      </c>
      <c r="AAC12" s="35"/>
      <c r="AAD12" s="26"/>
      <c r="AAE12"/>
      <c r="AAF12"/>
      <c r="AAG12"/>
      <c r="AAH12"/>
      <c r="AAI12"/>
      <c r="AAJ12" s="33">
        <v>1</v>
      </c>
      <c r="AAK12" s="34">
        <v>0.18179999999999999</v>
      </c>
      <c r="AAL12" s="34">
        <v>3.03</v>
      </c>
      <c r="AAM12" s="35"/>
      <c r="AAN12" s="26"/>
      <c r="AAO12" t="s">
        <v>1862</v>
      </c>
      <c r="AAP12" t="s">
        <v>1524</v>
      </c>
      <c r="AAQ12" t="s">
        <v>98</v>
      </c>
      <c r="AAR12">
        <v>0</v>
      </c>
      <c r="AAS12">
        <v>0.35</v>
      </c>
      <c r="AAT12">
        <v>18</v>
      </c>
      <c r="AAU12" s="34">
        <f>+Tabla5789141516343536373839404142434445464748495051[[#This Row],[Recuento]]*Tabla5789141516343536373839404142434445464748495051[[#This Row],[Volúmen bruto]]</f>
        <v>0</v>
      </c>
      <c r="AAV12" s="34">
        <f>+Tabla5789141516343536373839404142434445464748495051[[#This Row],[Recuento]]*Tabla5789141516343536373839404142434445464748495051[[#This Row],[Área neta]]</f>
        <v>6.3</v>
      </c>
      <c r="AAW12" s="35"/>
      <c r="AAX12" s="26"/>
      <c r="AAY12"/>
      <c r="AAZ12"/>
      <c r="ABA12"/>
      <c r="ABB12"/>
      <c r="ABC12"/>
      <c r="ABD12"/>
      <c r="ABE12" s="34">
        <f>+Tabla578914151634353637383940414243444546474849505152[[#This Row],[Recuento]]*Tabla578914151634353637383940414243444546474849505152[[#This Row],[Volúmen bruto]]</f>
        <v>0</v>
      </c>
      <c r="ABF12" s="34">
        <f>+Tabla578914151634353637383940414243444546474849505152[[#This Row],[Recuento]]*Tabla578914151634353637383940414243444546474849505152[[#This Row],[Área neta]]</f>
        <v>0</v>
      </c>
      <c r="ABG12" s="35"/>
      <c r="ABH12" s="26"/>
      <c r="ABI12"/>
      <c r="ABJ12"/>
      <c r="ABK12"/>
      <c r="ABL12"/>
      <c r="ABM12"/>
      <c r="ABN12"/>
      <c r="ABO12" s="34">
        <f>+Tabla57891415163435363738394041424344454647484950515213[[#This Row],[Recuento]]*Tabla57891415163435363738394041424344454647484950515213[[#This Row],[Volúmen bruto]]</f>
        <v>0</v>
      </c>
      <c r="ABP12" s="34">
        <f>+Tabla57891415163435363738394041424344454647484950515213[[#This Row],[Recuento]]*Tabla57891415163435363738394041424344454647484950515213[[#This Row],[Área neta]]</f>
        <v>0</v>
      </c>
      <c r="ABQ12" s="35"/>
      <c r="ABR12" s="26"/>
      <c r="ABS12"/>
      <c r="ABT12"/>
      <c r="ABU12"/>
      <c r="ABV12"/>
      <c r="ABW12"/>
      <c r="ABX12"/>
      <c r="ABY12" s="34">
        <f>+Tabla5789141516343536373839404142434445464748495051521340[[#This Row],[Recuento]]*Tabla5789141516343536373839404142434445464748495051521340[[#This Row],[Volúmen bruto]]</f>
        <v>0</v>
      </c>
      <c r="ABZ12" s="34">
        <f>+Tabla5789141516343536373839404142434445464748495051521340[[#This Row],[Recuento]]*Tabla5789141516343536373839404142434445464748495051521340[[#This Row],[Área neta]]</f>
        <v>0</v>
      </c>
      <c r="ACA12" s="35"/>
      <c r="ACB12" s="26"/>
      <c r="ACC12"/>
      <c r="ACD12"/>
      <c r="ACE12"/>
      <c r="ACF12"/>
      <c r="ACG12"/>
      <c r="ACH12" s="33"/>
      <c r="ACI12" s="34"/>
      <c r="ACJ12" s="34"/>
      <c r="ACK12" s="35"/>
      <c r="ACL12" s="26"/>
      <c r="ACM12"/>
      <c r="ACN12"/>
      <c r="ACO12"/>
      <c r="ACP12"/>
      <c r="ACQ12"/>
      <c r="ACR12" s="33"/>
      <c r="ACS12" s="34"/>
      <c r="ACT12" s="34"/>
      <c r="ACU12" s="35"/>
      <c r="ACV12" s="26"/>
      <c r="ACW12" t="s">
        <v>1240</v>
      </c>
      <c r="ACX12" s="1">
        <v>1</v>
      </c>
      <c r="ACY12" s="2">
        <v>0.7</v>
      </c>
      <c r="ACZ12" s="2">
        <v>2.0950000000000002</v>
      </c>
      <c r="ADA12" s="38">
        <v>1</v>
      </c>
      <c r="ADB12" s="2">
        <f t="shared" si="1"/>
        <v>1.4665000000000001</v>
      </c>
      <c r="ADD12" t="s">
        <v>1720</v>
      </c>
      <c r="ADE12">
        <v>2.7</v>
      </c>
      <c r="ADF12">
        <v>4</v>
      </c>
      <c r="ADG12" s="26">
        <f t="shared" si="3"/>
        <v>10.8</v>
      </c>
      <c r="ADH12"/>
      <c r="ADI12"/>
      <c r="ADJ12"/>
      <c r="ADK12"/>
      <c r="ADL12"/>
      <c r="ADM12"/>
      <c r="ADN12">
        <f ca="1">+Tabla578914151634353637383940414243444546474849505152535560[[#This Row],[G. Total]]*Tabla578914151634353637383940414243444546474849505152535560[[#This Row],[Recuento]]</f>
        <v>0</v>
      </c>
      <c r="ADO12" s="35"/>
      <c r="ADP12" s="26"/>
      <c r="ADQ12"/>
      <c r="ADR12"/>
      <c r="ADS12"/>
      <c r="ADT12"/>
      <c r="ADU12"/>
      <c r="ADV12" s="35"/>
      <c r="ADW12" s="35"/>
      <c r="ADX12"/>
      <c r="ADY12"/>
      <c r="ADZ12"/>
      <c r="AEA12"/>
      <c r="AEB12"/>
      <c r="AEC12">
        <f ca="1">+Tabla57891415163435363738394041424344454647484950515253556062[[#This Row],[Total]]*Tabla57891415163435363738394041424344454647484950515253556062[[#This Row],[Recuento]]</f>
        <v>0</v>
      </c>
      <c r="AED12" s="35"/>
      <c r="AEE12" s="26"/>
      <c r="AEF12"/>
      <c r="AEG12"/>
      <c r="AEH12"/>
      <c r="AEI12"/>
      <c r="AEJ12"/>
      <c r="AEK12" s="35"/>
      <c r="AEL12" s="35"/>
      <c r="AEM12" t="s">
        <v>1522</v>
      </c>
      <c r="AEN12" t="s">
        <v>1523</v>
      </c>
      <c r="AEO12" t="s">
        <v>382</v>
      </c>
      <c r="AEP12">
        <v>2.12</v>
      </c>
      <c r="AEQ12">
        <v>1</v>
      </c>
      <c r="AER12">
        <f ca="1">+Tabla5789141516343536373839404142434445464748495051525355606264[[#This Row],[G. Total]]*Tabla5789141516343536373839404142434445464748495051525355606264[[#This Row],[Recuento]]</f>
        <v>2.12</v>
      </c>
      <c r="AES12" s="35"/>
      <c r="AET12" s="26"/>
      <c r="AEU12"/>
      <c r="AEV12"/>
      <c r="AEW12"/>
      <c r="AEX12"/>
      <c r="AEY12"/>
      <c r="AEZ12" s="35"/>
      <c r="AFA12" s="26"/>
      <c r="AFB12"/>
      <c r="AFC12"/>
      <c r="AFD12"/>
      <c r="AFE12"/>
      <c r="AFF12"/>
      <c r="AFG12"/>
      <c r="AFH12" t="s">
        <v>1522</v>
      </c>
      <c r="AFI12" t="s">
        <v>1524</v>
      </c>
      <c r="AFJ12" t="s">
        <v>419</v>
      </c>
      <c r="AFK12">
        <v>3.4</v>
      </c>
      <c r="AFL12">
        <v>1</v>
      </c>
      <c r="AFM12">
        <f ca="1">+Tabla578914151634353637383940414243444546474849505152535560626467[[#This Row],[G. Total]]*Tabla578914151634353637383940414243444546474849505152535560626467[[#This Row],[Recuento]]</f>
        <v>3.4</v>
      </c>
      <c r="AFN12" s="35"/>
      <c r="AFO12" s="26"/>
      <c r="AFP12" s="2" t="s">
        <v>103</v>
      </c>
      <c r="AFW12" s="2" t="s">
        <v>103</v>
      </c>
    </row>
    <row r="13" spans="1:860" ht="15" customHeight="1" x14ac:dyDescent="0.25">
      <c r="A13">
        <v>1</v>
      </c>
      <c r="B13" t="s">
        <v>1862</v>
      </c>
      <c r="C13" t="s">
        <v>1225</v>
      </c>
      <c r="D13" t="s">
        <v>1550</v>
      </c>
      <c r="E13">
        <v>0</v>
      </c>
      <c r="F13">
        <v>0.3</v>
      </c>
      <c r="G13"/>
      <c r="H13">
        <f>+Tabla3[[#This Row],[Volúmen neto]]*A13</f>
        <v>0</v>
      </c>
      <c r="I13">
        <f>+Tabla3[[#This Row],[Longitud de eje]]*A13</f>
        <v>0.3</v>
      </c>
      <c r="J13"/>
      <c r="K13"/>
      <c r="L13"/>
      <c r="M13"/>
      <c r="N13"/>
      <c r="O13"/>
      <c r="P13"/>
      <c r="Q13"/>
      <c r="R13">
        <f>+Tabla5[[#This Row],[Recuento]]*Tabla5[[#This Row],[Volúmen bruto]]</f>
        <v>0</v>
      </c>
      <c r="S13">
        <f>+Tabla5[[#This Row],[Recuento]]*Tabla5[[#This Row],[Área neta]]</f>
        <v>0</v>
      </c>
      <c r="T13">
        <f>+Tabla5[[#This Row],[Longitud nominal]]*Tabla5[[#This Row],[Recuento]]</f>
        <v>0</v>
      </c>
      <c r="U13" s="26"/>
      <c r="V13"/>
      <c r="W13"/>
      <c r="X13"/>
      <c r="Y13"/>
      <c r="Z13"/>
      <c r="AA13"/>
      <c r="AB13"/>
      <c r="AC13"/>
      <c r="AD13">
        <f>+Tabla522[[#This Row],[Recuento]]*Tabla522[[#This Row],[Volúmen bruto]]</f>
        <v>0</v>
      </c>
      <c r="AE13">
        <f>+Tabla522[[#This Row],[Recuento]]*Tabla522[[#This Row],[Área neta]]</f>
        <v>0</v>
      </c>
      <c r="AF13">
        <f>+Tabla522[[#This Row],[Longitud nominal]]*Tabla522[[#This Row],[Recuento]]</f>
        <v>0</v>
      </c>
      <c r="AG13" s="26"/>
      <c r="AH13"/>
      <c r="AI13"/>
      <c r="AJ13"/>
      <c r="AK13"/>
      <c r="AL13"/>
      <c r="AM13"/>
      <c r="AN13"/>
      <c r="AO13"/>
      <c r="AP13">
        <f>+Tabla52223[[#This Row],[Recuento]]*Tabla52223[[#This Row],[Volúmen bruto]]</f>
        <v>0</v>
      </c>
      <c r="AQ13">
        <f>+Tabla52223[[#This Row],[Recuento]]*Tabla52223[[#This Row],[Área neta]]</f>
        <v>0</v>
      </c>
      <c r="AR13">
        <f>+Tabla52223[[#This Row],[Longitud nominal]]*Tabla52223[[#This Row],[Recuento]]</f>
        <v>0</v>
      </c>
      <c r="AS13" s="26"/>
      <c r="AT13"/>
      <c r="AU13"/>
      <c r="AV13"/>
      <c r="AW13"/>
      <c r="AX13"/>
      <c r="AY13"/>
      <c r="AZ13"/>
      <c r="BA13"/>
      <c r="BB13">
        <f>+Tabla5222329[[#This Row],[Recuento]]*Tabla5222329[[#This Row],[Volúmen bruto]]</f>
        <v>0</v>
      </c>
      <c r="BC13">
        <f>+Tabla5222329[[#This Row],[Recuento]]*Tabla5222329[[#This Row],[Área neta]]</f>
        <v>0</v>
      </c>
      <c r="BD13">
        <f>+Tabla5222329[[#This Row],[Longitud nominal]]*Tabla5222329[[#This Row],[Recuento]]</f>
        <v>0</v>
      </c>
      <c r="BE13" s="26"/>
      <c r="BF13">
        <v>1</v>
      </c>
      <c r="BG13" t="s">
        <v>1862</v>
      </c>
      <c r="BH13" t="s">
        <v>1524</v>
      </c>
      <c r="BI13" t="s">
        <v>1406</v>
      </c>
      <c r="BJ13">
        <v>5.6</v>
      </c>
      <c r="BK13">
        <v>6</v>
      </c>
      <c r="BL13">
        <f>+Tabla3102[[#This Row],[En culmo]]*BF13</f>
        <v>6</v>
      </c>
      <c r="BM13"/>
      <c r="BN13"/>
      <c r="BO13"/>
      <c r="BP13"/>
      <c r="BQ13"/>
      <c r="BR13"/>
      <c r="BS13">
        <v>1.5</v>
      </c>
      <c r="BT13">
        <f>+Tabla31069[[#This Row],[En culmo]]*BN13</f>
        <v>0</v>
      </c>
      <c r="BU13"/>
      <c r="BV13">
        <v>4</v>
      </c>
      <c r="BW13" t="s">
        <v>1862</v>
      </c>
      <c r="BX13" t="s">
        <v>1525</v>
      </c>
      <c r="BY13" t="s">
        <v>1406</v>
      </c>
      <c r="BZ13">
        <v>0.5</v>
      </c>
      <c r="CA13">
        <v>1</v>
      </c>
      <c r="CB13">
        <f>+Tabla31011[[#This Row],[En culmo]]*BV13</f>
        <v>4</v>
      </c>
      <c r="CD13">
        <v>6</v>
      </c>
      <c r="CE13" t="s">
        <v>1862</v>
      </c>
      <c r="CF13" t="s">
        <v>1525</v>
      </c>
      <c r="CG13" t="s">
        <v>1405</v>
      </c>
      <c r="CH13">
        <v>3.1</v>
      </c>
      <c r="CI13">
        <v>3.5</v>
      </c>
      <c r="CJ13">
        <f>+Tabla3101170[[#This Row],[En culmo]]*CD13</f>
        <v>21</v>
      </c>
      <c r="CK13"/>
      <c r="CL13">
        <v>2</v>
      </c>
      <c r="CM13" t="s">
        <v>1862</v>
      </c>
      <c r="CN13" t="s">
        <v>1383</v>
      </c>
      <c r="CO13" t="s">
        <v>1406</v>
      </c>
      <c r="CP13">
        <v>3.92</v>
      </c>
      <c r="CQ13" s="26">
        <v>4.5</v>
      </c>
      <c r="CR13">
        <f>+Tabla31011116[[#This Row],[En culmo]]*CT13</f>
        <v>9</v>
      </c>
      <c r="CT13">
        <v>2</v>
      </c>
      <c r="CU13" t="s">
        <v>1862</v>
      </c>
      <c r="CV13" t="s">
        <v>1383</v>
      </c>
      <c r="CW13" t="s">
        <v>1405</v>
      </c>
      <c r="CX13">
        <v>14.77</v>
      </c>
      <c r="CY13">
        <v>13.5</v>
      </c>
      <c r="CZ13">
        <f>+Tabla3101170117[[#This Row],[En culmo]]*CT13</f>
        <v>27</v>
      </c>
      <c r="DA13"/>
      <c r="DB13">
        <v>12</v>
      </c>
      <c r="DC13" t="s">
        <v>1862</v>
      </c>
      <c r="DD13" t="s">
        <v>1383</v>
      </c>
      <c r="DE13" t="s">
        <v>1723</v>
      </c>
      <c r="DF13">
        <v>1.1399999999999999</v>
      </c>
      <c r="DG13">
        <f>+Tabla31011704[[#This Row],[Longitud de eje]]*DB13</f>
        <v>13.68</v>
      </c>
      <c r="DH13"/>
      <c r="DI13"/>
      <c r="DJ13"/>
      <c r="DK13"/>
      <c r="DL13"/>
      <c r="DM13"/>
      <c r="DN13">
        <f>+Tabla3101170411[[#This Row],[Longitud de eje]]*DI13</f>
        <v>0</v>
      </c>
      <c r="DO13"/>
      <c r="DP13"/>
      <c r="DQ13"/>
      <c r="DR13"/>
      <c r="DS13"/>
      <c r="DT13"/>
      <c r="DU13">
        <f>+Tabla3101170411120[[#This Row],[Longitud de eje]]*DP13</f>
        <v>0</v>
      </c>
      <c r="DV13"/>
      <c r="DW13"/>
      <c r="DX13"/>
      <c r="DY13"/>
      <c r="DZ13"/>
      <c r="EA13"/>
      <c r="EB13">
        <f>+Tabla3101170411120122[[#This Row],[Longitud de eje]]*DW13</f>
        <v>0</v>
      </c>
      <c r="EC13"/>
      <c r="ED13">
        <v>1</v>
      </c>
      <c r="EE13" t="s">
        <v>1862</v>
      </c>
      <c r="EF13" t="s">
        <v>1524</v>
      </c>
      <c r="EG13" t="s">
        <v>1406</v>
      </c>
      <c r="EH13">
        <v>0.6</v>
      </c>
      <c r="EI13">
        <v>1</v>
      </c>
      <c r="EJ13">
        <f>+Tabla3101112[[#This Row],[En culmo]]*ED13</f>
        <v>1</v>
      </c>
      <c r="EK13"/>
      <c r="EL13"/>
      <c r="EM13"/>
      <c r="EN13"/>
      <c r="EO13"/>
      <c r="EP13"/>
      <c r="EQ13"/>
      <c r="ER13">
        <f>+Tabla3101112123[[#This Row],[En culmo]]*EL13</f>
        <v>0</v>
      </c>
      <c r="ES13"/>
      <c r="ET13">
        <v>6</v>
      </c>
      <c r="EU13" t="s">
        <v>1862</v>
      </c>
      <c r="EV13" t="s">
        <v>1525</v>
      </c>
      <c r="EW13" t="s">
        <v>1406</v>
      </c>
      <c r="EX13">
        <v>0.86</v>
      </c>
      <c r="EY13">
        <v>1.5</v>
      </c>
      <c r="EZ13">
        <f>+Tabla310111257[[#This Row],[En culmo]]*ET13</f>
        <v>9</v>
      </c>
      <c r="FA13"/>
      <c r="FB13"/>
      <c r="FC13"/>
      <c r="FD13"/>
      <c r="FE13"/>
      <c r="FF13"/>
      <c r="FG13">
        <v>1.5</v>
      </c>
      <c r="FH13">
        <f>+Tabla310111257124[[#This Row],[En culmo]]*FB13</f>
        <v>0</v>
      </c>
      <c r="FI13"/>
      <c r="FJ13"/>
      <c r="FK13"/>
      <c r="FL13"/>
      <c r="FM13"/>
      <c r="FN13"/>
      <c r="FO13"/>
      <c r="FP13">
        <f>+Tabla310111213115[[#This Row],[Volúmen]]*FJ13</f>
        <v>0</v>
      </c>
      <c r="FQ13">
        <f>+Tabla310111213115[[#This Row],[Longitud del eje]]*FJ13</f>
        <v>0</v>
      </c>
      <c r="FR13"/>
      <c r="FS13"/>
      <c r="FT13"/>
      <c r="FU13"/>
      <c r="FV13"/>
      <c r="FW13"/>
      <c r="FX13">
        <f>+Tabla31011121311554[[#This Row],[Volúmen]]*FR13</f>
        <v>0</v>
      </c>
      <c r="FY13">
        <f>+Tabla31011121311554[[#This Row],[Longitud del eje]]*FR13</f>
        <v>0</v>
      </c>
      <c r="FZ13">
        <v>17</v>
      </c>
      <c r="GA13" t="s">
        <v>1862</v>
      </c>
      <c r="GB13" t="s">
        <v>1524</v>
      </c>
      <c r="GC13" t="s">
        <v>1584</v>
      </c>
      <c r="GD13">
        <v>0.02</v>
      </c>
      <c r="GE13">
        <v>0.4</v>
      </c>
      <c r="GF13">
        <f>+Tabla3101112131157[[#This Row],[Volúmen]]*FZ13</f>
        <v>0.34</v>
      </c>
      <c r="GG13">
        <f>+Tabla3101112131157[[#This Row],[Longitud del eje]]*FZ13</f>
        <v>6.8000000000000007</v>
      </c>
      <c r="GI13"/>
      <c r="GJ13"/>
      <c r="GK13"/>
      <c r="GL13"/>
      <c r="GM13"/>
      <c r="GN13"/>
      <c r="GO13"/>
      <c r="GQ13" t="s">
        <v>1862</v>
      </c>
      <c r="GR13" t="s">
        <v>1383</v>
      </c>
      <c r="GS13" t="s">
        <v>1628</v>
      </c>
      <c r="GT13">
        <v>0.02</v>
      </c>
      <c r="GU13">
        <v>3.66</v>
      </c>
      <c r="GV13">
        <v>1</v>
      </c>
      <c r="GW13" s="2">
        <f>+Tabla578914[[#This Row],[Recuento]]*Tabla578914[[#This Row],[Volúmen bruto]]</f>
        <v>0.02</v>
      </c>
      <c r="GX13" s="2">
        <f>+Tabla578914[[#This Row],[Recuento]]*Tabla578914[[#This Row],[Área neta]]</f>
        <v>3.66</v>
      </c>
      <c r="GY13" s="36"/>
      <c r="HA13" t="s">
        <v>1862</v>
      </c>
      <c r="HB13" t="s">
        <v>1383</v>
      </c>
      <c r="HC13" t="s">
        <v>97</v>
      </c>
      <c r="HD13">
        <v>0.08</v>
      </c>
      <c r="HE13">
        <v>13.22</v>
      </c>
      <c r="HF13">
        <v>1</v>
      </c>
      <c r="HG13" s="2">
        <f>+Tabla578914126[[#This Row],[Recuento]]*Tabla578914126[[#This Row],[Volúmen bruto]]</f>
        <v>0.08</v>
      </c>
      <c r="HH13" s="2">
        <f>+Tabla578914126[[#This Row],[Recuento]]*Tabla578914126[[#This Row],[Área neta]]</f>
        <v>13.22</v>
      </c>
      <c r="HI13" s="36"/>
      <c r="HK13" t="s">
        <v>1862</v>
      </c>
      <c r="HL13" t="s">
        <v>1383</v>
      </c>
      <c r="HM13" t="s">
        <v>1679</v>
      </c>
      <c r="HN13">
        <v>0</v>
      </c>
      <c r="HO13">
        <v>3.18</v>
      </c>
      <c r="HP13">
        <v>1</v>
      </c>
      <c r="HQ13" s="2">
        <f>+Tabla578914126127[[#This Row],[Recuento]]*Tabla578914126127[[#This Row],[Volúmen bruto]]</f>
        <v>0</v>
      </c>
      <c r="HR13" s="2">
        <f>+Tabla578914126127[[#This Row],[Recuento]]*Tabla578914126127[[#This Row],[Área neta]]</f>
        <v>3.18</v>
      </c>
      <c r="HS13" s="36"/>
      <c r="HT13" s="26"/>
      <c r="HU13"/>
      <c r="HV13"/>
      <c r="HW13"/>
      <c r="HX13"/>
      <c r="HY13"/>
      <c r="HZ13"/>
      <c r="IA13"/>
      <c r="IB13"/>
      <c r="IC13" s="35"/>
      <c r="ID13" s="26"/>
      <c r="IE13"/>
      <c r="IF13"/>
      <c r="IG13"/>
      <c r="IH13"/>
      <c r="II13"/>
      <c r="IJ13"/>
      <c r="IK13"/>
      <c r="IL13"/>
      <c r="IM13" s="35"/>
      <c r="IN13" s="26"/>
      <c r="IO13"/>
      <c r="IP13"/>
      <c r="IQ13"/>
      <c r="IR13"/>
      <c r="IS13"/>
      <c r="IT13"/>
      <c r="IU13">
        <f>+Tabla520212223[[#This Row],[Recuento]]*Tabla520212223[[#This Row],[Volúmen bruto]]</f>
        <v>0</v>
      </c>
      <c r="IV13">
        <f>+Tabla520212223[[#This Row],[Recuento]]*Tabla520212223[[#This Row],[Área neta]]</f>
        <v>0</v>
      </c>
      <c r="IW13" s="26">
        <f t="shared" si="0"/>
        <v>0</v>
      </c>
      <c r="IY13"/>
      <c r="IZ13"/>
      <c r="JA13"/>
      <c r="JB13"/>
      <c r="JC13"/>
      <c r="JD13"/>
      <c r="JE13">
        <f>+Tabla520212224[[#This Row],[Recuento]]*Tabla520212224[[#This Row],[Volúmen bruto]]</f>
        <v>0</v>
      </c>
      <c r="JF13">
        <f>+Tabla520212224[[#This Row],[Recuento]]*Tabla520212224[[#This Row],[Área neta]]</f>
        <v>0</v>
      </c>
      <c r="JG13" s="26"/>
      <c r="JI13" t="s">
        <v>1862</v>
      </c>
      <c r="JJ13" t="s">
        <v>1524</v>
      </c>
      <c r="JK13" t="s">
        <v>97</v>
      </c>
      <c r="JL13">
        <v>0</v>
      </c>
      <c r="JM13">
        <v>0.01</v>
      </c>
      <c r="JN13">
        <v>4</v>
      </c>
      <c r="JO13">
        <f>+Tabla52021222425[[#This Row],[Recuento]]*Tabla52021222425[[#This Row],[Volúmen bruto]]</f>
        <v>0</v>
      </c>
      <c r="JP13">
        <f>+Tabla52021222425[[#This Row],[Recuento]]*Tabla52021222425[[#This Row],[Área neta]]</f>
        <v>0.04</v>
      </c>
      <c r="JQ13" s="26">
        <f>+SUM(JP13:JP21)</f>
        <v>90.36</v>
      </c>
      <c r="JS13" t="s">
        <v>1862</v>
      </c>
      <c r="JT13" t="s">
        <v>1524</v>
      </c>
      <c r="JU13" t="s">
        <v>97</v>
      </c>
      <c r="JV13">
        <v>0.02</v>
      </c>
      <c r="JW13">
        <v>0.89</v>
      </c>
      <c r="JX13">
        <v>2</v>
      </c>
      <c r="JY13">
        <f>+Tabla5202122242526[[#This Row],[Recuento]]*Tabla5202122242526[[#This Row],[Volúmen bruto]]</f>
        <v>0.04</v>
      </c>
      <c r="JZ13">
        <f>+Tabla5202122242526[[#This Row],[Recuento]]*Tabla5202122242526[[#This Row],[Área neta]]</f>
        <v>1.78</v>
      </c>
      <c r="KA13" s="26">
        <f>+SUM(JZ13:JZ21)</f>
        <v>21.46</v>
      </c>
      <c r="KC13"/>
      <c r="KD13"/>
      <c r="KE13"/>
      <c r="KF13"/>
      <c r="KG13"/>
      <c r="KH13"/>
      <c r="KI13">
        <f>+Tabla5202122242526104[[#This Row],[Recuento]]*Tabla5202122242526104[[#This Row],[Volúmen bruto]]</f>
        <v>0</v>
      </c>
      <c r="KJ13">
        <f>+Tabla5202122242526104[[#This Row],[Recuento]]*Tabla5202122242526104[[#This Row],[Área neta]]</f>
        <v>0</v>
      </c>
      <c r="KK13" s="26"/>
      <c r="KM13" t="s">
        <v>1862</v>
      </c>
      <c r="KN13" t="s">
        <v>1525</v>
      </c>
      <c r="KO13" t="s">
        <v>1628</v>
      </c>
      <c r="KP13">
        <v>0.09</v>
      </c>
      <c r="KQ13">
        <v>4.33</v>
      </c>
      <c r="KR13">
        <v>1</v>
      </c>
      <c r="KS13">
        <f>+Tabla5202122242526104110[[#This Row],[Recuento]]*Tabla5202122242526104110[[#This Row],[Volúmen bruto]]</f>
        <v>0.09</v>
      </c>
      <c r="KT13">
        <f>+Tabla5202122242526104110[[#This Row],[Recuento]]*Tabla5202122242526104110[[#This Row],[Área neta]]</f>
        <v>4.33</v>
      </c>
      <c r="KU13" s="26"/>
      <c r="KW13" t="s">
        <v>1862</v>
      </c>
      <c r="KX13" t="s">
        <v>1524</v>
      </c>
      <c r="KY13" t="s">
        <v>1677</v>
      </c>
      <c r="KZ13">
        <v>0</v>
      </c>
      <c r="LA13">
        <v>2.21</v>
      </c>
      <c r="LB13">
        <v>1</v>
      </c>
      <c r="LC13">
        <f>+Tabla520212224252659[[#This Row],[Recuento]]*Tabla520212224252659[[#This Row],[Volúmen bruto]]</f>
        <v>0</v>
      </c>
      <c r="LD13">
        <f>+Tabla520212224252659[[#This Row],[Recuento]]*Tabla520212224252659[[#This Row],[Área neta]]</f>
        <v>2.21</v>
      </c>
      <c r="LE13" s="26"/>
      <c r="LG13"/>
      <c r="LH13"/>
      <c r="LI13"/>
      <c r="LJ13"/>
      <c r="LK13"/>
      <c r="LL13"/>
      <c r="LM13">
        <f>+Tabla520212224252659111[[#This Row],[Recuento]]*Tabla520212224252659111[[#This Row],[Volúmen bruto]]</f>
        <v>0</v>
      </c>
      <c r="LN13">
        <f>+Tabla520212224252659111[[#This Row],[Recuento]]*Tabla520212224252659111[[#This Row],[Área neta]]</f>
        <v>0</v>
      </c>
      <c r="LO13" s="26"/>
      <c r="LQ13" t="s">
        <v>1863</v>
      </c>
      <c r="LR13" t="s">
        <v>1525</v>
      </c>
      <c r="LS13" t="s">
        <v>1679</v>
      </c>
      <c r="LT13">
        <v>0</v>
      </c>
      <c r="LU13">
        <v>4.25</v>
      </c>
      <c r="LV13">
        <v>1</v>
      </c>
      <c r="LW13">
        <f>+Tabla520212224252659111114[[#This Row],[Recuento]]*Tabla520212224252659111114[[#This Row],[Volúmen bruto]]</f>
        <v>0</v>
      </c>
      <c r="LX13">
        <f>+Tabla520212224252659111114[[#This Row],[Recuento]]*Tabla520212224252659111114[[#This Row],[Área neta]]</f>
        <v>4.25</v>
      </c>
      <c r="LY13" s="26"/>
      <c r="MA13" t="s">
        <v>1862</v>
      </c>
      <c r="MB13" t="s">
        <v>1524</v>
      </c>
      <c r="MC13" t="s">
        <v>97</v>
      </c>
      <c r="MD13">
        <v>0.06</v>
      </c>
      <c r="ME13">
        <v>3.07</v>
      </c>
      <c r="MF13">
        <v>1</v>
      </c>
      <c r="MG13">
        <f>+Tabla520212224252659111114128[[#This Row],[Recuento]]*Tabla520212224252659111114128[[#This Row],[Volúmen bruto]]</f>
        <v>0.06</v>
      </c>
      <c r="MH13">
        <f>+Tabla520212224252659111114128[[#This Row],[Recuento]]*Tabla520212224252659111114128[[#This Row],[Área neta]]</f>
        <v>3.07</v>
      </c>
      <c r="MI13" s="26"/>
      <c r="MK13" t="s">
        <v>1862</v>
      </c>
      <c r="ML13" t="s">
        <v>1525</v>
      </c>
      <c r="MM13" t="s">
        <v>99</v>
      </c>
      <c r="MN13">
        <v>0.03</v>
      </c>
      <c r="MO13">
        <v>3.27</v>
      </c>
      <c r="MP13">
        <v>1</v>
      </c>
      <c r="MQ13">
        <f>+Tabla520212224252627[[#This Row],[Recuento]]*Tabla520212224252627[[#This Row],[Volúmen bruto]]</f>
        <v>0.03</v>
      </c>
      <c r="MR13">
        <f>+Tabla520212224252627[[#This Row],[Recuento]]*Tabla520212224252627[[#This Row],[Área neta]]</f>
        <v>3.27</v>
      </c>
      <c r="MS13" s="415"/>
      <c r="MU13" t="s">
        <v>1549</v>
      </c>
      <c r="MV13" t="s">
        <v>1525</v>
      </c>
      <c r="MW13" t="s">
        <v>95</v>
      </c>
      <c r="MX13">
        <v>0</v>
      </c>
      <c r="MY13">
        <v>0.15</v>
      </c>
      <c r="MZ13">
        <v>1</v>
      </c>
      <c r="NA13">
        <f>+Tabla520212224252627129[[#This Row],[Recuento]]*Tabla520212224252627129[[#This Row],[Volúmen bruto]]</f>
        <v>0</v>
      </c>
      <c r="NB13">
        <f>+Tabla520212224252627129[[#This Row],[Recuento]]*Tabla520212224252627129[[#This Row],[Área neta]]</f>
        <v>0.15</v>
      </c>
      <c r="NC13" s="26"/>
      <c r="NE13"/>
      <c r="NF13"/>
      <c r="NG13"/>
      <c r="NH13"/>
      <c r="NI13"/>
      <c r="NJ13"/>
      <c r="NK13">
        <f>+Tabla520212224252627129125[[#This Row],[Recuento]]*Tabla520212224252627129125[[#This Row],[Volúmen bruto]]</f>
        <v>0</v>
      </c>
      <c r="NL13">
        <f>+Tabla520212224252627129125[[#This Row],[Recuento]]*Tabla520212224252627129125[[#This Row],[Área neta]]</f>
        <v>0</v>
      </c>
      <c r="NM13" s="26"/>
      <c r="NO13" t="s">
        <v>1549</v>
      </c>
      <c r="NP13" t="s">
        <v>1525</v>
      </c>
      <c r="NQ13" t="s">
        <v>97</v>
      </c>
      <c r="NR13">
        <v>0.03</v>
      </c>
      <c r="NS13">
        <v>1.63</v>
      </c>
      <c r="NT13">
        <v>2</v>
      </c>
      <c r="NU13">
        <f>+Tabla520212224252627129125130[[#This Row],[Recuento]]*Tabla520212224252627129125130[[#This Row],[Volúmen bruto]]</f>
        <v>0.06</v>
      </c>
      <c r="NV13">
        <f>+Tabla520212224252627129125130[[#This Row],[Recuento]]*Tabla520212224252627129125130[[#This Row],[Área neta]]</f>
        <v>3.26</v>
      </c>
      <c r="NW13" s="26"/>
      <c r="NY13" t="s">
        <v>1549</v>
      </c>
      <c r="NZ13" t="s">
        <v>1525</v>
      </c>
      <c r="OA13" t="s">
        <v>1785</v>
      </c>
      <c r="OB13">
        <v>0.01</v>
      </c>
      <c r="OC13">
        <v>0.67</v>
      </c>
      <c r="OD13">
        <v>1</v>
      </c>
      <c r="OE13">
        <f>+Tabla520212224252627129125130131[[#This Row],[Recuento]]*Tabla520212224252627129125130131[[#This Row],[Volúmen bruto]]</f>
        <v>0.01</v>
      </c>
      <c r="OF13">
        <f>+Tabla520212224252627129125130131[[#This Row],[Recuento]]*Tabla520212224252627129125130131[[#This Row],[Área neta]]</f>
        <v>0.67</v>
      </c>
      <c r="OG13" s="26"/>
      <c r="OI13" t="s">
        <v>1549</v>
      </c>
      <c r="OJ13" t="s">
        <v>1525</v>
      </c>
      <c r="OK13" t="s">
        <v>95</v>
      </c>
      <c r="OL13">
        <v>0</v>
      </c>
      <c r="OM13">
        <v>0.38</v>
      </c>
      <c r="ON13">
        <v>1</v>
      </c>
      <c r="OO13">
        <f>+Tabla520212224252627129125130131132[[#This Row],[Recuento]]*Tabla520212224252627129125130131132[[#This Row],[Volúmen bruto]]</f>
        <v>0</v>
      </c>
      <c r="OP13">
        <f>+Tabla520212224252627129125130131132[[#This Row],[Recuento]]*Tabla520212224252627129125130131132[[#This Row],[Área neta]]</f>
        <v>0.38</v>
      </c>
      <c r="OQ13" s="26"/>
      <c r="OS13"/>
      <c r="OT13"/>
      <c r="OU13"/>
      <c r="OV13"/>
      <c r="OW13"/>
      <c r="OX13"/>
      <c r="OY13">
        <f>+Tabla52021222425262728[[#This Row],[Recuento]]*Tabla52021222425262728[[#This Row],[Volúmen bruto]]</f>
        <v>0</v>
      </c>
      <c r="OZ13">
        <f>+Tabla52021222425262728[[#This Row],[Recuento]]*Tabla52021222425262728[[#This Row],[Área neta]]</f>
        <v>0</v>
      </c>
      <c r="PA13" s="26"/>
      <c r="PC13" t="s">
        <v>1862</v>
      </c>
      <c r="PD13" t="s">
        <v>1525</v>
      </c>
      <c r="PE13" t="s">
        <v>1628</v>
      </c>
      <c r="PF13">
        <v>0.02</v>
      </c>
      <c r="PG13">
        <v>1.04</v>
      </c>
      <c r="PH13">
        <v>1</v>
      </c>
      <c r="PI13">
        <f>+Tabla52021222425262728133[[#This Row],[Recuento]]*Tabla52021222425262728133[[#This Row],[Volúmen bruto]]</f>
        <v>0.02</v>
      </c>
      <c r="PJ13">
        <f>+Tabla52021222425262728133[[#This Row],[Recuento]]*Tabla52021222425262728133[[#This Row],[Área neta]]</f>
        <v>1.04</v>
      </c>
      <c r="PK13" s="26"/>
      <c r="PM13" t="s">
        <v>1863</v>
      </c>
      <c r="PN13" t="s">
        <v>1524</v>
      </c>
      <c r="PO13" t="s">
        <v>1628</v>
      </c>
      <c r="PP13">
        <v>0.04</v>
      </c>
      <c r="PQ13">
        <v>2.14</v>
      </c>
      <c r="PR13">
        <v>1</v>
      </c>
      <c r="PS13">
        <f>+Tabla5202122242526272893[[#This Row],[Recuento]]*Tabla5202122242526272893[[#This Row],[Volúmen bruto]]</f>
        <v>0.04</v>
      </c>
      <c r="PT13">
        <f>+Tabla5202122242526272893[[#This Row],[Recuento]]*Tabla5202122242526272893[[#This Row],[Área neta]]</f>
        <v>2.14</v>
      </c>
      <c r="PU13" s="26">
        <f>+SUM(PT13:PT14)</f>
        <v>3.99</v>
      </c>
      <c r="PW13" t="s">
        <v>1862</v>
      </c>
      <c r="PX13" t="s">
        <v>1525</v>
      </c>
      <c r="PY13" t="s">
        <v>1628</v>
      </c>
      <c r="PZ13">
        <v>0.02</v>
      </c>
      <c r="QA13">
        <v>1.1599999999999999</v>
      </c>
      <c r="QB13">
        <v>1</v>
      </c>
      <c r="QC13">
        <f>+Tabla520212224252627289349[[#This Row],[Recuento]]*Tabla520212224252627289349[[#This Row],[Volúmen bruto]]</f>
        <v>0.02</v>
      </c>
      <c r="QD13">
        <f>+Tabla520212224252627289349[[#This Row],[Recuento]]*Tabla520212224252627289349[[#This Row],[Área neta]]</f>
        <v>1.1599999999999999</v>
      </c>
      <c r="QE13" s="415"/>
      <c r="QG13"/>
      <c r="QH13"/>
      <c r="QI13"/>
      <c r="QJ13"/>
      <c r="QK13"/>
      <c r="QL13"/>
      <c r="QM13">
        <f>+Tabla520212224252627289349134[[#This Row],[Recuento]]*Tabla520212224252627289349134[[#This Row],[Volúmen bruto]]</f>
        <v>0</v>
      </c>
      <c r="QN13">
        <f>+Tabla520212224252627289349134[[#This Row],[Recuento]]*Tabla520212224252627289349134[[#This Row],[Área neta]]</f>
        <v>0</v>
      </c>
      <c r="QO13" s="26"/>
      <c r="QQ13" t="s">
        <v>1862</v>
      </c>
      <c r="QR13" t="s">
        <v>1524</v>
      </c>
      <c r="QS13" t="s">
        <v>1726</v>
      </c>
      <c r="QT13">
        <v>0.78</v>
      </c>
      <c r="QU13">
        <v>3.92</v>
      </c>
      <c r="QV13">
        <v>1</v>
      </c>
      <c r="QW13">
        <v>1</v>
      </c>
      <c r="QX13">
        <f>+Tabla5202122242526272829[[#This Row],[Recuento]]*Tabla5202122242526272829[[#This Row],[Volúmen bruto]]</f>
        <v>0.78</v>
      </c>
      <c r="QY13">
        <f>+Tabla5202122242526272829[[#This Row],[Recuento]]*Tabla5202122242526272829[[#This Row],[Área neta]]</f>
        <v>3.92</v>
      </c>
      <c r="QZ13">
        <f>+Tabla5202122242526272829[[#This Row],[Recuento]]*Tabla5202122242526272829[[#This Row],[Longitud]]</f>
        <v>1</v>
      </c>
      <c r="RA13" s="26"/>
      <c r="RC13" t="s">
        <v>1549</v>
      </c>
      <c r="RD13" t="s">
        <v>1524</v>
      </c>
      <c r="RE13" t="s">
        <v>98</v>
      </c>
      <c r="RF13">
        <v>0</v>
      </c>
      <c r="RG13">
        <v>2.39</v>
      </c>
      <c r="RH13">
        <v>1</v>
      </c>
      <c r="RI13">
        <f>+Tabla520212224252627283132[[#This Row],[Recuento]]*Tabla520212224252627283132[[#This Row],[Volúmen bruto]]</f>
        <v>0</v>
      </c>
      <c r="RJ13">
        <f>+Tabla520212224252627283132[[#This Row],[Recuento]]*Tabla520212224252627283132[[#This Row],[Área neta]]</f>
        <v>2.39</v>
      </c>
      <c r="RK13" s="26"/>
      <c r="RM13"/>
      <c r="RN13"/>
      <c r="RO13"/>
      <c r="RP13"/>
      <c r="RQ13"/>
      <c r="RR13"/>
      <c r="RS13">
        <f>+Tabla5202122242526272831329[[#This Row],[Recuento]]*Tabla5202122242526272831329[[#This Row],[Volúmen bruto]]</f>
        <v>0</v>
      </c>
      <c r="RT13">
        <f>+Tabla5202122242526272831329[[#This Row],[Recuento]]*Tabla5202122242526272831329[[#This Row],[Área neta]]</f>
        <v>0</v>
      </c>
      <c r="RU13" s="26"/>
      <c r="RW13"/>
      <c r="RX13"/>
      <c r="RY13"/>
      <c r="RZ13"/>
      <c r="SA13"/>
      <c r="SB13"/>
      <c r="SC13">
        <f>+Tabla52021222425262728313233[[#This Row],[Recuento]]*Tabla52021222425262728313233[[#This Row],[Volúmen bruto]]</f>
        <v>0</v>
      </c>
      <c r="SD13">
        <f>+Tabla52021222425262728313233[[#This Row],[Recuento]]*Tabla52021222425262728313233[[#This Row],[Área neta]]</f>
        <v>0</v>
      </c>
      <c r="SE13" s="26"/>
      <c r="SG13"/>
      <c r="SH13"/>
      <c r="SI13"/>
      <c r="SJ13"/>
      <c r="SK13"/>
      <c r="SL13"/>
      <c r="SM13">
        <f>+Tabla5202122242526272831323314[[#This Row],[Recuento]]*Tabla5202122242526272831323314[[#This Row],[Volúmen bruto]]</f>
        <v>0</v>
      </c>
      <c r="SN13">
        <f>+Tabla5202122242526272831323314[[#This Row],[Recuento]]*Tabla5202122242526272831323314[[#This Row],[Área neta]]</f>
        <v>0</v>
      </c>
      <c r="SO13" s="26"/>
      <c r="SQ13" t="s">
        <v>1862</v>
      </c>
      <c r="SR13" t="s">
        <v>1524</v>
      </c>
      <c r="SS13" t="s">
        <v>94</v>
      </c>
      <c r="ST13">
        <v>0.04</v>
      </c>
      <c r="SU13">
        <v>0.41</v>
      </c>
      <c r="SV13">
        <v>1</v>
      </c>
      <c r="SW13" s="34">
        <f>+Tabla5789141516[[#This Row],[Recuento]]*Tabla5789141516[[#This Row],[Volúmen bruto]]</f>
        <v>0.04</v>
      </c>
      <c r="SX13" s="34">
        <f>+Tabla5789141516[[#This Row],[Recuento]]*Tabla5789141516[[#This Row],[Área neta]]</f>
        <v>0.41</v>
      </c>
      <c r="SY13" s="35"/>
      <c r="SZ13" s="26"/>
      <c r="TA13"/>
      <c r="TB13"/>
      <c r="TC13"/>
      <c r="TD13"/>
      <c r="TE13"/>
      <c r="TF13"/>
      <c r="TG13" s="34">
        <f>+Tabla578914151634[[#This Row],[Recuento]]*Tabla578914151634[[#This Row],[Volúmen bruto]]</f>
        <v>0</v>
      </c>
      <c r="TH13" s="34">
        <f>+Tabla578914151634[[#This Row],[Recuento]]*Tabla578914151634[[#This Row],[Área neta]]</f>
        <v>0</v>
      </c>
      <c r="TI13" s="35"/>
      <c r="TJ13" s="26"/>
      <c r="TK13" t="s">
        <v>1862</v>
      </c>
      <c r="TL13" t="s">
        <v>1525</v>
      </c>
      <c r="TM13" t="s">
        <v>1628</v>
      </c>
      <c r="TN13">
        <v>0.15</v>
      </c>
      <c r="TO13">
        <v>7.63</v>
      </c>
      <c r="TP13">
        <v>1</v>
      </c>
      <c r="TQ13" s="34">
        <f>+Tabla57891415163435[[#This Row],[Recuento]]*Tabla57891415163435[[#This Row],[Volúmen bruto]]</f>
        <v>0.15</v>
      </c>
      <c r="TR13" s="34">
        <f>+Tabla57891415163435[[#This Row],[Recuento]]*Tabla57891415163435[[#This Row],[Área neta]]</f>
        <v>7.63</v>
      </c>
      <c r="TS13" s="35"/>
      <c r="TT13" s="26"/>
      <c r="TU13"/>
      <c r="TV13"/>
      <c r="TW13"/>
      <c r="TX13"/>
      <c r="TY13"/>
      <c r="TZ13"/>
      <c r="UA13" s="34">
        <f>+Tabla5789141516343536[[#This Row],[Recuento]]*Tabla5789141516343536[[#This Row],[Volúmen bruto]]</f>
        <v>0</v>
      </c>
      <c r="UB13" s="34">
        <f>+Tabla5789141516343536[[#This Row],[Recuento]]*Tabla5789141516343536[[#This Row],[Área neta]]</f>
        <v>0</v>
      </c>
      <c r="UC13" s="35"/>
      <c r="UD13" s="26"/>
      <c r="UE13" t="s">
        <v>1862</v>
      </c>
      <c r="UF13" t="s">
        <v>1524</v>
      </c>
      <c r="UG13" t="s">
        <v>1630</v>
      </c>
      <c r="UH13">
        <v>7.0000000000000007E-2</v>
      </c>
      <c r="UI13">
        <v>6.93</v>
      </c>
      <c r="UJ13">
        <v>1</v>
      </c>
      <c r="UK13" s="34">
        <f>+Tabla57891415163435363738[[#This Row],[Recuento]]*Tabla57891415163435363738[[#This Row],[Volúmen bruto]]</f>
        <v>7.0000000000000007E-2</v>
      </c>
      <c r="UL13" s="34">
        <f>+Tabla57891415163435363738[[#This Row],[Recuento]]*Tabla57891415163435363738[[#This Row],[Área neta]]</f>
        <v>6.93</v>
      </c>
      <c r="UM13" s="35">
        <f>+SUM(UL13:UL15)</f>
        <v>12.78</v>
      </c>
      <c r="UN13" s="26"/>
      <c r="UO13"/>
      <c r="UP13"/>
      <c r="UQ13"/>
      <c r="UR13"/>
      <c r="US13"/>
      <c r="UT13"/>
      <c r="UU13" s="34">
        <f>+Tabla5789141516343536373839[[#This Row],[Recuento]]*Tabla5789141516343536373839[[#This Row],[Volúmen bruto]]</f>
        <v>0</v>
      </c>
      <c r="UV13" s="34">
        <f>+Tabla5789141516343536373839[[#This Row],[Recuento]]*Tabla5789141516343536373839[[#This Row],[Área neta]]</f>
        <v>0</v>
      </c>
      <c r="UW13" s="35"/>
      <c r="UX13" s="26"/>
      <c r="UY13"/>
      <c r="UZ13"/>
      <c r="VA13"/>
      <c r="VB13"/>
      <c r="VC13"/>
      <c r="VD13" s="33"/>
      <c r="VE13" s="34"/>
      <c r="VF13" s="34"/>
      <c r="VG13" s="35"/>
      <c r="VH13" s="26"/>
      <c r="VI13"/>
      <c r="VJ13"/>
      <c r="VK13"/>
      <c r="VL13"/>
      <c r="VM13"/>
      <c r="VN13" s="33"/>
      <c r="VO13" s="34"/>
      <c r="VP13" s="34"/>
      <c r="VQ13" s="35"/>
      <c r="VR13" s="26"/>
      <c r="VS13"/>
      <c r="VT13"/>
      <c r="VU13"/>
      <c r="VV13"/>
      <c r="VW13"/>
      <c r="VX13" s="33"/>
      <c r="VY13" s="34"/>
      <c r="VZ13" s="34"/>
      <c r="WA13" s="35"/>
      <c r="WB13" s="26"/>
      <c r="WC13"/>
      <c r="WD13"/>
      <c r="WE13"/>
      <c r="WF13"/>
      <c r="WG13"/>
      <c r="WH13"/>
      <c r="WI13" s="34">
        <f>+Tabla5789141516343536373839404142[[#This Row],[Recuento]]*Tabla5789141516343536373839404142[[#This Row],[Volúmen bruto]]</f>
        <v>0</v>
      </c>
      <c r="WJ13" s="34">
        <f>+Tabla5789141516343536373839404142[[#This Row],[Recuento]]*Tabla5789141516343536373839404142[[#This Row],[Área neta]]</f>
        <v>0</v>
      </c>
      <c r="WK13" s="36"/>
      <c r="WL13" s="26"/>
      <c r="WM13"/>
      <c r="WN13"/>
      <c r="WO13"/>
      <c r="WP13"/>
      <c r="WQ13"/>
      <c r="WR13"/>
      <c r="WS13" s="34"/>
      <c r="WT13" s="34"/>
      <c r="WU13" s="36"/>
      <c r="WV13" s="26"/>
      <c r="WW13"/>
      <c r="WX13"/>
      <c r="WY13"/>
      <c r="WZ13"/>
      <c r="XA13"/>
      <c r="XB13"/>
      <c r="XC13" s="34"/>
      <c r="XD13" s="34"/>
      <c r="XE13" s="36"/>
      <c r="XF13" s="26"/>
      <c r="XG13"/>
      <c r="XH13"/>
      <c r="XI13"/>
      <c r="XJ13"/>
      <c r="XK13"/>
      <c r="XL13"/>
      <c r="XM13" s="34">
        <f>+Tabla578914151634353637383940414243444536[[#This Row],[Recuento]]*Tabla578914151634353637383940414243444536[[#This Row],[Volúmen bruto]]</f>
        <v>0</v>
      </c>
      <c r="XN13" s="34">
        <f>+Tabla578914151634353637383940414243444536[[#This Row],[Recuento]]*Tabla578914151634353637383940414243444536[[#This Row],[Área neta]]</f>
        <v>0</v>
      </c>
      <c r="XO13" s="35"/>
      <c r="XP13" s="26"/>
      <c r="XQ13"/>
      <c r="XR13"/>
      <c r="XS13"/>
      <c r="XT13"/>
      <c r="XU13"/>
      <c r="XV13"/>
      <c r="XW13" s="34">
        <f>+Tabla5789141516343536373839404142434445[[#This Row],[Recuento]]*Tabla5789141516343536373839404142434445[[#This Row],[Volúmen bruto]]</f>
        <v>0</v>
      </c>
      <c r="XX13" s="34">
        <f>+Tabla5789141516343536373839404142434445[[#This Row],[Recuento]]*Tabla5789141516343536373839404142434445[[#This Row],[Área neta]]</f>
        <v>0</v>
      </c>
      <c r="XY13" s="35"/>
      <c r="XZ13" s="26"/>
      <c r="YA13"/>
      <c r="YB13"/>
      <c r="YC13"/>
      <c r="YD13"/>
      <c r="YE13"/>
      <c r="YF13"/>
      <c r="YG13" s="34">
        <f>+Tabla578914151634353637383940414243444558[[#This Row],[Recuento]]*Tabla578914151634353637383940414243444558[[#This Row],[Volúmen bruto]]</f>
        <v>0</v>
      </c>
      <c r="YH13" s="34">
        <f>+Tabla578914151634353637383940414243444558[[#This Row],[Recuento]]*Tabla578914151634353637383940414243444558[[#This Row],[Área neta]]</f>
        <v>0</v>
      </c>
      <c r="YI13" s="35"/>
      <c r="YJ13" s="35"/>
      <c r="YK13"/>
      <c r="YL13"/>
      <c r="YM13"/>
      <c r="YN13"/>
      <c r="YO13"/>
      <c r="YQ13"/>
      <c r="YR13"/>
      <c r="YS13"/>
      <c r="YT13"/>
      <c r="YU13"/>
      <c r="YV13" s="33"/>
      <c r="YW13" s="34"/>
      <c r="YX13" s="34"/>
      <c r="YY13" s="35"/>
      <c r="YZ13" s="26"/>
      <c r="ZA13"/>
      <c r="ZB13"/>
      <c r="ZC13"/>
      <c r="ZD13"/>
      <c r="ZE13"/>
      <c r="ZF13" s="33"/>
      <c r="ZG13" s="34"/>
      <c r="ZH13" s="34"/>
      <c r="ZI13" s="35"/>
      <c r="ZJ13" s="26"/>
      <c r="ZK13" t="s">
        <v>1862</v>
      </c>
      <c r="ZL13" t="s">
        <v>1525</v>
      </c>
      <c r="ZM13" t="s">
        <v>1730</v>
      </c>
      <c r="ZN13">
        <v>0</v>
      </c>
      <c r="ZO13">
        <v>0.19</v>
      </c>
      <c r="ZP13">
        <v>2</v>
      </c>
      <c r="ZQ13" s="34">
        <f>+Tabla5789141516343536373839404142434445464748495041[[#This Row],[Recuento]]*Tabla5789141516343536373839404142434445464748495041[[#This Row],[Volúmen bruto]]</f>
        <v>0</v>
      </c>
      <c r="ZR13" s="34">
        <f>+Tabla5789141516343536373839404142434445464748495041[[#This Row],[Recuento]]*Tabla5789141516343536373839404142434445464748495041[[#This Row],[Área neta]]</f>
        <v>0.38</v>
      </c>
      <c r="ZS13" s="35"/>
      <c r="ZT13" s="26"/>
      <c r="ZU13"/>
      <c r="ZV13"/>
      <c r="ZW13"/>
      <c r="ZX13"/>
      <c r="ZY13"/>
      <c r="ZZ13"/>
      <c r="AAA13" s="34">
        <f>+Tabla57891415163435363738394041424344454647484950[[#This Row],[Recuento]]*Tabla57891415163435363738394041424344454647484950[[#This Row],[Volúmen bruto]]</f>
        <v>0</v>
      </c>
      <c r="AAB13" s="34">
        <f>+Tabla57891415163435363738394041424344454647484950[[#This Row],[Recuento]]*Tabla57891415163435363738394041424344454647484950[[#This Row],[Área neta]]</f>
        <v>0</v>
      </c>
      <c r="AAC13" s="35"/>
      <c r="AAD13" s="26"/>
      <c r="AAE13"/>
      <c r="AAF13"/>
      <c r="AAG13"/>
      <c r="AAH13"/>
      <c r="AAI13"/>
      <c r="AAJ13" s="33">
        <v>1</v>
      </c>
      <c r="AAK13" s="34">
        <v>0.75749999999999995</v>
      </c>
      <c r="AAL13" s="34">
        <v>3.03</v>
      </c>
      <c r="AAM13" s="35"/>
      <c r="AAN13" s="26"/>
      <c r="AAO13" t="s">
        <v>1862</v>
      </c>
      <c r="AAP13" t="s">
        <v>1524</v>
      </c>
      <c r="AAQ13" t="s">
        <v>98</v>
      </c>
      <c r="AAR13">
        <v>0</v>
      </c>
      <c r="AAS13">
        <v>2.61</v>
      </c>
      <c r="AAT13">
        <v>4</v>
      </c>
      <c r="AAU13" s="34">
        <f>+Tabla5789141516343536373839404142434445464748495051[[#This Row],[Recuento]]*Tabla5789141516343536373839404142434445464748495051[[#This Row],[Volúmen bruto]]</f>
        <v>0</v>
      </c>
      <c r="AAV13" s="34">
        <f>+Tabla5789141516343536373839404142434445464748495051[[#This Row],[Recuento]]*Tabla5789141516343536373839404142434445464748495051[[#This Row],[Área neta]]</f>
        <v>10.44</v>
      </c>
      <c r="AAW13" s="36"/>
      <c r="AAX13" s="26"/>
      <c r="AAY13"/>
      <c r="AAZ13"/>
      <c r="ABA13"/>
      <c r="ABB13"/>
      <c r="ABC13"/>
      <c r="ABD13"/>
      <c r="ABE13" s="34">
        <f>+Tabla578914151634353637383940414243444546474849505152[[#This Row],[Recuento]]*Tabla578914151634353637383940414243444546474849505152[[#This Row],[Volúmen bruto]]</f>
        <v>0</v>
      </c>
      <c r="ABF13" s="34">
        <f>+Tabla578914151634353637383940414243444546474849505152[[#This Row],[Recuento]]*Tabla578914151634353637383940414243444546474849505152[[#This Row],[Área neta]]</f>
        <v>0</v>
      </c>
      <c r="ABG13" s="35"/>
      <c r="ABH13" s="26"/>
      <c r="ABI13"/>
      <c r="ABJ13"/>
      <c r="ABK13"/>
      <c r="ABL13"/>
      <c r="ABM13"/>
      <c r="ABN13"/>
      <c r="ABO13" s="34">
        <f>+Tabla57891415163435363738394041424344454647484950515213[[#This Row],[Recuento]]*Tabla57891415163435363738394041424344454647484950515213[[#This Row],[Volúmen bruto]]</f>
        <v>0</v>
      </c>
      <c r="ABP13" s="34">
        <f>+Tabla57891415163435363738394041424344454647484950515213[[#This Row],[Recuento]]*Tabla57891415163435363738394041424344454647484950515213[[#This Row],[Área neta]]</f>
        <v>0</v>
      </c>
      <c r="ABQ13" s="35"/>
      <c r="ABR13" s="26"/>
      <c r="ABS13"/>
      <c r="ABT13"/>
      <c r="ABU13"/>
      <c r="ABV13"/>
      <c r="ABW13"/>
      <c r="ABX13"/>
      <c r="ABY13" s="34">
        <f>+Tabla5789141516343536373839404142434445464748495051521340[[#This Row],[Recuento]]*Tabla5789141516343536373839404142434445464748495051521340[[#This Row],[Volúmen bruto]]</f>
        <v>0</v>
      </c>
      <c r="ABZ13" s="34">
        <f>+Tabla5789141516343536373839404142434445464748495051521340[[#This Row],[Recuento]]*Tabla5789141516343536373839404142434445464748495051521340[[#This Row],[Área neta]]</f>
        <v>0</v>
      </c>
      <c r="ACA13" s="35"/>
      <c r="ACB13" s="26"/>
      <c r="ACC13"/>
      <c r="ACD13"/>
      <c r="ACE13"/>
      <c r="ACF13"/>
      <c r="ACG13"/>
      <c r="ACH13" s="33"/>
      <c r="ACI13" s="34"/>
      <c r="ACJ13" s="34"/>
      <c r="ACK13" s="35"/>
      <c r="ACL13" s="26"/>
      <c r="ACM13"/>
      <c r="ACN13"/>
      <c r="ACO13"/>
      <c r="ACP13"/>
      <c r="ACQ13"/>
      <c r="ACR13" s="33"/>
      <c r="ACS13" s="34"/>
      <c r="ACT13" s="34"/>
      <c r="ACU13" s="35"/>
      <c r="ACV13" s="26"/>
      <c r="ACW13" t="s">
        <v>1241</v>
      </c>
      <c r="ACX13" s="1">
        <v>1</v>
      </c>
      <c r="ACY13" s="2">
        <v>0.7</v>
      </c>
      <c r="ACZ13" s="2">
        <v>1.79</v>
      </c>
      <c r="ADA13" s="38">
        <v>1</v>
      </c>
      <c r="ADB13" s="2">
        <f t="shared" si="1"/>
        <v>1.2529999999999999</v>
      </c>
      <c r="ADD13" t="s">
        <v>1720</v>
      </c>
      <c r="ADE13">
        <v>1.45</v>
      </c>
      <c r="ADF13">
        <v>4</v>
      </c>
      <c r="ADG13" s="26">
        <f t="shared" si="3"/>
        <v>5.8</v>
      </c>
      <c r="ADH13"/>
      <c r="ADI13"/>
      <c r="ADJ13"/>
      <c r="ADK13"/>
      <c r="ADL13"/>
      <c r="ADM13"/>
      <c r="ADN13">
        <f ca="1">+Tabla578914151634353637383940414243444546474849505152535560[[#This Row],[G. Total]]*Tabla578914151634353637383940414243444546474849505152535560[[#This Row],[Recuento]]</f>
        <v>0</v>
      </c>
      <c r="ADO13" s="36"/>
      <c r="ADP13" s="26"/>
      <c r="ADQ13"/>
      <c r="ADR13"/>
      <c r="ADS13"/>
      <c r="ADT13"/>
      <c r="ADU13"/>
      <c r="ADV13" s="35"/>
      <c r="ADW13" s="35"/>
      <c r="ADX13"/>
      <c r="ADY13"/>
      <c r="ADZ13"/>
      <c r="AEA13"/>
      <c r="AEB13"/>
      <c r="AEC13">
        <f ca="1">+Tabla57891415163435363738394041424344454647484950515253556062[[#This Row],[Total]]*Tabla57891415163435363738394041424344454647484950515253556062[[#This Row],[Recuento]]</f>
        <v>0</v>
      </c>
      <c r="AED13" s="35"/>
      <c r="AEE13" s="26"/>
      <c r="AEF13"/>
      <c r="AEG13"/>
      <c r="AEH13"/>
      <c r="AEI13"/>
      <c r="AEJ13"/>
      <c r="AEK13" s="35">
        <f>+SUM(AEG13:AEG49)</f>
        <v>0</v>
      </c>
      <c r="AEL13" s="35"/>
      <c r="AEM13" t="s">
        <v>1522</v>
      </c>
      <c r="AEN13" t="s">
        <v>1523</v>
      </c>
      <c r="AEO13" t="s">
        <v>453</v>
      </c>
      <c r="AEP13">
        <v>0.18</v>
      </c>
      <c r="AEQ13">
        <v>1</v>
      </c>
      <c r="AER13">
        <f ca="1">+Tabla5789141516343536373839404142434445464748495051525355606264[[#This Row],[G. Total]]*Tabla5789141516343536373839404142434445464748495051525355606264[[#This Row],[Recuento]]</f>
        <v>0.18</v>
      </c>
      <c r="AES13" s="35">
        <f ca="1">+SUM(AER13:AER30)</f>
        <v>63.91</v>
      </c>
      <c r="AET13" s="26"/>
      <c r="AEU13"/>
      <c r="AEV13"/>
      <c r="AEW13"/>
      <c r="AEX13"/>
      <c r="AEY13"/>
      <c r="AEZ13" s="35"/>
      <c r="AFA13" s="26"/>
      <c r="AFB13"/>
      <c r="AFC13"/>
      <c r="AFD13"/>
      <c r="AFE13"/>
      <c r="AFF13"/>
      <c r="AFG13"/>
      <c r="AFH13" t="s">
        <v>1522</v>
      </c>
      <c r="AFI13" t="s">
        <v>1524</v>
      </c>
      <c r="AFJ13" t="s">
        <v>419</v>
      </c>
      <c r="AFK13">
        <v>0.44</v>
      </c>
      <c r="AFL13">
        <v>1</v>
      </c>
      <c r="AFM13">
        <f ca="1">+Tabla578914151634353637383940414243444546474849505152535560626467[[#This Row],[G. Total]]*Tabla578914151634353637383940414243444546474849505152535560626467[[#This Row],[Recuento]]</f>
        <v>0.44</v>
      </c>
      <c r="AFN13" s="35"/>
      <c r="AFO13" s="26"/>
      <c r="AFP13" s="2" t="s">
        <v>103</v>
      </c>
      <c r="AFQ13" s="2">
        <f>128*2</f>
        <v>256</v>
      </c>
      <c r="AFR13" s="2">
        <f>0.12+0.24+((0.4+0.15)*2)</f>
        <v>1.46</v>
      </c>
      <c r="AFS13" s="2">
        <f>+AFR13*AFQ13</f>
        <v>373.76</v>
      </c>
      <c r="AFT13" s="2">
        <v>4</v>
      </c>
      <c r="AFU13" s="2">
        <f>+AFT13*AFQ13</f>
        <v>1024</v>
      </c>
      <c r="AFW13" s="2" t="s">
        <v>103</v>
      </c>
      <c r="AFY13" s="2">
        <f>0.12+0.24+((0.4+0.15)*2)</f>
        <v>1.46</v>
      </c>
      <c r="AFZ13" s="2">
        <f>+AFY13*AFX13</f>
        <v>0</v>
      </c>
      <c r="AGA13" s="2">
        <v>4</v>
      </c>
      <c r="AGB13" s="2">
        <f>+AGA13*AFX13</f>
        <v>0</v>
      </c>
    </row>
    <row r="14" spans="1:860" ht="15" customHeight="1" x14ac:dyDescent="0.25">
      <c r="A14">
        <v>1</v>
      </c>
      <c r="B14" t="s">
        <v>1862</v>
      </c>
      <c r="C14" t="s">
        <v>1225</v>
      </c>
      <c r="D14" t="s">
        <v>1550</v>
      </c>
      <c r="E14">
        <v>0.34</v>
      </c>
      <c r="F14">
        <v>0</v>
      </c>
      <c r="G14"/>
      <c r="H14">
        <f>+Tabla3[[#This Row],[Volúmen neto]]*A14</f>
        <v>0.34</v>
      </c>
      <c r="I14">
        <f>+Tabla3[[#This Row],[Longitud de eje]]*A14</f>
        <v>0</v>
      </c>
      <c r="J14"/>
      <c r="K14"/>
      <c r="L14"/>
      <c r="M14"/>
      <c r="N14"/>
      <c r="O14"/>
      <c r="P14"/>
      <c r="Q14"/>
      <c r="R14">
        <f>+Tabla5[[#This Row],[Recuento]]*Tabla5[[#This Row],[Volúmen bruto]]</f>
        <v>0</v>
      </c>
      <c r="S14">
        <f>+Tabla5[[#This Row],[Recuento]]*Tabla5[[#This Row],[Área neta]]</f>
        <v>0</v>
      </c>
      <c r="T14">
        <f>+Tabla5[[#This Row],[Longitud nominal]]*Tabla5[[#This Row],[Recuento]]</f>
        <v>0</v>
      </c>
      <c r="U14" s="26"/>
      <c r="V14"/>
      <c r="W14"/>
      <c r="X14"/>
      <c r="Y14"/>
      <c r="Z14"/>
      <c r="AA14"/>
      <c r="AB14"/>
      <c r="AC14"/>
      <c r="AD14">
        <f>+Tabla522[[#This Row],[Recuento]]*Tabla522[[#This Row],[Volúmen bruto]]</f>
        <v>0</v>
      </c>
      <c r="AE14">
        <f>+Tabla522[[#This Row],[Recuento]]*Tabla522[[#This Row],[Área neta]]</f>
        <v>0</v>
      </c>
      <c r="AF14">
        <f>+Tabla522[[#This Row],[Longitud nominal]]*Tabla522[[#This Row],[Recuento]]</f>
        <v>0</v>
      </c>
      <c r="AG14" s="26"/>
      <c r="AH14"/>
      <c r="AI14"/>
      <c r="AJ14"/>
      <c r="AK14"/>
      <c r="AL14"/>
      <c r="AM14"/>
      <c r="AN14"/>
      <c r="AO14"/>
      <c r="AP14">
        <f>+Tabla52223[[#This Row],[Recuento]]*Tabla52223[[#This Row],[Volúmen bruto]]</f>
        <v>0</v>
      </c>
      <c r="AQ14">
        <f>+Tabla52223[[#This Row],[Recuento]]*Tabla52223[[#This Row],[Área neta]]</f>
        <v>0</v>
      </c>
      <c r="AR14">
        <f>+Tabla52223[[#This Row],[Longitud nominal]]*Tabla52223[[#This Row],[Recuento]]</f>
        <v>0</v>
      </c>
      <c r="AS14" s="26"/>
      <c r="AT14"/>
      <c r="AU14"/>
      <c r="AV14"/>
      <c r="AW14"/>
      <c r="AX14"/>
      <c r="AY14"/>
      <c r="AZ14"/>
      <c r="BA14"/>
      <c r="BB14">
        <f>+Tabla5222329[[#This Row],[Recuento]]*Tabla5222329[[#This Row],[Volúmen bruto]]</f>
        <v>0</v>
      </c>
      <c r="BC14">
        <f>+Tabla5222329[[#This Row],[Recuento]]*Tabla5222329[[#This Row],[Área neta]]</f>
        <v>0</v>
      </c>
      <c r="BD14">
        <f>+Tabla5222329[[#This Row],[Longitud nominal]]*Tabla5222329[[#This Row],[Recuento]]</f>
        <v>0</v>
      </c>
      <c r="BE14" s="26"/>
      <c r="BF14">
        <v>6</v>
      </c>
      <c r="BG14" t="s">
        <v>1862</v>
      </c>
      <c r="BH14" t="s">
        <v>1524</v>
      </c>
      <c r="BI14" t="s">
        <v>1406</v>
      </c>
      <c r="BJ14">
        <v>1.5</v>
      </c>
      <c r="BK14">
        <v>2</v>
      </c>
      <c r="BL14">
        <f>+Tabla3102[[#This Row],[En culmo]]*BF14</f>
        <v>12</v>
      </c>
      <c r="BM14"/>
      <c r="BN14"/>
      <c r="BO14"/>
      <c r="BP14"/>
      <c r="BQ14"/>
      <c r="BR14"/>
      <c r="BS14">
        <v>2</v>
      </c>
      <c r="BT14">
        <f>+Tabla31069[[#This Row],[En culmo]]*BN14</f>
        <v>0</v>
      </c>
      <c r="BU14"/>
      <c r="BV14">
        <v>6</v>
      </c>
      <c r="BW14" t="s">
        <v>1862</v>
      </c>
      <c r="BX14" t="s">
        <v>1525</v>
      </c>
      <c r="BY14" t="s">
        <v>1406</v>
      </c>
      <c r="BZ14">
        <v>2.71</v>
      </c>
      <c r="CA14">
        <v>3</v>
      </c>
      <c r="CB14">
        <f>+Tabla31011[[#This Row],[En culmo]]*BV14</f>
        <v>18</v>
      </c>
      <c r="CD14">
        <v>2</v>
      </c>
      <c r="CE14" t="s">
        <v>1862</v>
      </c>
      <c r="CF14" t="s">
        <v>1525</v>
      </c>
      <c r="CG14" t="s">
        <v>1405</v>
      </c>
      <c r="CH14">
        <v>12.01</v>
      </c>
      <c r="CI14">
        <v>12.5</v>
      </c>
      <c r="CJ14">
        <f>+Tabla3101170[[#This Row],[En culmo]]*CD14</f>
        <v>25</v>
      </c>
      <c r="CK14"/>
      <c r="CL14">
        <v>1</v>
      </c>
      <c r="CM14" t="s">
        <v>1862</v>
      </c>
      <c r="CN14" t="s">
        <v>1383</v>
      </c>
      <c r="CO14" t="s">
        <v>1406</v>
      </c>
      <c r="CP14">
        <v>4.25</v>
      </c>
      <c r="CQ14" s="26">
        <v>4.5</v>
      </c>
      <c r="CR14">
        <f>+Tabla31011116[[#This Row],[En culmo]]*CT14</f>
        <v>9</v>
      </c>
      <c r="CT14">
        <v>2</v>
      </c>
      <c r="CU14" t="s">
        <v>1862</v>
      </c>
      <c r="CV14" t="s">
        <v>1383</v>
      </c>
      <c r="CW14" t="s">
        <v>1405</v>
      </c>
      <c r="CX14">
        <v>13.97</v>
      </c>
      <c r="CY14">
        <v>15</v>
      </c>
      <c r="CZ14">
        <f>+Tabla3101170117[[#This Row],[En culmo]]*CT14</f>
        <v>30</v>
      </c>
      <c r="DA14"/>
      <c r="DB14">
        <v>6</v>
      </c>
      <c r="DC14" t="s">
        <v>1862</v>
      </c>
      <c r="DD14" t="s">
        <v>1383</v>
      </c>
      <c r="DE14" t="s">
        <v>1723</v>
      </c>
      <c r="DF14">
        <v>1.1299999999999999</v>
      </c>
      <c r="DG14">
        <f>+Tabla31011704[[#This Row],[Longitud de eje]]*DB14</f>
        <v>6.7799999999999994</v>
      </c>
      <c r="DH14"/>
      <c r="DI14"/>
      <c r="DJ14"/>
      <c r="DK14"/>
      <c r="DL14"/>
      <c r="DM14"/>
      <c r="DN14">
        <f>+Tabla3101170411[[#This Row],[Longitud de eje]]*DI14</f>
        <v>0</v>
      </c>
      <c r="DO14"/>
      <c r="DP14"/>
      <c r="DQ14"/>
      <c r="DR14"/>
      <c r="DS14"/>
      <c r="DT14"/>
      <c r="DU14">
        <f>+Tabla3101170411120[[#This Row],[Longitud de eje]]*DP14</f>
        <v>0</v>
      </c>
      <c r="DV14"/>
      <c r="DW14"/>
      <c r="DX14"/>
      <c r="DY14"/>
      <c r="DZ14"/>
      <c r="EA14"/>
      <c r="EB14">
        <f>+Tabla3101170411120122[[#This Row],[Longitud de eje]]*DW14</f>
        <v>0</v>
      </c>
      <c r="EC14"/>
      <c r="ED14">
        <v>12</v>
      </c>
      <c r="EE14" t="s">
        <v>1862</v>
      </c>
      <c r="EF14" t="s">
        <v>1524</v>
      </c>
      <c r="EG14" t="s">
        <v>1406</v>
      </c>
      <c r="EH14">
        <v>0.48</v>
      </c>
      <c r="EI14">
        <v>1</v>
      </c>
      <c r="EJ14">
        <f>+Tabla3101112[[#This Row],[En culmo]]*ED14</f>
        <v>12</v>
      </c>
      <c r="EK14"/>
      <c r="EL14"/>
      <c r="EM14"/>
      <c r="EN14"/>
      <c r="EO14"/>
      <c r="EP14"/>
      <c r="EQ14"/>
      <c r="ER14">
        <f>+Tabla3101112123[[#This Row],[En culmo]]*EL14</f>
        <v>0</v>
      </c>
      <c r="ES14"/>
      <c r="ET14">
        <v>8</v>
      </c>
      <c r="EU14" t="s">
        <v>1862</v>
      </c>
      <c r="EV14" t="s">
        <v>1525</v>
      </c>
      <c r="EW14" t="s">
        <v>1406</v>
      </c>
      <c r="EX14">
        <v>0.4</v>
      </c>
      <c r="EY14">
        <v>1</v>
      </c>
      <c r="EZ14">
        <f>+Tabla310111257[[#This Row],[En culmo]]*ET14</f>
        <v>8</v>
      </c>
      <c r="FA14"/>
      <c r="FB14"/>
      <c r="FC14"/>
      <c r="FD14"/>
      <c r="FE14"/>
      <c r="FF14"/>
      <c r="FG14">
        <v>1</v>
      </c>
      <c r="FH14">
        <f>+Tabla310111257124[[#This Row],[En culmo]]*FB14</f>
        <v>0</v>
      </c>
      <c r="FI14"/>
      <c r="FJ14"/>
      <c r="FK14"/>
      <c r="FL14"/>
      <c r="FM14"/>
      <c r="FN14"/>
      <c r="FO14"/>
      <c r="FP14">
        <f>+Tabla310111213115[[#This Row],[Volúmen]]*FJ14</f>
        <v>0</v>
      </c>
      <c r="FQ14">
        <f>+Tabla310111213115[[#This Row],[Longitud del eje]]*FJ14</f>
        <v>0</v>
      </c>
      <c r="FR14"/>
      <c r="FS14"/>
      <c r="FT14"/>
      <c r="FU14"/>
      <c r="FV14"/>
      <c r="FW14"/>
      <c r="FX14">
        <f>+Tabla31011121311554[[#This Row],[Volúmen]]*FR14</f>
        <v>0</v>
      </c>
      <c r="FY14">
        <f>+Tabla31011121311554[[#This Row],[Longitud del eje]]*FR14</f>
        <v>0</v>
      </c>
      <c r="FZ14">
        <v>2</v>
      </c>
      <c r="GA14" t="s">
        <v>1862</v>
      </c>
      <c r="GB14" t="s">
        <v>1524</v>
      </c>
      <c r="GC14" t="s">
        <v>1584</v>
      </c>
      <c r="GD14">
        <v>0.03</v>
      </c>
      <c r="GE14">
        <v>0.7</v>
      </c>
      <c r="GF14">
        <f>+Tabla3101112131157[[#This Row],[Volúmen]]*FZ14</f>
        <v>0.06</v>
      </c>
      <c r="GG14">
        <f>+Tabla3101112131157[[#This Row],[Longitud del eje]]*FZ14</f>
        <v>1.4</v>
      </c>
      <c r="GI14"/>
      <c r="GJ14"/>
      <c r="GK14"/>
      <c r="GL14"/>
      <c r="GM14"/>
      <c r="GN14"/>
      <c r="GO14"/>
      <c r="GQ14" t="s">
        <v>1862</v>
      </c>
      <c r="GR14" t="s">
        <v>1383</v>
      </c>
      <c r="GS14" t="s">
        <v>1628</v>
      </c>
      <c r="GT14">
        <v>7.0000000000000007E-2</v>
      </c>
      <c r="GU14">
        <v>11.88</v>
      </c>
      <c r="GV14">
        <v>1</v>
      </c>
      <c r="GW14">
        <f>+Tabla578914[[#This Row],[Recuento]]*Tabla578914[[#This Row],[Volúmen bruto]]</f>
        <v>7.0000000000000007E-2</v>
      </c>
      <c r="GX14">
        <f>+Tabla578914[[#This Row],[Recuento]]*Tabla578914[[#This Row],[Área neta]]</f>
        <v>11.88</v>
      </c>
      <c r="GY14" s="36"/>
      <c r="HA14" t="s">
        <v>1862</v>
      </c>
      <c r="HB14" t="s">
        <v>1383</v>
      </c>
      <c r="HC14" t="s">
        <v>97</v>
      </c>
      <c r="HD14">
        <v>0.06</v>
      </c>
      <c r="HE14">
        <v>9.6999999999999993</v>
      </c>
      <c r="HF14">
        <v>1</v>
      </c>
      <c r="HG14">
        <f>+Tabla578914126[[#This Row],[Recuento]]*Tabla578914126[[#This Row],[Volúmen bruto]]</f>
        <v>0.06</v>
      </c>
      <c r="HH14">
        <f>+Tabla578914126[[#This Row],[Recuento]]*Tabla578914126[[#This Row],[Área neta]]</f>
        <v>9.6999999999999993</v>
      </c>
      <c r="HI14" s="36"/>
      <c r="HK14" t="s">
        <v>1862</v>
      </c>
      <c r="HL14" t="s">
        <v>1383</v>
      </c>
      <c r="HM14" t="s">
        <v>1679</v>
      </c>
      <c r="HN14">
        <v>0</v>
      </c>
      <c r="HO14">
        <v>4.66</v>
      </c>
      <c r="HP14">
        <v>1</v>
      </c>
      <c r="HQ14">
        <f>+Tabla578914126127[[#This Row],[Recuento]]*Tabla578914126127[[#This Row],[Volúmen bruto]]</f>
        <v>0</v>
      </c>
      <c r="HR14">
        <f>+Tabla578914126127[[#This Row],[Recuento]]*Tabla578914126127[[#This Row],[Área neta]]</f>
        <v>4.66</v>
      </c>
      <c r="HS14" s="36"/>
      <c r="HT14" s="26"/>
      <c r="HU14"/>
      <c r="HV14"/>
      <c r="HW14"/>
      <c r="HX14"/>
      <c r="HY14"/>
      <c r="HZ14"/>
      <c r="IA14"/>
      <c r="IB14"/>
      <c r="IC14" s="35"/>
      <c r="ID14" s="26"/>
      <c r="IE14"/>
      <c r="IF14"/>
      <c r="IG14"/>
      <c r="IH14"/>
      <c r="II14"/>
      <c r="IJ14"/>
      <c r="IK14"/>
      <c r="IL14"/>
      <c r="IM14" s="35"/>
      <c r="IN14" s="26"/>
      <c r="IO14"/>
      <c r="IP14"/>
      <c r="IQ14"/>
      <c r="IR14"/>
      <c r="IS14"/>
      <c r="IT14"/>
      <c r="IU14">
        <f>+Tabla520212223[[#This Row],[Recuento]]*Tabla520212223[[#This Row],[Volúmen bruto]]</f>
        <v>0</v>
      </c>
      <c r="IV14">
        <f>+Tabla520212223[[#This Row],[Recuento]]*Tabla520212223[[#This Row],[Área neta]]</f>
        <v>0</v>
      </c>
      <c r="IW14" s="26">
        <f t="shared" si="0"/>
        <v>0</v>
      </c>
      <c r="IY14"/>
      <c r="IZ14"/>
      <c r="JA14"/>
      <c r="JB14"/>
      <c r="JC14"/>
      <c r="JD14"/>
      <c r="JE14">
        <f>+Tabla520212224[[#This Row],[Recuento]]*Tabla520212224[[#This Row],[Volúmen bruto]]</f>
        <v>0</v>
      </c>
      <c r="JF14">
        <f>+Tabla520212224[[#This Row],[Recuento]]*Tabla520212224[[#This Row],[Área neta]]</f>
        <v>0</v>
      </c>
      <c r="JG14" s="26"/>
      <c r="JI14" t="s">
        <v>1862</v>
      </c>
      <c r="JJ14" t="s">
        <v>1524</v>
      </c>
      <c r="JK14" t="s">
        <v>97</v>
      </c>
      <c r="JL14">
        <v>0.03</v>
      </c>
      <c r="JM14">
        <v>0.04</v>
      </c>
      <c r="JN14">
        <v>2</v>
      </c>
      <c r="JO14">
        <f>+Tabla52021222425[[#This Row],[Recuento]]*Tabla52021222425[[#This Row],[Volúmen bruto]]</f>
        <v>0.06</v>
      </c>
      <c r="JP14">
        <f>+Tabla52021222425[[#This Row],[Recuento]]*Tabla52021222425[[#This Row],[Área neta]]</f>
        <v>0.08</v>
      </c>
      <c r="JQ14" s="26"/>
      <c r="JS14" t="s">
        <v>1862</v>
      </c>
      <c r="JT14" t="s">
        <v>1524</v>
      </c>
      <c r="JU14" t="s">
        <v>97</v>
      </c>
      <c r="JV14">
        <v>0.03</v>
      </c>
      <c r="JW14">
        <v>1.39</v>
      </c>
      <c r="JX14">
        <v>1</v>
      </c>
      <c r="JY14">
        <f>+Tabla5202122242526[[#This Row],[Recuento]]*Tabla5202122242526[[#This Row],[Volúmen bruto]]</f>
        <v>0.03</v>
      </c>
      <c r="JZ14">
        <f>+Tabla5202122242526[[#This Row],[Recuento]]*Tabla5202122242526[[#This Row],[Área neta]]</f>
        <v>1.39</v>
      </c>
      <c r="KA14" s="26"/>
      <c r="KC14"/>
      <c r="KD14"/>
      <c r="KE14"/>
      <c r="KF14"/>
      <c r="KG14"/>
      <c r="KH14"/>
      <c r="KI14">
        <f>+Tabla5202122242526104[[#This Row],[Recuento]]*Tabla5202122242526104[[#This Row],[Volúmen bruto]]</f>
        <v>0</v>
      </c>
      <c r="KJ14">
        <f>+Tabla5202122242526104[[#This Row],[Recuento]]*Tabla5202122242526104[[#This Row],[Área neta]]</f>
        <v>0</v>
      </c>
      <c r="KK14" s="26"/>
      <c r="KM14" t="s">
        <v>1862</v>
      </c>
      <c r="KN14" t="s">
        <v>1525</v>
      </c>
      <c r="KO14" t="s">
        <v>1628</v>
      </c>
      <c r="KP14">
        <v>0.1</v>
      </c>
      <c r="KQ14">
        <v>3.05</v>
      </c>
      <c r="KR14">
        <v>1</v>
      </c>
      <c r="KS14">
        <f>+Tabla5202122242526104110[[#This Row],[Recuento]]*Tabla5202122242526104110[[#This Row],[Volúmen bruto]]</f>
        <v>0.1</v>
      </c>
      <c r="KT14">
        <f>+Tabla5202122242526104110[[#This Row],[Recuento]]*Tabla5202122242526104110[[#This Row],[Área neta]]</f>
        <v>3.05</v>
      </c>
      <c r="KU14" s="26"/>
      <c r="KW14" t="s">
        <v>1862</v>
      </c>
      <c r="KX14" t="s">
        <v>1524</v>
      </c>
      <c r="KY14" t="s">
        <v>1677</v>
      </c>
      <c r="KZ14">
        <v>0</v>
      </c>
      <c r="LA14">
        <v>2.1800000000000002</v>
      </c>
      <c r="LB14">
        <v>1</v>
      </c>
      <c r="LC14">
        <f>+Tabla520212224252659[[#This Row],[Recuento]]*Tabla520212224252659[[#This Row],[Volúmen bruto]]</f>
        <v>0</v>
      </c>
      <c r="LD14">
        <f>+Tabla520212224252659[[#This Row],[Recuento]]*Tabla520212224252659[[#This Row],[Área neta]]</f>
        <v>2.1800000000000002</v>
      </c>
      <c r="LE14" s="26"/>
      <c r="LG14"/>
      <c r="LH14"/>
      <c r="LI14"/>
      <c r="LJ14"/>
      <c r="LK14"/>
      <c r="LL14"/>
      <c r="LM14">
        <f>+Tabla520212224252659111[[#This Row],[Recuento]]*Tabla520212224252659111[[#This Row],[Volúmen bruto]]</f>
        <v>0</v>
      </c>
      <c r="LN14">
        <f>+Tabla520212224252659111[[#This Row],[Recuento]]*Tabla520212224252659111[[#This Row],[Área neta]]</f>
        <v>0</v>
      </c>
      <c r="LO14" s="26"/>
      <c r="LQ14"/>
      <c r="LR14"/>
      <c r="LS14"/>
      <c r="LT14"/>
      <c r="LU14"/>
      <c r="LV14"/>
      <c r="LW14">
        <f>+Tabla520212224252659111114[[#This Row],[Recuento]]*Tabla520212224252659111114[[#This Row],[Volúmen bruto]]</f>
        <v>0</v>
      </c>
      <c r="LX14">
        <f>+Tabla520212224252659111114[[#This Row],[Recuento]]*Tabla520212224252659111114[[#This Row],[Área neta]]</f>
        <v>0</v>
      </c>
      <c r="LY14" s="26">
        <f>+SUM(LX14:LX15)</f>
        <v>0</v>
      </c>
      <c r="MA14" t="s">
        <v>1862</v>
      </c>
      <c r="MB14" t="s">
        <v>1524</v>
      </c>
      <c r="MC14" t="s">
        <v>97</v>
      </c>
      <c r="MD14">
        <v>0.02</v>
      </c>
      <c r="ME14">
        <v>3.03</v>
      </c>
      <c r="MF14">
        <v>1</v>
      </c>
      <c r="MG14">
        <f>+Tabla520212224252659111114128[[#This Row],[Recuento]]*Tabla520212224252659111114128[[#This Row],[Volúmen bruto]]</f>
        <v>0.02</v>
      </c>
      <c r="MH14">
        <f>+Tabla520212224252659111114128[[#This Row],[Recuento]]*Tabla520212224252659111114128[[#This Row],[Área neta]]</f>
        <v>3.03</v>
      </c>
      <c r="MI14" s="26"/>
      <c r="MK14" t="s">
        <v>1862</v>
      </c>
      <c r="ML14" t="s">
        <v>1525</v>
      </c>
      <c r="MM14" t="s">
        <v>1676</v>
      </c>
      <c r="MN14">
        <v>0.12</v>
      </c>
      <c r="MO14">
        <v>1</v>
      </c>
      <c r="MP14">
        <v>1</v>
      </c>
      <c r="MQ14">
        <f>+Tabla520212224252627[[#This Row],[Recuento]]*Tabla520212224252627[[#This Row],[Volúmen bruto]]</f>
        <v>0.12</v>
      </c>
      <c r="MR14">
        <f>+Tabla520212224252627[[#This Row],[Recuento]]*Tabla520212224252627[[#This Row],[Área neta]]</f>
        <v>1</v>
      </c>
      <c r="MS14" s="26">
        <f>+SUM(MR14:MR15)</f>
        <v>2.81</v>
      </c>
      <c r="MU14" t="s">
        <v>1549</v>
      </c>
      <c r="MV14" t="s">
        <v>1525</v>
      </c>
      <c r="MW14" t="s">
        <v>95</v>
      </c>
      <c r="MX14">
        <v>0</v>
      </c>
      <c r="MY14">
        <v>0.03</v>
      </c>
      <c r="MZ14">
        <v>2</v>
      </c>
      <c r="NA14">
        <f>+Tabla520212224252627129[[#This Row],[Recuento]]*Tabla520212224252627129[[#This Row],[Volúmen bruto]]</f>
        <v>0</v>
      </c>
      <c r="NB14">
        <f>+Tabla520212224252627129[[#This Row],[Recuento]]*Tabla520212224252627129[[#This Row],[Área neta]]</f>
        <v>0.06</v>
      </c>
      <c r="NC14" s="26"/>
      <c r="NE14"/>
      <c r="NF14"/>
      <c r="NG14"/>
      <c r="NH14"/>
      <c r="NI14"/>
      <c r="NJ14"/>
      <c r="NK14">
        <f>+Tabla520212224252627129125[[#This Row],[Recuento]]*Tabla520212224252627129125[[#This Row],[Volúmen bruto]]</f>
        <v>0</v>
      </c>
      <c r="NL14">
        <f>+Tabla520212224252627129125[[#This Row],[Recuento]]*Tabla520212224252627129125[[#This Row],[Área neta]]</f>
        <v>0</v>
      </c>
      <c r="NM14" s="26"/>
      <c r="NO14" t="s">
        <v>1549</v>
      </c>
      <c r="NP14" t="s">
        <v>1525</v>
      </c>
      <c r="NQ14" t="s">
        <v>95</v>
      </c>
      <c r="NR14">
        <v>0</v>
      </c>
      <c r="NS14">
        <v>0.3</v>
      </c>
      <c r="NT14">
        <v>1</v>
      </c>
      <c r="NU14">
        <f>+Tabla520212224252627129125130[[#This Row],[Recuento]]*Tabla520212224252627129125130[[#This Row],[Volúmen bruto]]</f>
        <v>0</v>
      </c>
      <c r="NV14">
        <f>+Tabla520212224252627129125130[[#This Row],[Recuento]]*Tabla520212224252627129125130[[#This Row],[Área neta]]</f>
        <v>0.3</v>
      </c>
      <c r="NW14" s="26">
        <f>+SUM(NV14:NV16)</f>
        <v>2.42</v>
      </c>
      <c r="NY14" t="s">
        <v>1549</v>
      </c>
      <c r="NZ14" t="s">
        <v>1525</v>
      </c>
      <c r="OA14" t="s">
        <v>1676</v>
      </c>
      <c r="OB14">
        <v>0.2</v>
      </c>
      <c r="OC14">
        <v>1.64</v>
      </c>
      <c r="OD14">
        <v>1</v>
      </c>
      <c r="OE14">
        <f>+Tabla520212224252627129125130131[[#This Row],[Recuento]]*Tabla520212224252627129125130131[[#This Row],[Volúmen bruto]]</f>
        <v>0.2</v>
      </c>
      <c r="OF14">
        <f>+Tabla520212224252627129125130131[[#This Row],[Recuento]]*Tabla520212224252627129125130131[[#This Row],[Área neta]]</f>
        <v>1.64</v>
      </c>
      <c r="OG14" s="26">
        <f>+SUM(OF14:OF16)</f>
        <v>2.31</v>
      </c>
      <c r="OI14" t="s">
        <v>1549</v>
      </c>
      <c r="OJ14" t="s">
        <v>1525</v>
      </c>
      <c r="OK14" t="s">
        <v>95</v>
      </c>
      <c r="OL14">
        <v>0</v>
      </c>
      <c r="OM14">
        <v>0.17</v>
      </c>
      <c r="ON14">
        <v>2</v>
      </c>
      <c r="OO14">
        <f>+Tabla520212224252627129125130131132[[#This Row],[Recuento]]*Tabla520212224252627129125130131132[[#This Row],[Volúmen bruto]]</f>
        <v>0</v>
      </c>
      <c r="OP14">
        <f>+Tabla520212224252627129125130131132[[#This Row],[Recuento]]*Tabla520212224252627129125130131132[[#This Row],[Área neta]]</f>
        <v>0.34</v>
      </c>
      <c r="OQ14" s="26"/>
      <c r="OS14"/>
      <c r="OT14"/>
      <c r="OU14"/>
      <c r="OV14"/>
      <c r="OW14"/>
      <c r="OX14"/>
      <c r="OY14">
        <f>+Tabla52021222425262728[[#This Row],[Recuento]]*Tabla52021222425262728[[#This Row],[Volúmen bruto]]</f>
        <v>0</v>
      </c>
      <c r="OZ14">
        <f>+Tabla52021222425262728[[#This Row],[Recuento]]*Tabla52021222425262728[[#This Row],[Área neta]]</f>
        <v>0</v>
      </c>
      <c r="PA14" s="26"/>
      <c r="PC14" t="s">
        <v>1862</v>
      </c>
      <c r="PD14" t="s">
        <v>1525</v>
      </c>
      <c r="PE14" t="s">
        <v>1628</v>
      </c>
      <c r="PF14">
        <v>0.01</v>
      </c>
      <c r="PG14">
        <v>0.73</v>
      </c>
      <c r="PH14">
        <v>1</v>
      </c>
      <c r="PI14">
        <f>+Tabla52021222425262728133[[#This Row],[Recuento]]*Tabla52021222425262728133[[#This Row],[Volúmen bruto]]</f>
        <v>0.01</v>
      </c>
      <c r="PJ14">
        <f>+Tabla52021222425262728133[[#This Row],[Recuento]]*Tabla52021222425262728133[[#This Row],[Área neta]]</f>
        <v>0.73</v>
      </c>
      <c r="PK14" s="415"/>
      <c r="PM14" t="s">
        <v>1863</v>
      </c>
      <c r="PN14" t="s">
        <v>1524</v>
      </c>
      <c r="PO14" t="s">
        <v>1628</v>
      </c>
      <c r="PP14">
        <v>0.04</v>
      </c>
      <c r="PQ14">
        <v>1.85</v>
      </c>
      <c r="PR14">
        <v>1</v>
      </c>
      <c r="PS14">
        <f>+Tabla5202122242526272893[[#This Row],[Recuento]]*Tabla5202122242526272893[[#This Row],[Volúmen bruto]]</f>
        <v>0.04</v>
      </c>
      <c r="PT14">
        <f>+Tabla5202122242526272893[[#This Row],[Recuento]]*Tabla5202122242526272893[[#This Row],[Área neta]]</f>
        <v>1.85</v>
      </c>
      <c r="PU14" s="415"/>
      <c r="PW14" t="s">
        <v>1862</v>
      </c>
      <c r="PX14" t="s">
        <v>1525</v>
      </c>
      <c r="PY14" t="s">
        <v>1628</v>
      </c>
      <c r="PZ14">
        <v>7.0000000000000007E-2</v>
      </c>
      <c r="QA14">
        <v>3.71</v>
      </c>
      <c r="QB14">
        <v>1</v>
      </c>
      <c r="QC14">
        <f>+Tabla520212224252627289349[[#This Row],[Recuento]]*Tabla520212224252627289349[[#This Row],[Volúmen bruto]]</f>
        <v>7.0000000000000007E-2</v>
      </c>
      <c r="QD14">
        <f>+Tabla520212224252627289349[[#This Row],[Recuento]]*Tabla520212224252627289349[[#This Row],[Área neta]]</f>
        <v>3.71</v>
      </c>
      <c r="QE14" s="26"/>
      <c r="QG14"/>
      <c r="QH14"/>
      <c r="QI14"/>
      <c r="QJ14"/>
      <c r="QK14"/>
      <c r="QL14"/>
      <c r="QM14">
        <f>+Tabla520212224252627289349134[[#This Row],[Recuento]]*Tabla520212224252627289349134[[#This Row],[Volúmen bruto]]</f>
        <v>0</v>
      </c>
      <c r="QN14">
        <f>+Tabla520212224252627289349134[[#This Row],[Recuento]]*Tabla520212224252627289349134[[#This Row],[Área neta]]</f>
        <v>0</v>
      </c>
      <c r="QO14" s="26"/>
      <c r="QQ14" t="s">
        <v>1862</v>
      </c>
      <c r="QR14" t="s">
        <v>1524</v>
      </c>
      <c r="QS14" t="s">
        <v>1726</v>
      </c>
      <c r="QT14">
        <v>0.14000000000000001</v>
      </c>
      <c r="QU14">
        <v>0.66</v>
      </c>
      <c r="QV14">
        <v>1</v>
      </c>
      <c r="QW14">
        <v>2</v>
      </c>
      <c r="QX14">
        <f>+Tabla5202122242526272829[[#This Row],[Recuento]]*Tabla5202122242526272829[[#This Row],[Volúmen bruto]]</f>
        <v>0.28000000000000003</v>
      </c>
      <c r="QY14">
        <f>+Tabla5202122242526272829[[#This Row],[Recuento]]*Tabla5202122242526272829[[#This Row],[Área neta]]</f>
        <v>1.32</v>
      </c>
      <c r="QZ14">
        <f>+Tabla5202122242526272829[[#This Row],[Recuento]]*Tabla5202122242526272829[[#This Row],[Longitud]]</f>
        <v>2</v>
      </c>
      <c r="RA14" s="26"/>
      <c r="RC14"/>
      <c r="RD14"/>
      <c r="RE14"/>
      <c r="RF14"/>
      <c r="RG14"/>
      <c r="RH14"/>
      <c r="RI14"/>
      <c r="RJ14"/>
      <c r="RK14" s="26"/>
      <c r="RM14"/>
      <c r="RN14"/>
      <c r="RO14"/>
      <c r="RP14"/>
      <c r="RQ14"/>
      <c r="RR14"/>
      <c r="RS14">
        <f>+Tabla5202122242526272831329[[#This Row],[Recuento]]*Tabla5202122242526272831329[[#This Row],[Volúmen bruto]]</f>
        <v>0</v>
      </c>
      <c r="RT14">
        <f>+Tabla5202122242526272831329[[#This Row],[Recuento]]*Tabla5202122242526272831329[[#This Row],[Área neta]]</f>
        <v>0</v>
      </c>
      <c r="RU14" s="26"/>
      <c r="RW14"/>
      <c r="RX14"/>
      <c r="RY14"/>
      <c r="RZ14"/>
      <c r="SA14"/>
      <c r="SB14"/>
      <c r="SC14">
        <f>+Tabla52021222425262728313233[[#This Row],[Recuento]]*Tabla52021222425262728313233[[#This Row],[Volúmen bruto]]</f>
        <v>0</v>
      </c>
      <c r="SD14">
        <f>+Tabla52021222425262728313233[[#This Row],[Recuento]]*Tabla52021222425262728313233[[#This Row],[Área neta]]</f>
        <v>0</v>
      </c>
      <c r="SE14" s="26"/>
      <c r="SG14"/>
      <c r="SH14"/>
      <c r="SI14"/>
      <c r="SJ14"/>
      <c r="SK14"/>
      <c r="SL14"/>
      <c r="SM14">
        <f>+Tabla5202122242526272831323314[[#This Row],[Recuento]]*Tabla5202122242526272831323314[[#This Row],[Volúmen bruto]]</f>
        <v>0</v>
      </c>
      <c r="SN14">
        <f>+Tabla5202122242526272831323314[[#This Row],[Recuento]]*Tabla5202122242526272831323314[[#This Row],[Área neta]]</f>
        <v>0</v>
      </c>
      <c r="SO14" s="26"/>
      <c r="SQ14" t="s">
        <v>1862</v>
      </c>
      <c r="SR14" t="s">
        <v>1524</v>
      </c>
      <c r="SS14" t="s">
        <v>94</v>
      </c>
      <c r="ST14">
        <v>0.04</v>
      </c>
      <c r="SU14">
        <v>0.37</v>
      </c>
      <c r="SV14">
        <v>2</v>
      </c>
      <c r="SW14" s="34">
        <f>+Tabla5789141516[[#This Row],[Recuento]]*Tabla5789141516[[#This Row],[Volúmen bruto]]</f>
        <v>0.08</v>
      </c>
      <c r="SX14" s="34">
        <f>+Tabla5789141516[[#This Row],[Recuento]]*Tabla5789141516[[#This Row],[Área neta]]</f>
        <v>0.74</v>
      </c>
      <c r="SY14" s="35"/>
      <c r="SZ14" s="26"/>
      <c r="TA14"/>
      <c r="TB14"/>
      <c r="TC14"/>
      <c r="TD14"/>
      <c r="TE14"/>
      <c r="TF14"/>
      <c r="TG14" s="34">
        <f>+Tabla578914151634[[#This Row],[Recuento]]*Tabla578914151634[[#This Row],[Volúmen bruto]]</f>
        <v>0</v>
      </c>
      <c r="TH14" s="34">
        <f>+Tabla578914151634[[#This Row],[Recuento]]*Tabla578914151634[[#This Row],[Área neta]]</f>
        <v>0</v>
      </c>
      <c r="TI14" s="35"/>
      <c r="TJ14" s="26"/>
      <c r="TK14" t="s">
        <v>1862</v>
      </c>
      <c r="TL14" t="s">
        <v>1525</v>
      </c>
      <c r="TM14" t="s">
        <v>1628</v>
      </c>
      <c r="TN14">
        <v>0.04</v>
      </c>
      <c r="TO14">
        <v>2.17</v>
      </c>
      <c r="TP14">
        <v>1</v>
      </c>
      <c r="TQ14" s="34">
        <f>+Tabla57891415163435[[#This Row],[Recuento]]*Tabla57891415163435[[#This Row],[Volúmen bruto]]</f>
        <v>0.04</v>
      </c>
      <c r="TR14" s="34">
        <f>+Tabla57891415163435[[#This Row],[Recuento]]*Tabla57891415163435[[#This Row],[Área neta]]</f>
        <v>2.17</v>
      </c>
      <c r="TS14" s="35"/>
      <c r="TT14" s="26"/>
      <c r="TU14"/>
      <c r="TV14"/>
      <c r="TW14"/>
      <c r="TX14"/>
      <c r="TY14"/>
      <c r="TZ14"/>
      <c r="UA14" s="34">
        <f>+Tabla5789141516343536[[#This Row],[Recuento]]*Tabla5789141516343536[[#This Row],[Volúmen bruto]]</f>
        <v>0</v>
      </c>
      <c r="UB14" s="34">
        <f>+Tabla5789141516343536[[#This Row],[Recuento]]*Tabla5789141516343536[[#This Row],[Área neta]]</f>
        <v>0</v>
      </c>
      <c r="UC14" s="35"/>
      <c r="UD14" s="26"/>
      <c r="UE14" t="s">
        <v>1862</v>
      </c>
      <c r="UF14" t="s">
        <v>1524</v>
      </c>
      <c r="UG14" t="s">
        <v>1630</v>
      </c>
      <c r="UH14">
        <v>0.01</v>
      </c>
      <c r="UI14">
        <v>1.27</v>
      </c>
      <c r="UJ14">
        <v>1</v>
      </c>
      <c r="UK14" s="34">
        <f>+Tabla57891415163435363738[[#This Row],[Recuento]]*Tabla57891415163435363738[[#This Row],[Volúmen bruto]]</f>
        <v>0.01</v>
      </c>
      <c r="UL14" s="34">
        <f>+Tabla57891415163435363738[[#This Row],[Recuento]]*Tabla57891415163435363738[[#This Row],[Área neta]]</f>
        <v>1.27</v>
      </c>
      <c r="UM14" s="35"/>
      <c r="UN14" s="26"/>
      <c r="UO14"/>
      <c r="UP14"/>
      <c r="UQ14"/>
      <c r="UR14"/>
      <c r="US14"/>
      <c r="UT14"/>
      <c r="UU14" s="34">
        <f>+Tabla5789141516343536373839[[#This Row],[Recuento]]*Tabla5789141516343536373839[[#This Row],[Volúmen bruto]]</f>
        <v>0</v>
      </c>
      <c r="UV14" s="34">
        <f>+Tabla5789141516343536373839[[#This Row],[Recuento]]*Tabla5789141516343536373839[[#This Row],[Área neta]]</f>
        <v>0</v>
      </c>
      <c r="UW14" s="35"/>
      <c r="UX14" s="26"/>
      <c r="UY14"/>
      <c r="UZ14"/>
      <c r="VA14"/>
      <c r="VB14"/>
      <c r="VC14"/>
      <c r="VD14" s="33"/>
      <c r="VE14" s="34"/>
      <c r="VF14" s="34"/>
      <c r="VG14" s="35"/>
      <c r="VH14" s="26"/>
      <c r="VI14"/>
      <c r="VJ14"/>
      <c r="VK14"/>
      <c r="VL14"/>
      <c r="VM14"/>
      <c r="VN14" s="33"/>
      <c r="VO14" s="34"/>
      <c r="VP14" s="34"/>
      <c r="VQ14" s="35"/>
      <c r="VR14" s="26"/>
      <c r="VS14"/>
      <c r="VT14"/>
      <c r="VU14"/>
      <c r="VV14"/>
      <c r="VW14"/>
      <c r="VX14" s="33"/>
      <c r="VY14" s="34"/>
      <c r="VZ14" s="34"/>
      <c r="WA14" s="35"/>
      <c r="WB14" s="26"/>
      <c r="WC14"/>
      <c r="WD14"/>
      <c r="WE14"/>
      <c r="WF14"/>
      <c r="WG14"/>
      <c r="WH14"/>
      <c r="WI14" s="34"/>
      <c r="WJ14" s="34"/>
      <c r="WK14" s="35"/>
      <c r="WL14" s="26"/>
      <c r="WM14"/>
      <c r="WN14"/>
      <c r="WO14"/>
      <c r="WP14"/>
      <c r="WQ14"/>
      <c r="WR14"/>
      <c r="WS14" s="34"/>
      <c r="WT14" s="34"/>
      <c r="WU14" s="35"/>
      <c r="WV14" s="26"/>
      <c r="WW14"/>
      <c r="WX14"/>
      <c r="WY14"/>
      <c r="WZ14"/>
      <c r="XA14"/>
      <c r="XB14"/>
      <c r="XC14" s="34"/>
      <c r="XD14" s="34"/>
      <c r="XE14" s="35"/>
      <c r="XF14" s="26"/>
      <c r="XG14"/>
      <c r="XH14"/>
      <c r="XI14"/>
      <c r="XJ14"/>
      <c r="XK14"/>
      <c r="XL14"/>
      <c r="XM14" s="34">
        <f>+Tabla578914151634353637383940414243444536[[#This Row],[Recuento]]*Tabla578914151634353637383940414243444536[[#This Row],[Volúmen bruto]]</f>
        <v>0</v>
      </c>
      <c r="XN14" s="34">
        <f>+Tabla578914151634353637383940414243444536[[#This Row],[Recuento]]*Tabla578914151634353637383940414243444536[[#This Row],[Área neta]]</f>
        <v>0</v>
      </c>
      <c r="XO14" s="35"/>
      <c r="XP14" s="26"/>
      <c r="XQ14"/>
      <c r="XR14"/>
      <c r="XS14"/>
      <c r="XT14"/>
      <c r="XU14"/>
      <c r="XV14"/>
      <c r="XW14" s="34">
        <f>+Tabla5789141516343536373839404142434445[[#This Row],[Recuento]]*Tabla5789141516343536373839404142434445[[#This Row],[Volúmen bruto]]</f>
        <v>0</v>
      </c>
      <c r="XX14" s="34">
        <f>+Tabla5789141516343536373839404142434445[[#This Row],[Recuento]]*Tabla5789141516343536373839404142434445[[#This Row],[Área neta]]</f>
        <v>0</v>
      </c>
      <c r="XY14" s="36"/>
      <c r="XZ14" s="26"/>
      <c r="YA14"/>
      <c r="YB14"/>
      <c r="YC14"/>
      <c r="YD14"/>
      <c r="YE14"/>
      <c r="YF14"/>
      <c r="YG14" s="34">
        <f>+Tabla578914151634353637383940414243444558[[#This Row],[Recuento]]*Tabla578914151634353637383940414243444558[[#This Row],[Volúmen bruto]]</f>
        <v>0</v>
      </c>
      <c r="YH14" s="34">
        <f>+Tabla578914151634353637383940414243444558[[#This Row],[Recuento]]*Tabla578914151634353637383940414243444558[[#This Row],[Área neta]]</f>
        <v>0</v>
      </c>
      <c r="YI14" s="35">
        <f>+SUM(YG14:YG18)</f>
        <v>0</v>
      </c>
      <c r="YJ14" s="35"/>
      <c r="YK14"/>
      <c r="YL14"/>
      <c r="YM14"/>
      <c r="YN14"/>
      <c r="YO14"/>
      <c r="YQ14"/>
      <c r="YR14"/>
      <c r="YS14"/>
      <c r="YT14"/>
      <c r="YU14"/>
      <c r="YV14" s="33"/>
      <c r="YW14" s="34"/>
      <c r="YX14" s="34"/>
      <c r="YY14" s="35"/>
      <c r="YZ14" s="26"/>
      <c r="ZA14"/>
      <c r="ZB14"/>
      <c r="ZC14"/>
      <c r="ZD14"/>
      <c r="ZE14"/>
      <c r="ZF14" s="33"/>
      <c r="ZG14" s="34"/>
      <c r="ZH14" s="34"/>
      <c r="ZI14" s="35"/>
      <c r="ZJ14" s="26"/>
      <c r="ZK14" t="s">
        <v>1862</v>
      </c>
      <c r="ZL14" t="s">
        <v>1525</v>
      </c>
      <c r="ZM14" t="s">
        <v>1730</v>
      </c>
      <c r="ZN14">
        <v>0.01</v>
      </c>
      <c r="ZO14">
        <v>0.42</v>
      </c>
      <c r="ZP14">
        <v>2</v>
      </c>
      <c r="ZQ14" s="34">
        <f>+Tabla5789141516343536373839404142434445464748495041[[#This Row],[Recuento]]*Tabla5789141516343536373839404142434445464748495041[[#This Row],[Volúmen bruto]]</f>
        <v>0.02</v>
      </c>
      <c r="ZR14" s="34">
        <f>+Tabla5789141516343536373839404142434445464748495041[[#This Row],[Recuento]]*Tabla5789141516343536373839404142434445464748495041[[#This Row],[Área neta]]</f>
        <v>0.84</v>
      </c>
      <c r="ZS14" s="35"/>
      <c r="ZT14" s="26"/>
      <c r="ZU14"/>
      <c r="ZV14"/>
      <c r="ZW14"/>
      <c r="ZX14"/>
      <c r="ZY14"/>
      <c r="ZZ14"/>
      <c r="AAA14" s="34">
        <f>+Tabla57891415163435363738394041424344454647484950[[#This Row],[Recuento]]*Tabla57891415163435363738394041424344454647484950[[#This Row],[Volúmen bruto]]</f>
        <v>0</v>
      </c>
      <c r="AAB14" s="34">
        <f>+Tabla57891415163435363738394041424344454647484950[[#This Row],[Recuento]]*Tabla57891415163435363738394041424344454647484950[[#This Row],[Área neta]]</f>
        <v>0</v>
      </c>
      <c r="AAC14" s="35"/>
      <c r="AAD14" s="26"/>
      <c r="AAE14"/>
      <c r="AAF14"/>
      <c r="AAG14"/>
      <c r="AAH14"/>
      <c r="AAI14"/>
      <c r="AAJ14" s="33">
        <v>1</v>
      </c>
      <c r="AAK14" s="34">
        <v>0.27756000000000003</v>
      </c>
      <c r="AAL14" s="34">
        <v>4.6260000000000003</v>
      </c>
      <c r="AAM14" s="35"/>
      <c r="AAN14" s="26"/>
      <c r="AAO14" t="s">
        <v>1862</v>
      </c>
      <c r="AAP14" t="s">
        <v>1524</v>
      </c>
      <c r="AAQ14" t="s">
        <v>98</v>
      </c>
      <c r="AAR14">
        <v>0</v>
      </c>
      <c r="AAS14">
        <v>0.37</v>
      </c>
      <c r="AAT14">
        <v>2</v>
      </c>
      <c r="AAU14" s="34">
        <f>+Tabla5789141516343536373839404142434445464748495051[[#This Row],[Recuento]]*Tabla5789141516343536373839404142434445464748495051[[#This Row],[Volúmen bruto]]</f>
        <v>0</v>
      </c>
      <c r="AAV14" s="34">
        <f>+Tabla5789141516343536373839404142434445464748495051[[#This Row],[Recuento]]*Tabla5789141516343536373839404142434445464748495051[[#This Row],[Área neta]]</f>
        <v>0.74</v>
      </c>
      <c r="AAW14" s="35"/>
      <c r="AAX14" s="26"/>
      <c r="AAY14"/>
      <c r="AAZ14"/>
      <c r="ABA14"/>
      <c r="ABB14"/>
      <c r="ABC14"/>
      <c r="ABD14" s="33"/>
      <c r="ABE14" s="34"/>
      <c r="ABF14" s="34"/>
      <c r="ABG14" s="35"/>
      <c r="ABH14" s="26"/>
      <c r="ABI14"/>
      <c r="ABJ14"/>
      <c r="ABK14"/>
      <c r="ABL14"/>
      <c r="ABM14"/>
      <c r="ABN14" s="33"/>
      <c r="ABO14" s="34"/>
      <c r="ABP14" s="34"/>
      <c r="ABQ14" s="35"/>
      <c r="ABR14" s="26"/>
      <c r="ABS14"/>
      <c r="ABT14"/>
      <c r="ABU14"/>
      <c r="ABV14"/>
      <c r="ABW14"/>
      <c r="ABX14" s="33"/>
      <c r="ABY14" s="34"/>
      <c r="ABZ14" s="34"/>
      <c r="ACA14" s="35"/>
      <c r="ACB14" s="26"/>
      <c r="ACC14"/>
      <c r="ACD14"/>
      <c r="ACE14"/>
      <c r="ACF14"/>
      <c r="ACG14"/>
      <c r="ACH14" s="33"/>
      <c r="ACI14" s="34"/>
      <c r="ACJ14" s="34"/>
      <c r="ACK14" s="35"/>
      <c r="ACL14" s="26"/>
      <c r="ACM14"/>
      <c r="ACN14"/>
      <c r="ACO14"/>
      <c r="ACP14"/>
      <c r="ACQ14"/>
      <c r="ACR14" s="33"/>
      <c r="ACS14" s="34"/>
      <c r="ACT14" s="34"/>
      <c r="ACU14" s="35"/>
      <c r="ACV14" s="26"/>
      <c r="ACW14" t="s">
        <v>1242</v>
      </c>
      <c r="ACY14" s="2"/>
      <c r="ADA14" s="38"/>
      <c r="ADB14" s="2">
        <f t="shared" si="1"/>
        <v>0</v>
      </c>
      <c r="ADD14" t="s">
        <v>1720</v>
      </c>
      <c r="ADE14">
        <v>1.1100000000000001</v>
      </c>
      <c r="ADF14">
        <v>3</v>
      </c>
      <c r="ADG14" s="26">
        <f t="shared" si="3"/>
        <v>3.33</v>
      </c>
      <c r="ADH14"/>
      <c r="ADI14"/>
      <c r="ADJ14"/>
      <c r="ADK14"/>
      <c r="ADL14"/>
      <c r="ADM14"/>
      <c r="ADN14">
        <f ca="1">+Tabla578914151634353637383940414243444546474849505152535560[[#This Row],[G. Total]]*Tabla578914151634353637383940414243444546474849505152535560[[#This Row],[Recuento]]</f>
        <v>0</v>
      </c>
      <c r="ADO14" s="35"/>
      <c r="ADP14" s="26"/>
      <c r="ADQ14"/>
      <c r="ADR14"/>
      <c r="ADS14"/>
      <c r="ADT14"/>
      <c r="ADU14"/>
      <c r="ADV14" s="35"/>
      <c r="ADW14" s="35"/>
      <c r="ADX14"/>
      <c r="ADY14"/>
      <c r="ADZ14"/>
      <c r="AEA14"/>
      <c r="AEB14"/>
      <c r="AEC14">
        <f ca="1">+Tabla57891415163435363738394041424344454647484950515253556062[[#This Row],[Total]]*Tabla57891415163435363738394041424344454647484950515253556062[[#This Row],[Recuento]]</f>
        <v>0</v>
      </c>
      <c r="AED14" s="35"/>
      <c r="AEE14" s="26"/>
      <c r="AEF14"/>
      <c r="AEG14"/>
      <c r="AEH14"/>
      <c r="AEI14"/>
      <c r="AEJ14"/>
      <c r="AEK14" s="35"/>
      <c r="AEL14" s="35"/>
      <c r="AEM14" t="s">
        <v>1522</v>
      </c>
      <c r="AEN14" t="s">
        <v>1523</v>
      </c>
      <c r="AEO14" t="s">
        <v>453</v>
      </c>
      <c r="AEP14">
        <v>6.01</v>
      </c>
      <c r="AEQ14">
        <v>1</v>
      </c>
      <c r="AER14">
        <f ca="1">+Tabla5789141516343536373839404142434445464748495051525355606264[[#This Row],[G. Total]]*Tabla5789141516343536373839404142434445464748495051525355606264[[#This Row],[Recuento]]</f>
        <v>6.01</v>
      </c>
      <c r="AES14" s="35"/>
      <c r="AET14" s="26"/>
      <c r="AEU14"/>
      <c r="AEV14"/>
      <c r="AEW14"/>
      <c r="AEX14"/>
      <c r="AEY14"/>
      <c r="AEZ14" s="35"/>
      <c r="AFA14" s="26"/>
      <c r="AFB14"/>
      <c r="AFC14"/>
      <c r="AFD14"/>
      <c r="AFE14"/>
      <c r="AFF14"/>
      <c r="AFG14"/>
      <c r="AFH14" t="s">
        <v>1522</v>
      </c>
      <c r="AFI14" t="s">
        <v>1525</v>
      </c>
      <c r="AFJ14" t="s">
        <v>419</v>
      </c>
      <c r="AFK14">
        <v>0.14000000000000001</v>
      </c>
      <c r="AFL14">
        <v>1</v>
      </c>
      <c r="AFM14">
        <f ca="1">+Tabla578914151634353637383940414243444546474849505152535560626467[[#This Row],[G. Total]]*Tabla578914151634353637383940414243444546474849505152535560626467[[#This Row],[Recuento]]</f>
        <v>0.14000000000000001</v>
      </c>
      <c r="AFN14" s="36"/>
      <c r="AFO14" s="26"/>
      <c r="AFP14" s="2" t="s">
        <v>104</v>
      </c>
      <c r="AFW14" s="2" t="s">
        <v>104</v>
      </c>
    </row>
    <row r="15" spans="1:860" ht="15" customHeight="1" x14ac:dyDescent="0.25">
      <c r="A15">
        <v>2</v>
      </c>
      <c r="B15" t="s">
        <v>1862</v>
      </c>
      <c r="C15" t="s">
        <v>1225</v>
      </c>
      <c r="D15" t="s">
        <v>1550</v>
      </c>
      <c r="E15">
        <v>0.28999999999999998</v>
      </c>
      <c r="F15">
        <v>5</v>
      </c>
      <c r="G15"/>
      <c r="H15">
        <f>+Tabla3[[#This Row],[Volúmen neto]]*A15</f>
        <v>0.57999999999999996</v>
      </c>
      <c r="I15">
        <f>+Tabla3[[#This Row],[Longitud de eje]]*A15</f>
        <v>10</v>
      </c>
      <c r="J15"/>
      <c r="K15"/>
      <c r="L15"/>
      <c r="M15"/>
      <c r="N15"/>
      <c r="O15"/>
      <c r="P15"/>
      <c r="Q15"/>
      <c r="R15">
        <f>+Tabla5[[#This Row],[Recuento]]*Tabla5[[#This Row],[Volúmen bruto]]</f>
        <v>0</v>
      </c>
      <c r="S15">
        <f>+Tabla5[[#This Row],[Recuento]]*Tabla5[[#This Row],[Área neta]]</f>
        <v>0</v>
      </c>
      <c r="T15">
        <f>+Tabla5[[#This Row],[Longitud nominal]]*Tabla5[[#This Row],[Recuento]]</f>
        <v>0</v>
      </c>
      <c r="U15" s="26"/>
      <c r="V15"/>
      <c r="W15"/>
      <c r="X15"/>
      <c r="Y15"/>
      <c r="Z15"/>
      <c r="AA15"/>
      <c r="AB15"/>
      <c r="AC15"/>
      <c r="AD15">
        <f>+Tabla522[[#This Row],[Recuento]]*Tabla522[[#This Row],[Volúmen bruto]]</f>
        <v>0</v>
      </c>
      <c r="AE15">
        <f>+Tabla522[[#This Row],[Recuento]]*Tabla522[[#This Row],[Área neta]]</f>
        <v>0</v>
      </c>
      <c r="AF15">
        <f>+Tabla522[[#This Row],[Longitud nominal]]*Tabla522[[#This Row],[Recuento]]</f>
        <v>0</v>
      </c>
      <c r="AG15" s="26"/>
      <c r="AH15"/>
      <c r="AI15"/>
      <c r="AJ15"/>
      <c r="AK15"/>
      <c r="AL15"/>
      <c r="AM15"/>
      <c r="AN15"/>
      <c r="AO15"/>
      <c r="AP15">
        <f>+Tabla52223[[#This Row],[Recuento]]*Tabla52223[[#This Row],[Volúmen bruto]]</f>
        <v>0</v>
      </c>
      <c r="AQ15">
        <f>+Tabla52223[[#This Row],[Recuento]]*Tabla52223[[#This Row],[Área neta]]</f>
        <v>0</v>
      </c>
      <c r="AR15">
        <f>+Tabla52223[[#This Row],[Longitud nominal]]*Tabla52223[[#This Row],[Recuento]]</f>
        <v>0</v>
      </c>
      <c r="AS15" s="26"/>
      <c r="AT15"/>
      <c r="AU15"/>
      <c r="AV15"/>
      <c r="AW15"/>
      <c r="AX15"/>
      <c r="AY15"/>
      <c r="AZ15"/>
      <c r="BA15"/>
      <c r="BB15">
        <f>+Tabla5222329[[#This Row],[Recuento]]*Tabla5222329[[#This Row],[Volúmen bruto]]</f>
        <v>0</v>
      </c>
      <c r="BC15">
        <f>+Tabla5222329[[#This Row],[Recuento]]*Tabla5222329[[#This Row],[Área neta]]</f>
        <v>0</v>
      </c>
      <c r="BD15">
        <f>+Tabla5222329[[#This Row],[Longitud nominal]]*Tabla5222329[[#This Row],[Recuento]]</f>
        <v>0</v>
      </c>
      <c r="BE15" s="26"/>
      <c r="BF15">
        <v>1</v>
      </c>
      <c r="BG15" t="s">
        <v>1862</v>
      </c>
      <c r="BH15" t="s">
        <v>1524</v>
      </c>
      <c r="BI15" t="s">
        <v>1406</v>
      </c>
      <c r="BJ15">
        <v>1.57</v>
      </c>
      <c r="BK15">
        <v>2</v>
      </c>
      <c r="BL15">
        <f>+Tabla3102[[#This Row],[En culmo]]*BF15</f>
        <v>2</v>
      </c>
      <c r="BM15"/>
      <c r="BN15"/>
      <c r="BO15"/>
      <c r="BP15"/>
      <c r="BQ15"/>
      <c r="BR15"/>
      <c r="BS15">
        <v>1.5</v>
      </c>
      <c r="BT15">
        <f>+Tabla31069[[#This Row],[En culmo]]*BN15</f>
        <v>0</v>
      </c>
      <c r="BU15"/>
      <c r="BV15">
        <v>2</v>
      </c>
      <c r="BW15" t="s">
        <v>1862</v>
      </c>
      <c r="BX15" t="s">
        <v>1525</v>
      </c>
      <c r="BY15" t="s">
        <v>1406</v>
      </c>
      <c r="BZ15">
        <v>0.9</v>
      </c>
      <c r="CA15">
        <v>1.5</v>
      </c>
      <c r="CB15">
        <f>+Tabla31011[[#This Row],[En culmo]]*BV15</f>
        <v>3</v>
      </c>
      <c r="CD15">
        <v>8</v>
      </c>
      <c r="CE15" t="s">
        <v>1862</v>
      </c>
      <c r="CF15" t="s">
        <v>1525</v>
      </c>
      <c r="CG15" t="s">
        <v>1405</v>
      </c>
      <c r="CH15">
        <v>1.1000000000000001</v>
      </c>
      <c r="CI15">
        <v>1.5</v>
      </c>
      <c r="CJ15">
        <f>+Tabla3101170[[#This Row],[En culmo]]*CD15</f>
        <v>12</v>
      </c>
      <c r="CK15"/>
      <c r="CL15">
        <v>1</v>
      </c>
      <c r="CM15" t="s">
        <v>1862</v>
      </c>
      <c r="CN15" t="s">
        <v>1383</v>
      </c>
      <c r="CO15" t="s">
        <v>1406</v>
      </c>
      <c r="CP15">
        <v>1.53</v>
      </c>
      <c r="CQ15" s="26">
        <v>2</v>
      </c>
      <c r="CR15">
        <f>+Tabla31011116[[#This Row],[En culmo]]*CT15</f>
        <v>6</v>
      </c>
      <c r="CT15">
        <v>3</v>
      </c>
      <c r="CU15" t="s">
        <v>1862</v>
      </c>
      <c r="CV15" t="s">
        <v>1383</v>
      </c>
      <c r="CW15" t="s">
        <v>1405</v>
      </c>
      <c r="CX15">
        <v>13.27</v>
      </c>
      <c r="CY15">
        <v>14.5</v>
      </c>
      <c r="CZ15">
        <f>+Tabla3101170117[[#This Row],[En culmo]]*CT15</f>
        <v>43.5</v>
      </c>
      <c r="DA15"/>
      <c r="DB15">
        <v>2</v>
      </c>
      <c r="DC15" t="s">
        <v>1862</v>
      </c>
      <c r="DD15" t="s">
        <v>1383</v>
      </c>
      <c r="DE15" t="s">
        <v>1723</v>
      </c>
      <c r="DF15">
        <v>0.62</v>
      </c>
      <c r="DG15">
        <f>+Tabla31011704[[#This Row],[Longitud de eje]]*DB15</f>
        <v>1.24</v>
      </c>
      <c r="DH15"/>
      <c r="DI15"/>
      <c r="DJ15"/>
      <c r="DK15"/>
      <c r="DL15"/>
      <c r="DM15"/>
      <c r="DN15">
        <f>+Tabla3101170411[[#This Row],[Longitud de eje]]*DI15</f>
        <v>0</v>
      </c>
      <c r="DO15"/>
      <c r="DP15"/>
      <c r="DQ15"/>
      <c r="DR15"/>
      <c r="DS15"/>
      <c r="DT15"/>
      <c r="DU15">
        <f>+Tabla3101170411120[[#This Row],[Longitud de eje]]*DP15</f>
        <v>0</v>
      </c>
      <c r="DV15"/>
      <c r="DW15"/>
      <c r="DX15"/>
      <c r="DY15"/>
      <c r="DZ15"/>
      <c r="EA15"/>
      <c r="EB15">
        <f>+Tabla3101170411120122[[#This Row],[Longitud de eje]]*DW15</f>
        <v>0</v>
      </c>
      <c r="EC15"/>
      <c r="ED15">
        <v>3</v>
      </c>
      <c r="EE15" t="s">
        <v>1862</v>
      </c>
      <c r="EF15" t="s">
        <v>1524</v>
      </c>
      <c r="EG15" t="s">
        <v>1406</v>
      </c>
      <c r="EH15">
        <v>2.69</v>
      </c>
      <c r="EI15">
        <v>3</v>
      </c>
      <c r="EJ15">
        <f>+Tabla3101112[[#This Row],[En culmo]]*ED15</f>
        <v>9</v>
      </c>
      <c r="EK15"/>
      <c r="EL15"/>
      <c r="EM15"/>
      <c r="EN15"/>
      <c r="EO15"/>
      <c r="EP15"/>
      <c r="EQ15"/>
      <c r="ER15">
        <f>+Tabla3101112123[[#This Row],[En culmo]]*EL15</f>
        <v>0</v>
      </c>
      <c r="ES15"/>
      <c r="ET15">
        <v>5</v>
      </c>
      <c r="EU15" t="s">
        <v>1862</v>
      </c>
      <c r="EV15" t="s">
        <v>1525</v>
      </c>
      <c r="EW15" t="s">
        <v>1406</v>
      </c>
      <c r="EX15">
        <v>0.9</v>
      </c>
      <c r="EY15">
        <v>1.5</v>
      </c>
      <c r="EZ15">
        <f>+Tabla310111257[[#This Row],[En culmo]]*ET15</f>
        <v>7.5</v>
      </c>
      <c r="FA15"/>
      <c r="FB15"/>
      <c r="FC15"/>
      <c r="FD15"/>
      <c r="FE15"/>
      <c r="FF15"/>
      <c r="FG15">
        <v>2</v>
      </c>
      <c r="FH15">
        <f>+Tabla310111257124[[#This Row],[En culmo]]*FB15</f>
        <v>0</v>
      </c>
      <c r="FI15"/>
      <c r="FJ15"/>
      <c r="FK15"/>
      <c r="FL15"/>
      <c r="FM15"/>
      <c r="FN15"/>
      <c r="FO15"/>
      <c r="FP15">
        <f>+Tabla310111213115[[#This Row],[Volúmen]]*FJ15</f>
        <v>0</v>
      </c>
      <c r="FQ15">
        <f>+Tabla310111213115[[#This Row],[Longitud del eje]]*FJ15</f>
        <v>0</v>
      </c>
      <c r="FR15"/>
      <c r="FS15"/>
      <c r="FT15"/>
      <c r="FU15"/>
      <c r="FV15"/>
      <c r="FW15"/>
      <c r="FX15">
        <f>+Tabla31011121311554[[#This Row],[Volúmen]]*FR15</f>
        <v>0</v>
      </c>
      <c r="FY15">
        <f>+Tabla31011121311554[[#This Row],[Longitud del eje]]*FR15</f>
        <v>0</v>
      </c>
      <c r="FZ15">
        <v>5</v>
      </c>
      <c r="GA15" t="s">
        <v>1862</v>
      </c>
      <c r="GB15" t="s">
        <v>1524</v>
      </c>
      <c r="GC15" t="s">
        <v>1584</v>
      </c>
      <c r="GD15">
        <v>0.03</v>
      </c>
      <c r="GE15">
        <v>0</v>
      </c>
      <c r="GF15">
        <f>+Tabla3101112131157[[#This Row],[Volúmen]]*FZ15</f>
        <v>0.15</v>
      </c>
      <c r="GG15">
        <f>+Tabla3101112131157[[#This Row],[Longitud del eje]]*FZ15</f>
        <v>0</v>
      </c>
      <c r="GI15"/>
      <c r="GJ15"/>
      <c r="GK15"/>
      <c r="GL15"/>
      <c r="GM15"/>
      <c r="GN15"/>
      <c r="GO15"/>
      <c r="GQ15" t="s">
        <v>1862</v>
      </c>
      <c r="GR15" t="s">
        <v>1383</v>
      </c>
      <c r="GS15" t="s">
        <v>1628</v>
      </c>
      <c r="GT15">
        <v>0.12</v>
      </c>
      <c r="GU15">
        <v>19.3</v>
      </c>
      <c r="GV15">
        <v>1</v>
      </c>
      <c r="GW15">
        <f>+Tabla578914[[#This Row],[Recuento]]*Tabla578914[[#This Row],[Volúmen bruto]]</f>
        <v>0.12</v>
      </c>
      <c r="GX15">
        <f>+Tabla578914[[#This Row],[Recuento]]*Tabla578914[[#This Row],[Área neta]]</f>
        <v>19.3</v>
      </c>
      <c r="GY15" s="36"/>
      <c r="HA15" t="s">
        <v>1862</v>
      </c>
      <c r="HB15" t="s">
        <v>1383</v>
      </c>
      <c r="HC15" t="s">
        <v>97</v>
      </c>
      <c r="HD15">
        <v>0.06</v>
      </c>
      <c r="HE15">
        <v>9.9600000000000009</v>
      </c>
      <c r="HF15">
        <v>1</v>
      </c>
      <c r="HG15">
        <f>+Tabla578914126[[#This Row],[Recuento]]*Tabla578914126[[#This Row],[Volúmen bruto]]</f>
        <v>0.06</v>
      </c>
      <c r="HH15">
        <f>+Tabla578914126[[#This Row],[Recuento]]*Tabla578914126[[#This Row],[Área neta]]</f>
        <v>9.9600000000000009</v>
      </c>
      <c r="HI15" s="36"/>
      <c r="HK15" t="s">
        <v>1862</v>
      </c>
      <c r="HL15" t="s">
        <v>1383</v>
      </c>
      <c r="HM15" t="s">
        <v>1679</v>
      </c>
      <c r="HN15">
        <v>0</v>
      </c>
      <c r="HO15">
        <v>1.35</v>
      </c>
      <c r="HP15">
        <v>1</v>
      </c>
      <c r="HQ15">
        <f>+Tabla578914126127[[#This Row],[Recuento]]*Tabla578914126127[[#This Row],[Volúmen bruto]]</f>
        <v>0</v>
      </c>
      <c r="HR15">
        <f>+Tabla578914126127[[#This Row],[Recuento]]*Tabla578914126127[[#This Row],[Área neta]]</f>
        <v>1.35</v>
      </c>
      <c r="HS15" s="36"/>
      <c r="HT15" s="26"/>
      <c r="HU15"/>
      <c r="HV15"/>
      <c r="HW15"/>
      <c r="HX15"/>
      <c r="HY15"/>
      <c r="HZ15"/>
      <c r="IA15"/>
      <c r="IB15"/>
      <c r="IC15" s="35"/>
      <c r="ID15" s="26"/>
      <c r="IE15"/>
      <c r="IF15"/>
      <c r="IG15"/>
      <c r="IH15"/>
      <c r="II15"/>
      <c r="IJ15"/>
      <c r="IK15"/>
      <c r="IL15"/>
      <c r="IM15" s="35"/>
      <c r="IN15" s="26"/>
      <c r="IO15"/>
      <c r="IP15"/>
      <c r="IQ15"/>
      <c r="IR15"/>
      <c r="IS15"/>
      <c r="IT15"/>
      <c r="IU15">
        <f>+Tabla520212223[[#This Row],[Recuento]]*Tabla520212223[[#This Row],[Volúmen bruto]]</f>
        <v>0</v>
      </c>
      <c r="IV15">
        <f>+Tabla520212223[[#This Row],[Recuento]]*Tabla520212223[[#This Row],[Área neta]]</f>
        <v>0</v>
      </c>
      <c r="IW15" s="26">
        <f t="shared" si="0"/>
        <v>0</v>
      </c>
      <c r="IY15"/>
      <c r="IZ15"/>
      <c r="JA15"/>
      <c r="JB15"/>
      <c r="JC15"/>
      <c r="JD15"/>
      <c r="JE15">
        <f>+Tabla520212224[[#This Row],[Recuento]]*Tabla520212224[[#This Row],[Volúmen bruto]]</f>
        <v>0</v>
      </c>
      <c r="JF15">
        <f>+Tabla520212224[[#This Row],[Recuento]]*Tabla520212224[[#This Row],[Área neta]]</f>
        <v>0</v>
      </c>
      <c r="JG15" s="26"/>
      <c r="JI15" t="s">
        <v>1862</v>
      </c>
      <c r="JJ15" t="s">
        <v>1524</v>
      </c>
      <c r="JK15" t="s">
        <v>97</v>
      </c>
      <c r="JL15">
        <v>0.05</v>
      </c>
      <c r="JM15">
        <v>2.2999999999999998</v>
      </c>
      <c r="JN15">
        <v>2</v>
      </c>
      <c r="JO15">
        <f>+Tabla52021222425[[#This Row],[Recuento]]*Tabla52021222425[[#This Row],[Volúmen bruto]]</f>
        <v>0.1</v>
      </c>
      <c r="JP15">
        <f>+Tabla52021222425[[#This Row],[Recuento]]*Tabla52021222425[[#This Row],[Área neta]]</f>
        <v>4.5999999999999996</v>
      </c>
      <c r="JQ15" s="26"/>
      <c r="JS15" t="s">
        <v>1862</v>
      </c>
      <c r="JT15" t="s">
        <v>1524</v>
      </c>
      <c r="JU15" t="s">
        <v>97</v>
      </c>
      <c r="JV15">
        <v>0.02</v>
      </c>
      <c r="JW15">
        <v>1.25</v>
      </c>
      <c r="JX15">
        <v>1</v>
      </c>
      <c r="JY15">
        <f>+Tabla5202122242526[[#This Row],[Recuento]]*Tabla5202122242526[[#This Row],[Volúmen bruto]]</f>
        <v>0.02</v>
      </c>
      <c r="JZ15">
        <f>+Tabla5202122242526[[#This Row],[Recuento]]*Tabla5202122242526[[#This Row],[Área neta]]</f>
        <v>1.25</v>
      </c>
      <c r="KA15" s="26"/>
      <c r="KC15"/>
      <c r="KD15"/>
      <c r="KE15"/>
      <c r="KF15"/>
      <c r="KG15"/>
      <c r="KH15"/>
      <c r="KI15">
        <f>+Tabla5202122242526104[[#This Row],[Recuento]]*Tabla5202122242526104[[#This Row],[Volúmen bruto]]</f>
        <v>0</v>
      </c>
      <c r="KJ15">
        <f>+Tabla5202122242526104[[#This Row],[Recuento]]*Tabla5202122242526104[[#This Row],[Área neta]]</f>
        <v>0</v>
      </c>
      <c r="KK15" s="26"/>
      <c r="KM15" t="s">
        <v>1862</v>
      </c>
      <c r="KN15" t="s">
        <v>1525</v>
      </c>
      <c r="KO15" t="s">
        <v>1628</v>
      </c>
      <c r="KP15">
        <v>0.09</v>
      </c>
      <c r="KQ15">
        <v>2.61</v>
      </c>
      <c r="KR15">
        <v>1</v>
      </c>
      <c r="KS15">
        <f>+Tabla5202122242526104110[[#This Row],[Recuento]]*Tabla5202122242526104110[[#This Row],[Volúmen bruto]]</f>
        <v>0.09</v>
      </c>
      <c r="KT15">
        <f>+Tabla5202122242526104110[[#This Row],[Recuento]]*Tabla5202122242526104110[[#This Row],[Área neta]]</f>
        <v>2.61</v>
      </c>
      <c r="KU15" s="26"/>
      <c r="KW15" t="s">
        <v>1862</v>
      </c>
      <c r="KX15" t="s">
        <v>1524</v>
      </c>
      <c r="KY15" t="s">
        <v>1677</v>
      </c>
      <c r="KZ15">
        <v>0.01</v>
      </c>
      <c r="LA15">
        <v>1.4</v>
      </c>
      <c r="LB15">
        <v>1</v>
      </c>
      <c r="LC15">
        <f>+Tabla520212224252659[[#This Row],[Recuento]]*Tabla520212224252659[[#This Row],[Volúmen bruto]]</f>
        <v>0.01</v>
      </c>
      <c r="LD15">
        <f>+Tabla520212224252659[[#This Row],[Recuento]]*Tabla520212224252659[[#This Row],[Área neta]]</f>
        <v>1.4</v>
      </c>
      <c r="LE15" s="26"/>
      <c r="LG15"/>
      <c r="LH15"/>
      <c r="LI15"/>
      <c r="LJ15"/>
      <c r="LK15"/>
      <c r="LL15"/>
      <c r="LM15">
        <f>+Tabla520212224252659111[[#This Row],[Recuento]]*Tabla520212224252659111[[#This Row],[Volúmen bruto]]</f>
        <v>0</v>
      </c>
      <c r="LN15">
        <f>+Tabla520212224252659111[[#This Row],[Recuento]]*Tabla520212224252659111[[#This Row],[Área neta]]</f>
        <v>0</v>
      </c>
      <c r="LO15" s="26"/>
      <c r="LQ15"/>
      <c r="LR15"/>
      <c r="LS15"/>
      <c r="LT15"/>
      <c r="LU15"/>
      <c r="LV15"/>
      <c r="LW15">
        <f>+Tabla520212224252659111114[[#This Row],[Recuento]]*Tabla520212224252659111114[[#This Row],[Volúmen bruto]]</f>
        <v>0</v>
      </c>
      <c r="LX15">
        <f>+Tabla520212224252659111114[[#This Row],[Recuento]]*Tabla520212224252659111114[[#This Row],[Área neta]]</f>
        <v>0</v>
      </c>
      <c r="LY15" s="26"/>
      <c r="MA15" t="s">
        <v>1862</v>
      </c>
      <c r="MB15" t="s">
        <v>1524</v>
      </c>
      <c r="MC15" t="s">
        <v>97</v>
      </c>
      <c r="MD15">
        <v>0.03</v>
      </c>
      <c r="ME15">
        <v>1.33</v>
      </c>
      <c r="MF15">
        <v>1</v>
      </c>
      <c r="MG15">
        <f>+Tabla520212224252659111114128[[#This Row],[Recuento]]*Tabla520212224252659111114128[[#This Row],[Volúmen bruto]]</f>
        <v>0.03</v>
      </c>
      <c r="MH15">
        <f>+Tabla520212224252659111114128[[#This Row],[Recuento]]*Tabla520212224252659111114128[[#This Row],[Área neta]]</f>
        <v>1.33</v>
      </c>
      <c r="MI15" s="415"/>
      <c r="MK15" t="s">
        <v>1862</v>
      </c>
      <c r="ML15" t="s">
        <v>1525</v>
      </c>
      <c r="MM15" t="s">
        <v>1676</v>
      </c>
      <c r="MN15">
        <v>0.22</v>
      </c>
      <c r="MO15">
        <v>1.81</v>
      </c>
      <c r="MP15">
        <v>1</v>
      </c>
      <c r="MQ15">
        <f>+Tabla520212224252627[[#This Row],[Recuento]]*Tabla520212224252627[[#This Row],[Volúmen bruto]]</f>
        <v>0.22</v>
      </c>
      <c r="MR15">
        <f>+Tabla520212224252627[[#This Row],[Recuento]]*Tabla520212224252627[[#This Row],[Área neta]]</f>
        <v>1.81</v>
      </c>
      <c r="MS15" s="26"/>
      <c r="MU15" t="s">
        <v>1549</v>
      </c>
      <c r="MV15" t="s">
        <v>1525</v>
      </c>
      <c r="MW15" t="s">
        <v>95</v>
      </c>
      <c r="MX15">
        <v>0</v>
      </c>
      <c r="MY15">
        <v>0.1</v>
      </c>
      <c r="MZ15">
        <v>2</v>
      </c>
      <c r="NA15">
        <f>+Tabla520212224252627129[[#This Row],[Recuento]]*Tabla520212224252627129[[#This Row],[Volúmen bruto]]</f>
        <v>0</v>
      </c>
      <c r="NB15">
        <f>+Tabla520212224252627129[[#This Row],[Recuento]]*Tabla520212224252627129[[#This Row],[Área neta]]</f>
        <v>0.2</v>
      </c>
      <c r="NC15" s="26"/>
      <c r="NE15"/>
      <c r="NF15"/>
      <c r="NG15"/>
      <c r="NH15"/>
      <c r="NI15"/>
      <c r="NJ15"/>
      <c r="NK15">
        <f>+Tabla520212224252627129125[[#This Row],[Recuento]]*Tabla520212224252627129125[[#This Row],[Volúmen bruto]]</f>
        <v>0</v>
      </c>
      <c r="NL15">
        <f>+Tabla520212224252627129125[[#This Row],[Recuento]]*Tabla520212224252627129125[[#This Row],[Área neta]]</f>
        <v>0</v>
      </c>
      <c r="NM15" s="26"/>
      <c r="NO15" t="s">
        <v>1549</v>
      </c>
      <c r="NP15" t="s">
        <v>1525</v>
      </c>
      <c r="NQ15" t="s">
        <v>95</v>
      </c>
      <c r="NR15">
        <v>0</v>
      </c>
      <c r="NS15">
        <v>0.49</v>
      </c>
      <c r="NT15">
        <v>1</v>
      </c>
      <c r="NU15">
        <f>+Tabla520212224252627129125130[[#This Row],[Recuento]]*Tabla520212224252627129125130[[#This Row],[Volúmen bruto]]</f>
        <v>0</v>
      </c>
      <c r="NV15">
        <f>+Tabla520212224252627129125130[[#This Row],[Recuento]]*Tabla520212224252627129125130[[#This Row],[Área neta]]</f>
        <v>0.49</v>
      </c>
      <c r="NW15" s="26"/>
      <c r="NY15" t="s">
        <v>1549</v>
      </c>
      <c r="NZ15" t="s">
        <v>1525</v>
      </c>
      <c r="OA15" t="s">
        <v>1676</v>
      </c>
      <c r="OB15">
        <v>0.08</v>
      </c>
      <c r="OC15">
        <v>0.67</v>
      </c>
      <c r="OD15">
        <v>1</v>
      </c>
      <c r="OE15">
        <f>+Tabla520212224252627129125130131[[#This Row],[Recuento]]*Tabla520212224252627129125130131[[#This Row],[Volúmen bruto]]</f>
        <v>0.08</v>
      </c>
      <c r="OF15">
        <f>+Tabla520212224252627129125130131[[#This Row],[Recuento]]*Tabla520212224252627129125130131[[#This Row],[Área neta]]</f>
        <v>0.67</v>
      </c>
      <c r="OG15" s="26"/>
      <c r="OI15" t="s">
        <v>1549</v>
      </c>
      <c r="OJ15" t="s">
        <v>1525</v>
      </c>
      <c r="OK15" t="s">
        <v>95</v>
      </c>
      <c r="OL15">
        <v>0</v>
      </c>
      <c r="OM15">
        <v>0.04</v>
      </c>
      <c r="ON15">
        <v>2</v>
      </c>
      <c r="OO15">
        <f>+Tabla520212224252627129125130131132[[#This Row],[Recuento]]*Tabla520212224252627129125130131132[[#This Row],[Volúmen bruto]]</f>
        <v>0</v>
      </c>
      <c r="OP15">
        <f>+Tabla520212224252627129125130131132[[#This Row],[Recuento]]*Tabla520212224252627129125130131132[[#This Row],[Área neta]]</f>
        <v>0.08</v>
      </c>
      <c r="OQ15" s="26"/>
      <c r="OS15"/>
      <c r="OT15"/>
      <c r="OU15"/>
      <c r="OV15"/>
      <c r="OW15"/>
      <c r="OX15"/>
      <c r="OY15">
        <f>+Tabla52021222425262728[[#This Row],[Recuento]]*Tabla52021222425262728[[#This Row],[Volúmen bruto]]</f>
        <v>0</v>
      </c>
      <c r="OZ15">
        <f>+Tabla52021222425262728[[#This Row],[Recuento]]*Tabla52021222425262728[[#This Row],[Área neta]]</f>
        <v>0</v>
      </c>
      <c r="PA15" s="26"/>
      <c r="PC15" t="s">
        <v>1862</v>
      </c>
      <c r="PD15" t="s">
        <v>1525</v>
      </c>
      <c r="PE15" t="s">
        <v>1628</v>
      </c>
      <c r="PF15">
        <v>0.08</v>
      </c>
      <c r="PG15">
        <v>3.77</v>
      </c>
      <c r="PH15">
        <v>1</v>
      </c>
      <c r="PI15">
        <f>+Tabla52021222425262728133[[#This Row],[Recuento]]*Tabla52021222425262728133[[#This Row],[Volúmen bruto]]</f>
        <v>0.08</v>
      </c>
      <c r="PJ15">
        <f>+Tabla52021222425262728133[[#This Row],[Recuento]]*Tabla52021222425262728133[[#This Row],[Área neta]]</f>
        <v>3.77</v>
      </c>
      <c r="PK15" s="26"/>
      <c r="PM15" t="s">
        <v>1863</v>
      </c>
      <c r="PN15" t="s">
        <v>1524</v>
      </c>
      <c r="PO15" t="s">
        <v>97</v>
      </c>
      <c r="PP15">
        <v>0.04</v>
      </c>
      <c r="PQ15">
        <v>2.1800000000000002</v>
      </c>
      <c r="PR15">
        <v>1</v>
      </c>
      <c r="PS15">
        <f>+Tabla5202122242526272893[[#This Row],[Recuento]]*Tabla5202122242526272893[[#This Row],[Volúmen bruto]]</f>
        <v>0.04</v>
      </c>
      <c r="PT15">
        <f>+Tabla5202122242526272893[[#This Row],[Recuento]]*Tabla5202122242526272893[[#This Row],[Área neta]]</f>
        <v>2.1800000000000002</v>
      </c>
      <c r="PU15" s="26">
        <f>+SUM(PT15:PT16)</f>
        <v>3.99</v>
      </c>
      <c r="PW15" t="s">
        <v>1862</v>
      </c>
      <c r="PX15" t="s">
        <v>1525</v>
      </c>
      <c r="PY15" t="s">
        <v>1628</v>
      </c>
      <c r="PZ15">
        <v>0.06</v>
      </c>
      <c r="QA15">
        <v>3.08</v>
      </c>
      <c r="QB15">
        <v>1</v>
      </c>
      <c r="QC15">
        <f>+Tabla520212224252627289349[[#This Row],[Recuento]]*Tabla520212224252627289349[[#This Row],[Volúmen bruto]]</f>
        <v>0.06</v>
      </c>
      <c r="QD15">
        <f>+Tabla520212224252627289349[[#This Row],[Recuento]]*Tabla520212224252627289349[[#This Row],[Área neta]]</f>
        <v>3.08</v>
      </c>
      <c r="QE15" s="26"/>
      <c r="QG15"/>
      <c r="QH15"/>
      <c r="QI15"/>
      <c r="QJ15"/>
      <c r="QK15"/>
      <c r="QL15"/>
      <c r="QM15">
        <f>+Tabla520212224252627289349134[[#This Row],[Recuento]]*Tabla520212224252627289349134[[#This Row],[Volúmen bruto]]</f>
        <v>0</v>
      </c>
      <c r="QN15">
        <f>+Tabla520212224252627289349134[[#This Row],[Recuento]]*Tabla520212224252627289349134[[#This Row],[Área neta]]</f>
        <v>0</v>
      </c>
      <c r="QO15" s="26"/>
      <c r="QQ15" t="s">
        <v>1862</v>
      </c>
      <c r="QR15" t="s">
        <v>1524</v>
      </c>
      <c r="QS15" t="s">
        <v>1726</v>
      </c>
      <c r="QT15">
        <v>0.57999999999999996</v>
      </c>
      <c r="QU15">
        <v>2.88</v>
      </c>
      <c r="QV15">
        <v>1</v>
      </c>
      <c r="QW15">
        <v>2</v>
      </c>
      <c r="QX15">
        <f>+Tabla5202122242526272829[[#This Row],[Recuento]]*Tabla5202122242526272829[[#This Row],[Volúmen bruto]]</f>
        <v>1.1599999999999999</v>
      </c>
      <c r="QY15">
        <f>+Tabla5202122242526272829[[#This Row],[Recuento]]*Tabla5202122242526272829[[#This Row],[Área neta]]</f>
        <v>5.76</v>
      </c>
      <c r="QZ15">
        <f>+Tabla5202122242526272829[[#This Row],[Recuento]]*Tabla5202122242526272829[[#This Row],[Longitud]]</f>
        <v>2</v>
      </c>
      <c r="RA15" s="26"/>
      <c r="RC15"/>
      <c r="RD15"/>
      <c r="RE15"/>
      <c r="RF15"/>
      <c r="RG15"/>
      <c r="RH15"/>
      <c r="RI15"/>
      <c r="RJ15"/>
      <c r="RK15" s="26"/>
      <c r="RM15"/>
      <c r="RN15"/>
      <c r="RO15"/>
      <c r="RP15"/>
      <c r="RQ15"/>
      <c r="RR15"/>
      <c r="RS15">
        <f>+Tabla5202122242526272831329[[#This Row],[Recuento]]*Tabla5202122242526272831329[[#This Row],[Volúmen bruto]]</f>
        <v>0</v>
      </c>
      <c r="RT15">
        <f>+Tabla5202122242526272831329[[#This Row],[Recuento]]*Tabla5202122242526272831329[[#This Row],[Área neta]]</f>
        <v>0</v>
      </c>
      <c r="RU15" s="26"/>
      <c r="RW15"/>
      <c r="RX15"/>
      <c r="RY15"/>
      <c r="RZ15"/>
      <c r="SA15"/>
      <c r="SB15"/>
      <c r="SC15">
        <f>+Tabla52021222425262728313233[[#This Row],[Recuento]]*Tabla52021222425262728313233[[#This Row],[Volúmen bruto]]</f>
        <v>0</v>
      </c>
      <c r="SD15">
        <f>+Tabla52021222425262728313233[[#This Row],[Recuento]]*Tabla52021222425262728313233[[#This Row],[Área neta]]</f>
        <v>0</v>
      </c>
      <c r="SE15" s="26"/>
      <c r="SG15"/>
      <c r="SH15"/>
      <c r="SI15"/>
      <c r="SJ15"/>
      <c r="SK15"/>
      <c r="SL15"/>
      <c r="SM15">
        <f>+Tabla5202122242526272831323314[[#This Row],[Recuento]]*Tabla5202122242526272831323314[[#This Row],[Volúmen bruto]]</f>
        <v>0</v>
      </c>
      <c r="SN15">
        <f>+Tabla5202122242526272831323314[[#This Row],[Recuento]]*Tabla5202122242526272831323314[[#This Row],[Área neta]]</f>
        <v>0</v>
      </c>
      <c r="SO15" s="26"/>
      <c r="SQ15" t="s">
        <v>1862</v>
      </c>
      <c r="SR15" t="s">
        <v>1524</v>
      </c>
      <c r="SS15" t="s">
        <v>94</v>
      </c>
      <c r="ST15">
        <v>0.24</v>
      </c>
      <c r="SU15">
        <v>2.44</v>
      </c>
      <c r="SV15">
        <v>1</v>
      </c>
      <c r="SW15" s="34">
        <f>+Tabla5789141516[[#This Row],[Recuento]]*Tabla5789141516[[#This Row],[Volúmen bruto]]</f>
        <v>0.24</v>
      </c>
      <c r="SX15" s="34">
        <f>+Tabla5789141516[[#This Row],[Recuento]]*Tabla5789141516[[#This Row],[Área neta]]</f>
        <v>2.44</v>
      </c>
      <c r="SY15" s="35"/>
      <c r="SZ15" s="26"/>
      <c r="TA15"/>
      <c r="TB15"/>
      <c r="TC15"/>
      <c r="TD15"/>
      <c r="TE15"/>
      <c r="TF15"/>
      <c r="TG15" s="34">
        <f>+Tabla578914151634[[#This Row],[Recuento]]*Tabla578914151634[[#This Row],[Volúmen bruto]]</f>
        <v>0</v>
      </c>
      <c r="TH15" s="34">
        <f>+Tabla578914151634[[#This Row],[Recuento]]*Tabla578914151634[[#This Row],[Área neta]]</f>
        <v>0</v>
      </c>
      <c r="TI15" s="35"/>
      <c r="TJ15" s="26"/>
      <c r="TK15" t="s">
        <v>1862</v>
      </c>
      <c r="TL15" t="s">
        <v>1525</v>
      </c>
      <c r="TM15" t="s">
        <v>1628</v>
      </c>
      <c r="TN15">
        <v>0.08</v>
      </c>
      <c r="TO15">
        <v>3.95</v>
      </c>
      <c r="TP15">
        <v>1</v>
      </c>
      <c r="TQ15" s="34">
        <f>+Tabla57891415163435[[#This Row],[Recuento]]*Tabla57891415163435[[#This Row],[Volúmen bruto]]</f>
        <v>0.08</v>
      </c>
      <c r="TR15" s="34">
        <f>+Tabla57891415163435[[#This Row],[Recuento]]*Tabla57891415163435[[#This Row],[Área neta]]</f>
        <v>3.95</v>
      </c>
      <c r="TS15" s="35"/>
      <c r="TT15" s="26"/>
      <c r="TU15"/>
      <c r="TV15"/>
      <c r="TW15"/>
      <c r="TX15"/>
      <c r="TY15"/>
      <c r="TZ15"/>
      <c r="UA15" s="34">
        <f>+Tabla5789141516343536[[#This Row],[Recuento]]*Tabla5789141516343536[[#This Row],[Volúmen bruto]]</f>
        <v>0</v>
      </c>
      <c r="UB15" s="34">
        <f>+Tabla5789141516343536[[#This Row],[Recuento]]*Tabla5789141516343536[[#This Row],[Área neta]]</f>
        <v>0</v>
      </c>
      <c r="UC15" s="35"/>
      <c r="UD15" s="26"/>
      <c r="UE15" t="s">
        <v>1862</v>
      </c>
      <c r="UF15" t="s">
        <v>1524</v>
      </c>
      <c r="UG15" t="s">
        <v>1630</v>
      </c>
      <c r="UH15">
        <v>0.05</v>
      </c>
      <c r="UI15">
        <v>4.58</v>
      </c>
      <c r="UJ15">
        <v>1</v>
      </c>
      <c r="UK15" s="34">
        <f>+Tabla57891415163435363738[[#This Row],[Recuento]]*Tabla57891415163435363738[[#This Row],[Volúmen bruto]]</f>
        <v>0.05</v>
      </c>
      <c r="UL15" s="34">
        <f>+Tabla57891415163435363738[[#This Row],[Recuento]]*Tabla57891415163435363738[[#This Row],[Área neta]]</f>
        <v>4.58</v>
      </c>
      <c r="UM15" s="35"/>
      <c r="UN15" s="26"/>
      <c r="UO15"/>
      <c r="UP15"/>
      <c r="UQ15"/>
      <c r="UR15"/>
      <c r="US15"/>
      <c r="UT15"/>
      <c r="UU15" s="34">
        <f>+Tabla5789141516343536373839[[#This Row],[Recuento]]*Tabla5789141516343536373839[[#This Row],[Volúmen bruto]]</f>
        <v>0</v>
      </c>
      <c r="UV15" s="34">
        <f>+Tabla5789141516343536373839[[#This Row],[Recuento]]*Tabla5789141516343536373839[[#This Row],[Área neta]]</f>
        <v>0</v>
      </c>
      <c r="UW15" s="35"/>
      <c r="UX15" s="26"/>
      <c r="UY15"/>
      <c r="UZ15"/>
      <c r="VA15"/>
      <c r="VB15"/>
      <c r="VC15"/>
      <c r="VD15" s="33"/>
      <c r="VE15" s="34"/>
      <c r="VF15" s="34"/>
      <c r="VG15" s="35"/>
      <c r="VH15" s="26"/>
      <c r="VI15"/>
      <c r="VJ15"/>
      <c r="VK15"/>
      <c r="VL15"/>
      <c r="VM15"/>
      <c r="VN15" s="33"/>
      <c r="VO15" s="34"/>
      <c r="VP15" s="34"/>
      <c r="VQ15" s="35"/>
      <c r="VR15" s="26"/>
      <c r="VS15"/>
      <c r="VT15"/>
      <c r="VU15"/>
      <c r="VV15"/>
      <c r="VW15"/>
      <c r="VX15" s="33"/>
      <c r="VY15" s="34"/>
      <c r="VZ15" s="34"/>
      <c r="WA15" s="35"/>
      <c r="WB15" s="26"/>
      <c r="WC15"/>
      <c r="WD15"/>
      <c r="WE15"/>
      <c r="WF15"/>
      <c r="WG15"/>
      <c r="WH15"/>
      <c r="WI15" s="34"/>
      <c r="WJ15" s="34"/>
      <c r="WK15" s="35"/>
      <c r="WL15" s="26"/>
      <c r="WM15"/>
      <c r="WN15"/>
      <c r="WO15"/>
      <c r="WP15"/>
      <c r="WQ15"/>
      <c r="WR15"/>
      <c r="WS15" s="34"/>
      <c r="WT15" s="34"/>
      <c r="WU15" s="35"/>
      <c r="WV15" s="26"/>
      <c r="WW15"/>
      <c r="WX15"/>
      <c r="WY15"/>
      <c r="WZ15"/>
      <c r="XA15"/>
      <c r="XB15"/>
      <c r="XC15" s="34"/>
      <c r="XD15" s="34"/>
      <c r="XE15" s="35"/>
      <c r="XF15" s="26"/>
      <c r="XG15"/>
      <c r="XH15"/>
      <c r="XI15"/>
      <c r="XJ15"/>
      <c r="XK15"/>
      <c r="XL15"/>
      <c r="XM15" s="34">
        <f>+Tabla578914151634353637383940414243444536[[#This Row],[Recuento]]*Tabla578914151634353637383940414243444536[[#This Row],[Volúmen bruto]]</f>
        <v>0</v>
      </c>
      <c r="XN15" s="34">
        <f>+Tabla578914151634353637383940414243444536[[#This Row],[Recuento]]*Tabla578914151634353637383940414243444536[[#This Row],[Área neta]]</f>
        <v>0</v>
      </c>
      <c r="XO15" s="35"/>
      <c r="XP15" s="26"/>
      <c r="XQ15"/>
      <c r="XR15"/>
      <c r="XS15"/>
      <c r="XT15"/>
      <c r="XU15"/>
      <c r="XV15"/>
      <c r="XW15" s="34">
        <f>+Tabla5789141516343536373839404142434445[[#This Row],[Recuento]]*Tabla5789141516343536373839404142434445[[#This Row],[Volúmen bruto]]</f>
        <v>0</v>
      </c>
      <c r="XX15" s="34">
        <f>+Tabla5789141516343536373839404142434445[[#This Row],[Recuento]]*Tabla5789141516343536373839404142434445[[#This Row],[Área neta]]</f>
        <v>0</v>
      </c>
      <c r="XY15" s="35"/>
      <c r="XZ15" s="26"/>
      <c r="YA15"/>
      <c r="YB15"/>
      <c r="YC15"/>
      <c r="YD15"/>
      <c r="YE15"/>
      <c r="YF15"/>
      <c r="YG15" s="34">
        <f>+Tabla578914151634353637383940414243444558[[#This Row],[Recuento]]*Tabla578914151634353637383940414243444558[[#This Row],[Volúmen bruto]]</f>
        <v>0</v>
      </c>
      <c r="YH15" s="34">
        <f>+Tabla578914151634353637383940414243444558[[#This Row],[Recuento]]*Tabla578914151634353637383940414243444558[[#This Row],[Área neta]]</f>
        <v>0</v>
      </c>
      <c r="YI15" s="35"/>
      <c r="YJ15" s="35"/>
      <c r="YK15"/>
      <c r="YL15"/>
      <c r="YM15"/>
      <c r="YN15"/>
      <c r="YO15"/>
      <c r="YQ15"/>
      <c r="YR15"/>
      <c r="YS15"/>
      <c r="YT15"/>
      <c r="YU15"/>
      <c r="YV15" s="33"/>
      <c r="YW15" s="34"/>
      <c r="YX15" s="34"/>
      <c r="YY15" s="35"/>
      <c r="YZ15" s="26"/>
      <c r="ZA15"/>
      <c r="ZB15"/>
      <c r="ZC15"/>
      <c r="ZD15"/>
      <c r="ZE15"/>
      <c r="ZF15" s="33"/>
      <c r="ZG15" s="34"/>
      <c r="ZH15" s="34"/>
      <c r="ZI15" s="35"/>
      <c r="ZJ15" s="26"/>
      <c r="ZK15" t="s">
        <v>1862</v>
      </c>
      <c r="ZL15" t="s">
        <v>1525</v>
      </c>
      <c r="ZM15" t="s">
        <v>1730</v>
      </c>
      <c r="ZN15">
        <v>0</v>
      </c>
      <c r="ZO15">
        <v>0.18</v>
      </c>
      <c r="ZP15">
        <v>3</v>
      </c>
      <c r="ZQ15" s="34">
        <f>+Tabla5789141516343536373839404142434445464748495041[[#This Row],[Recuento]]*Tabla5789141516343536373839404142434445464748495041[[#This Row],[Volúmen bruto]]</f>
        <v>0</v>
      </c>
      <c r="ZR15" s="34">
        <f>+Tabla5789141516343536373839404142434445464748495041[[#This Row],[Recuento]]*Tabla5789141516343536373839404142434445464748495041[[#This Row],[Área neta]]</f>
        <v>0.54</v>
      </c>
      <c r="ZS15" s="35"/>
      <c r="ZT15" s="26"/>
      <c r="ZU15"/>
      <c r="ZV15"/>
      <c r="ZW15"/>
      <c r="ZX15"/>
      <c r="ZY15"/>
      <c r="ZZ15"/>
      <c r="AAA15" s="34">
        <f>+Tabla57891415163435363738394041424344454647484950[[#This Row],[Recuento]]*Tabla57891415163435363738394041424344454647484950[[#This Row],[Volúmen bruto]]</f>
        <v>0</v>
      </c>
      <c r="AAB15" s="34">
        <f>+Tabla57891415163435363738394041424344454647484950[[#This Row],[Recuento]]*Tabla57891415163435363738394041424344454647484950[[#This Row],[Área neta]]</f>
        <v>0</v>
      </c>
      <c r="AAC15" s="35"/>
      <c r="AAD15" s="26"/>
      <c r="AAE15"/>
      <c r="AAF15"/>
      <c r="AAG15"/>
      <c r="AAH15"/>
      <c r="AAI15"/>
      <c r="AAJ15" s="33">
        <v>1</v>
      </c>
      <c r="AAK15" s="34">
        <v>1.1565000000000001</v>
      </c>
      <c r="AAL15" s="34">
        <v>4.6260000000000003</v>
      </c>
      <c r="AAM15" s="35"/>
      <c r="AAN15" s="26"/>
      <c r="AAO15" t="s">
        <v>1862</v>
      </c>
      <c r="AAP15" t="s">
        <v>1524</v>
      </c>
      <c r="AAQ15" t="s">
        <v>98</v>
      </c>
      <c r="AAR15">
        <v>0</v>
      </c>
      <c r="AAS15">
        <v>3.05</v>
      </c>
      <c r="AAT15">
        <v>2</v>
      </c>
      <c r="AAU15" s="34">
        <f>+Tabla5789141516343536373839404142434445464748495051[[#This Row],[Recuento]]*Tabla5789141516343536373839404142434445464748495051[[#This Row],[Volúmen bruto]]</f>
        <v>0</v>
      </c>
      <c r="AAV15" s="34">
        <f>+Tabla5789141516343536373839404142434445464748495051[[#This Row],[Recuento]]*Tabla5789141516343536373839404142434445464748495051[[#This Row],[Área neta]]</f>
        <v>6.1</v>
      </c>
      <c r="AAW15" s="35"/>
      <c r="AAX15" s="26"/>
      <c r="AAY15"/>
      <c r="AAZ15"/>
      <c r="ABA15"/>
      <c r="ABB15"/>
      <c r="ABC15"/>
      <c r="ABD15" s="33"/>
      <c r="ABE15" s="34"/>
      <c r="ABF15" s="34"/>
      <c r="ABG15" s="35"/>
      <c r="ABH15" s="26"/>
      <c r="ABI15"/>
      <c r="ABJ15"/>
      <c r="ABK15"/>
      <c r="ABL15"/>
      <c r="ABM15"/>
      <c r="ABN15" s="33"/>
      <c r="ABO15" s="34"/>
      <c r="ABP15" s="34"/>
      <c r="ABQ15" s="35"/>
      <c r="ABR15" s="26"/>
      <c r="ABS15"/>
      <c r="ABT15"/>
      <c r="ABU15"/>
      <c r="ABV15"/>
      <c r="ABW15"/>
      <c r="ABX15" s="33"/>
      <c r="ABY15" s="34"/>
      <c r="ABZ15" s="34"/>
      <c r="ACA15" s="35"/>
      <c r="ACB15" s="26"/>
      <c r="ACC15"/>
      <c r="ACD15"/>
      <c r="ACE15"/>
      <c r="ACF15"/>
      <c r="ACG15"/>
      <c r="ACH15" s="33"/>
      <c r="ACI15" s="34"/>
      <c r="ACJ15" s="34"/>
      <c r="ACK15" s="35"/>
      <c r="ACL15" s="26"/>
      <c r="ACM15"/>
      <c r="ACN15"/>
      <c r="ACO15"/>
      <c r="ACP15"/>
      <c r="ACQ15"/>
      <c r="ACR15" s="33"/>
      <c r="ACS15" s="34"/>
      <c r="ACT15" s="34"/>
      <c r="ACU15" s="35"/>
      <c r="ACV15" s="26"/>
      <c r="ACW15" t="s">
        <v>1243</v>
      </c>
      <c r="ACY15" s="2"/>
      <c r="ADA15" s="38"/>
      <c r="ADB15" s="2">
        <f t="shared" si="1"/>
        <v>0</v>
      </c>
      <c r="ADD15" t="s">
        <v>1720</v>
      </c>
      <c r="ADE15">
        <v>2.65</v>
      </c>
      <c r="ADF15">
        <v>4</v>
      </c>
      <c r="ADG15" s="26">
        <f t="shared" si="3"/>
        <v>10.6</v>
      </c>
      <c r="ADH15"/>
      <c r="ADI15"/>
      <c r="ADJ15"/>
      <c r="ADK15"/>
      <c r="ADL15"/>
      <c r="ADM15"/>
      <c r="ADN15">
        <f ca="1">+Tabla578914151634353637383940414243444546474849505152535560[[#This Row],[G. Total]]*Tabla578914151634353637383940414243444546474849505152535560[[#This Row],[Recuento]]</f>
        <v>0</v>
      </c>
      <c r="ADO15" s="35"/>
      <c r="ADP15" s="26"/>
      <c r="ADQ15"/>
      <c r="ADR15"/>
      <c r="ADS15"/>
      <c r="ADT15"/>
      <c r="ADU15"/>
      <c r="ADV15" s="35"/>
      <c r="ADW15" s="35"/>
      <c r="ADX15"/>
      <c r="ADY15"/>
      <c r="ADZ15"/>
      <c r="AEA15"/>
      <c r="AEB15"/>
      <c r="AEC15">
        <f ca="1">+Tabla57891415163435363738394041424344454647484950515253556062[[#This Row],[Total]]*Tabla57891415163435363738394041424344454647484950515253556062[[#This Row],[Recuento]]</f>
        <v>0</v>
      </c>
      <c r="AED15" s="35"/>
      <c r="AEE15" s="26"/>
      <c r="AEF15"/>
      <c r="AEG15"/>
      <c r="AEH15"/>
      <c r="AEI15"/>
      <c r="AEJ15"/>
      <c r="AEK15" s="35"/>
      <c r="AEL15" s="35"/>
      <c r="AEM15" t="s">
        <v>1522</v>
      </c>
      <c r="AEN15" t="s">
        <v>1523</v>
      </c>
      <c r="AEO15" t="s">
        <v>453</v>
      </c>
      <c r="AEP15">
        <v>4.78</v>
      </c>
      <c r="AEQ15">
        <v>1</v>
      </c>
      <c r="AER15">
        <f ca="1">+Tabla5789141516343536373839404142434445464748495051525355606264[[#This Row],[G. Total]]*Tabla5789141516343536373839404142434445464748495051525355606264[[#This Row],[Recuento]]</f>
        <v>4.78</v>
      </c>
      <c r="AES15" s="35"/>
      <c r="AET15" s="26"/>
      <c r="AEU15"/>
      <c r="AEV15"/>
      <c r="AEW15"/>
      <c r="AEX15"/>
      <c r="AEY15"/>
      <c r="AEZ15" s="35"/>
      <c r="AFA15" s="26"/>
      <c r="AFB15"/>
      <c r="AFC15"/>
      <c r="AFD15"/>
      <c r="AFE15"/>
      <c r="AFF15"/>
      <c r="AFG15"/>
      <c r="AFH15" t="s">
        <v>1522</v>
      </c>
      <c r="AFI15" t="s">
        <v>1525</v>
      </c>
      <c r="AFJ15" t="s">
        <v>419</v>
      </c>
      <c r="AFK15">
        <v>0.54</v>
      </c>
      <c r="AFL15">
        <v>1</v>
      </c>
      <c r="AFM15">
        <f ca="1">+Tabla578914151634353637383940414243444546474849505152535560626467[[#This Row],[G. Total]]*Tabla578914151634353637383940414243444546474849505152535560626467[[#This Row],[Recuento]]</f>
        <v>0.54</v>
      </c>
      <c r="AFN15" s="35"/>
      <c r="AFO15" s="26"/>
      <c r="AFP15" s="2" t="s">
        <v>104</v>
      </c>
      <c r="AFQ15" s="2">
        <f>33*2</f>
        <v>66</v>
      </c>
      <c r="AFR15" s="2">
        <f>(0.12)+(0.4+0.15)</f>
        <v>0.67</v>
      </c>
      <c r="AFS15" s="2">
        <f>+AFR15*AFQ15</f>
        <v>44.220000000000006</v>
      </c>
      <c r="AFT15" s="2">
        <v>3</v>
      </c>
      <c r="AFU15" s="2">
        <f>+AFT15*AFQ15</f>
        <v>198</v>
      </c>
      <c r="AFW15" s="2" t="s">
        <v>104</v>
      </c>
      <c r="AFY15" s="2">
        <f>(0.12)+(0.4+0.15)</f>
        <v>0.67</v>
      </c>
      <c r="AFZ15" s="2">
        <f>+AFY15*AFX15</f>
        <v>0</v>
      </c>
      <c r="AGA15" s="2">
        <v>3</v>
      </c>
      <c r="AGB15" s="2">
        <f>+AGA15*AFX15</f>
        <v>0</v>
      </c>
    </row>
    <row r="16" spans="1:860" ht="15" customHeight="1" x14ac:dyDescent="0.25">
      <c r="A16">
        <v>2</v>
      </c>
      <c r="B16" t="s">
        <v>1862</v>
      </c>
      <c r="C16" t="s">
        <v>1225</v>
      </c>
      <c r="D16" t="s">
        <v>1550</v>
      </c>
      <c r="E16">
        <v>0.28999999999999998</v>
      </c>
      <c r="F16">
        <v>5.15</v>
      </c>
      <c r="G16"/>
      <c r="H16">
        <f>+Tabla3[[#This Row],[Volúmen neto]]*A16</f>
        <v>0.57999999999999996</v>
      </c>
      <c r="I16">
        <f>+Tabla3[[#This Row],[Longitud de eje]]*A16</f>
        <v>10.3</v>
      </c>
      <c r="J16"/>
      <c r="K16"/>
      <c r="L16"/>
      <c r="M16"/>
      <c r="N16"/>
      <c r="O16"/>
      <c r="P16"/>
      <c r="Q16"/>
      <c r="R16">
        <f>+Tabla5[[#This Row],[Recuento]]*Tabla5[[#This Row],[Volúmen bruto]]</f>
        <v>0</v>
      </c>
      <c r="S16">
        <f>+Tabla5[[#This Row],[Recuento]]*Tabla5[[#This Row],[Área neta]]</f>
        <v>0</v>
      </c>
      <c r="T16">
        <f>+Tabla5[[#This Row],[Longitud nominal]]*Tabla5[[#This Row],[Recuento]]</f>
        <v>0</v>
      </c>
      <c r="U16" s="26"/>
      <c r="V16"/>
      <c r="W16"/>
      <c r="X16"/>
      <c r="Y16"/>
      <c r="Z16"/>
      <c r="AA16"/>
      <c r="AB16"/>
      <c r="AC16"/>
      <c r="AD16">
        <f>+Tabla522[[#This Row],[Recuento]]*Tabla522[[#This Row],[Volúmen bruto]]</f>
        <v>0</v>
      </c>
      <c r="AE16">
        <f>+Tabla522[[#This Row],[Recuento]]*Tabla522[[#This Row],[Área neta]]</f>
        <v>0</v>
      </c>
      <c r="AF16">
        <f>+Tabla522[[#This Row],[Longitud nominal]]*Tabla522[[#This Row],[Recuento]]</f>
        <v>0</v>
      </c>
      <c r="AG16" s="26">
        <f t="shared" ref="AG16:AG52" si="4">+SUM(AE16:AE34)</f>
        <v>0</v>
      </c>
      <c r="AH16"/>
      <c r="AI16"/>
      <c r="AJ16"/>
      <c r="AK16"/>
      <c r="AL16"/>
      <c r="AM16"/>
      <c r="AN16"/>
      <c r="AO16"/>
      <c r="AP16">
        <f>+Tabla52223[[#This Row],[Recuento]]*Tabla52223[[#This Row],[Volúmen bruto]]</f>
        <v>0</v>
      </c>
      <c r="AQ16">
        <f>+Tabla52223[[#This Row],[Recuento]]*Tabla52223[[#This Row],[Área neta]]</f>
        <v>0</v>
      </c>
      <c r="AR16">
        <f>+Tabla52223[[#This Row],[Longitud nominal]]*Tabla52223[[#This Row],[Recuento]]</f>
        <v>0</v>
      </c>
      <c r="AS16" s="26">
        <f t="shared" ref="AS16:AS52" si="5">+SUM(AQ16:AQ34)</f>
        <v>0</v>
      </c>
      <c r="AT16"/>
      <c r="AU16"/>
      <c r="AV16"/>
      <c r="AW16"/>
      <c r="AX16"/>
      <c r="AY16"/>
      <c r="AZ16"/>
      <c r="BA16"/>
      <c r="BB16">
        <f>+Tabla5222329[[#This Row],[Recuento]]*Tabla5222329[[#This Row],[Volúmen bruto]]</f>
        <v>0</v>
      </c>
      <c r="BC16">
        <f>+Tabla5222329[[#This Row],[Recuento]]*Tabla5222329[[#This Row],[Área neta]]</f>
        <v>0</v>
      </c>
      <c r="BD16">
        <f>+Tabla5222329[[#This Row],[Longitud nominal]]*Tabla5222329[[#This Row],[Recuento]]</f>
        <v>0</v>
      </c>
      <c r="BE16" s="26">
        <f t="shared" ref="BE16:BE52" si="6">+SUM(BC16:BC34)</f>
        <v>0</v>
      </c>
      <c r="BF16">
        <v>1</v>
      </c>
      <c r="BG16" t="s">
        <v>1862</v>
      </c>
      <c r="BH16" t="s">
        <v>1524</v>
      </c>
      <c r="BI16" t="s">
        <v>1406</v>
      </c>
      <c r="BJ16">
        <v>1.4</v>
      </c>
      <c r="BK16">
        <v>2</v>
      </c>
      <c r="BL16">
        <f>+Tabla3102[[#This Row],[En culmo]]*BF16</f>
        <v>2</v>
      </c>
      <c r="BM16"/>
      <c r="BN16"/>
      <c r="BO16"/>
      <c r="BP16"/>
      <c r="BQ16"/>
      <c r="BR16"/>
      <c r="BS16">
        <v>1.5</v>
      </c>
      <c r="BT16">
        <f>+Tabla31069[[#This Row],[En culmo]]*BN16</f>
        <v>0</v>
      </c>
      <c r="BU16"/>
      <c r="BV16">
        <v>3</v>
      </c>
      <c r="BW16" t="s">
        <v>1862</v>
      </c>
      <c r="BX16" t="s">
        <v>1525</v>
      </c>
      <c r="BY16" t="s">
        <v>1406</v>
      </c>
      <c r="BZ16">
        <v>5.25</v>
      </c>
      <c r="CA16">
        <v>5.5</v>
      </c>
      <c r="CB16">
        <f>+Tabla31011[[#This Row],[En culmo]]*BV16</f>
        <v>16.5</v>
      </c>
      <c r="CD16">
        <v>2</v>
      </c>
      <c r="CE16" t="s">
        <v>1862</v>
      </c>
      <c r="CF16" t="s">
        <v>1525</v>
      </c>
      <c r="CG16" t="s">
        <v>1405</v>
      </c>
      <c r="CH16">
        <v>1.24</v>
      </c>
      <c r="CI16">
        <v>1.5</v>
      </c>
      <c r="CJ16">
        <f>+Tabla3101170[[#This Row],[En culmo]]*CD16</f>
        <v>3</v>
      </c>
      <c r="CK16"/>
      <c r="CL16">
        <v>1</v>
      </c>
      <c r="CM16" t="s">
        <v>1862</v>
      </c>
      <c r="CN16" t="s">
        <v>1383</v>
      </c>
      <c r="CO16" t="s">
        <v>1406</v>
      </c>
      <c r="CP16">
        <v>4.26</v>
      </c>
      <c r="CQ16" s="26">
        <v>4.5</v>
      </c>
      <c r="CR16">
        <f>+Tabla31011116[[#This Row],[En culmo]]*CT16</f>
        <v>9</v>
      </c>
      <c r="CT16">
        <v>2</v>
      </c>
      <c r="CU16" t="s">
        <v>1862</v>
      </c>
      <c r="CV16" t="s">
        <v>1383</v>
      </c>
      <c r="CW16" t="s">
        <v>1405</v>
      </c>
      <c r="CX16">
        <v>2.7</v>
      </c>
      <c r="CY16">
        <v>6.5</v>
      </c>
      <c r="CZ16">
        <f>+Tabla3101170117[[#This Row],[En culmo]]*CT16</f>
        <v>13</v>
      </c>
      <c r="DA16"/>
      <c r="DB16">
        <v>2</v>
      </c>
      <c r="DC16" t="s">
        <v>1862</v>
      </c>
      <c r="DD16" t="s">
        <v>1383</v>
      </c>
      <c r="DE16" t="s">
        <v>1723</v>
      </c>
      <c r="DF16">
        <v>1.1100000000000001</v>
      </c>
      <c r="DG16">
        <f>+Tabla31011704[[#This Row],[Longitud de eje]]*DB16</f>
        <v>2.2200000000000002</v>
      </c>
      <c r="DH16"/>
      <c r="DI16"/>
      <c r="DJ16"/>
      <c r="DK16"/>
      <c r="DL16"/>
      <c r="DM16"/>
      <c r="DN16">
        <f>+Tabla3101170411[[#This Row],[Longitud de eje]]*DI16</f>
        <v>0</v>
      </c>
      <c r="DO16"/>
      <c r="DP16"/>
      <c r="DQ16"/>
      <c r="DR16"/>
      <c r="DS16"/>
      <c r="DT16"/>
      <c r="DU16">
        <f>+Tabla3101170411120[[#This Row],[Longitud de eje]]*DP16</f>
        <v>0</v>
      </c>
      <c r="DV16"/>
      <c r="DW16"/>
      <c r="DX16"/>
      <c r="DY16"/>
      <c r="DZ16"/>
      <c r="EA16"/>
      <c r="EB16">
        <f>+Tabla3101170411120122[[#This Row],[Longitud de eje]]*DW16</f>
        <v>0</v>
      </c>
      <c r="EC16"/>
      <c r="ED16">
        <v>2</v>
      </c>
      <c r="EE16" t="s">
        <v>1862</v>
      </c>
      <c r="EF16" t="s">
        <v>1524</v>
      </c>
      <c r="EG16" t="s">
        <v>1406</v>
      </c>
      <c r="EH16">
        <v>2.86</v>
      </c>
      <c r="EI16">
        <v>3.5</v>
      </c>
      <c r="EJ16">
        <f>+Tabla3101112[[#This Row],[En culmo]]*ED16</f>
        <v>7</v>
      </c>
      <c r="EK16"/>
      <c r="EL16"/>
      <c r="EM16"/>
      <c r="EN16"/>
      <c r="EO16"/>
      <c r="EP16"/>
      <c r="EQ16"/>
      <c r="ER16">
        <f>+Tabla3101112123[[#This Row],[En culmo]]*EL16</f>
        <v>0</v>
      </c>
      <c r="ES16"/>
      <c r="ET16">
        <v>4</v>
      </c>
      <c r="EU16" t="s">
        <v>1862</v>
      </c>
      <c r="EV16" t="s">
        <v>1525</v>
      </c>
      <c r="EW16" t="s">
        <v>1406</v>
      </c>
      <c r="EX16">
        <v>0.78</v>
      </c>
      <c r="EY16">
        <v>1</v>
      </c>
      <c r="EZ16">
        <f>+Tabla310111257[[#This Row],[En culmo]]*ET16</f>
        <v>4</v>
      </c>
      <c r="FA16"/>
      <c r="FB16"/>
      <c r="FC16"/>
      <c r="FD16"/>
      <c r="FE16"/>
      <c r="FF16"/>
      <c r="FG16">
        <v>1</v>
      </c>
      <c r="FH16">
        <f>+Tabla310111257124[[#This Row],[En culmo]]*FB16</f>
        <v>0</v>
      </c>
      <c r="FI16"/>
      <c r="FJ16"/>
      <c r="FK16"/>
      <c r="FL16"/>
      <c r="FM16"/>
      <c r="FN16"/>
      <c r="FO16"/>
      <c r="FP16">
        <f>+Tabla310111213115[[#This Row],[Volúmen]]*FJ16</f>
        <v>0</v>
      </c>
      <c r="FQ16">
        <f>+Tabla310111213115[[#This Row],[Longitud del eje]]*FJ16</f>
        <v>0</v>
      </c>
      <c r="FR16"/>
      <c r="FS16"/>
      <c r="FT16"/>
      <c r="FU16"/>
      <c r="FV16"/>
      <c r="FW16"/>
      <c r="FX16">
        <f>+Tabla31011121311554[[#This Row],[Volúmen]]*FR16</f>
        <v>0</v>
      </c>
      <c r="FY16">
        <f>+Tabla31011121311554[[#This Row],[Longitud del eje]]*FR16</f>
        <v>0</v>
      </c>
      <c r="FZ16">
        <v>3</v>
      </c>
      <c r="GA16" t="s">
        <v>1862</v>
      </c>
      <c r="GB16" t="s">
        <v>1524</v>
      </c>
      <c r="GC16" t="s">
        <v>1584</v>
      </c>
      <c r="GD16">
        <v>0.01</v>
      </c>
      <c r="GE16">
        <v>0.4</v>
      </c>
      <c r="GF16">
        <f>+Tabla3101112131157[[#This Row],[Volúmen]]*FZ16</f>
        <v>0.03</v>
      </c>
      <c r="GG16">
        <f>+Tabla3101112131157[[#This Row],[Longitud del eje]]*FZ16</f>
        <v>1.2000000000000002</v>
      </c>
      <c r="GI16"/>
      <c r="GJ16"/>
      <c r="GK16"/>
      <c r="GL16"/>
      <c r="GM16"/>
      <c r="GN16"/>
      <c r="GO16"/>
      <c r="GQ16" t="s">
        <v>1862</v>
      </c>
      <c r="GR16" t="s">
        <v>1383</v>
      </c>
      <c r="GS16" t="s">
        <v>1628</v>
      </c>
      <c r="GT16">
        <v>7.0000000000000007E-2</v>
      </c>
      <c r="GU16">
        <v>11.05</v>
      </c>
      <c r="GV16">
        <v>1</v>
      </c>
      <c r="GW16">
        <f>+Tabla578914[[#This Row],[Recuento]]*Tabla578914[[#This Row],[Volúmen bruto]]</f>
        <v>7.0000000000000007E-2</v>
      </c>
      <c r="GX16">
        <f>+Tabla578914[[#This Row],[Recuento]]*Tabla578914[[#This Row],[Área neta]]</f>
        <v>11.05</v>
      </c>
      <c r="GY16" s="35"/>
      <c r="HA16" t="s">
        <v>1862</v>
      </c>
      <c r="HB16" t="s">
        <v>1383</v>
      </c>
      <c r="HC16" t="s">
        <v>98</v>
      </c>
      <c r="HD16">
        <v>0.01</v>
      </c>
      <c r="HE16">
        <v>9.93</v>
      </c>
      <c r="HF16">
        <v>1</v>
      </c>
      <c r="HG16">
        <f>+Tabla578914126[[#This Row],[Recuento]]*Tabla578914126[[#This Row],[Volúmen bruto]]</f>
        <v>0.01</v>
      </c>
      <c r="HH16">
        <f>+Tabla578914126[[#This Row],[Recuento]]*Tabla578914126[[#This Row],[Área neta]]</f>
        <v>9.93</v>
      </c>
      <c r="HI16" s="35">
        <f>+SUM(HH16:HH21)+SUM(HH34:HH36)</f>
        <v>87.280000000000015</v>
      </c>
      <c r="HK16" t="s">
        <v>1862</v>
      </c>
      <c r="HL16" t="s">
        <v>1383</v>
      </c>
      <c r="HM16" t="s">
        <v>1667</v>
      </c>
      <c r="HN16">
        <v>0.76</v>
      </c>
      <c r="HO16">
        <v>8.4</v>
      </c>
      <c r="HP16">
        <v>1</v>
      </c>
      <c r="HQ16">
        <f>+Tabla578914126127[[#This Row],[Recuento]]*Tabla578914126127[[#This Row],[Volúmen bruto]]</f>
        <v>0.76</v>
      </c>
      <c r="HR16">
        <f>+Tabla578914126127[[#This Row],[Recuento]]*Tabla578914126127[[#This Row],[Área neta]]</f>
        <v>8.4</v>
      </c>
      <c r="HS16" s="35">
        <f>+SUM(HR16:HR22)</f>
        <v>17.580000000000002</v>
      </c>
      <c r="HT16" s="26"/>
      <c r="HU16"/>
      <c r="HV16"/>
      <c r="HW16"/>
      <c r="HX16"/>
      <c r="HY16"/>
      <c r="HZ16"/>
      <c r="IA16"/>
      <c r="IB16"/>
      <c r="IC16" s="35"/>
      <c r="ID16" s="26"/>
      <c r="IE16"/>
      <c r="IF16"/>
      <c r="IG16"/>
      <c r="IH16"/>
      <c r="II16"/>
      <c r="IJ16"/>
      <c r="IK16"/>
      <c r="IL16"/>
      <c r="IM16" s="35"/>
      <c r="IN16" s="26"/>
      <c r="IO16"/>
      <c r="IP16"/>
      <c r="IQ16"/>
      <c r="IR16"/>
      <c r="IS16"/>
      <c r="IT16"/>
      <c r="IU16"/>
      <c r="IV16">
        <f>+Tabla520212223[[#This Row],[Recuento]]*Tabla520212223[[#This Row],[Área neta]]</f>
        <v>0</v>
      </c>
      <c r="IW16" s="26">
        <f t="shared" si="0"/>
        <v>0</v>
      </c>
      <c r="IY16"/>
      <c r="IZ16"/>
      <c r="JA16"/>
      <c r="JB16"/>
      <c r="JC16"/>
      <c r="JD16"/>
      <c r="JE16">
        <f>+Tabla520212224[[#This Row],[Recuento]]*Tabla520212224[[#This Row],[Volúmen bruto]]</f>
        <v>0</v>
      </c>
      <c r="JF16">
        <f>+Tabla520212224[[#This Row],[Recuento]]*Tabla520212224[[#This Row],[Área neta]]</f>
        <v>0</v>
      </c>
      <c r="JG16" s="26"/>
      <c r="JI16" t="s">
        <v>1862</v>
      </c>
      <c r="JJ16" t="s">
        <v>1524</v>
      </c>
      <c r="JK16" t="s">
        <v>97</v>
      </c>
      <c r="JL16">
        <v>0</v>
      </c>
      <c r="JM16">
        <v>0.02</v>
      </c>
      <c r="JN16">
        <v>2</v>
      </c>
      <c r="JO16">
        <f>+Tabla52021222425[[#This Row],[Recuento]]*Tabla52021222425[[#This Row],[Volúmen bruto]]</f>
        <v>0</v>
      </c>
      <c r="JP16">
        <f>+Tabla52021222425[[#This Row],[Recuento]]*Tabla52021222425[[#This Row],[Área neta]]</f>
        <v>0.04</v>
      </c>
      <c r="JQ16" s="26"/>
      <c r="JS16" t="s">
        <v>1862</v>
      </c>
      <c r="JT16" t="s">
        <v>1524</v>
      </c>
      <c r="JU16" t="s">
        <v>97</v>
      </c>
      <c r="JV16">
        <v>0.01</v>
      </c>
      <c r="JW16">
        <v>0.41</v>
      </c>
      <c r="JX16">
        <v>2</v>
      </c>
      <c r="JY16">
        <f>+Tabla5202122242526[[#This Row],[Recuento]]*Tabla5202122242526[[#This Row],[Volúmen bruto]]</f>
        <v>0.02</v>
      </c>
      <c r="JZ16">
        <f>+Tabla5202122242526[[#This Row],[Recuento]]*Tabla5202122242526[[#This Row],[Área neta]]</f>
        <v>0.82</v>
      </c>
      <c r="KA16" s="26"/>
      <c r="KC16"/>
      <c r="KD16"/>
      <c r="KE16"/>
      <c r="KF16"/>
      <c r="KG16"/>
      <c r="KH16"/>
      <c r="KI16">
        <f>+Tabla5202122242526104[[#This Row],[Recuento]]*Tabla5202122242526104[[#This Row],[Volúmen bruto]]</f>
        <v>0</v>
      </c>
      <c r="KJ16">
        <f>+Tabla5202122242526104[[#This Row],[Recuento]]*Tabla5202122242526104[[#This Row],[Área neta]]</f>
        <v>0</v>
      </c>
      <c r="KK16" s="26"/>
      <c r="KM16" t="s">
        <v>1862</v>
      </c>
      <c r="KN16" t="s">
        <v>1525</v>
      </c>
      <c r="KO16" t="s">
        <v>1628</v>
      </c>
      <c r="KP16">
        <v>0.01</v>
      </c>
      <c r="KQ16">
        <v>0.69</v>
      </c>
      <c r="KR16">
        <v>2</v>
      </c>
      <c r="KS16">
        <f>+Tabla5202122242526104110[[#This Row],[Recuento]]*Tabla5202122242526104110[[#This Row],[Volúmen bruto]]</f>
        <v>0.02</v>
      </c>
      <c r="KT16">
        <f>+Tabla5202122242526104110[[#This Row],[Recuento]]*Tabla5202122242526104110[[#This Row],[Área neta]]</f>
        <v>1.38</v>
      </c>
      <c r="KU16" s="26"/>
      <c r="KW16" t="s">
        <v>1863</v>
      </c>
      <c r="KX16" t="s">
        <v>1524</v>
      </c>
      <c r="KY16" t="s">
        <v>1628</v>
      </c>
      <c r="KZ16">
        <v>0.11</v>
      </c>
      <c r="LA16">
        <v>0.53</v>
      </c>
      <c r="LB16">
        <v>2</v>
      </c>
      <c r="LC16">
        <f>+Tabla520212224252659[[#This Row],[Recuento]]*Tabla520212224252659[[#This Row],[Volúmen bruto]]</f>
        <v>0.22</v>
      </c>
      <c r="LD16">
        <f>+Tabla520212224252659[[#This Row],[Recuento]]*Tabla520212224252659[[#This Row],[Área neta]]</f>
        <v>1.06</v>
      </c>
      <c r="LE16" s="26">
        <f>+SUM(LD16:LD17)</f>
        <v>8.42</v>
      </c>
      <c r="LG16"/>
      <c r="LH16"/>
      <c r="LI16"/>
      <c r="LJ16"/>
      <c r="LK16"/>
      <c r="LL16"/>
      <c r="LM16">
        <f>+Tabla520212224252659111[[#This Row],[Recuento]]*Tabla520212224252659111[[#This Row],[Volúmen bruto]]</f>
        <v>0</v>
      </c>
      <c r="LN16">
        <f>+Tabla520212224252659111[[#This Row],[Recuento]]*Tabla520212224252659111[[#This Row],[Área neta]]</f>
        <v>0</v>
      </c>
      <c r="LO16" s="26"/>
      <c r="LQ16"/>
      <c r="LR16"/>
      <c r="LS16"/>
      <c r="LT16"/>
      <c r="LU16"/>
      <c r="LV16"/>
      <c r="LW16">
        <f>+Tabla520212224252659111114[[#This Row],[Recuento]]*Tabla520212224252659111114[[#This Row],[Volúmen bruto]]</f>
        <v>0</v>
      </c>
      <c r="LX16">
        <f>+Tabla520212224252659111114[[#This Row],[Recuento]]*Tabla520212224252659111114[[#This Row],[Área neta]]</f>
        <v>0</v>
      </c>
      <c r="LY16" s="26">
        <f>+SUM(LX16:LX17)</f>
        <v>0</v>
      </c>
      <c r="MA16" t="s">
        <v>1862</v>
      </c>
      <c r="MB16" t="s">
        <v>1524</v>
      </c>
      <c r="MC16" t="s">
        <v>97</v>
      </c>
      <c r="MD16">
        <v>0.01</v>
      </c>
      <c r="ME16">
        <v>1.24</v>
      </c>
      <c r="MF16">
        <v>1</v>
      </c>
      <c r="MG16">
        <f>+Tabla520212224252659111114128[[#This Row],[Recuento]]*Tabla520212224252659111114128[[#This Row],[Volúmen bruto]]</f>
        <v>0.01</v>
      </c>
      <c r="MH16">
        <f>+Tabla520212224252659111114128[[#This Row],[Recuento]]*Tabla520212224252659111114128[[#This Row],[Área neta]]</f>
        <v>1.24</v>
      </c>
      <c r="MI16" s="26"/>
      <c r="MK16" t="s">
        <v>1863</v>
      </c>
      <c r="ML16" t="s">
        <v>1525</v>
      </c>
      <c r="MM16" t="s">
        <v>1628</v>
      </c>
      <c r="MN16">
        <v>0.02</v>
      </c>
      <c r="MO16">
        <v>0.99</v>
      </c>
      <c r="MP16">
        <v>2</v>
      </c>
      <c r="MQ16">
        <f>+Tabla520212224252627[[#This Row],[Recuento]]*Tabla520212224252627[[#This Row],[Volúmen bruto]]</f>
        <v>0.04</v>
      </c>
      <c r="MR16">
        <f>+Tabla520212224252627[[#This Row],[Recuento]]*Tabla520212224252627[[#This Row],[Área neta]]</f>
        <v>1.98</v>
      </c>
      <c r="MS16" s="26">
        <f>+SUM(MR16)</f>
        <v>1.98</v>
      </c>
      <c r="MU16" t="s">
        <v>1549</v>
      </c>
      <c r="MV16" t="s">
        <v>1525</v>
      </c>
      <c r="MW16" t="s">
        <v>99</v>
      </c>
      <c r="MX16">
        <v>0</v>
      </c>
      <c r="MY16">
        <v>0.05</v>
      </c>
      <c r="MZ16">
        <v>2</v>
      </c>
      <c r="NA16">
        <f>+Tabla520212224252627129[[#This Row],[Recuento]]*Tabla520212224252627129[[#This Row],[Volúmen bruto]]</f>
        <v>0</v>
      </c>
      <c r="NB16">
        <f>+Tabla520212224252627129[[#This Row],[Recuento]]*Tabla520212224252627129[[#This Row],[Área neta]]</f>
        <v>0.1</v>
      </c>
      <c r="NC16" s="26">
        <f>+SUM(NB16:NB21)</f>
        <v>0.88000000000000012</v>
      </c>
      <c r="NE16"/>
      <c r="NF16"/>
      <c r="NG16"/>
      <c r="NH16"/>
      <c r="NI16"/>
      <c r="NJ16"/>
      <c r="NK16">
        <f>+Tabla520212224252627129125[[#This Row],[Recuento]]*Tabla520212224252627129125[[#This Row],[Volúmen bruto]]</f>
        <v>0</v>
      </c>
      <c r="NL16">
        <f>+Tabla520212224252627129125[[#This Row],[Recuento]]*Tabla520212224252627129125[[#This Row],[Área neta]]</f>
        <v>0</v>
      </c>
      <c r="NM16" s="26"/>
      <c r="NO16" t="s">
        <v>1549</v>
      </c>
      <c r="NP16" t="s">
        <v>1525</v>
      </c>
      <c r="NQ16" t="s">
        <v>95</v>
      </c>
      <c r="NR16">
        <v>0.01</v>
      </c>
      <c r="NS16">
        <v>1.63</v>
      </c>
      <c r="NT16">
        <v>1</v>
      </c>
      <c r="NU16">
        <f>+Tabla520212224252627129125130[[#This Row],[Recuento]]*Tabla520212224252627129125130[[#This Row],[Volúmen bruto]]</f>
        <v>0.01</v>
      </c>
      <c r="NV16">
        <f>+Tabla520212224252627129125130[[#This Row],[Recuento]]*Tabla520212224252627129125130[[#This Row],[Área neta]]</f>
        <v>1.63</v>
      </c>
      <c r="NW16" s="26"/>
      <c r="NY16"/>
      <c r="NZ16"/>
      <c r="OA16"/>
      <c r="OB16"/>
      <c r="OC16"/>
      <c r="OD16"/>
      <c r="OE16">
        <f>+Tabla520212224252627129125130131[[#This Row],[Recuento]]*Tabla520212224252627129125130131[[#This Row],[Volúmen bruto]]</f>
        <v>0</v>
      </c>
      <c r="OF16">
        <f>+Tabla520212224252627129125130131[[#This Row],[Recuento]]*Tabla520212224252627129125130131[[#This Row],[Área neta]]</f>
        <v>0</v>
      </c>
      <c r="OG16" s="26"/>
      <c r="OI16" t="s">
        <v>1549</v>
      </c>
      <c r="OJ16" t="s">
        <v>1525</v>
      </c>
      <c r="OK16" t="s">
        <v>1781</v>
      </c>
      <c r="OL16">
        <v>0</v>
      </c>
      <c r="OM16">
        <v>0.04</v>
      </c>
      <c r="ON16">
        <v>2</v>
      </c>
      <c r="OO16">
        <f>+Tabla520212224252627129125130131132[[#This Row],[Recuento]]*Tabla520212224252627129125130131132[[#This Row],[Volúmen bruto]]</f>
        <v>0</v>
      </c>
      <c r="OP16">
        <f>+Tabla520212224252627129125130131132[[#This Row],[Recuento]]*Tabla520212224252627129125130131132[[#This Row],[Área neta]]</f>
        <v>0.08</v>
      </c>
      <c r="OQ16" s="26">
        <f>+SUM(OP16:OP22)</f>
        <v>1.23</v>
      </c>
      <c r="OS16"/>
      <c r="OT16"/>
      <c r="OU16"/>
      <c r="OV16"/>
      <c r="OW16"/>
      <c r="OX16"/>
      <c r="OY16">
        <f>+Tabla52021222425262728[[#This Row],[Recuento]]*Tabla52021222425262728[[#This Row],[Volúmen bruto]]</f>
        <v>0</v>
      </c>
      <c r="OZ16">
        <f>+Tabla52021222425262728[[#This Row],[Recuento]]*Tabla52021222425262728[[#This Row],[Área neta]]</f>
        <v>0</v>
      </c>
      <c r="PA16" s="26"/>
      <c r="PC16" t="s">
        <v>1862</v>
      </c>
      <c r="PD16" t="s">
        <v>1525</v>
      </c>
      <c r="PE16" t="s">
        <v>1628</v>
      </c>
      <c r="PF16">
        <v>0.06</v>
      </c>
      <c r="PG16">
        <v>3.02</v>
      </c>
      <c r="PH16">
        <v>1</v>
      </c>
      <c r="PI16">
        <f>+Tabla52021222425262728133[[#This Row],[Recuento]]*Tabla52021222425262728133[[#This Row],[Volúmen bruto]]</f>
        <v>0.06</v>
      </c>
      <c r="PJ16">
        <f>+Tabla52021222425262728133[[#This Row],[Recuento]]*Tabla52021222425262728133[[#This Row],[Área neta]]</f>
        <v>3.02</v>
      </c>
      <c r="PK16" s="26"/>
      <c r="PM16" t="s">
        <v>1863</v>
      </c>
      <c r="PN16" t="s">
        <v>1524</v>
      </c>
      <c r="PO16" t="s">
        <v>97</v>
      </c>
      <c r="PP16">
        <v>0.04</v>
      </c>
      <c r="PQ16">
        <v>1.81</v>
      </c>
      <c r="PR16">
        <v>1</v>
      </c>
      <c r="PS16">
        <f>+Tabla5202122242526272893[[#This Row],[Recuento]]*Tabla5202122242526272893[[#This Row],[Volúmen bruto]]</f>
        <v>0.04</v>
      </c>
      <c r="PT16">
        <f>+Tabla5202122242526272893[[#This Row],[Recuento]]*Tabla5202122242526272893[[#This Row],[Área neta]]</f>
        <v>1.81</v>
      </c>
      <c r="PU16" s="26"/>
      <c r="PW16" t="s">
        <v>1862</v>
      </c>
      <c r="PX16" t="s">
        <v>1525</v>
      </c>
      <c r="PY16" t="s">
        <v>1628</v>
      </c>
      <c r="PZ16">
        <v>0.02</v>
      </c>
      <c r="QA16">
        <v>1.1100000000000001</v>
      </c>
      <c r="QB16">
        <v>2</v>
      </c>
      <c r="QC16">
        <f>+Tabla520212224252627289349[[#This Row],[Recuento]]*Tabla520212224252627289349[[#This Row],[Volúmen bruto]]</f>
        <v>0.04</v>
      </c>
      <c r="QD16">
        <f>+Tabla520212224252627289349[[#This Row],[Recuento]]*Tabla520212224252627289349[[#This Row],[Área neta]]</f>
        <v>2.2200000000000002</v>
      </c>
      <c r="QE16" s="26"/>
      <c r="QG16"/>
      <c r="QH16"/>
      <c r="QI16"/>
      <c r="QJ16"/>
      <c r="QK16"/>
      <c r="QL16"/>
      <c r="QM16">
        <f>+Tabla520212224252627289349134[[#This Row],[Recuento]]*Tabla520212224252627289349134[[#This Row],[Volúmen bruto]]</f>
        <v>0</v>
      </c>
      <c r="QN16">
        <f>+Tabla520212224252627289349134[[#This Row],[Recuento]]*Tabla520212224252627289349134[[#This Row],[Área neta]]</f>
        <v>0</v>
      </c>
      <c r="QO16" s="26"/>
      <c r="QQ16" t="s">
        <v>1862</v>
      </c>
      <c r="QR16" t="s">
        <v>1524</v>
      </c>
      <c r="QS16" t="s">
        <v>1726</v>
      </c>
      <c r="QT16">
        <v>0.67</v>
      </c>
      <c r="QU16">
        <v>3.37</v>
      </c>
      <c r="QV16">
        <v>1</v>
      </c>
      <c r="QW16">
        <v>1</v>
      </c>
      <c r="QX16">
        <f>+Tabla5202122242526272829[[#This Row],[Recuento]]*Tabla5202122242526272829[[#This Row],[Volúmen bruto]]</f>
        <v>0.67</v>
      </c>
      <c r="QY16">
        <f>+Tabla5202122242526272829[[#This Row],[Recuento]]*Tabla5202122242526272829[[#This Row],[Área neta]]</f>
        <v>3.37</v>
      </c>
      <c r="QZ16">
        <f>+Tabla5202122242526272829[[#This Row],[Recuento]]*Tabla5202122242526272829[[#This Row],[Longitud]]</f>
        <v>1</v>
      </c>
      <c r="RA16" s="26"/>
      <c r="RC16"/>
      <c r="RD16"/>
      <c r="RE16"/>
      <c r="RF16"/>
      <c r="RG16"/>
      <c r="RH16"/>
      <c r="RI16"/>
      <c r="RJ16"/>
      <c r="RK16" s="26"/>
      <c r="RM16"/>
      <c r="RN16"/>
      <c r="RO16"/>
      <c r="RP16"/>
      <c r="RQ16"/>
      <c r="RR16"/>
      <c r="RS16">
        <f>+Tabla5202122242526272831329[[#This Row],[Recuento]]*Tabla5202122242526272831329[[#This Row],[Volúmen bruto]]</f>
        <v>0</v>
      </c>
      <c r="RT16">
        <f>+Tabla5202122242526272831329[[#This Row],[Recuento]]*Tabla5202122242526272831329[[#This Row],[Área neta]]</f>
        <v>0</v>
      </c>
      <c r="RU16" s="26">
        <f t="shared" ref="RU16:RU67" si="7">+SUM(RT16:RT18)</f>
        <v>0</v>
      </c>
      <c r="RW16"/>
      <c r="RX16"/>
      <c r="RY16"/>
      <c r="RZ16"/>
      <c r="SA16"/>
      <c r="SB16"/>
      <c r="SC16">
        <f>+Tabla52021222425262728313233[[#This Row],[Recuento]]*Tabla52021222425262728313233[[#This Row],[Volúmen bruto]]</f>
        <v>0</v>
      </c>
      <c r="SD16">
        <f>+Tabla52021222425262728313233[[#This Row],[Recuento]]*Tabla52021222425262728313233[[#This Row],[Área neta]]</f>
        <v>0</v>
      </c>
      <c r="SE16" s="26"/>
      <c r="SG16"/>
      <c r="SH16"/>
      <c r="SI16"/>
      <c r="SJ16"/>
      <c r="SK16"/>
      <c r="SL16"/>
      <c r="SM16">
        <f>+Tabla5202122242526272831323314[[#This Row],[Recuento]]*Tabla5202122242526272831323314[[#This Row],[Volúmen bruto]]</f>
        <v>0</v>
      </c>
      <c r="SN16">
        <f>+Tabla5202122242526272831323314[[#This Row],[Recuento]]*Tabla5202122242526272831323314[[#This Row],[Área neta]]</f>
        <v>0</v>
      </c>
      <c r="SO16" s="26"/>
      <c r="SQ16" t="s">
        <v>1862</v>
      </c>
      <c r="SR16" t="s">
        <v>1524</v>
      </c>
      <c r="SS16" t="s">
        <v>94</v>
      </c>
      <c r="ST16">
        <v>0.05</v>
      </c>
      <c r="SU16">
        <v>0.45</v>
      </c>
      <c r="SV16">
        <v>1</v>
      </c>
      <c r="SW16" s="34">
        <f>+Tabla5789141516[[#This Row],[Recuento]]*Tabla5789141516[[#This Row],[Volúmen bruto]]</f>
        <v>0.05</v>
      </c>
      <c r="SX16" s="34">
        <f>+Tabla5789141516[[#This Row],[Recuento]]*Tabla5789141516[[#This Row],[Área neta]]</f>
        <v>0.45</v>
      </c>
      <c r="SY16" s="35"/>
      <c r="SZ16" s="26"/>
      <c r="TA16"/>
      <c r="TB16"/>
      <c r="TC16"/>
      <c r="TD16"/>
      <c r="TE16"/>
      <c r="TF16" s="33"/>
      <c r="TG16" s="34"/>
      <c r="TH16" s="34"/>
      <c r="TI16" s="36"/>
      <c r="TJ16" s="26"/>
      <c r="TK16" t="s">
        <v>1862</v>
      </c>
      <c r="TL16" t="s">
        <v>1525</v>
      </c>
      <c r="TM16" t="s">
        <v>1628</v>
      </c>
      <c r="TN16">
        <v>0.08</v>
      </c>
      <c r="TO16">
        <v>4.05</v>
      </c>
      <c r="TP16">
        <v>1</v>
      </c>
      <c r="TQ16" s="34">
        <f>+Tabla57891415163435[[#This Row],[Recuento]]*Tabla57891415163435[[#This Row],[Volúmen bruto]]</f>
        <v>0.08</v>
      </c>
      <c r="TR16" s="34">
        <f>+Tabla57891415163435[[#This Row],[Recuento]]*Tabla57891415163435[[#This Row],[Área neta]]</f>
        <v>4.05</v>
      </c>
      <c r="TS16" s="35"/>
      <c r="TT16" s="26"/>
      <c r="TU16"/>
      <c r="TV16"/>
      <c r="TW16"/>
      <c r="TX16"/>
      <c r="TY16"/>
      <c r="TZ16"/>
      <c r="UA16" s="34">
        <f>+Tabla5789141516343536[[#This Row],[Recuento]]*Tabla5789141516343536[[#This Row],[Volúmen bruto]]</f>
        <v>0</v>
      </c>
      <c r="UB16" s="34">
        <f>+Tabla5789141516343536[[#This Row],[Recuento]]*Tabla5789141516343536[[#This Row],[Área neta]]</f>
        <v>0</v>
      </c>
      <c r="UC16" s="35"/>
      <c r="UD16" s="26"/>
      <c r="UE16"/>
      <c r="UF16"/>
      <c r="UG16"/>
      <c r="UH16"/>
      <c r="UI16"/>
      <c r="UJ16" s="33"/>
      <c r="UK16" s="34"/>
      <c r="UL16" s="34"/>
      <c r="UM16" s="35"/>
      <c r="UN16" s="26"/>
      <c r="UO16"/>
      <c r="UP16"/>
      <c r="UQ16"/>
      <c r="UR16"/>
      <c r="US16"/>
      <c r="UT16" s="33"/>
      <c r="UU16" s="34"/>
      <c r="UV16" s="34"/>
      <c r="UW16" s="35"/>
      <c r="UX16" s="26"/>
      <c r="UY16"/>
      <c r="UZ16"/>
      <c r="VA16"/>
      <c r="VB16"/>
      <c r="VC16"/>
      <c r="VD16" s="33"/>
      <c r="VE16" s="34"/>
      <c r="VF16" s="34"/>
      <c r="VG16" s="35"/>
      <c r="VH16" s="26"/>
      <c r="VI16"/>
      <c r="VJ16"/>
      <c r="VK16"/>
      <c r="VL16"/>
      <c r="VM16"/>
      <c r="VN16" s="33"/>
      <c r="VO16" s="34"/>
      <c r="VP16" s="34"/>
      <c r="VQ16" s="35"/>
      <c r="VR16" s="26"/>
      <c r="VS16"/>
      <c r="VT16"/>
      <c r="VU16"/>
      <c r="VV16"/>
      <c r="VW16"/>
      <c r="VX16" s="33"/>
      <c r="VY16" s="34"/>
      <c r="VZ16" s="34"/>
      <c r="WA16" s="35"/>
      <c r="WB16" s="26"/>
      <c r="WC16"/>
      <c r="WD16"/>
      <c r="WE16"/>
      <c r="WF16"/>
      <c r="WG16"/>
      <c r="WH16" s="33"/>
      <c r="WI16" s="34"/>
      <c r="WJ16" s="34"/>
      <c r="WK16" s="35"/>
      <c r="WL16" s="26"/>
      <c r="WM16"/>
      <c r="WN16"/>
      <c r="WO16"/>
      <c r="WP16"/>
      <c r="WQ16"/>
      <c r="WR16" s="33"/>
      <c r="WS16" s="34"/>
      <c r="WT16" s="34"/>
      <c r="WU16" s="35"/>
      <c r="WV16" s="26"/>
      <c r="WW16"/>
      <c r="WX16"/>
      <c r="WY16"/>
      <c r="WZ16"/>
      <c r="XA16"/>
      <c r="XB16" s="33"/>
      <c r="XC16" s="34"/>
      <c r="XD16" s="34"/>
      <c r="XE16" s="35"/>
      <c r="XF16" s="26"/>
      <c r="XG16"/>
      <c r="XH16"/>
      <c r="XI16"/>
      <c r="XJ16"/>
      <c r="XK16"/>
      <c r="XL16"/>
      <c r="XM16" s="34">
        <f>+Tabla578914151634353637383940414243444536[[#This Row],[Recuento]]*Tabla578914151634353637383940414243444536[[#This Row],[Volúmen bruto]]</f>
        <v>0</v>
      </c>
      <c r="XN16" s="34">
        <f>+Tabla578914151634353637383940414243444536[[#This Row],[Recuento]]*Tabla578914151634353637383940414243444536[[#This Row],[Área neta]]</f>
        <v>0</v>
      </c>
      <c r="XO16" s="35"/>
      <c r="XP16" s="26"/>
      <c r="XQ16"/>
      <c r="XR16"/>
      <c r="XS16"/>
      <c r="XT16"/>
      <c r="XU16"/>
      <c r="XV16"/>
      <c r="XW16" s="34">
        <f>+Tabla5789141516343536373839404142434445[[#This Row],[Recuento]]*Tabla5789141516343536373839404142434445[[#This Row],[Volúmen bruto]]</f>
        <v>0</v>
      </c>
      <c r="XX16" s="34">
        <f>+Tabla5789141516343536373839404142434445[[#This Row],[Recuento]]*Tabla5789141516343536373839404142434445[[#This Row],[Área neta]]</f>
        <v>0</v>
      </c>
      <c r="XY16" s="35"/>
      <c r="XZ16" s="26"/>
      <c r="YA16"/>
      <c r="YB16"/>
      <c r="YC16"/>
      <c r="YD16"/>
      <c r="YE16"/>
      <c r="YF16"/>
      <c r="YG16" s="34">
        <f>+Tabla578914151634353637383940414243444558[[#This Row],[Recuento]]*Tabla578914151634353637383940414243444558[[#This Row],[Volúmen bruto]]</f>
        <v>0</v>
      </c>
      <c r="YH16" s="34">
        <f>+Tabla578914151634353637383940414243444558[[#This Row],[Recuento]]*Tabla578914151634353637383940414243444558[[#This Row],[Área neta]]</f>
        <v>0</v>
      </c>
      <c r="YI16" s="35"/>
      <c r="YJ16" s="36"/>
      <c r="YK16"/>
      <c r="YL16"/>
      <c r="YM16"/>
      <c r="YN16"/>
      <c r="YO16"/>
      <c r="YQ16"/>
      <c r="YR16"/>
      <c r="YS16"/>
      <c r="YT16"/>
      <c r="YU16"/>
      <c r="YV16" s="33"/>
      <c r="YW16" s="34"/>
      <c r="YX16" s="34"/>
      <c r="YY16" s="35"/>
      <c r="YZ16" s="26"/>
      <c r="ZA16"/>
      <c r="ZB16"/>
      <c r="ZC16"/>
      <c r="ZD16"/>
      <c r="ZE16"/>
      <c r="ZF16" s="33"/>
      <c r="ZG16" s="34"/>
      <c r="ZH16" s="34"/>
      <c r="ZI16" s="35"/>
      <c r="ZJ16" s="26"/>
      <c r="ZK16" t="s">
        <v>1862</v>
      </c>
      <c r="ZL16" t="s">
        <v>1525</v>
      </c>
      <c r="ZM16" t="s">
        <v>1730</v>
      </c>
      <c r="ZN16">
        <v>0</v>
      </c>
      <c r="ZO16">
        <v>0.16</v>
      </c>
      <c r="ZP16">
        <v>1</v>
      </c>
      <c r="ZQ16" s="34">
        <f>+Tabla5789141516343536373839404142434445464748495041[[#This Row],[Recuento]]*Tabla5789141516343536373839404142434445464748495041[[#This Row],[Volúmen bruto]]</f>
        <v>0</v>
      </c>
      <c r="ZR16" s="34">
        <f>+Tabla5789141516343536373839404142434445464748495041[[#This Row],[Recuento]]*Tabla5789141516343536373839404142434445464748495041[[#This Row],[Área neta]]</f>
        <v>0.16</v>
      </c>
      <c r="ZS16" s="35"/>
      <c r="ZT16" s="26"/>
      <c r="ZU16"/>
      <c r="ZV16"/>
      <c r="ZW16"/>
      <c r="ZX16"/>
      <c r="ZY16"/>
      <c r="ZZ16"/>
      <c r="AAA16" s="34">
        <f>+Tabla57891415163435363738394041424344454647484950[[#This Row],[Recuento]]*Tabla57891415163435363738394041424344454647484950[[#This Row],[Volúmen bruto]]</f>
        <v>0</v>
      </c>
      <c r="AAB16" s="34">
        <f>+Tabla57891415163435363738394041424344454647484950[[#This Row],[Recuento]]*Tabla57891415163435363738394041424344454647484950[[#This Row],[Área neta]]</f>
        <v>0</v>
      </c>
      <c r="AAC16" s="36"/>
      <c r="AAD16" s="26"/>
      <c r="AAE16"/>
      <c r="AAF16"/>
      <c r="AAG16"/>
      <c r="AAH16"/>
      <c r="AAI16"/>
      <c r="AAJ16" s="33">
        <v>1</v>
      </c>
      <c r="AAK16" s="34">
        <v>7.8960000000000002E-2</v>
      </c>
      <c r="AAL16" s="34">
        <v>1.3160000000000001</v>
      </c>
      <c r="AAM16" s="35"/>
      <c r="AAN16" s="26"/>
      <c r="AAO16" t="s">
        <v>1862</v>
      </c>
      <c r="AAP16" t="s">
        <v>1525</v>
      </c>
      <c r="AAQ16" t="s">
        <v>98</v>
      </c>
      <c r="AAR16">
        <v>0</v>
      </c>
      <c r="AAS16">
        <v>0.69</v>
      </c>
      <c r="AAT16">
        <v>2</v>
      </c>
      <c r="AAU16" s="34">
        <f>+Tabla5789141516343536373839404142434445464748495051[[#This Row],[Recuento]]*Tabla5789141516343536373839404142434445464748495051[[#This Row],[Volúmen bruto]]</f>
        <v>0</v>
      </c>
      <c r="AAV16" s="34">
        <f>+Tabla5789141516343536373839404142434445464748495051[[#This Row],[Recuento]]*Tabla5789141516343536373839404142434445464748495051[[#This Row],[Área neta]]</f>
        <v>1.38</v>
      </c>
      <c r="AAW16" s="35"/>
      <c r="AAX16" s="26"/>
      <c r="AAY16"/>
      <c r="AAZ16"/>
      <c r="ABA16"/>
      <c r="ABB16"/>
      <c r="ABC16"/>
      <c r="ABD16" s="33"/>
      <c r="ABE16" s="34"/>
      <c r="ABF16" s="34"/>
      <c r="ABG16" s="35"/>
      <c r="ABH16" s="26"/>
      <c r="ABI16"/>
      <c r="ABJ16"/>
      <c r="ABK16"/>
      <c r="ABL16"/>
      <c r="ABM16"/>
      <c r="ABN16" s="33"/>
      <c r="ABO16" s="34"/>
      <c r="ABP16" s="34"/>
      <c r="ABQ16" s="35"/>
      <c r="ABR16" s="26"/>
      <c r="ABS16"/>
      <c r="ABT16"/>
      <c r="ABU16"/>
      <c r="ABV16"/>
      <c r="ABW16"/>
      <c r="ABX16" s="33"/>
      <c r="ABY16" s="34"/>
      <c r="ABZ16" s="34"/>
      <c r="ACA16" s="35"/>
      <c r="ACB16" s="26"/>
      <c r="ACC16"/>
      <c r="ACD16"/>
      <c r="ACE16"/>
      <c r="ACF16"/>
      <c r="ACG16"/>
      <c r="ACH16" s="33"/>
      <c r="ACI16" s="34"/>
      <c r="ACJ16" s="34"/>
      <c r="ACK16" s="35"/>
      <c r="ACL16" s="26"/>
      <c r="ACM16"/>
      <c r="ACN16"/>
      <c r="ACO16"/>
      <c r="ACP16"/>
      <c r="ACQ16"/>
      <c r="ACR16" s="33"/>
      <c r="ACS16" s="34"/>
      <c r="ACT16" s="34"/>
      <c r="ACU16" s="35"/>
      <c r="ACV16" s="26"/>
      <c r="ACW16" t="s">
        <v>1244</v>
      </c>
      <c r="ACY16" s="2"/>
      <c r="ADA16" s="38"/>
      <c r="ADB16" s="2">
        <f t="shared" si="1"/>
        <v>0</v>
      </c>
      <c r="ADD16" t="s">
        <v>1720</v>
      </c>
      <c r="ADE16">
        <v>4.53</v>
      </c>
      <c r="ADF16">
        <v>4</v>
      </c>
      <c r="ADG16" s="26">
        <f t="shared" si="3"/>
        <v>18.12</v>
      </c>
      <c r="ADH16"/>
      <c r="ADI16"/>
      <c r="ADJ16"/>
      <c r="ADK16"/>
      <c r="ADL16"/>
      <c r="ADM16"/>
      <c r="ADN16">
        <f ca="1">+Tabla578914151634353637383940414243444546474849505152535560[[#This Row],[G. Total]]*Tabla578914151634353637383940414243444546474849505152535560[[#This Row],[Recuento]]</f>
        <v>0</v>
      </c>
      <c r="ADO16" s="35"/>
      <c r="ADP16" s="26"/>
      <c r="ADQ16"/>
      <c r="ADR16"/>
      <c r="ADS16"/>
      <c r="ADT16"/>
      <c r="ADU16"/>
      <c r="ADV16" s="35"/>
      <c r="ADW16" s="35"/>
      <c r="ADX16"/>
      <c r="ADY16"/>
      <c r="ADZ16"/>
      <c r="AEA16"/>
      <c r="AEB16"/>
      <c r="AEC16">
        <f ca="1">+Tabla57891415163435363738394041424344454647484950515253556062[[#This Row],[Total]]*Tabla57891415163435363738394041424344454647484950515253556062[[#This Row],[Recuento]]</f>
        <v>0</v>
      </c>
      <c r="AED16" s="36"/>
      <c r="AEE16" s="26"/>
      <c r="AEF16"/>
      <c r="AEG16"/>
      <c r="AEH16"/>
      <c r="AEI16"/>
      <c r="AEJ16"/>
      <c r="AEK16" s="35"/>
      <c r="AEL16" s="35"/>
      <c r="AEM16" t="s">
        <v>1522</v>
      </c>
      <c r="AEN16" t="s">
        <v>1523</v>
      </c>
      <c r="AEO16" t="s">
        <v>453</v>
      </c>
      <c r="AEP16">
        <v>2</v>
      </c>
      <c r="AEQ16">
        <v>1</v>
      </c>
      <c r="AER16">
        <f ca="1">+Tabla5789141516343536373839404142434445464748495051525355606264[[#This Row],[G. Total]]*Tabla5789141516343536373839404142434445464748495051525355606264[[#This Row],[Recuento]]</f>
        <v>2</v>
      </c>
      <c r="AES16" s="35"/>
      <c r="AET16" s="26"/>
      <c r="AEU16"/>
      <c r="AEV16"/>
      <c r="AEW16"/>
      <c r="AEX16"/>
      <c r="AEY16"/>
      <c r="AEZ16" s="35"/>
      <c r="AFA16" s="26"/>
      <c r="AFB16"/>
      <c r="AFC16"/>
      <c r="AFD16"/>
      <c r="AFE16"/>
      <c r="AFF16"/>
      <c r="AFG16"/>
      <c r="AFH16" t="s">
        <v>1522</v>
      </c>
      <c r="AFI16" t="s">
        <v>1525</v>
      </c>
      <c r="AFJ16" t="s">
        <v>419</v>
      </c>
      <c r="AFK16">
        <v>0.15</v>
      </c>
      <c r="AFL16">
        <v>1</v>
      </c>
      <c r="AFM16">
        <f ca="1">+Tabla578914151634353637383940414243444546474849505152535560626467[[#This Row],[G. Total]]*Tabla578914151634353637383940414243444546474849505152535560626467[[#This Row],[Recuento]]</f>
        <v>0.15</v>
      </c>
      <c r="AFN16" s="35"/>
      <c r="AFO16" s="26"/>
      <c r="AFP16" s="2" t="s">
        <v>105</v>
      </c>
      <c r="AFW16" s="2" t="s">
        <v>105</v>
      </c>
    </row>
    <row r="17" spans="1:860" ht="15" customHeight="1" x14ac:dyDescent="0.25">
      <c r="A17">
        <v>1</v>
      </c>
      <c r="B17" t="s">
        <v>1862</v>
      </c>
      <c r="C17" t="s">
        <v>1225</v>
      </c>
      <c r="D17" t="s">
        <v>1550</v>
      </c>
      <c r="E17">
        <v>0.32</v>
      </c>
      <c r="F17">
        <v>0</v>
      </c>
      <c r="G17"/>
      <c r="H17">
        <f>+Tabla3[[#This Row],[Volúmen neto]]*A17</f>
        <v>0.32</v>
      </c>
      <c r="I17">
        <f>+Tabla3[[#This Row],[Longitud de eje]]*A17</f>
        <v>0</v>
      </c>
      <c r="J17"/>
      <c r="K17"/>
      <c r="L17"/>
      <c r="M17"/>
      <c r="N17"/>
      <c r="O17"/>
      <c r="P17"/>
      <c r="Q17"/>
      <c r="R17">
        <f>+Tabla5[[#This Row],[Recuento]]*Tabla5[[#This Row],[Volúmen bruto]]</f>
        <v>0</v>
      </c>
      <c r="S17">
        <f>+Tabla5[[#This Row],[Recuento]]*Tabla5[[#This Row],[Área neta]]</f>
        <v>0</v>
      </c>
      <c r="T17">
        <f>+Tabla5[[#This Row],[Longitud nominal]]*Tabla5[[#This Row],[Recuento]]</f>
        <v>0</v>
      </c>
      <c r="U17" s="26"/>
      <c r="V17"/>
      <c r="W17"/>
      <c r="X17"/>
      <c r="Y17"/>
      <c r="Z17"/>
      <c r="AA17"/>
      <c r="AB17"/>
      <c r="AC17"/>
      <c r="AD17">
        <f>+Tabla522[[#This Row],[Recuento]]*Tabla522[[#This Row],[Volúmen bruto]]</f>
        <v>0</v>
      </c>
      <c r="AE17">
        <f>+Tabla522[[#This Row],[Recuento]]*Tabla522[[#This Row],[Área neta]]</f>
        <v>0</v>
      </c>
      <c r="AF17">
        <f>+Tabla522[[#This Row],[Longitud nominal]]*Tabla522[[#This Row],[Recuento]]</f>
        <v>0</v>
      </c>
      <c r="AG17" s="26">
        <f t="shared" si="4"/>
        <v>0</v>
      </c>
      <c r="AH17"/>
      <c r="AI17"/>
      <c r="AJ17"/>
      <c r="AK17"/>
      <c r="AL17"/>
      <c r="AM17"/>
      <c r="AN17"/>
      <c r="AO17"/>
      <c r="AP17">
        <f>+Tabla52223[[#This Row],[Recuento]]*Tabla52223[[#This Row],[Volúmen bruto]]</f>
        <v>0</v>
      </c>
      <c r="AQ17">
        <f>+Tabla52223[[#This Row],[Recuento]]*Tabla52223[[#This Row],[Área neta]]</f>
        <v>0</v>
      </c>
      <c r="AR17">
        <f>+Tabla52223[[#This Row],[Longitud nominal]]*Tabla52223[[#This Row],[Recuento]]</f>
        <v>0</v>
      </c>
      <c r="AS17" s="26">
        <f t="shared" si="5"/>
        <v>0</v>
      </c>
      <c r="AT17"/>
      <c r="AU17"/>
      <c r="AV17"/>
      <c r="AW17"/>
      <c r="AX17"/>
      <c r="AY17"/>
      <c r="AZ17"/>
      <c r="BA17"/>
      <c r="BB17">
        <f>+Tabla5222329[[#This Row],[Recuento]]*Tabla5222329[[#This Row],[Volúmen bruto]]</f>
        <v>0</v>
      </c>
      <c r="BC17">
        <f>+Tabla5222329[[#This Row],[Recuento]]*Tabla5222329[[#This Row],[Área neta]]</f>
        <v>0</v>
      </c>
      <c r="BD17">
        <f>+Tabla5222329[[#This Row],[Longitud nominal]]*Tabla5222329[[#This Row],[Recuento]]</f>
        <v>0</v>
      </c>
      <c r="BE17" s="26">
        <f t="shared" si="6"/>
        <v>0</v>
      </c>
      <c r="BF17">
        <v>2</v>
      </c>
      <c r="BG17" t="s">
        <v>1862</v>
      </c>
      <c r="BH17" t="s">
        <v>1524</v>
      </c>
      <c r="BI17" t="s">
        <v>1406</v>
      </c>
      <c r="BJ17">
        <v>2.4</v>
      </c>
      <c r="BK17">
        <v>3</v>
      </c>
      <c r="BL17">
        <f>+Tabla3102[[#This Row],[En culmo]]*BF17</f>
        <v>6</v>
      </c>
      <c r="BM17"/>
      <c r="BN17"/>
      <c r="BO17"/>
      <c r="BP17"/>
      <c r="BQ17"/>
      <c r="BR17"/>
      <c r="BS17">
        <v>2</v>
      </c>
      <c r="BT17">
        <f>+Tabla31069[[#This Row],[En culmo]]*BN17</f>
        <v>0</v>
      </c>
      <c r="BU17"/>
      <c r="BV17">
        <v>15</v>
      </c>
      <c r="BW17" t="s">
        <v>1862</v>
      </c>
      <c r="BX17" t="s">
        <v>1525</v>
      </c>
      <c r="BY17" t="s">
        <v>1406</v>
      </c>
      <c r="BZ17">
        <v>5</v>
      </c>
      <c r="CA17">
        <v>5.5</v>
      </c>
      <c r="CB17">
        <f>+Tabla31011[[#This Row],[En culmo]]*BV17</f>
        <v>82.5</v>
      </c>
      <c r="CD17">
        <v>8</v>
      </c>
      <c r="CE17" t="s">
        <v>1862</v>
      </c>
      <c r="CF17" t="s">
        <v>1525</v>
      </c>
      <c r="CG17" t="s">
        <v>1405</v>
      </c>
      <c r="CH17">
        <v>1.2</v>
      </c>
      <c r="CI17">
        <v>1.5</v>
      </c>
      <c r="CJ17">
        <f>+Tabla3101170[[#This Row],[En culmo]]*CD17</f>
        <v>12</v>
      </c>
      <c r="CK17"/>
      <c r="CL17">
        <v>2</v>
      </c>
      <c r="CM17" t="s">
        <v>1862</v>
      </c>
      <c r="CN17" t="s">
        <v>1383</v>
      </c>
      <c r="CO17" t="s">
        <v>1406</v>
      </c>
      <c r="CP17">
        <v>1.44</v>
      </c>
      <c r="CQ17" s="26">
        <v>2</v>
      </c>
      <c r="CR17">
        <f>+Tabla31011116[[#This Row],[En culmo]]*CT17</f>
        <v>4</v>
      </c>
      <c r="CT17">
        <v>2</v>
      </c>
      <c r="CU17" t="s">
        <v>1862</v>
      </c>
      <c r="CV17" t="s">
        <v>1383</v>
      </c>
      <c r="CW17" t="s">
        <v>1405</v>
      </c>
      <c r="CX17">
        <v>3.46</v>
      </c>
      <c r="CY17">
        <v>6.5</v>
      </c>
      <c r="CZ17">
        <f>+Tabla3101170117[[#This Row],[En culmo]]*CT17</f>
        <v>13</v>
      </c>
      <c r="DA17"/>
      <c r="DB17">
        <v>2</v>
      </c>
      <c r="DC17" t="s">
        <v>1862</v>
      </c>
      <c r="DD17" t="s">
        <v>1383</v>
      </c>
      <c r="DE17" t="s">
        <v>1723</v>
      </c>
      <c r="DF17">
        <v>0.68</v>
      </c>
      <c r="DG17">
        <f>+Tabla31011704[[#This Row],[Longitud de eje]]*DB17</f>
        <v>1.36</v>
      </c>
      <c r="DH17"/>
      <c r="DI17"/>
      <c r="DJ17"/>
      <c r="DK17"/>
      <c r="DL17"/>
      <c r="DM17"/>
      <c r="DN17">
        <f>+Tabla3101170411[[#This Row],[Longitud de eje]]*DI17</f>
        <v>0</v>
      </c>
      <c r="DO17"/>
      <c r="DP17"/>
      <c r="DQ17"/>
      <c r="DR17"/>
      <c r="DS17"/>
      <c r="DT17"/>
      <c r="DU17">
        <f>+Tabla3101170411120[[#This Row],[Longitud de eje]]*DP17</f>
        <v>0</v>
      </c>
      <c r="DV17"/>
      <c r="DW17"/>
      <c r="DX17"/>
      <c r="DY17"/>
      <c r="DZ17"/>
      <c r="EA17"/>
      <c r="EB17">
        <f>+Tabla3101170411120122[[#This Row],[Longitud de eje]]*DW17</f>
        <v>0</v>
      </c>
      <c r="EC17"/>
      <c r="ED17">
        <v>3</v>
      </c>
      <c r="EE17" t="s">
        <v>1862</v>
      </c>
      <c r="EF17" t="s">
        <v>1524</v>
      </c>
      <c r="EG17" t="s">
        <v>1406</v>
      </c>
      <c r="EH17">
        <v>1.99</v>
      </c>
      <c r="EI17">
        <v>2.5</v>
      </c>
      <c r="EJ17">
        <f>+Tabla3101112[[#This Row],[En culmo]]*ED17</f>
        <v>7.5</v>
      </c>
      <c r="EK17"/>
      <c r="EL17"/>
      <c r="EM17"/>
      <c r="EN17"/>
      <c r="EO17"/>
      <c r="EP17"/>
      <c r="EQ17"/>
      <c r="ER17">
        <f>+Tabla3101112123[[#This Row],[En culmo]]*EL17</f>
        <v>0</v>
      </c>
      <c r="ES17"/>
      <c r="ET17">
        <v>5</v>
      </c>
      <c r="EU17" t="s">
        <v>1862</v>
      </c>
      <c r="EV17" t="s">
        <v>1525</v>
      </c>
      <c r="EW17" t="s">
        <v>1406</v>
      </c>
      <c r="EX17">
        <v>1.24</v>
      </c>
      <c r="EY17">
        <v>1.5</v>
      </c>
      <c r="EZ17">
        <f>+Tabla310111257[[#This Row],[En culmo]]*ET17</f>
        <v>7.5</v>
      </c>
      <c r="FA17"/>
      <c r="FB17"/>
      <c r="FC17"/>
      <c r="FD17"/>
      <c r="FE17"/>
      <c r="FF17"/>
      <c r="FG17">
        <v>1.5</v>
      </c>
      <c r="FH17">
        <f>+Tabla310111257124[[#This Row],[En culmo]]*FB17</f>
        <v>0</v>
      </c>
      <c r="FI17"/>
      <c r="FJ17">
        <v>2</v>
      </c>
      <c r="FK17"/>
      <c r="FL17"/>
      <c r="FM17"/>
      <c r="FN17"/>
      <c r="FO17"/>
      <c r="FP17">
        <f>+Tabla310111213115[[#This Row],[Volúmen]]*FJ17</f>
        <v>0</v>
      </c>
      <c r="FQ17">
        <f>+Tabla310111213115[[#This Row],[Longitud del eje]]*FJ17</f>
        <v>0</v>
      </c>
      <c r="FR17">
        <v>2</v>
      </c>
      <c r="FS17"/>
      <c r="FT17"/>
      <c r="FU17"/>
      <c r="FV17"/>
      <c r="FW17"/>
      <c r="FX17">
        <f>+Tabla31011121311554[[#This Row],[Volúmen]]*FR17</f>
        <v>0</v>
      </c>
      <c r="FY17">
        <f>+Tabla31011121311554[[#This Row],[Longitud del eje]]*FR17</f>
        <v>0</v>
      </c>
      <c r="FZ17">
        <v>1</v>
      </c>
      <c r="GA17" t="s">
        <v>1862</v>
      </c>
      <c r="GB17" t="s">
        <v>1524</v>
      </c>
      <c r="GC17" t="s">
        <v>1584</v>
      </c>
      <c r="GD17">
        <v>0.03</v>
      </c>
      <c r="GE17">
        <v>1.4</v>
      </c>
      <c r="GF17">
        <f>+Tabla3101112131157[[#This Row],[Volúmen]]*FZ17</f>
        <v>0.03</v>
      </c>
      <c r="GG17">
        <f>+Tabla3101112131157[[#This Row],[Longitud del eje]]*FZ17</f>
        <v>1.4</v>
      </c>
      <c r="GI17"/>
      <c r="GJ17"/>
      <c r="GK17"/>
      <c r="GL17"/>
      <c r="GM17"/>
      <c r="GN17"/>
      <c r="GO17"/>
      <c r="GQ17" t="s">
        <v>1862</v>
      </c>
      <c r="GR17" t="s">
        <v>1383</v>
      </c>
      <c r="GS17" t="s">
        <v>1628</v>
      </c>
      <c r="GT17">
        <v>0.15</v>
      </c>
      <c r="GU17">
        <v>25.42</v>
      </c>
      <c r="GV17">
        <v>1</v>
      </c>
      <c r="GW17">
        <f>+Tabla578914[[#This Row],[Recuento]]*Tabla578914[[#This Row],[Volúmen bruto]]</f>
        <v>0.15</v>
      </c>
      <c r="GX17">
        <f>+Tabla578914[[#This Row],[Recuento]]*Tabla578914[[#This Row],[Área neta]]</f>
        <v>25.42</v>
      </c>
      <c r="GY17" s="35"/>
      <c r="HA17" t="s">
        <v>1862</v>
      </c>
      <c r="HB17" t="s">
        <v>1383</v>
      </c>
      <c r="HC17" t="s">
        <v>98</v>
      </c>
      <c r="HD17">
        <v>0.01</v>
      </c>
      <c r="HE17">
        <v>13.52</v>
      </c>
      <c r="HF17">
        <v>1</v>
      </c>
      <c r="HG17">
        <f>+Tabla578914126[[#This Row],[Recuento]]*Tabla578914126[[#This Row],[Volúmen bruto]]</f>
        <v>0.01</v>
      </c>
      <c r="HH17">
        <f>+Tabla578914126[[#This Row],[Recuento]]*Tabla578914126[[#This Row],[Área neta]]</f>
        <v>13.52</v>
      </c>
      <c r="HI17" s="35"/>
      <c r="HK17" t="s">
        <v>1862</v>
      </c>
      <c r="HL17" t="s">
        <v>1383</v>
      </c>
      <c r="HM17" t="s">
        <v>1667</v>
      </c>
      <c r="HN17">
        <v>0.28999999999999998</v>
      </c>
      <c r="HO17">
        <v>3.17</v>
      </c>
      <c r="HP17">
        <v>1</v>
      </c>
      <c r="HQ17">
        <f>+Tabla578914126127[[#This Row],[Recuento]]*Tabla578914126127[[#This Row],[Volúmen bruto]]</f>
        <v>0.28999999999999998</v>
      </c>
      <c r="HR17">
        <f>+Tabla578914126127[[#This Row],[Recuento]]*Tabla578914126127[[#This Row],[Área neta]]</f>
        <v>3.17</v>
      </c>
      <c r="HS17" s="35"/>
      <c r="HT17" s="26"/>
      <c r="HU17"/>
      <c r="HV17"/>
      <c r="HW17"/>
      <c r="HX17"/>
      <c r="HY17"/>
      <c r="HZ17"/>
      <c r="IA17"/>
      <c r="IB17"/>
      <c r="IC17" s="35"/>
      <c r="ID17" s="26"/>
      <c r="IE17"/>
      <c r="IF17"/>
      <c r="IG17"/>
      <c r="IH17"/>
      <c r="II17"/>
      <c r="IJ17"/>
      <c r="IK17"/>
      <c r="IL17"/>
      <c r="IM17" s="35"/>
      <c r="IN17" s="26"/>
      <c r="IO17"/>
      <c r="IP17"/>
      <c r="IQ17"/>
      <c r="IR17"/>
      <c r="IS17"/>
      <c r="IT17"/>
      <c r="IU17"/>
      <c r="IV17">
        <f>+Tabla520212223[[#This Row],[Recuento]]*Tabla520212223[[#This Row],[Área neta]]</f>
        <v>0</v>
      </c>
      <c r="IW17" s="26">
        <f t="shared" si="0"/>
        <v>0</v>
      </c>
      <c r="IY17"/>
      <c r="IZ17"/>
      <c r="JA17"/>
      <c r="JB17"/>
      <c r="JC17"/>
      <c r="JD17"/>
      <c r="JE17">
        <f>+Tabla520212224[[#This Row],[Recuento]]*Tabla520212224[[#This Row],[Volúmen bruto]]</f>
        <v>0</v>
      </c>
      <c r="JF17">
        <f>+Tabla520212224[[#This Row],[Recuento]]*Tabla520212224[[#This Row],[Área neta]]</f>
        <v>0</v>
      </c>
      <c r="JG17" s="26"/>
      <c r="JI17" t="s">
        <v>1862</v>
      </c>
      <c r="JJ17" t="s">
        <v>1524</v>
      </c>
      <c r="JK17" t="s">
        <v>97</v>
      </c>
      <c r="JL17">
        <v>0.04</v>
      </c>
      <c r="JM17">
        <v>1.81</v>
      </c>
      <c r="JN17">
        <v>2</v>
      </c>
      <c r="JO17">
        <f>+Tabla52021222425[[#This Row],[Recuento]]*Tabla52021222425[[#This Row],[Volúmen bruto]]</f>
        <v>0.08</v>
      </c>
      <c r="JP17">
        <f>+Tabla52021222425[[#This Row],[Recuento]]*Tabla52021222425[[#This Row],[Área neta]]</f>
        <v>3.62</v>
      </c>
      <c r="JQ17" s="415"/>
      <c r="JS17" t="s">
        <v>1862</v>
      </c>
      <c r="JT17" t="s">
        <v>1524</v>
      </c>
      <c r="JU17" t="s">
        <v>97</v>
      </c>
      <c r="JV17">
        <v>0.01</v>
      </c>
      <c r="JW17">
        <v>0.41</v>
      </c>
      <c r="JX17">
        <v>2</v>
      </c>
      <c r="JY17">
        <f>+Tabla5202122242526[[#This Row],[Recuento]]*Tabla5202122242526[[#This Row],[Volúmen bruto]]</f>
        <v>0.02</v>
      </c>
      <c r="JZ17">
        <f>+Tabla5202122242526[[#This Row],[Recuento]]*Tabla5202122242526[[#This Row],[Área neta]]</f>
        <v>0.82</v>
      </c>
      <c r="KA17" s="26"/>
      <c r="KC17"/>
      <c r="KD17"/>
      <c r="KE17"/>
      <c r="KF17"/>
      <c r="KG17"/>
      <c r="KH17"/>
      <c r="KI17">
        <f>+Tabla5202122242526104[[#This Row],[Recuento]]*Tabla5202122242526104[[#This Row],[Volúmen bruto]]</f>
        <v>0</v>
      </c>
      <c r="KJ17">
        <f>+Tabla5202122242526104[[#This Row],[Recuento]]*Tabla5202122242526104[[#This Row],[Área neta]]</f>
        <v>0</v>
      </c>
      <c r="KK17" s="26"/>
      <c r="KM17" t="s">
        <v>1862</v>
      </c>
      <c r="KN17" t="s">
        <v>1525</v>
      </c>
      <c r="KO17" t="s">
        <v>1628</v>
      </c>
      <c r="KP17">
        <v>0.15</v>
      </c>
      <c r="KQ17">
        <v>5.74</v>
      </c>
      <c r="KR17">
        <v>1</v>
      </c>
      <c r="KS17">
        <f>+Tabla5202122242526104110[[#This Row],[Recuento]]*Tabla5202122242526104110[[#This Row],[Volúmen bruto]]</f>
        <v>0.15</v>
      </c>
      <c r="KT17">
        <f>+Tabla5202122242526104110[[#This Row],[Recuento]]*Tabla5202122242526104110[[#This Row],[Área neta]]</f>
        <v>5.74</v>
      </c>
      <c r="KU17" s="26"/>
      <c r="KW17" t="s">
        <v>1863</v>
      </c>
      <c r="KX17" t="s">
        <v>1524</v>
      </c>
      <c r="KY17" t="s">
        <v>1628</v>
      </c>
      <c r="KZ17">
        <v>0.16</v>
      </c>
      <c r="LA17">
        <v>7.36</v>
      </c>
      <c r="LB17">
        <v>1</v>
      </c>
      <c r="LC17">
        <f>+Tabla520212224252659[[#This Row],[Recuento]]*Tabla520212224252659[[#This Row],[Volúmen bruto]]</f>
        <v>0.16</v>
      </c>
      <c r="LD17">
        <f>+Tabla520212224252659[[#This Row],[Recuento]]*Tabla520212224252659[[#This Row],[Área neta]]</f>
        <v>7.36</v>
      </c>
      <c r="LE17" s="26"/>
      <c r="LG17"/>
      <c r="LH17"/>
      <c r="LI17"/>
      <c r="LJ17"/>
      <c r="LK17"/>
      <c r="LL17"/>
      <c r="LM17">
        <f>+Tabla520212224252659111[[#This Row],[Recuento]]*Tabla520212224252659111[[#This Row],[Volúmen bruto]]</f>
        <v>0</v>
      </c>
      <c r="LN17">
        <f>+Tabla520212224252659111[[#This Row],[Recuento]]*Tabla520212224252659111[[#This Row],[Área neta]]</f>
        <v>0</v>
      </c>
      <c r="LO17" s="26"/>
      <c r="LQ17"/>
      <c r="LR17"/>
      <c r="LS17"/>
      <c r="LT17"/>
      <c r="LU17"/>
      <c r="LV17"/>
      <c r="LW17">
        <f>+Tabla520212224252659111114[[#This Row],[Recuento]]*Tabla520212224252659111114[[#This Row],[Volúmen bruto]]</f>
        <v>0</v>
      </c>
      <c r="LX17">
        <f>+Tabla520212224252659111114[[#This Row],[Recuento]]*Tabla520212224252659111114[[#This Row],[Área neta]]</f>
        <v>0</v>
      </c>
      <c r="LY17" s="26"/>
      <c r="MA17" t="s">
        <v>1862</v>
      </c>
      <c r="MB17" t="s">
        <v>1525</v>
      </c>
      <c r="MC17" t="s">
        <v>97</v>
      </c>
      <c r="MD17">
        <v>0.17</v>
      </c>
      <c r="ME17">
        <v>4.24</v>
      </c>
      <c r="MF17">
        <v>2</v>
      </c>
      <c r="MG17">
        <f>+Tabla520212224252659111114128[[#This Row],[Recuento]]*Tabla520212224252659111114128[[#This Row],[Volúmen bruto]]</f>
        <v>0.34</v>
      </c>
      <c r="MH17">
        <f>+Tabla520212224252659111114128[[#This Row],[Recuento]]*Tabla520212224252659111114128[[#This Row],[Área neta]]</f>
        <v>8.48</v>
      </c>
      <c r="MI17" s="26"/>
      <c r="MK17" t="s">
        <v>1863</v>
      </c>
      <c r="ML17" t="s">
        <v>1525</v>
      </c>
      <c r="MM17" t="s">
        <v>97</v>
      </c>
      <c r="MN17">
        <v>0.02</v>
      </c>
      <c r="MO17">
        <v>0.99</v>
      </c>
      <c r="MP17">
        <v>2</v>
      </c>
      <c r="MQ17">
        <f>+Tabla520212224252627[[#This Row],[Recuento]]*Tabla520212224252627[[#This Row],[Volúmen bruto]]</f>
        <v>0.04</v>
      </c>
      <c r="MR17">
        <f>+Tabla520212224252627[[#This Row],[Recuento]]*Tabla520212224252627[[#This Row],[Área neta]]</f>
        <v>1.98</v>
      </c>
      <c r="MS17" s="26">
        <f>+SUM(MR17)</f>
        <v>1.98</v>
      </c>
      <c r="MU17" t="s">
        <v>1549</v>
      </c>
      <c r="MV17" t="s">
        <v>1525</v>
      </c>
      <c r="MW17" t="s">
        <v>99</v>
      </c>
      <c r="MX17">
        <v>0</v>
      </c>
      <c r="MY17">
        <v>0.22</v>
      </c>
      <c r="MZ17">
        <v>1</v>
      </c>
      <c r="NA17">
        <f>+Tabla520212224252627129[[#This Row],[Recuento]]*Tabla520212224252627129[[#This Row],[Volúmen bruto]]</f>
        <v>0</v>
      </c>
      <c r="NB17">
        <f>+Tabla520212224252627129[[#This Row],[Recuento]]*Tabla520212224252627129[[#This Row],[Área neta]]</f>
        <v>0.22</v>
      </c>
      <c r="NC17" s="26"/>
      <c r="NE17"/>
      <c r="NF17"/>
      <c r="NG17"/>
      <c r="NH17"/>
      <c r="NI17"/>
      <c r="NJ17"/>
      <c r="NK17">
        <f>+Tabla520212224252627129125[[#This Row],[Recuento]]*Tabla520212224252627129125[[#This Row],[Volúmen bruto]]</f>
        <v>0</v>
      </c>
      <c r="NL17">
        <f>+Tabla520212224252627129125[[#This Row],[Recuento]]*Tabla520212224252627129125[[#This Row],[Área neta]]</f>
        <v>0</v>
      </c>
      <c r="NM17" s="26"/>
      <c r="NO17" t="s">
        <v>1549</v>
      </c>
      <c r="NP17" t="s">
        <v>1525</v>
      </c>
      <c r="NQ17" t="s">
        <v>1677</v>
      </c>
      <c r="NR17">
        <v>0</v>
      </c>
      <c r="NS17">
        <v>0.37</v>
      </c>
      <c r="NT17">
        <v>1</v>
      </c>
      <c r="NU17">
        <f>+Tabla520212224252627129125130[[#This Row],[Recuento]]*Tabla520212224252627129125130[[#This Row],[Volúmen bruto]]</f>
        <v>0</v>
      </c>
      <c r="NV17">
        <f>+Tabla520212224252627129125130[[#This Row],[Recuento]]*Tabla520212224252627129125130[[#This Row],[Área neta]]</f>
        <v>0.37</v>
      </c>
      <c r="NW17" s="26">
        <f>+SUM(NV17:NV19)</f>
        <v>2.63</v>
      </c>
      <c r="NY17"/>
      <c r="NZ17"/>
      <c r="OA17"/>
      <c r="OB17"/>
      <c r="OC17"/>
      <c r="OD17"/>
      <c r="OE17">
        <f>+Tabla520212224252627129125130131[[#This Row],[Recuento]]*Tabla520212224252627129125130131[[#This Row],[Volúmen bruto]]</f>
        <v>0</v>
      </c>
      <c r="OF17">
        <f>+Tabla520212224252627129125130131[[#This Row],[Recuento]]*Tabla520212224252627129125130131[[#This Row],[Área neta]]</f>
        <v>0</v>
      </c>
      <c r="OG17" s="26"/>
      <c r="OI17" t="s">
        <v>1549</v>
      </c>
      <c r="OJ17" t="s">
        <v>1525</v>
      </c>
      <c r="OK17" t="s">
        <v>1781</v>
      </c>
      <c r="OL17">
        <v>0</v>
      </c>
      <c r="OM17">
        <v>0.2</v>
      </c>
      <c r="ON17">
        <v>1</v>
      </c>
      <c r="OO17">
        <f>+Tabla520212224252627129125130131132[[#This Row],[Recuento]]*Tabla520212224252627129125130131132[[#This Row],[Volúmen bruto]]</f>
        <v>0</v>
      </c>
      <c r="OP17">
        <f>+Tabla520212224252627129125130131132[[#This Row],[Recuento]]*Tabla520212224252627129125130131132[[#This Row],[Área neta]]</f>
        <v>0.2</v>
      </c>
      <c r="OQ17" s="26"/>
      <c r="OS17"/>
      <c r="OT17"/>
      <c r="OU17"/>
      <c r="OV17"/>
      <c r="OW17"/>
      <c r="OX17"/>
      <c r="OY17">
        <f>+Tabla52021222425262728[[#This Row],[Recuento]]*Tabla52021222425262728[[#This Row],[Volúmen bruto]]</f>
        <v>0</v>
      </c>
      <c r="OZ17">
        <f>+Tabla52021222425262728[[#This Row],[Recuento]]*Tabla52021222425262728[[#This Row],[Área neta]]</f>
        <v>0</v>
      </c>
      <c r="PA17" s="26"/>
      <c r="PC17" t="s">
        <v>1862</v>
      </c>
      <c r="PD17" t="s">
        <v>1525</v>
      </c>
      <c r="PE17" t="s">
        <v>1628</v>
      </c>
      <c r="PF17">
        <v>0.1</v>
      </c>
      <c r="PG17">
        <v>3.85</v>
      </c>
      <c r="PH17">
        <v>1</v>
      </c>
      <c r="PI17">
        <f>+Tabla52021222425262728133[[#This Row],[Recuento]]*Tabla52021222425262728133[[#This Row],[Volúmen bruto]]</f>
        <v>0.1</v>
      </c>
      <c r="PJ17">
        <f>+Tabla52021222425262728133[[#This Row],[Recuento]]*Tabla52021222425262728133[[#This Row],[Área neta]]</f>
        <v>3.85</v>
      </c>
      <c r="PK17" s="26"/>
      <c r="PM17" t="s">
        <v>1863</v>
      </c>
      <c r="PN17" t="s">
        <v>1524</v>
      </c>
      <c r="PO17" t="s">
        <v>1679</v>
      </c>
      <c r="PP17">
        <v>0</v>
      </c>
      <c r="PQ17">
        <v>2.21</v>
      </c>
      <c r="PR17">
        <v>1</v>
      </c>
      <c r="PS17">
        <f>+Tabla5202122242526272893[[#This Row],[Recuento]]*Tabla5202122242526272893[[#This Row],[Volúmen bruto]]</f>
        <v>0</v>
      </c>
      <c r="PT17">
        <f>+Tabla5202122242526272893[[#This Row],[Recuento]]*Tabla5202122242526272893[[#This Row],[Área neta]]</f>
        <v>2.21</v>
      </c>
      <c r="PU17" s="26">
        <f>+SUM(PT17)</f>
        <v>2.21</v>
      </c>
      <c r="PW17" t="s">
        <v>1862</v>
      </c>
      <c r="PX17" t="s">
        <v>1525</v>
      </c>
      <c r="PY17" t="s">
        <v>1628</v>
      </c>
      <c r="PZ17">
        <v>0.03</v>
      </c>
      <c r="QA17">
        <v>1.41</v>
      </c>
      <c r="QB17">
        <v>1</v>
      </c>
      <c r="QC17">
        <f>+Tabla520212224252627289349[[#This Row],[Recuento]]*Tabla520212224252627289349[[#This Row],[Volúmen bruto]]</f>
        <v>0.03</v>
      </c>
      <c r="QD17">
        <f>+Tabla520212224252627289349[[#This Row],[Recuento]]*Tabla520212224252627289349[[#This Row],[Área neta]]</f>
        <v>1.41</v>
      </c>
      <c r="QE17" s="26"/>
      <c r="QG17"/>
      <c r="QH17"/>
      <c r="QI17"/>
      <c r="QJ17"/>
      <c r="QK17"/>
      <c r="QL17"/>
      <c r="QM17">
        <f>+Tabla520212224252627289349134[[#This Row],[Recuento]]*Tabla520212224252627289349134[[#This Row],[Volúmen bruto]]</f>
        <v>0</v>
      </c>
      <c r="QN17">
        <f>+Tabla520212224252627289349134[[#This Row],[Recuento]]*Tabla520212224252627289349134[[#This Row],[Área neta]]</f>
        <v>0</v>
      </c>
      <c r="QO17" s="26"/>
      <c r="QQ17" t="s">
        <v>1862</v>
      </c>
      <c r="QR17" t="s">
        <v>1524</v>
      </c>
      <c r="QS17" t="s">
        <v>1726</v>
      </c>
      <c r="QT17">
        <v>0.06</v>
      </c>
      <c r="QU17">
        <v>0.32</v>
      </c>
      <c r="QV17">
        <v>1</v>
      </c>
      <c r="QW17">
        <v>2</v>
      </c>
      <c r="QX17">
        <f>+Tabla5202122242526272829[[#This Row],[Recuento]]*Tabla5202122242526272829[[#This Row],[Volúmen bruto]]</f>
        <v>0.12</v>
      </c>
      <c r="QY17">
        <f>+Tabla5202122242526272829[[#This Row],[Recuento]]*Tabla5202122242526272829[[#This Row],[Área neta]]</f>
        <v>0.64</v>
      </c>
      <c r="QZ17">
        <f>+Tabla5202122242526272829[[#This Row],[Recuento]]*Tabla5202122242526272829[[#This Row],[Longitud]]</f>
        <v>2</v>
      </c>
      <c r="RA17" s="26"/>
      <c r="RC17"/>
      <c r="RD17"/>
      <c r="RE17"/>
      <c r="RF17"/>
      <c r="RG17"/>
      <c r="RH17"/>
      <c r="RI17"/>
      <c r="RJ17"/>
      <c r="RK17" s="26"/>
      <c r="RM17"/>
      <c r="RN17"/>
      <c r="RO17"/>
      <c r="RP17"/>
      <c r="RQ17"/>
      <c r="RR17"/>
      <c r="RS17">
        <f>+Tabla5202122242526272831329[[#This Row],[Recuento]]*Tabla5202122242526272831329[[#This Row],[Volúmen bruto]]</f>
        <v>0</v>
      </c>
      <c r="RT17">
        <f>+Tabla5202122242526272831329[[#This Row],[Recuento]]*Tabla5202122242526272831329[[#This Row],[Área neta]]</f>
        <v>0</v>
      </c>
      <c r="RU17" s="26"/>
      <c r="RW17"/>
      <c r="RX17"/>
      <c r="RY17"/>
      <c r="RZ17"/>
      <c r="SA17"/>
      <c r="SB17"/>
      <c r="SC17">
        <f>+Tabla52021222425262728313233[[#This Row],[Recuento]]*Tabla52021222425262728313233[[#This Row],[Volúmen bruto]]</f>
        <v>0</v>
      </c>
      <c r="SD17">
        <f>+Tabla52021222425262728313233[[#This Row],[Recuento]]*Tabla52021222425262728313233[[#This Row],[Área neta]]</f>
        <v>0</v>
      </c>
      <c r="SE17" s="26"/>
      <c r="SG17"/>
      <c r="SH17"/>
      <c r="SI17"/>
      <c r="SJ17"/>
      <c r="SK17"/>
      <c r="SL17"/>
      <c r="SM17">
        <f>+Tabla5202122242526272831323314[[#This Row],[Recuento]]*Tabla5202122242526272831323314[[#This Row],[Volúmen bruto]]</f>
        <v>0</v>
      </c>
      <c r="SN17">
        <f>+Tabla5202122242526272831323314[[#This Row],[Recuento]]*Tabla5202122242526272831323314[[#This Row],[Área neta]]</f>
        <v>0</v>
      </c>
      <c r="SO17" s="26"/>
      <c r="SQ17" t="s">
        <v>1862</v>
      </c>
      <c r="SR17" t="s">
        <v>1524</v>
      </c>
      <c r="SS17" t="s">
        <v>94</v>
      </c>
      <c r="ST17">
        <v>0.6</v>
      </c>
      <c r="SU17">
        <v>5.97</v>
      </c>
      <c r="SV17">
        <v>1</v>
      </c>
      <c r="SW17" s="34">
        <f>+Tabla5789141516[[#This Row],[Recuento]]*Tabla5789141516[[#This Row],[Volúmen bruto]]</f>
        <v>0.6</v>
      </c>
      <c r="SX17" s="34">
        <f>+Tabla5789141516[[#This Row],[Recuento]]*Tabla5789141516[[#This Row],[Área neta]]</f>
        <v>5.97</v>
      </c>
      <c r="SY17" s="35"/>
      <c r="SZ17" s="26"/>
      <c r="TA17"/>
      <c r="TB17"/>
      <c r="TC17"/>
      <c r="TD17"/>
      <c r="TE17"/>
      <c r="TF17" s="33"/>
      <c r="TG17" s="34"/>
      <c r="TH17" s="34"/>
      <c r="TI17" s="36"/>
      <c r="TJ17" s="26"/>
      <c r="TK17" t="s">
        <v>1862</v>
      </c>
      <c r="TL17" t="s">
        <v>1525</v>
      </c>
      <c r="TM17" t="s">
        <v>1628</v>
      </c>
      <c r="TN17">
        <v>0.99</v>
      </c>
      <c r="TO17">
        <v>49.53</v>
      </c>
      <c r="TP17">
        <v>1</v>
      </c>
      <c r="TQ17" s="34">
        <f>+Tabla57891415163435[[#This Row],[Recuento]]*Tabla57891415163435[[#This Row],[Volúmen bruto]]</f>
        <v>0.99</v>
      </c>
      <c r="TR17" s="34">
        <f>+Tabla57891415163435[[#This Row],[Recuento]]*Tabla57891415163435[[#This Row],[Área neta]]</f>
        <v>49.53</v>
      </c>
      <c r="TS17" s="35"/>
      <c r="TT17" s="26"/>
      <c r="TU17"/>
      <c r="TV17"/>
      <c r="TW17"/>
      <c r="TX17"/>
      <c r="TY17"/>
      <c r="TZ17" s="33"/>
      <c r="UA17" s="34"/>
      <c r="UB17" s="34"/>
      <c r="UC17" s="35"/>
      <c r="UD17" s="26"/>
      <c r="UE17"/>
      <c r="UF17"/>
      <c r="UG17"/>
      <c r="UH17"/>
      <c r="UI17"/>
      <c r="UJ17" s="33"/>
      <c r="UK17" s="34"/>
      <c r="UL17" s="34"/>
      <c r="UM17" s="35"/>
      <c r="UN17" s="26"/>
      <c r="UO17"/>
      <c r="UP17"/>
      <c r="UQ17"/>
      <c r="UR17"/>
      <c r="US17"/>
      <c r="UT17" s="33"/>
      <c r="UU17" s="34"/>
      <c r="UV17" s="34"/>
      <c r="UW17" s="35"/>
      <c r="UX17" s="26"/>
      <c r="UY17"/>
      <c r="UZ17"/>
      <c r="VA17"/>
      <c r="VB17"/>
      <c r="VC17"/>
      <c r="VD17" s="33"/>
      <c r="VE17" s="34"/>
      <c r="VF17" s="34"/>
      <c r="VG17" s="35"/>
      <c r="VH17" s="26"/>
      <c r="VI17"/>
      <c r="VJ17"/>
      <c r="VK17"/>
      <c r="VL17"/>
      <c r="VM17"/>
      <c r="VN17" s="33"/>
      <c r="VO17" s="34"/>
      <c r="VP17" s="34"/>
      <c r="VQ17" s="35"/>
      <c r="VR17" s="26"/>
      <c r="VS17"/>
      <c r="VT17"/>
      <c r="VU17"/>
      <c r="VV17"/>
      <c r="VW17"/>
      <c r="VX17" s="33"/>
      <c r="VY17" s="34"/>
      <c r="VZ17" s="34"/>
      <c r="WA17" s="35"/>
      <c r="WB17" s="26"/>
      <c r="WC17"/>
      <c r="WD17"/>
      <c r="WE17"/>
      <c r="WF17"/>
      <c r="WG17"/>
      <c r="WH17" s="33"/>
      <c r="WI17" s="34"/>
      <c r="WJ17" s="34"/>
      <c r="WK17" s="35"/>
      <c r="WL17" s="26"/>
      <c r="WM17"/>
      <c r="WN17"/>
      <c r="WO17"/>
      <c r="WP17"/>
      <c r="WQ17"/>
      <c r="WR17" s="33"/>
      <c r="WS17" s="34"/>
      <c r="WT17" s="34"/>
      <c r="WU17" s="35"/>
      <c r="WV17" s="26"/>
      <c r="WW17"/>
      <c r="WX17"/>
      <c r="WY17"/>
      <c r="WZ17"/>
      <c r="XA17"/>
      <c r="XB17" s="33"/>
      <c r="XC17" s="34"/>
      <c r="XD17" s="34"/>
      <c r="XE17" s="35"/>
      <c r="XF17" s="26"/>
      <c r="XG17"/>
      <c r="XH17"/>
      <c r="XI17"/>
      <c r="XJ17"/>
      <c r="XK17"/>
      <c r="XL17"/>
      <c r="XM17" s="34">
        <f>+Tabla578914151634353637383940414243444536[[#This Row],[Recuento]]*Tabla578914151634353637383940414243444536[[#This Row],[Volúmen bruto]]</f>
        <v>0</v>
      </c>
      <c r="XN17" s="34">
        <f>+Tabla578914151634353637383940414243444536[[#This Row],[Recuento]]*Tabla578914151634353637383940414243444536[[#This Row],[Área neta]]</f>
        <v>0</v>
      </c>
      <c r="XO17" s="35"/>
      <c r="XP17" s="26"/>
      <c r="XQ17"/>
      <c r="XR17"/>
      <c r="XS17"/>
      <c r="XT17"/>
      <c r="XU17"/>
      <c r="XV17"/>
      <c r="XW17" s="34">
        <f>+Tabla5789141516343536373839404142434445[[#This Row],[Recuento]]*Tabla5789141516343536373839404142434445[[#This Row],[Volúmen bruto]]</f>
        <v>0</v>
      </c>
      <c r="XX17" s="34">
        <f>+Tabla5789141516343536373839404142434445[[#This Row],[Recuento]]*Tabla5789141516343536373839404142434445[[#This Row],[Área neta]]</f>
        <v>0</v>
      </c>
      <c r="XY17" s="35"/>
      <c r="XZ17" s="26"/>
      <c r="YA17"/>
      <c r="YB17"/>
      <c r="YC17"/>
      <c r="YD17"/>
      <c r="YE17"/>
      <c r="YF17"/>
      <c r="YG17" s="34">
        <f>+Tabla578914151634353637383940414243444558[[#This Row],[Recuento]]*Tabla578914151634353637383940414243444558[[#This Row],[Volúmen bruto]]</f>
        <v>0</v>
      </c>
      <c r="YH17" s="34">
        <f>+Tabla578914151634353637383940414243444558[[#This Row],[Recuento]]*Tabla578914151634353637383940414243444558[[#This Row],[Área neta]]</f>
        <v>0</v>
      </c>
      <c r="YI17" s="35"/>
      <c r="YJ17" s="35"/>
      <c r="YK17"/>
      <c r="YL17"/>
      <c r="YM17"/>
      <c r="YN17"/>
      <c r="YO17"/>
      <c r="YQ17"/>
      <c r="YR17"/>
      <c r="YS17"/>
      <c r="YT17"/>
      <c r="YU17"/>
      <c r="YV17" s="33"/>
      <c r="YW17" s="34"/>
      <c r="YX17" s="34"/>
      <c r="YY17" s="35"/>
      <c r="YZ17" s="26"/>
      <c r="ZA17"/>
      <c r="ZB17"/>
      <c r="ZC17"/>
      <c r="ZD17"/>
      <c r="ZE17"/>
      <c r="ZF17" s="33"/>
      <c r="ZG17" s="34"/>
      <c r="ZH17" s="34"/>
      <c r="ZI17" s="35"/>
      <c r="ZJ17" s="26"/>
      <c r="ZK17" t="s">
        <v>1862</v>
      </c>
      <c r="ZL17" t="s">
        <v>1525</v>
      </c>
      <c r="ZM17" t="s">
        <v>1730</v>
      </c>
      <c r="ZN17">
        <v>0</v>
      </c>
      <c r="ZO17">
        <v>0.17</v>
      </c>
      <c r="ZP17">
        <v>1</v>
      </c>
      <c r="ZQ17" s="34">
        <f>+Tabla5789141516343536373839404142434445464748495041[[#This Row],[Recuento]]*Tabla5789141516343536373839404142434445464748495041[[#This Row],[Volúmen bruto]]</f>
        <v>0</v>
      </c>
      <c r="ZR17" s="34">
        <f>+Tabla5789141516343536373839404142434445464748495041[[#This Row],[Recuento]]*Tabla5789141516343536373839404142434445464748495041[[#This Row],[Área neta]]</f>
        <v>0.17</v>
      </c>
      <c r="ZS17" s="35"/>
      <c r="ZT17" s="26"/>
      <c r="ZU17"/>
      <c r="ZV17"/>
      <c r="ZW17"/>
      <c r="ZX17"/>
      <c r="ZY17"/>
      <c r="ZZ17"/>
      <c r="AAA17" s="34">
        <f>+Tabla57891415163435363738394041424344454647484950[[#This Row],[Recuento]]*Tabla57891415163435363738394041424344454647484950[[#This Row],[Volúmen bruto]]</f>
        <v>0</v>
      </c>
      <c r="AAB17" s="34">
        <f>+Tabla57891415163435363738394041424344454647484950[[#This Row],[Recuento]]*Tabla57891415163435363738394041424344454647484950[[#This Row],[Área neta]]</f>
        <v>0</v>
      </c>
      <c r="AAC17" s="35"/>
      <c r="AAD17" s="26"/>
      <c r="AAE17"/>
      <c r="AAF17"/>
      <c r="AAG17"/>
      <c r="AAH17"/>
      <c r="AAI17"/>
      <c r="AAJ17" s="33">
        <v>1</v>
      </c>
      <c r="AAK17" s="34">
        <v>0.32900000000000001</v>
      </c>
      <c r="AAL17" s="34">
        <v>1.3160000000000001</v>
      </c>
      <c r="AAM17" s="35"/>
      <c r="AAN17" s="26"/>
      <c r="AAO17" t="s">
        <v>1862</v>
      </c>
      <c r="AAP17" t="s">
        <v>1525</v>
      </c>
      <c r="AAQ17" t="s">
        <v>98</v>
      </c>
      <c r="AAR17">
        <v>0</v>
      </c>
      <c r="AAS17">
        <v>0.7</v>
      </c>
      <c r="AAT17">
        <v>4</v>
      </c>
      <c r="AAU17" s="34">
        <f>+Tabla5789141516343536373839404142434445464748495051[[#This Row],[Recuento]]*Tabla5789141516343536373839404142434445464748495051[[#This Row],[Volúmen bruto]]</f>
        <v>0</v>
      </c>
      <c r="AAV17" s="34">
        <f>+Tabla5789141516343536373839404142434445464748495051[[#This Row],[Recuento]]*Tabla5789141516343536373839404142434445464748495051[[#This Row],[Área neta]]</f>
        <v>2.8</v>
      </c>
      <c r="AAW17" s="36"/>
      <c r="AAX17" s="26"/>
      <c r="AAY17"/>
      <c r="AAZ17"/>
      <c r="ABA17"/>
      <c r="ABB17"/>
      <c r="ABC17"/>
      <c r="ABD17" s="33"/>
      <c r="ABE17" s="34"/>
      <c r="ABF17" s="34"/>
      <c r="ABG17" s="35"/>
      <c r="ABH17" s="26"/>
      <c r="ABI17"/>
      <c r="ABJ17"/>
      <c r="ABK17"/>
      <c r="ABL17"/>
      <c r="ABM17"/>
      <c r="ABN17" s="33"/>
      <c r="ABO17" s="34"/>
      <c r="ABP17" s="34"/>
      <c r="ABQ17" s="35"/>
      <c r="ABR17" s="26"/>
      <c r="ABS17"/>
      <c r="ABT17"/>
      <c r="ABU17"/>
      <c r="ABV17"/>
      <c r="ABW17"/>
      <c r="ABX17" s="33"/>
      <c r="ABY17" s="34"/>
      <c r="ABZ17" s="34"/>
      <c r="ACA17" s="35"/>
      <c r="ACB17" s="26"/>
      <c r="ACC17"/>
      <c r="ACD17"/>
      <c r="ACE17"/>
      <c r="ACF17"/>
      <c r="ACG17"/>
      <c r="ACH17" s="33"/>
      <c r="ACI17" s="34"/>
      <c r="ACJ17" s="34"/>
      <c r="ACK17" s="35"/>
      <c r="ACL17" s="26"/>
      <c r="ACM17"/>
      <c r="ACN17"/>
      <c r="ACO17"/>
      <c r="ACP17"/>
      <c r="ACQ17"/>
      <c r="ACR17" s="33"/>
      <c r="ACS17" s="34"/>
      <c r="ACT17" s="34"/>
      <c r="ACU17" s="35"/>
      <c r="ACV17" s="26"/>
      <c r="ACW17" t="s">
        <v>1245</v>
      </c>
      <c r="ACY17" s="2"/>
      <c r="ADA17" s="38"/>
      <c r="ADB17" s="2">
        <f t="shared" si="1"/>
        <v>0</v>
      </c>
      <c r="ADD17" t="s">
        <v>1720</v>
      </c>
      <c r="ADE17">
        <v>1.43</v>
      </c>
      <c r="ADF17">
        <v>2</v>
      </c>
      <c r="ADG17" s="26">
        <f t="shared" si="3"/>
        <v>2.86</v>
      </c>
      <c r="ADH17"/>
      <c r="ADI17"/>
      <c r="ADJ17"/>
      <c r="ADK17"/>
      <c r="ADL17"/>
      <c r="ADM17"/>
      <c r="ADN17">
        <f ca="1">+Tabla578914151634353637383940414243444546474849505152535560[[#This Row],[G. Total]]*Tabla578914151634353637383940414243444546474849505152535560[[#This Row],[Recuento]]</f>
        <v>0</v>
      </c>
      <c r="ADO17" s="36"/>
      <c r="ADP17" s="26"/>
      <c r="ADQ17"/>
      <c r="ADR17"/>
      <c r="ADS17"/>
      <c r="ADT17"/>
      <c r="ADU17"/>
      <c r="ADV17" s="35"/>
      <c r="ADW17" s="35"/>
      <c r="ADX17"/>
      <c r="ADY17"/>
      <c r="ADZ17"/>
      <c r="AEA17"/>
      <c r="AEB17"/>
      <c r="AEC17">
        <f ca="1">+Tabla57891415163435363738394041424344454647484950515253556062[[#This Row],[Total]]*Tabla57891415163435363738394041424344454647484950515253556062[[#This Row],[Recuento]]</f>
        <v>0</v>
      </c>
      <c r="AED17" s="35">
        <f ca="1">+SUM(AEC17:AEC29)</f>
        <v>0</v>
      </c>
      <c r="AEE17" s="26"/>
      <c r="AEF17"/>
      <c r="AEG17"/>
      <c r="AEH17"/>
      <c r="AEI17"/>
      <c r="AEJ17"/>
      <c r="AEK17" s="35"/>
      <c r="AEL17" s="35"/>
      <c r="AEM17" t="s">
        <v>1522</v>
      </c>
      <c r="AEN17" t="s">
        <v>1523</v>
      </c>
      <c r="AEO17" t="s">
        <v>453</v>
      </c>
      <c r="AEP17">
        <v>0.38</v>
      </c>
      <c r="AEQ17">
        <v>1</v>
      </c>
      <c r="AER17">
        <f ca="1">+Tabla5789141516343536373839404142434445464748495051525355606264[[#This Row],[G. Total]]*Tabla5789141516343536373839404142434445464748495051525355606264[[#This Row],[Recuento]]</f>
        <v>0.38</v>
      </c>
      <c r="AES17" s="35"/>
      <c r="AET17" s="26"/>
      <c r="AEU17"/>
      <c r="AEV17"/>
      <c r="AEW17"/>
      <c r="AEX17"/>
      <c r="AEY17"/>
      <c r="AEZ17" s="35"/>
      <c r="AFA17" s="26"/>
      <c r="AFB17"/>
      <c r="AFC17"/>
      <c r="AFD17"/>
      <c r="AFE17"/>
      <c r="AFF17"/>
      <c r="AFG17"/>
      <c r="AFH17" t="s">
        <v>1522</v>
      </c>
      <c r="AFI17" t="s">
        <v>1525</v>
      </c>
      <c r="AFJ17" t="s">
        <v>419</v>
      </c>
      <c r="AFK17">
        <v>0.92</v>
      </c>
      <c r="AFL17">
        <v>1</v>
      </c>
      <c r="AFM17">
        <f ca="1">+Tabla578914151634353637383940414243444546474849505152535560626467[[#This Row],[G. Total]]*Tabla578914151634353637383940414243444546474849505152535560626467[[#This Row],[Recuento]]</f>
        <v>0.92</v>
      </c>
      <c r="AFN17" s="35"/>
      <c r="AFO17" s="26"/>
      <c r="AFP17" s="2" t="s">
        <v>105</v>
      </c>
      <c r="AFQ17" s="2">
        <f>64*2</f>
        <v>128</v>
      </c>
      <c r="AFR17" s="2">
        <v>0.36</v>
      </c>
      <c r="AFS17" s="2">
        <f>+AFR17*AFQ17</f>
        <v>46.08</v>
      </c>
      <c r="AFT17" s="2">
        <v>2</v>
      </c>
      <c r="AFU17" s="2">
        <f>+AFT17*AFQ17</f>
        <v>256</v>
      </c>
      <c r="AFW17" s="2" t="s">
        <v>105</v>
      </c>
      <c r="AFX17" s="2">
        <v>4</v>
      </c>
      <c r="AFY17" s="2">
        <v>0.36</v>
      </c>
      <c r="AFZ17" s="2">
        <f>+AFY17*AFX17</f>
        <v>1.44</v>
      </c>
      <c r="AGA17" s="2">
        <v>2</v>
      </c>
      <c r="AGB17" s="2">
        <f>+AGA17*AFX17</f>
        <v>8</v>
      </c>
    </row>
    <row r="18" spans="1:860" ht="15" customHeight="1" x14ac:dyDescent="0.25">
      <c r="A18">
        <v>1</v>
      </c>
      <c r="B18" t="s">
        <v>1862</v>
      </c>
      <c r="C18" t="s">
        <v>1225</v>
      </c>
      <c r="D18" t="s">
        <v>1550</v>
      </c>
      <c r="E18">
        <v>0.18</v>
      </c>
      <c r="F18">
        <v>3.21</v>
      </c>
      <c r="G18"/>
      <c r="H18">
        <f>+Tabla3[[#This Row],[Volúmen neto]]*A18</f>
        <v>0.18</v>
      </c>
      <c r="I18">
        <f>+Tabla3[[#This Row],[Longitud de eje]]*A18</f>
        <v>3.21</v>
      </c>
      <c r="J18"/>
      <c r="K18"/>
      <c r="L18"/>
      <c r="M18"/>
      <c r="N18"/>
      <c r="O18"/>
      <c r="P18"/>
      <c r="Q18"/>
      <c r="R18">
        <f>+Tabla5[[#This Row],[Recuento]]*Tabla5[[#This Row],[Volúmen bruto]]</f>
        <v>0</v>
      </c>
      <c r="S18">
        <f>+Tabla5[[#This Row],[Recuento]]*Tabla5[[#This Row],[Área neta]]</f>
        <v>0</v>
      </c>
      <c r="T18">
        <f>+Tabla5[[#This Row],[Longitud nominal]]*Tabla5[[#This Row],[Recuento]]</f>
        <v>0</v>
      </c>
      <c r="U18" s="26"/>
      <c r="V18"/>
      <c r="W18"/>
      <c r="X18"/>
      <c r="Y18"/>
      <c r="Z18"/>
      <c r="AA18"/>
      <c r="AB18"/>
      <c r="AC18"/>
      <c r="AD18">
        <f>+Tabla522[[#This Row],[Recuento]]*Tabla522[[#This Row],[Volúmen bruto]]</f>
        <v>0</v>
      </c>
      <c r="AE18">
        <f>+Tabla522[[#This Row],[Recuento]]*Tabla522[[#This Row],[Área neta]]</f>
        <v>0</v>
      </c>
      <c r="AF18">
        <f>+Tabla522[[#This Row],[Longitud nominal]]*Tabla522[[#This Row],[Recuento]]</f>
        <v>0</v>
      </c>
      <c r="AG18" s="26">
        <f t="shared" si="4"/>
        <v>0</v>
      </c>
      <c r="AH18"/>
      <c r="AI18"/>
      <c r="AJ18"/>
      <c r="AK18"/>
      <c r="AL18"/>
      <c r="AM18"/>
      <c r="AN18"/>
      <c r="AO18"/>
      <c r="AP18">
        <f>+Tabla52223[[#This Row],[Recuento]]*Tabla52223[[#This Row],[Volúmen bruto]]</f>
        <v>0</v>
      </c>
      <c r="AQ18">
        <f>+Tabla52223[[#This Row],[Recuento]]*Tabla52223[[#This Row],[Área neta]]</f>
        <v>0</v>
      </c>
      <c r="AR18">
        <f>+Tabla52223[[#This Row],[Longitud nominal]]*Tabla52223[[#This Row],[Recuento]]</f>
        <v>0</v>
      </c>
      <c r="AS18" s="26">
        <f t="shared" si="5"/>
        <v>0</v>
      </c>
      <c r="AT18"/>
      <c r="AU18"/>
      <c r="AV18"/>
      <c r="AW18"/>
      <c r="AX18"/>
      <c r="AY18"/>
      <c r="AZ18"/>
      <c r="BA18"/>
      <c r="BB18">
        <f>+Tabla5222329[[#This Row],[Recuento]]*Tabla5222329[[#This Row],[Volúmen bruto]]</f>
        <v>0</v>
      </c>
      <c r="BC18">
        <f>+Tabla5222329[[#This Row],[Recuento]]*Tabla5222329[[#This Row],[Área neta]]</f>
        <v>0</v>
      </c>
      <c r="BD18">
        <f>+Tabla5222329[[#This Row],[Longitud nominal]]*Tabla5222329[[#This Row],[Recuento]]</f>
        <v>0</v>
      </c>
      <c r="BE18" s="26">
        <f t="shared" si="6"/>
        <v>0</v>
      </c>
      <c r="BF18">
        <v>1</v>
      </c>
      <c r="BG18" t="s">
        <v>1862</v>
      </c>
      <c r="BH18" t="s">
        <v>1524</v>
      </c>
      <c r="BI18" t="s">
        <v>1406</v>
      </c>
      <c r="BJ18">
        <v>2.25</v>
      </c>
      <c r="BK18">
        <v>2.5</v>
      </c>
      <c r="BL18">
        <f>+Tabla3102[[#This Row],[En culmo]]*BF18</f>
        <v>2.5</v>
      </c>
      <c r="BM18"/>
      <c r="BN18"/>
      <c r="BO18"/>
      <c r="BP18"/>
      <c r="BQ18"/>
      <c r="BR18"/>
      <c r="BS18">
        <v>2</v>
      </c>
      <c r="BT18">
        <f>+Tabla31069[[#This Row],[En culmo]]*BN18</f>
        <v>0</v>
      </c>
      <c r="BU18"/>
      <c r="BV18">
        <v>5</v>
      </c>
      <c r="BW18" t="s">
        <v>1862</v>
      </c>
      <c r="BX18" t="s">
        <v>1525</v>
      </c>
      <c r="BY18" t="s">
        <v>1406</v>
      </c>
      <c r="BZ18">
        <v>1.67</v>
      </c>
      <c r="CA18">
        <v>2</v>
      </c>
      <c r="CB18">
        <f>+Tabla31011[[#This Row],[En culmo]]*BV18</f>
        <v>10</v>
      </c>
      <c r="CD18">
        <v>2</v>
      </c>
      <c r="CE18" t="s">
        <v>1862</v>
      </c>
      <c r="CF18" t="s">
        <v>1525</v>
      </c>
      <c r="CG18" t="s">
        <v>1405</v>
      </c>
      <c r="CH18">
        <v>1</v>
      </c>
      <c r="CI18">
        <v>1.5</v>
      </c>
      <c r="CJ18">
        <f>+Tabla3101170[[#This Row],[En culmo]]*CD18</f>
        <v>3</v>
      </c>
      <c r="CK18"/>
      <c r="CL18">
        <v>1</v>
      </c>
      <c r="CM18" t="s">
        <v>1862</v>
      </c>
      <c r="CN18" t="s">
        <v>1383</v>
      </c>
      <c r="CO18" t="s">
        <v>1406</v>
      </c>
      <c r="CP18">
        <v>6.34</v>
      </c>
      <c r="CQ18" s="26">
        <v>6.5</v>
      </c>
      <c r="CR18">
        <f>+Tabla31011116[[#This Row],[En culmo]]*CT18</f>
        <v>26</v>
      </c>
      <c r="CT18">
        <v>4</v>
      </c>
      <c r="CU18" t="s">
        <v>1862</v>
      </c>
      <c r="CV18" t="s">
        <v>1383</v>
      </c>
      <c r="CW18" t="s">
        <v>1405</v>
      </c>
      <c r="CX18">
        <v>4.34</v>
      </c>
      <c r="CY18">
        <v>5.5</v>
      </c>
      <c r="CZ18">
        <f>+Tabla3101170117[[#This Row],[En culmo]]*CT18</f>
        <v>22</v>
      </c>
      <c r="DA18"/>
      <c r="DB18">
        <v>6</v>
      </c>
      <c r="DC18" t="s">
        <v>1862</v>
      </c>
      <c r="DD18" t="s">
        <v>1383</v>
      </c>
      <c r="DE18" t="s">
        <v>1723</v>
      </c>
      <c r="DF18">
        <v>1.25</v>
      </c>
      <c r="DG18">
        <f>+Tabla31011704[[#This Row],[Longitud de eje]]*DB18</f>
        <v>7.5</v>
      </c>
      <c r="DH18"/>
      <c r="DI18"/>
      <c r="DJ18"/>
      <c r="DK18"/>
      <c r="DL18"/>
      <c r="DM18"/>
      <c r="DN18">
        <f>+Tabla3101170411[[#This Row],[Longitud de eje]]*DI18</f>
        <v>0</v>
      </c>
      <c r="DO18"/>
      <c r="DP18"/>
      <c r="DQ18"/>
      <c r="DR18"/>
      <c r="DS18"/>
      <c r="DT18"/>
      <c r="DU18">
        <f>+Tabla3101170411120[[#This Row],[Longitud de eje]]*DP18</f>
        <v>0</v>
      </c>
      <c r="DV18"/>
      <c r="DW18"/>
      <c r="DX18"/>
      <c r="DY18"/>
      <c r="DZ18"/>
      <c r="EA18"/>
      <c r="EB18">
        <f>+Tabla3101170411120122[[#This Row],[Longitud de eje]]*DW18</f>
        <v>0</v>
      </c>
      <c r="EC18"/>
      <c r="ED18">
        <v>1</v>
      </c>
      <c r="EE18" t="s">
        <v>1862</v>
      </c>
      <c r="EF18" t="s">
        <v>1524</v>
      </c>
      <c r="EG18" t="s">
        <v>1406</v>
      </c>
      <c r="EH18">
        <v>2.9</v>
      </c>
      <c r="EI18">
        <v>3.5</v>
      </c>
      <c r="EJ18">
        <f>+Tabla3101112[[#This Row],[En culmo]]*ED18</f>
        <v>3.5</v>
      </c>
      <c r="EK18"/>
      <c r="EL18"/>
      <c r="EM18"/>
      <c r="EN18"/>
      <c r="EO18"/>
      <c r="EP18"/>
      <c r="EQ18"/>
      <c r="ER18">
        <f>+Tabla3101112123[[#This Row],[En culmo]]*EL18</f>
        <v>0</v>
      </c>
      <c r="ES18"/>
      <c r="ET18">
        <v>2</v>
      </c>
      <c r="EU18" t="s">
        <v>1862</v>
      </c>
      <c r="EV18" t="s">
        <v>1525</v>
      </c>
      <c r="EW18" t="s">
        <v>1406</v>
      </c>
      <c r="EX18">
        <v>1.67</v>
      </c>
      <c r="EY18">
        <v>2</v>
      </c>
      <c r="EZ18">
        <f>+Tabla310111257[[#This Row],[En culmo]]*ET18</f>
        <v>4</v>
      </c>
      <c r="FA18"/>
      <c r="FB18"/>
      <c r="FC18"/>
      <c r="FD18"/>
      <c r="FE18"/>
      <c r="FF18"/>
      <c r="FG18">
        <v>2.5</v>
      </c>
      <c r="FH18">
        <f>+Tabla310111257124[[#This Row],[En culmo]]*FB18</f>
        <v>0</v>
      </c>
      <c r="FI18"/>
      <c r="FJ18"/>
      <c r="FK18"/>
      <c r="FL18"/>
      <c r="FM18"/>
      <c r="FN18"/>
      <c r="FO18"/>
      <c r="FP18">
        <f>+Tabla310111213115[[#This Row],[Volúmen]]*FJ18</f>
        <v>0</v>
      </c>
      <c r="FQ18">
        <f>+Tabla310111213115[[#This Row],[Longitud del eje]]*FJ18</f>
        <v>0</v>
      </c>
      <c r="FR18"/>
      <c r="FS18"/>
      <c r="FT18"/>
      <c r="FU18"/>
      <c r="FV18"/>
      <c r="FW18"/>
      <c r="FX18">
        <f>+Tabla31011121311554[[#This Row],[Volúmen]]*FR18</f>
        <v>0</v>
      </c>
      <c r="FY18">
        <f>+Tabla31011121311554[[#This Row],[Longitud del eje]]*FR18</f>
        <v>0</v>
      </c>
      <c r="FZ18">
        <v>2</v>
      </c>
      <c r="GA18" t="s">
        <v>1862</v>
      </c>
      <c r="GB18" t="s">
        <v>1524</v>
      </c>
      <c r="GC18" t="s">
        <v>1584</v>
      </c>
      <c r="GD18">
        <v>7.0000000000000007E-2</v>
      </c>
      <c r="GE18">
        <v>1.7</v>
      </c>
      <c r="GF18">
        <f>+Tabla3101112131157[[#This Row],[Volúmen]]*FZ18</f>
        <v>0.14000000000000001</v>
      </c>
      <c r="GG18">
        <f>+Tabla3101112131157[[#This Row],[Longitud del eje]]*FZ18</f>
        <v>3.4</v>
      </c>
      <c r="GI18"/>
      <c r="GJ18"/>
      <c r="GK18"/>
      <c r="GL18"/>
      <c r="GM18"/>
      <c r="GN18"/>
      <c r="GO18"/>
      <c r="GQ18" t="s">
        <v>1862</v>
      </c>
      <c r="GR18" t="s">
        <v>1383</v>
      </c>
      <c r="GS18" t="s">
        <v>1667</v>
      </c>
      <c r="GT18">
        <v>1.46</v>
      </c>
      <c r="GU18">
        <v>16.27</v>
      </c>
      <c r="GV18">
        <v>1</v>
      </c>
      <c r="GW18">
        <f>+Tabla578914[[#This Row],[Recuento]]*Tabla578914[[#This Row],[Volúmen bruto]]</f>
        <v>1.46</v>
      </c>
      <c r="GX18">
        <f>+Tabla578914[[#This Row],[Recuento]]*Tabla578914[[#This Row],[Área neta]]</f>
        <v>16.27</v>
      </c>
      <c r="GY18" s="35">
        <f>+SUM(GX18:GX31)</f>
        <v>178.54000000000002</v>
      </c>
      <c r="HA18" t="s">
        <v>1862</v>
      </c>
      <c r="HB18" t="s">
        <v>1383</v>
      </c>
      <c r="HC18" t="s">
        <v>98</v>
      </c>
      <c r="HD18">
        <v>0.01</v>
      </c>
      <c r="HE18">
        <v>9.9700000000000006</v>
      </c>
      <c r="HF18">
        <v>1</v>
      </c>
      <c r="HG18">
        <f>+Tabla578914126[[#This Row],[Recuento]]*Tabla578914126[[#This Row],[Volúmen bruto]]</f>
        <v>0.01</v>
      </c>
      <c r="HH18">
        <f>+Tabla578914126[[#This Row],[Recuento]]*Tabla578914126[[#This Row],[Área neta]]</f>
        <v>9.9700000000000006</v>
      </c>
      <c r="HI18" s="36"/>
      <c r="HK18" t="s">
        <v>1862</v>
      </c>
      <c r="HL18" t="s">
        <v>1383</v>
      </c>
      <c r="HM18" t="s">
        <v>1667</v>
      </c>
      <c r="HN18">
        <v>0.42</v>
      </c>
      <c r="HO18">
        <v>4.66</v>
      </c>
      <c r="HP18">
        <v>1</v>
      </c>
      <c r="HQ18">
        <f>+Tabla578914126127[[#This Row],[Recuento]]*Tabla578914126127[[#This Row],[Volúmen bruto]]</f>
        <v>0.42</v>
      </c>
      <c r="HR18">
        <f>+Tabla578914126127[[#This Row],[Recuento]]*Tabla578914126127[[#This Row],[Área neta]]</f>
        <v>4.66</v>
      </c>
      <c r="HS18" s="36"/>
      <c r="HT18" s="26"/>
      <c r="HU18"/>
      <c r="HV18"/>
      <c r="HW18"/>
      <c r="HX18"/>
      <c r="HY18"/>
      <c r="HZ18"/>
      <c r="IA18"/>
      <c r="IB18"/>
      <c r="IC18" s="35"/>
      <c r="ID18" s="26"/>
      <c r="IE18"/>
      <c r="IF18"/>
      <c r="IG18"/>
      <c r="IH18"/>
      <c r="II18"/>
      <c r="IJ18"/>
      <c r="IK18"/>
      <c r="IL18"/>
      <c r="IM18" s="35"/>
      <c r="IN18" s="26"/>
      <c r="IO18"/>
      <c r="IP18"/>
      <c r="IQ18"/>
      <c r="IR18"/>
      <c r="IS18"/>
      <c r="IT18"/>
      <c r="IU18"/>
      <c r="IV18">
        <f>+Tabla520212223[[#This Row],[Recuento]]*Tabla520212223[[#This Row],[Área neta]]</f>
        <v>0</v>
      </c>
      <c r="IW18" s="26">
        <f t="shared" si="0"/>
        <v>0</v>
      </c>
      <c r="IY18"/>
      <c r="IZ18"/>
      <c r="JA18"/>
      <c r="JB18"/>
      <c r="JC18"/>
      <c r="JD18"/>
      <c r="JE18">
        <f>+Tabla520212224[[#This Row],[Recuento]]*Tabla520212224[[#This Row],[Volúmen bruto]]</f>
        <v>0</v>
      </c>
      <c r="JF18">
        <f>+Tabla520212224[[#This Row],[Recuento]]*Tabla520212224[[#This Row],[Área neta]]</f>
        <v>0</v>
      </c>
      <c r="JG18" s="26"/>
      <c r="JI18" t="s">
        <v>1862</v>
      </c>
      <c r="JJ18" t="s">
        <v>1525</v>
      </c>
      <c r="JK18" t="s">
        <v>97</v>
      </c>
      <c r="JL18">
        <v>0.16</v>
      </c>
      <c r="JM18">
        <v>7.77</v>
      </c>
      <c r="JN18">
        <v>2</v>
      </c>
      <c r="JO18">
        <f>+Tabla52021222425[[#This Row],[Recuento]]*Tabla52021222425[[#This Row],[Volúmen bruto]]</f>
        <v>0.32</v>
      </c>
      <c r="JP18">
        <f>+Tabla52021222425[[#This Row],[Recuento]]*Tabla52021222425[[#This Row],[Área neta]]</f>
        <v>15.54</v>
      </c>
      <c r="JQ18" s="26"/>
      <c r="JS18" t="s">
        <v>1862</v>
      </c>
      <c r="JT18" t="s">
        <v>1525</v>
      </c>
      <c r="JU18" t="s">
        <v>97</v>
      </c>
      <c r="JV18">
        <v>7.0000000000000007E-2</v>
      </c>
      <c r="JW18">
        <v>3.04</v>
      </c>
      <c r="JX18">
        <v>2</v>
      </c>
      <c r="JY18">
        <f>+Tabla5202122242526[[#This Row],[Recuento]]*Tabla5202122242526[[#This Row],[Volúmen bruto]]</f>
        <v>0.14000000000000001</v>
      </c>
      <c r="JZ18">
        <f>+Tabla5202122242526[[#This Row],[Recuento]]*Tabla5202122242526[[#This Row],[Área neta]]</f>
        <v>6.08</v>
      </c>
      <c r="KA18" s="415"/>
      <c r="KC18"/>
      <c r="KD18"/>
      <c r="KE18"/>
      <c r="KF18"/>
      <c r="KG18"/>
      <c r="KH18"/>
      <c r="KI18">
        <f>+Tabla5202122242526104[[#This Row],[Recuento]]*Tabla5202122242526104[[#This Row],[Volúmen bruto]]</f>
        <v>0</v>
      </c>
      <c r="KJ18">
        <f>+Tabla5202122242526104[[#This Row],[Recuento]]*Tabla5202122242526104[[#This Row],[Área neta]]</f>
        <v>0</v>
      </c>
      <c r="KK18" s="26"/>
      <c r="KM18" t="s">
        <v>1862</v>
      </c>
      <c r="KN18" t="s">
        <v>1525</v>
      </c>
      <c r="KO18" t="s">
        <v>1628</v>
      </c>
      <c r="KP18">
        <v>0.17</v>
      </c>
      <c r="KQ18">
        <v>6.73</v>
      </c>
      <c r="KR18">
        <v>1</v>
      </c>
      <c r="KS18">
        <f>+Tabla5202122242526104110[[#This Row],[Recuento]]*Tabla5202122242526104110[[#This Row],[Volúmen bruto]]</f>
        <v>0.17</v>
      </c>
      <c r="KT18">
        <f>+Tabla5202122242526104110[[#This Row],[Recuento]]*Tabla5202122242526104110[[#This Row],[Área neta]]</f>
        <v>6.73</v>
      </c>
      <c r="KU18" s="26"/>
      <c r="KW18" t="s">
        <v>1863</v>
      </c>
      <c r="KX18" t="s">
        <v>1524</v>
      </c>
      <c r="KY18" t="s">
        <v>97</v>
      </c>
      <c r="KZ18">
        <v>0.11</v>
      </c>
      <c r="LA18">
        <v>0.53</v>
      </c>
      <c r="LB18">
        <v>2</v>
      </c>
      <c r="LC18">
        <f>+Tabla520212224252659[[#This Row],[Recuento]]*Tabla520212224252659[[#This Row],[Volúmen bruto]]</f>
        <v>0.22</v>
      </c>
      <c r="LD18">
        <f>+Tabla520212224252659[[#This Row],[Recuento]]*Tabla520212224252659[[#This Row],[Área neta]]</f>
        <v>1.06</v>
      </c>
      <c r="LE18" s="26">
        <f>+SUM(LD18:LD19)</f>
        <v>8.5</v>
      </c>
      <c r="LG18"/>
      <c r="LH18"/>
      <c r="LI18"/>
      <c r="LJ18"/>
      <c r="LK18"/>
      <c r="LL18"/>
      <c r="LM18">
        <f>+Tabla520212224252659111[[#This Row],[Recuento]]*Tabla520212224252659111[[#This Row],[Volúmen bruto]]</f>
        <v>0</v>
      </c>
      <c r="LN18">
        <f>+Tabla520212224252659111[[#This Row],[Recuento]]*Tabla520212224252659111[[#This Row],[Área neta]]</f>
        <v>0</v>
      </c>
      <c r="LO18" s="26"/>
      <c r="LQ18"/>
      <c r="LR18"/>
      <c r="LS18"/>
      <c r="LT18"/>
      <c r="LU18"/>
      <c r="LV18"/>
      <c r="LW18">
        <f>+Tabla520212224252659111114[[#This Row],[Recuento]]*Tabla520212224252659111114[[#This Row],[Volúmen bruto]]</f>
        <v>0</v>
      </c>
      <c r="LX18">
        <f>+Tabla520212224252659111114[[#This Row],[Recuento]]*Tabla520212224252659111114[[#This Row],[Área neta]]</f>
        <v>0</v>
      </c>
      <c r="LY18" s="26"/>
      <c r="MA18" t="s">
        <v>1862</v>
      </c>
      <c r="MB18" t="s">
        <v>1525</v>
      </c>
      <c r="MC18" t="s">
        <v>97</v>
      </c>
      <c r="MD18">
        <v>0.05</v>
      </c>
      <c r="ME18">
        <v>4.24</v>
      </c>
      <c r="MF18">
        <v>2</v>
      </c>
      <c r="MG18">
        <f>+Tabla520212224252659111114128[[#This Row],[Recuento]]*Tabla520212224252659111114128[[#This Row],[Volúmen bruto]]</f>
        <v>0.1</v>
      </c>
      <c r="MH18">
        <f>+Tabla520212224252659111114128[[#This Row],[Recuento]]*Tabla520212224252659111114128[[#This Row],[Área neta]]</f>
        <v>8.48</v>
      </c>
      <c r="MI18" s="26"/>
      <c r="MK18" t="s">
        <v>1863</v>
      </c>
      <c r="ML18" t="s">
        <v>1525</v>
      </c>
      <c r="MM18" t="s">
        <v>95</v>
      </c>
      <c r="MN18">
        <v>0</v>
      </c>
      <c r="MO18">
        <v>0.99</v>
      </c>
      <c r="MP18">
        <v>1</v>
      </c>
      <c r="MQ18">
        <f>+Tabla520212224252627[[#This Row],[Recuento]]*Tabla520212224252627[[#This Row],[Volúmen bruto]]</f>
        <v>0</v>
      </c>
      <c r="MR18">
        <f>+Tabla520212224252627[[#This Row],[Recuento]]*Tabla520212224252627[[#This Row],[Área neta]]</f>
        <v>0.99</v>
      </c>
      <c r="MS18" s="26">
        <f>+SUM(MR18)</f>
        <v>0.99</v>
      </c>
      <c r="MU18" t="s">
        <v>1549</v>
      </c>
      <c r="MV18" t="s">
        <v>1525</v>
      </c>
      <c r="MW18" t="s">
        <v>99</v>
      </c>
      <c r="MX18">
        <v>0</v>
      </c>
      <c r="MY18">
        <v>0.09</v>
      </c>
      <c r="MZ18">
        <v>2</v>
      </c>
      <c r="NA18">
        <f>+Tabla520212224252627129[[#This Row],[Recuento]]*Tabla520212224252627129[[#This Row],[Volúmen bruto]]</f>
        <v>0</v>
      </c>
      <c r="NB18">
        <f>+Tabla520212224252627129[[#This Row],[Recuento]]*Tabla520212224252627129[[#This Row],[Área neta]]</f>
        <v>0.18</v>
      </c>
      <c r="NC18" s="26"/>
      <c r="NE18"/>
      <c r="NF18"/>
      <c r="NG18"/>
      <c r="NH18"/>
      <c r="NI18"/>
      <c r="NJ18"/>
      <c r="NK18">
        <f>+Tabla520212224252627129125[[#This Row],[Recuento]]*Tabla520212224252627129125[[#This Row],[Volúmen bruto]]</f>
        <v>0</v>
      </c>
      <c r="NL18">
        <f>+Tabla520212224252627129125[[#This Row],[Recuento]]*Tabla520212224252627129125[[#This Row],[Área neta]]</f>
        <v>0</v>
      </c>
      <c r="NM18" s="26"/>
      <c r="NO18" t="s">
        <v>1549</v>
      </c>
      <c r="NP18" t="s">
        <v>1525</v>
      </c>
      <c r="NQ18" t="s">
        <v>1677</v>
      </c>
      <c r="NR18">
        <v>0</v>
      </c>
      <c r="NS18">
        <v>0.63</v>
      </c>
      <c r="NT18">
        <v>1</v>
      </c>
      <c r="NU18">
        <f>+Tabla520212224252627129125130[[#This Row],[Recuento]]*Tabla520212224252627129125130[[#This Row],[Volúmen bruto]]</f>
        <v>0</v>
      </c>
      <c r="NV18">
        <f>+Tabla520212224252627129125130[[#This Row],[Recuento]]*Tabla520212224252627129125130[[#This Row],[Área neta]]</f>
        <v>0.63</v>
      </c>
      <c r="NW18" s="26"/>
      <c r="NY18"/>
      <c r="NZ18"/>
      <c r="OA18"/>
      <c r="OB18"/>
      <c r="OC18"/>
      <c r="OD18"/>
      <c r="OE18">
        <f>+Tabla520212224252627129125130131[[#This Row],[Recuento]]*Tabla520212224252627129125130131[[#This Row],[Volúmen bruto]]</f>
        <v>0</v>
      </c>
      <c r="OF18">
        <f>+Tabla520212224252627129125130131[[#This Row],[Recuento]]*Tabla520212224252627129125130131[[#This Row],[Área neta]]</f>
        <v>0</v>
      </c>
      <c r="OG18" s="26"/>
      <c r="OI18" t="s">
        <v>1549</v>
      </c>
      <c r="OJ18" t="s">
        <v>1525</v>
      </c>
      <c r="OK18" t="s">
        <v>1781</v>
      </c>
      <c r="OL18">
        <v>0</v>
      </c>
      <c r="OM18">
        <v>0.1</v>
      </c>
      <c r="ON18">
        <v>1</v>
      </c>
      <c r="OO18">
        <f>+Tabla520212224252627129125130131132[[#This Row],[Recuento]]*Tabla520212224252627129125130131132[[#This Row],[Volúmen bruto]]</f>
        <v>0</v>
      </c>
      <c r="OP18">
        <f>+Tabla520212224252627129125130131132[[#This Row],[Recuento]]*Tabla520212224252627129125130131132[[#This Row],[Área neta]]</f>
        <v>0.1</v>
      </c>
      <c r="OQ18" s="26"/>
      <c r="OS18"/>
      <c r="OT18"/>
      <c r="OU18"/>
      <c r="OV18"/>
      <c r="OW18"/>
      <c r="OX18"/>
      <c r="OY18">
        <f>+Tabla52021222425262728[[#This Row],[Recuento]]*Tabla52021222425262728[[#This Row],[Volúmen bruto]]</f>
        <v>0</v>
      </c>
      <c r="OZ18">
        <f>+Tabla52021222425262728[[#This Row],[Recuento]]*Tabla52021222425262728[[#This Row],[Área neta]]</f>
        <v>0</v>
      </c>
      <c r="PA18" s="26"/>
      <c r="PC18" t="s">
        <v>1862</v>
      </c>
      <c r="PD18" t="s">
        <v>1525</v>
      </c>
      <c r="PE18" t="s">
        <v>1628</v>
      </c>
      <c r="PF18">
        <v>0.08</v>
      </c>
      <c r="PG18">
        <v>3.05</v>
      </c>
      <c r="PH18">
        <v>1</v>
      </c>
      <c r="PI18">
        <f>+Tabla52021222425262728133[[#This Row],[Recuento]]*Tabla52021222425262728133[[#This Row],[Volúmen bruto]]</f>
        <v>0.08</v>
      </c>
      <c r="PJ18">
        <f>+Tabla52021222425262728133[[#This Row],[Recuento]]*Tabla52021222425262728133[[#This Row],[Área neta]]</f>
        <v>3.05</v>
      </c>
      <c r="PK18" s="26"/>
      <c r="PM18" t="s">
        <v>1863</v>
      </c>
      <c r="PN18" t="s">
        <v>1524</v>
      </c>
      <c r="PO18" t="s">
        <v>1680</v>
      </c>
      <c r="PP18">
        <v>0.01</v>
      </c>
      <c r="PQ18">
        <v>2.2000000000000002</v>
      </c>
      <c r="PR18">
        <v>1</v>
      </c>
      <c r="PS18">
        <f>+Tabla5202122242526272893[[#This Row],[Recuento]]*Tabla5202122242526272893[[#This Row],[Volúmen bruto]]</f>
        <v>0.01</v>
      </c>
      <c r="PT18">
        <f>+Tabla5202122242526272893[[#This Row],[Recuento]]*Tabla5202122242526272893[[#This Row],[Área neta]]</f>
        <v>2.2000000000000002</v>
      </c>
      <c r="PU18" s="26">
        <f>+SUM(PT18)</f>
        <v>2.2000000000000002</v>
      </c>
      <c r="PW18" t="s">
        <v>1862</v>
      </c>
      <c r="PX18" t="s">
        <v>1525</v>
      </c>
      <c r="PY18" t="s">
        <v>1628</v>
      </c>
      <c r="PZ18">
        <v>0.02</v>
      </c>
      <c r="QA18">
        <v>1.24</v>
      </c>
      <c r="QB18">
        <v>1</v>
      </c>
      <c r="QC18">
        <f>+Tabla520212224252627289349[[#This Row],[Recuento]]*Tabla520212224252627289349[[#This Row],[Volúmen bruto]]</f>
        <v>0.02</v>
      </c>
      <c r="QD18">
        <f>+Tabla520212224252627289349[[#This Row],[Recuento]]*Tabla520212224252627289349[[#This Row],[Área neta]]</f>
        <v>1.24</v>
      </c>
      <c r="QE18" s="26"/>
      <c r="QG18"/>
      <c r="QH18"/>
      <c r="QI18"/>
      <c r="QJ18"/>
      <c r="QK18"/>
      <c r="QL18"/>
      <c r="QM18">
        <f>+Tabla520212224252627289349134[[#This Row],[Recuento]]*Tabla520212224252627289349134[[#This Row],[Volúmen bruto]]</f>
        <v>0</v>
      </c>
      <c r="QN18">
        <f>+Tabla520212224252627289349134[[#This Row],[Recuento]]*Tabla520212224252627289349134[[#This Row],[Área neta]]</f>
        <v>0</v>
      </c>
      <c r="QO18" s="26"/>
      <c r="QQ18" t="s">
        <v>1862</v>
      </c>
      <c r="QR18" t="s">
        <v>1524</v>
      </c>
      <c r="QS18" t="s">
        <v>1726</v>
      </c>
      <c r="QT18">
        <v>0.08</v>
      </c>
      <c r="QU18">
        <v>0.38</v>
      </c>
      <c r="QV18">
        <v>1</v>
      </c>
      <c r="QW18">
        <v>1</v>
      </c>
      <c r="QX18">
        <f>+Tabla5202122242526272829[[#This Row],[Recuento]]*Tabla5202122242526272829[[#This Row],[Volúmen bruto]]</f>
        <v>0.08</v>
      </c>
      <c r="QY18">
        <f>+Tabla5202122242526272829[[#This Row],[Recuento]]*Tabla5202122242526272829[[#This Row],[Área neta]]</f>
        <v>0.38</v>
      </c>
      <c r="QZ18">
        <f>+Tabla5202122242526272829[[#This Row],[Recuento]]*Tabla5202122242526272829[[#This Row],[Longitud]]</f>
        <v>1</v>
      </c>
      <c r="RA18" s="26"/>
      <c r="RC18"/>
      <c r="RD18"/>
      <c r="RE18"/>
      <c r="RF18"/>
      <c r="RG18"/>
      <c r="RH18"/>
      <c r="RI18"/>
      <c r="RJ18"/>
      <c r="RK18" s="26"/>
      <c r="RM18"/>
      <c r="RN18"/>
      <c r="RO18"/>
      <c r="RP18"/>
      <c r="RQ18"/>
      <c r="RR18"/>
      <c r="RS18">
        <f>+Tabla5202122242526272831329[[#This Row],[Recuento]]*Tabla5202122242526272831329[[#This Row],[Volúmen bruto]]</f>
        <v>0</v>
      </c>
      <c r="RT18">
        <f>+Tabla5202122242526272831329[[#This Row],[Recuento]]*Tabla5202122242526272831329[[#This Row],[Área neta]]</f>
        <v>0</v>
      </c>
      <c r="RU18" s="26"/>
      <c r="RW18"/>
      <c r="RX18"/>
      <c r="RY18"/>
      <c r="RZ18"/>
      <c r="SA18"/>
      <c r="SB18"/>
      <c r="SC18">
        <f>+Tabla52021222425262728313233[[#This Row],[Recuento]]*Tabla52021222425262728313233[[#This Row],[Volúmen bruto]]</f>
        <v>0</v>
      </c>
      <c r="SD18">
        <f>+Tabla52021222425262728313233[[#This Row],[Recuento]]*Tabla52021222425262728313233[[#This Row],[Área neta]]</f>
        <v>0</v>
      </c>
      <c r="SE18" s="26"/>
      <c r="SG18"/>
      <c r="SH18"/>
      <c r="SI18"/>
      <c r="SJ18"/>
      <c r="SK18"/>
      <c r="SL18"/>
      <c r="SM18">
        <f>+Tabla5202122242526272831323314[[#This Row],[Recuento]]*Tabla5202122242526272831323314[[#This Row],[Volúmen bruto]]</f>
        <v>0</v>
      </c>
      <c r="SN18">
        <f>+Tabla5202122242526272831323314[[#This Row],[Recuento]]*Tabla5202122242526272831323314[[#This Row],[Área neta]]</f>
        <v>0</v>
      </c>
      <c r="SO18" s="26"/>
      <c r="SQ18" t="s">
        <v>1862</v>
      </c>
      <c r="SR18" t="s">
        <v>1524</v>
      </c>
      <c r="SS18" t="s">
        <v>94</v>
      </c>
      <c r="ST18">
        <v>0.57999999999999996</v>
      </c>
      <c r="SU18">
        <v>5.75</v>
      </c>
      <c r="SV18">
        <v>1</v>
      </c>
      <c r="SW18" s="34">
        <f>+Tabla5789141516[[#This Row],[Recuento]]*Tabla5789141516[[#This Row],[Volúmen bruto]]</f>
        <v>0.57999999999999996</v>
      </c>
      <c r="SX18" s="34">
        <f>+Tabla5789141516[[#This Row],[Recuento]]*Tabla5789141516[[#This Row],[Área neta]]</f>
        <v>5.75</v>
      </c>
      <c r="SY18" s="36"/>
      <c r="SZ18" s="26"/>
      <c r="TA18"/>
      <c r="TB18"/>
      <c r="TC18"/>
      <c r="TD18"/>
      <c r="TE18"/>
      <c r="TF18" s="33"/>
      <c r="TG18" s="34"/>
      <c r="TH18" s="34"/>
      <c r="TI18" s="36"/>
      <c r="TJ18" s="26"/>
      <c r="TK18" t="s">
        <v>1863</v>
      </c>
      <c r="TL18" t="s">
        <v>1525</v>
      </c>
      <c r="TM18" t="s">
        <v>94</v>
      </c>
      <c r="TN18">
        <v>0.33</v>
      </c>
      <c r="TO18">
        <v>4.0999999999999996</v>
      </c>
      <c r="TP18">
        <v>1</v>
      </c>
      <c r="TQ18" s="34">
        <f>+Tabla57891415163435[[#This Row],[Recuento]]*Tabla57891415163435[[#This Row],[Volúmen bruto]]</f>
        <v>0.33</v>
      </c>
      <c r="TR18" s="34">
        <f>+Tabla57891415163435[[#This Row],[Recuento]]*Tabla57891415163435[[#This Row],[Área neta]]</f>
        <v>4.0999999999999996</v>
      </c>
      <c r="TS18" s="35">
        <f>+SUM(TR18:TR19)</f>
        <v>6.67</v>
      </c>
      <c r="TT18" s="26"/>
      <c r="TU18"/>
      <c r="TV18"/>
      <c r="TW18"/>
      <c r="TX18"/>
      <c r="TY18"/>
      <c r="TZ18" s="33"/>
      <c r="UA18" s="34"/>
      <c r="UB18" s="34"/>
      <c r="UC18" s="36"/>
      <c r="UD18" s="26"/>
      <c r="UE18"/>
      <c r="UF18"/>
      <c r="UG18"/>
      <c r="UH18"/>
      <c r="UI18"/>
      <c r="UJ18" s="33"/>
      <c r="UK18" s="34"/>
      <c r="UL18" s="34"/>
      <c r="UM18" s="36"/>
      <c r="UN18" s="26"/>
      <c r="UO18"/>
      <c r="UP18"/>
      <c r="UQ18"/>
      <c r="UR18"/>
      <c r="US18"/>
      <c r="UT18" s="33"/>
      <c r="UU18" s="34"/>
      <c r="UV18" s="34"/>
      <c r="UW18" s="36"/>
      <c r="UX18" s="26"/>
      <c r="UY18"/>
      <c r="UZ18"/>
      <c r="VA18"/>
      <c r="VB18"/>
      <c r="VC18"/>
      <c r="VD18" s="33"/>
      <c r="VE18" s="34"/>
      <c r="VF18" s="34"/>
      <c r="VG18" s="36"/>
      <c r="VH18" s="26"/>
      <c r="VI18"/>
      <c r="VJ18"/>
      <c r="VK18"/>
      <c r="VL18"/>
      <c r="VM18"/>
      <c r="VN18" s="33"/>
      <c r="VO18" s="34"/>
      <c r="VP18" s="34"/>
      <c r="VQ18" s="36"/>
      <c r="VR18" s="26"/>
      <c r="VS18"/>
      <c r="VT18"/>
      <c r="VU18"/>
      <c r="VV18"/>
      <c r="VW18"/>
      <c r="VX18" s="33"/>
      <c r="VY18" s="34"/>
      <c r="VZ18" s="34"/>
      <c r="WA18" s="36"/>
      <c r="WB18" s="26"/>
      <c r="WC18"/>
      <c r="WD18"/>
      <c r="WE18"/>
      <c r="WF18"/>
      <c r="WG18"/>
      <c r="WH18" s="33"/>
      <c r="WI18" s="34"/>
      <c r="WJ18" s="34"/>
      <c r="WK18" s="36"/>
      <c r="WL18" s="26"/>
      <c r="WM18"/>
      <c r="WN18"/>
      <c r="WO18"/>
      <c r="WP18"/>
      <c r="WQ18"/>
      <c r="WR18" s="33"/>
      <c r="WS18" s="34"/>
      <c r="WT18" s="34"/>
      <c r="WU18" s="36"/>
      <c r="WV18" s="26"/>
      <c r="WW18"/>
      <c r="WX18"/>
      <c r="WY18"/>
      <c r="WZ18"/>
      <c r="XA18"/>
      <c r="XB18" s="33"/>
      <c r="XC18" s="34"/>
      <c r="XD18" s="34"/>
      <c r="XE18" s="36"/>
      <c r="XF18" s="26"/>
      <c r="XG18"/>
      <c r="XH18"/>
      <c r="XI18"/>
      <c r="XJ18"/>
      <c r="XK18"/>
      <c r="XL18"/>
      <c r="XM18" s="34">
        <f>+Tabla578914151634353637383940414243444536[[#This Row],[Recuento]]*Tabla578914151634353637383940414243444536[[#This Row],[Volúmen bruto]]</f>
        <v>0</v>
      </c>
      <c r="XN18" s="34">
        <f>+Tabla578914151634353637383940414243444536[[#This Row],[Recuento]]*Tabla578914151634353637383940414243444536[[#This Row],[Área neta]]</f>
        <v>0</v>
      </c>
      <c r="XO18" s="35"/>
      <c r="XP18" s="26"/>
      <c r="XQ18"/>
      <c r="XR18"/>
      <c r="XS18"/>
      <c r="XT18"/>
      <c r="XU18"/>
      <c r="XV18"/>
      <c r="XW18" s="34">
        <f>+Tabla5789141516343536373839404142434445[[#This Row],[Recuento]]*Tabla5789141516343536373839404142434445[[#This Row],[Volúmen bruto]]</f>
        <v>0</v>
      </c>
      <c r="XX18" s="34">
        <f>+Tabla5789141516343536373839404142434445[[#This Row],[Recuento]]*Tabla5789141516343536373839404142434445[[#This Row],[Área neta]]</f>
        <v>0</v>
      </c>
      <c r="XY18" s="35"/>
      <c r="XZ18" s="26"/>
      <c r="YA18"/>
      <c r="YB18"/>
      <c r="YC18"/>
      <c r="YD18"/>
      <c r="YE18"/>
      <c r="YF18"/>
      <c r="YG18" s="34">
        <f>+Tabla578914151634353637383940414243444558[[#This Row],[Recuento]]*Tabla578914151634353637383940414243444558[[#This Row],[Volúmen bruto]]</f>
        <v>0</v>
      </c>
      <c r="YH18" s="34">
        <f>+Tabla578914151634353637383940414243444558[[#This Row],[Recuento]]*Tabla578914151634353637383940414243444558[[#This Row],[Área neta]]</f>
        <v>0</v>
      </c>
      <c r="YI18" s="35"/>
      <c r="YJ18" s="35"/>
      <c r="YK18"/>
      <c r="YL18"/>
      <c r="YM18"/>
      <c r="YN18"/>
      <c r="YO18"/>
      <c r="YQ18"/>
      <c r="YR18"/>
      <c r="YS18"/>
      <c r="YT18"/>
      <c r="YU18"/>
      <c r="YV18" s="33"/>
      <c r="YW18" s="34"/>
      <c r="YX18" s="34"/>
      <c r="YY18" s="35"/>
      <c r="YZ18" s="26"/>
      <c r="ZA18"/>
      <c r="ZB18"/>
      <c r="ZC18"/>
      <c r="ZD18"/>
      <c r="ZE18"/>
      <c r="ZF18" s="33"/>
      <c r="ZG18" s="34"/>
      <c r="ZH18" s="34"/>
      <c r="ZI18" s="35"/>
      <c r="ZJ18" s="26"/>
      <c r="ZK18" t="s">
        <v>1862</v>
      </c>
      <c r="ZL18" t="s">
        <v>1525</v>
      </c>
      <c r="ZM18" t="s">
        <v>1730</v>
      </c>
      <c r="ZN18"/>
      <c r="ZO18"/>
      <c r="ZP18">
        <v>1</v>
      </c>
      <c r="ZQ18" s="34">
        <f>+Tabla5789141516343536373839404142434445464748495041[[#This Row],[Recuento]]*Tabla5789141516343536373839404142434445464748495041[[#This Row],[Volúmen bruto]]</f>
        <v>0</v>
      </c>
      <c r="ZR18" s="34">
        <f>+Tabla5789141516343536373839404142434445464748495041[[#This Row],[Recuento]]*Tabla5789141516343536373839404142434445464748495041[[#This Row],[Área neta]]</f>
        <v>0</v>
      </c>
      <c r="ZS18" s="35"/>
      <c r="ZT18" s="26"/>
      <c r="ZU18"/>
      <c r="ZV18"/>
      <c r="ZW18"/>
      <c r="ZX18"/>
      <c r="ZY18"/>
      <c r="ZZ18"/>
      <c r="AAA18" s="34">
        <f>+Tabla57891415163435363738394041424344454647484950[[#This Row],[Recuento]]*Tabla57891415163435363738394041424344454647484950[[#This Row],[Volúmen bruto]]</f>
        <v>0</v>
      </c>
      <c r="AAB18" s="34">
        <f>+Tabla57891415163435363738394041424344454647484950[[#This Row],[Recuento]]*Tabla57891415163435363738394041424344454647484950[[#This Row],[Área neta]]</f>
        <v>0</v>
      </c>
      <c r="AAC18" s="35"/>
      <c r="AAD18" s="26"/>
      <c r="AAE18"/>
      <c r="AAF18"/>
      <c r="AAG18"/>
      <c r="AAH18"/>
      <c r="AAI18"/>
      <c r="AAJ18" s="33">
        <v>1</v>
      </c>
      <c r="AAK18" s="34">
        <v>0.52986</v>
      </c>
      <c r="AAL18" s="34">
        <v>8.8309999999999995</v>
      </c>
      <c r="AAM18" s="35"/>
      <c r="AAN18" s="26"/>
      <c r="AAO18" t="s">
        <v>1863</v>
      </c>
      <c r="AAP18" t="s">
        <v>1524</v>
      </c>
      <c r="AAQ18" t="s">
        <v>92</v>
      </c>
      <c r="AAR18">
        <v>0.02</v>
      </c>
      <c r="AAS18">
        <v>0.35</v>
      </c>
      <c r="AAT18">
        <v>6</v>
      </c>
      <c r="AAU18" s="34">
        <f>+Tabla5789141516343536373839404142434445464748495051[[#This Row],[Recuento]]*Tabla5789141516343536373839404142434445464748495051[[#This Row],[Volúmen bruto]]</f>
        <v>0.12</v>
      </c>
      <c r="AAV18" s="34">
        <f>+Tabla5789141516343536373839404142434445464748495051[[#This Row],[Recuento]]*Tabla5789141516343536373839404142434445464748495051[[#This Row],[Área neta]]</f>
        <v>2.0999999999999996</v>
      </c>
      <c r="AAW18" s="35">
        <f>+SUM(AAV18:AAV19)</f>
        <v>3.1499999999999995</v>
      </c>
      <c r="AAX18" s="26"/>
      <c r="AAY18"/>
      <c r="AAZ18"/>
      <c r="ABA18"/>
      <c r="ABB18"/>
      <c r="ABC18"/>
      <c r="ABD18" s="33"/>
      <c r="ABE18" s="34"/>
      <c r="ABF18" s="34"/>
      <c r="ABG18" s="35"/>
      <c r="ABH18" s="26"/>
      <c r="ABI18"/>
      <c r="ABJ18"/>
      <c r="ABK18"/>
      <c r="ABL18"/>
      <c r="ABM18"/>
      <c r="ABN18" s="33"/>
      <c r="ABO18" s="34"/>
      <c r="ABP18" s="34"/>
      <c r="ABQ18" s="35"/>
      <c r="ABR18" s="26"/>
      <c r="ABS18"/>
      <c r="ABT18"/>
      <c r="ABU18"/>
      <c r="ABV18"/>
      <c r="ABW18"/>
      <c r="ABX18" s="33"/>
      <c r="ABY18" s="34"/>
      <c r="ABZ18" s="34"/>
      <c r="ACA18" s="35"/>
      <c r="ACB18" s="26"/>
      <c r="ACC18"/>
      <c r="ACD18"/>
      <c r="ACE18"/>
      <c r="ACF18"/>
      <c r="ACG18"/>
      <c r="ACH18" s="33"/>
      <c r="ACI18" s="34"/>
      <c r="ACJ18" s="34"/>
      <c r="ACK18" s="35"/>
      <c r="ACL18" s="26"/>
      <c r="ACM18"/>
      <c r="ACN18"/>
      <c r="ACO18"/>
      <c r="ACP18"/>
      <c r="ACQ18"/>
      <c r="ACR18" s="33"/>
      <c r="ACS18" s="34"/>
      <c r="ACT18" s="34"/>
      <c r="ACU18" s="35"/>
      <c r="ACV18" s="26"/>
      <c r="ACW18" t="s">
        <v>1246</v>
      </c>
      <c r="ACY18" s="2"/>
      <c r="ADA18" s="38"/>
      <c r="ADB18" s="2">
        <f t="shared" si="1"/>
        <v>0</v>
      </c>
      <c r="ADD18" t="s">
        <v>1720</v>
      </c>
      <c r="ADE18">
        <v>2.5</v>
      </c>
      <c r="ADF18">
        <v>4</v>
      </c>
      <c r="ADG18" s="26">
        <f t="shared" si="3"/>
        <v>10</v>
      </c>
      <c r="ADH18"/>
      <c r="ADI18"/>
      <c r="ADJ18"/>
      <c r="ADK18"/>
      <c r="ADL18"/>
      <c r="ADM18"/>
      <c r="ADN18">
        <f ca="1">+Tabla578914151634353637383940414243444546474849505152535560[[#This Row],[G. Total]]*Tabla578914151634353637383940414243444546474849505152535560[[#This Row],[Recuento]]</f>
        <v>0</v>
      </c>
      <c r="ADO18" s="35"/>
      <c r="ADP18" s="26"/>
      <c r="ADQ18"/>
      <c r="ADR18"/>
      <c r="ADS18"/>
      <c r="ADT18"/>
      <c r="ADU18"/>
      <c r="ADV18" s="35"/>
      <c r="ADW18" s="35"/>
      <c r="ADX18"/>
      <c r="ADY18"/>
      <c r="ADZ18"/>
      <c r="AEA18"/>
      <c r="AEB18"/>
      <c r="AEC18">
        <f ca="1">+Tabla57891415163435363738394041424344454647484950515253556062[[#This Row],[Total]]*Tabla57891415163435363738394041424344454647484950515253556062[[#This Row],[Recuento]]</f>
        <v>0</v>
      </c>
      <c r="AED18" s="35"/>
      <c r="AEE18" s="26"/>
      <c r="AEF18"/>
      <c r="AEG18"/>
      <c r="AEH18"/>
      <c r="AEI18"/>
      <c r="AEJ18"/>
      <c r="AEK18" s="35"/>
      <c r="AEL18" s="35"/>
      <c r="AEM18" t="s">
        <v>1522</v>
      </c>
      <c r="AEN18" t="s">
        <v>1523</v>
      </c>
      <c r="AEO18" t="s">
        <v>453</v>
      </c>
      <c r="AEP18">
        <v>0.4</v>
      </c>
      <c r="AEQ18">
        <v>1</v>
      </c>
      <c r="AER18">
        <f ca="1">+Tabla5789141516343536373839404142434445464748495051525355606264[[#This Row],[G. Total]]*Tabla5789141516343536373839404142434445464748495051525355606264[[#This Row],[Recuento]]</f>
        <v>0.4</v>
      </c>
      <c r="AES18" s="35"/>
      <c r="AET18" s="26"/>
      <c r="AEU18"/>
      <c r="AEV18"/>
      <c r="AEW18"/>
      <c r="AEX18"/>
      <c r="AEY18"/>
      <c r="AEZ18" s="35"/>
      <c r="AFA18" s="26"/>
      <c r="AFB18"/>
      <c r="AFC18"/>
      <c r="AFD18"/>
      <c r="AFE18"/>
      <c r="AFF18"/>
      <c r="AFG18"/>
      <c r="AFH18" t="s">
        <v>1522</v>
      </c>
      <c r="AFI18" t="s">
        <v>1525</v>
      </c>
      <c r="AFJ18" t="s">
        <v>419</v>
      </c>
      <c r="AFK18">
        <v>1.3</v>
      </c>
      <c r="AFL18">
        <v>1</v>
      </c>
      <c r="AFM18">
        <f ca="1">+Tabla578914151634353637383940414243444546474849505152535560626467[[#This Row],[G. Total]]*Tabla578914151634353637383940414243444546474849505152535560626467[[#This Row],[Recuento]]</f>
        <v>1.3</v>
      </c>
      <c r="AFN18" s="36"/>
      <c r="AFO18" s="26"/>
      <c r="AFP18" s="2" t="s">
        <v>106</v>
      </c>
      <c r="AFW18" s="2" t="s">
        <v>106</v>
      </c>
    </row>
    <row r="19" spans="1:860" ht="15" customHeight="1" x14ac:dyDescent="0.25">
      <c r="A19">
        <v>1</v>
      </c>
      <c r="B19" t="s">
        <v>1862</v>
      </c>
      <c r="C19" t="s">
        <v>1225</v>
      </c>
      <c r="D19" t="s">
        <v>1550</v>
      </c>
      <c r="E19">
        <v>0.28000000000000003</v>
      </c>
      <c r="F19">
        <v>5</v>
      </c>
      <c r="G19"/>
      <c r="H19">
        <f>+Tabla3[[#This Row],[Volúmen neto]]*A19</f>
        <v>0.28000000000000003</v>
      </c>
      <c r="I19">
        <f>+Tabla3[[#This Row],[Longitud de eje]]*A19</f>
        <v>5</v>
      </c>
      <c r="J19"/>
      <c r="K19"/>
      <c r="L19"/>
      <c r="M19"/>
      <c r="N19"/>
      <c r="O19"/>
      <c r="P19"/>
      <c r="Q19"/>
      <c r="R19">
        <f>+Tabla5[[#This Row],[Recuento]]*Tabla5[[#This Row],[Volúmen bruto]]</f>
        <v>0</v>
      </c>
      <c r="S19">
        <f>+Tabla5[[#This Row],[Recuento]]*Tabla5[[#This Row],[Área neta]]</f>
        <v>0</v>
      </c>
      <c r="T19">
        <f>+Tabla5[[#This Row],[Longitud nominal]]*Tabla5[[#This Row],[Recuento]]</f>
        <v>0</v>
      </c>
      <c r="U19" s="26"/>
      <c r="V19"/>
      <c r="W19"/>
      <c r="X19"/>
      <c r="Y19"/>
      <c r="Z19"/>
      <c r="AA19"/>
      <c r="AB19"/>
      <c r="AC19"/>
      <c r="AD19">
        <f>+Tabla522[[#This Row],[Recuento]]*Tabla522[[#This Row],[Volúmen bruto]]</f>
        <v>0</v>
      </c>
      <c r="AE19">
        <f>+Tabla522[[#This Row],[Recuento]]*Tabla522[[#This Row],[Área neta]]</f>
        <v>0</v>
      </c>
      <c r="AF19">
        <f>+Tabla522[[#This Row],[Longitud nominal]]*Tabla522[[#This Row],[Recuento]]</f>
        <v>0</v>
      </c>
      <c r="AG19" s="26">
        <f t="shared" si="4"/>
        <v>0</v>
      </c>
      <c r="AH19"/>
      <c r="AI19"/>
      <c r="AJ19"/>
      <c r="AK19"/>
      <c r="AL19"/>
      <c r="AM19"/>
      <c r="AN19"/>
      <c r="AO19"/>
      <c r="AP19">
        <f>+Tabla52223[[#This Row],[Recuento]]*Tabla52223[[#This Row],[Volúmen bruto]]</f>
        <v>0</v>
      </c>
      <c r="AQ19">
        <f>+Tabla52223[[#This Row],[Recuento]]*Tabla52223[[#This Row],[Área neta]]</f>
        <v>0</v>
      </c>
      <c r="AR19">
        <f>+Tabla52223[[#This Row],[Longitud nominal]]*Tabla52223[[#This Row],[Recuento]]</f>
        <v>0</v>
      </c>
      <c r="AS19" s="26">
        <f t="shared" si="5"/>
        <v>0</v>
      </c>
      <c r="AT19"/>
      <c r="AU19"/>
      <c r="AV19"/>
      <c r="AW19"/>
      <c r="AX19"/>
      <c r="AY19"/>
      <c r="AZ19"/>
      <c r="BA19"/>
      <c r="BB19">
        <f>+Tabla5222329[[#This Row],[Recuento]]*Tabla5222329[[#This Row],[Volúmen bruto]]</f>
        <v>0</v>
      </c>
      <c r="BC19">
        <f>+Tabla5222329[[#This Row],[Recuento]]*Tabla5222329[[#This Row],[Área neta]]</f>
        <v>0</v>
      </c>
      <c r="BD19">
        <f>+Tabla5222329[[#This Row],[Longitud nominal]]*Tabla5222329[[#This Row],[Recuento]]</f>
        <v>0</v>
      </c>
      <c r="BE19" s="26">
        <f t="shared" si="6"/>
        <v>0</v>
      </c>
      <c r="BF19">
        <v>1</v>
      </c>
      <c r="BG19" t="s">
        <v>1862</v>
      </c>
      <c r="BH19" t="s">
        <v>1524</v>
      </c>
      <c r="BI19" t="s">
        <v>1406</v>
      </c>
      <c r="BJ19">
        <v>2.2000000000000002</v>
      </c>
      <c r="BK19">
        <v>2.5</v>
      </c>
      <c r="BL19">
        <f>+Tabla3102[[#This Row],[En culmo]]*BF19</f>
        <v>2.5</v>
      </c>
      <c r="BM19"/>
      <c r="BN19"/>
      <c r="BO19"/>
      <c r="BP19"/>
      <c r="BQ19"/>
      <c r="BR19"/>
      <c r="BS19"/>
      <c r="BT19">
        <f>+Tabla31069[[#This Row],[En culmo]]*BN19</f>
        <v>0</v>
      </c>
      <c r="BU19"/>
      <c r="BV19">
        <v>1</v>
      </c>
      <c r="BW19" t="s">
        <v>1862</v>
      </c>
      <c r="BX19" t="s">
        <v>1525</v>
      </c>
      <c r="BY19" t="s">
        <v>1406</v>
      </c>
      <c r="BZ19">
        <v>1.7</v>
      </c>
      <c r="CA19">
        <v>2</v>
      </c>
      <c r="CB19">
        <f>+Tabla31011[[#This Row],[En culmo]]*BV19</f>
        <v>2</v>
      </c>
      <c r="CD19">
        <v>17</v>
      </c>
      <c r="CE19" t="s">
        <v>1862</v>
      </c>
      <c r="CF19" t="s">
        <v>1525</v>
      </c>
      <c r="CG19" t="s">
        <v>1405</v>
      </c>
      <c r="CH19">
        <v>0.6</v>
      </c>
      <c r="CI19">
        <v>1</v>
      </c>
      <c r="CJ19">
        <f>+Tabla3101170[[#This Row],[En culmo]]*CD19</f>
        <v>17</v>
      </c>
      <c r="CK19"/>
      <c r="CL19">
        <v>1</v>
      </c>
      <c r="CM19" t="s">
        <v>1862</v>
      </c>
      <c r="CN19" t="s">
        <v>1383</v>
      </c>
      <c r="CO19" t="s">
        <v>1406</v>
      </c>
      <c r="CP19">
        <v>15.57</v>
      </c>
      <c r="CQ19" s="26">
        <v>16</v>
      </c>
      <c r="CR19">
        <f>+Tabla31011116[[#This Row],[En culmo]]*CT19</f>
        <v>32</v>
      </c>
      <c r="CT19">
        <v>2</v>
      </c>
      <c r="CU19" t="s">
        <v>1862</v>
      </c>
      <c r="CV19" t="s">
        <v>1383</v>
      </c>
      <c r="CW19" t="s">
        <v>1405</v>
      </c>
      <c r="CX19">
        <v>5.2</v>
      </c>
      <c r="CY19">
        <v>4.5</v>
      </c>
      <c r="CZ19">
        <f>+Tabla3101170117[[#This Row],[En culmo]]*CT19</f>
        <v>9</v>
      </c>
      <c r="DA19"/>
      <c r="DB19">
        <v>2</v>
      </c>
      <c r="DC19" t="s">
        <v>1862</v>
      </c>
      <c r="DD19" t="s">
        <v>1383</v>
      </c>
      <c r="DE19" t="s">
        <v>1723</v>
      </c>
      <c r="DF19">
        <v>1.17</v>
      </c>
      <c r="DG19">
        <f>+Tabla31011704[[#This Row],[Longitud de eje]]*DB19</f>
        <v>2.34</v>
      </c>
      <c r="DH19"/>
      <c r="DI19"/>
      <c r="DJ19"/>
      <c r="DK19"/>
      <c r="DL19"/>
      <c r="DM19"/>
      <c r="DN19">
        <f>+Tabla3101170411[[#This Row],[Longitud de eje]]*DI19</f>
        <v>0</v>
      </c>
      <c r="DO19"/>
      <c r="DP19"/>
      <c r="DQ19"/>
      <c r="DR19"/>
      <c r="DS19"/>
      <c r="DT19"/>
      <c r="DU19">
        <f>+Tabla3101170411120[[#This Row],[Longitud de eje]]*DP19</f>
        <v>0</v>
      </c>
      <c r="DV19"/>
      <c r="DW19"/>
      <c r="DX19"/>
      <c r="DY19"/>
      <c r="DZ19"/>
      <c r="EA19"/>
      <c r="EB19">
        <f>+Tabla3101170411120122[[#This Row],[Longitud de eje]]*DW19</f>
        <v>0</v>
      </c>
      <c r="EC19"/>
      <c r="ED19">
        <v>3</v>
      </c>
      <c r="EE19" t="s">
        <v>1862</v>
      </c>
      <c r="EF19" t="s">
        <v>1524</v>
      </c>
      <c r="EG19" t="s">
        <v>1406</v>
      </c>
      <c r="EH19">
        <v>2.72</v>
      </c>
      <c r="EI19">
        <v>3</v>
      </c>
      <c r="EJ19">
        <f>+Tabla3101112[[#This Row],[En culmo]]*ED19</f>
        <v>9</v>
      </c>
      <c r="EK19"/>
      <c r="EL19"/>
      <c r="EM19"/>
      <c r="EN19"/>
      <c r="EO19"/>
      <c r="EP19"/>
      <c r="EQ19"/>
      <c r="ER19">
        <f>+Tabla3101112123[[#This Row],[En culmo]]*EL19</f>
        <v>0</v>
      </c>
      <c r="ES19"/>
      <c r="ET19">
        <v>4</v>
      </c>
      <c r="EU19" t="s">
        <v>1862</v>
      </c>
      <c r="EV19" t="s">
        <v>1525</v>
      </c>
      <c r="EW19" t="s">
        <v>1406</v>
      </c>
      <c r="EX19">
        <v>0.72</v>
      </c>
      <c r="EY19">
        <v>1</v>
      </c>
      <c r="EZ19">
        <f>+Tabla310111257[[#This Row],[En culmo]]*ET19</f>
        <v>4</v>
      </c>
      <c r="FA19"/>
      <c r="FB19"/>
      <c r="FC19"/>
      <c r="FD19"/>
      <c r="FE19"/>
      <c r="FF19"/>
      <c r="FG19">
        <v>1</v>
      </c>
      <c r="FH19">
        <f>+Tabla310111257124[[#This Row],[En culmo]]*FB19</f>
        <v>0</v>
      </c>
      <c r="FI19"/>
      <c r="FJ19"/>
      <c r="FK19"/>
      <c r="FL19"/>
      <c r="FM19"/>
      <c r="FN19"/>
      <c r="FO19"/>
      <c r="FP19">
        <f>+Tabla310111213115[[#This Row],[Volúmen]]*FJ19</f>
        <v>0</v>
      </c>
      <c r="FQ19">
        <f>+Tabla310111213115[[#This Row],[Longitud del eje]]*FJ19</f>
        <v>0</v>
      </c>
      <c r="FR19"/>
      <c r="FS19"/>
      <c r="FT19"/>
      <c r="FU19"/>
      <c r="FV19"/>
      <c r="FW19"/>
      <c r="FX19">
        <f>+Tabla31011121311554[[#This Row],[Volúmen]]*FR19</f>
        <v>0</v>
      </c>
      <c r="FY19">
        <f>+Tabla31011121311554[[#This Row],[Longitud del eje]]*FR19</f>
        <v>0</v>
      </c>
      <c r="FZ19">
        <v>1</v>
      </c>
      <c r="GA19" t="s">
        <v>1862</v>
      </c>
      <c r="GB19" t="s">
        <v>1524</v>
      </c>
      <c r="GC19" t="s">
        <v>1584</v>
      </c>
      <c r="GD19">
        <v>0.03</v>
      </c>
      <c r="GE19">
        <v>1.3</v>
      </c>
      <c r="GF19">
        <f>+Tabla3101112131157[[#This Row],[Volúmen]]*FZ19</f>
        <v>0.03</v>
      </c>
      <c r="GG19">
        <f>+Tabla3101112131157[[#This Row],[Longitud del eje]]*FZ19</f>
        <v>1.3</v>
      </c>
      <c r="GI19"/>
      <c r="GJ19"/>
      <c r="GK19"/>
      <c r="GL19"/>
      <c r="GM19"/>
      <c r="GN19"/>
      <c r="GO19"/>
      <c r="GQ19" t="s">
        <v>1862</v>
      </c>
      <c r="GR19" t="s">
        <v>1383</v>
      </c>
      <c r="GS19" t="s">
        <v>1667</v>
      </c>
      <c r="GT19">
        <v>1.76</v>
      </c>
      <c r="GU19">
        <v>19.559999999999999</v>
      </c>
      <c r="GV19">
        <v>1</v>
      </c>
      <c r="GW19">
        <f>+Tabla578914[[#This Row],[Recuento]]*Tabla578914[[#This Row],[Volúmen bruto]]</f>
        <v>1.76</v>
      </c>
      <c r="GX19">
        <f>+Tabla578914[[#This Row],[Recuento]]*Tabla578914[[#This Row],[Área neta]]</f>
        <v>19.559999999999999</v>
      </c>
      <c r="GY19" s="35"/>
      <c r="HA19" t="s">
        <v>1862</v>
      </c>
      <c r="HB19" t="s">
        <v>1383</v>
      </c>
      <c r="HC19" t="s">
        <v>98</v>
      </c>
      <c r="HD19">
        <v>0.01</v>
      </c>
      <c r="HE19">
        <v>13.22</v>
      </c>
      <c r="HF19">
        <v>1</v>
      </c>
      <c r="HG19">
        <f>+Tabla578914126[[#This Row],[Recuento]]*Tabla578914126[[#This Row],[Volúmen bruto]]</f>
        <v>0.01</v>
      </c>
      <c r="HH19">
        <f>+Tabla578914126[[#This Row],[Recuento]]*Tabla578914126[[#This Row],[Área neta]]</f>
        <v>13.22</v>
      </c>
      <c r="HI19" s="35"/>
      <c r="HK19" t="s">
        <v>1862</v>
      </c>
      <c r="HL19" t="s">
        <v>1383</v>
      </c>
      <c r="HM19" t="s">
        <v>1667</v>
      </c>
      <c r="HN19">
        <v>0.12</v>
      </c>
      <c r="HO19">
        <v>1.35</v>
      </c>
      <c r="HP19">
        <v>1</v>
      </c>
      <c r="HQ19">
        <f>+Tabla578914126127[[#This Row],[Recuento]]*Tabla578914126127[[#This Row],[Volúmen bruto]]</f>
        <v>0.12</v>
      </c>
      <c r="HR19">
        <f>+Tabla578914126127[[#This Row],[Recuento]]*Tabla578914126127[[#This Row],[Área neta]]</f>
        <v>1.35</v>
      </c>
      <c r="HS19" s="35"/>
      <c r="HT19" s="26"/>
      <c r="HU19"/>
      <c r="HV19"/>
      <c r="HW19"/>
      <c r="HX19"/>
      <c r="HY19"/>
      <c r="HZ19"/>
      <c r="IA19"/>
      <c r="IB19"/>
      <c r="IC19" s="36"/>
      <c r="ID19" s="26"/>
      <c r="IE19"/>
      <c r="IF19"/>
      <c r="IG19"/>
      <c r="IH19"/>
      <c r="II19"/>
      <c r="IJ19"/>
      <c r="IK19"/>
      <c r="IL19"/>
      <c r="IM19" s="36"/>
      <c r="IN19" s="26"/>
      <c r="IO19"/>
      <c r="IP19"/>
      <c r="IQ19"/>
      <c r="IR19"/>
      <c r="IS19"/>
      <c r="IT19"/>
      <c r="IU19"/>
      <c r="IV19">
        <f>+Tabla520212223[[#This Row],[Recuento]]*Tabla520212223[[#This Row],[Área neta]]</f>
        <v>0</v>
      </c>
      <c r="IW19" s="26">
        <f t="shared" si="0"/>
        <v>0</v>
      </c>
      <c r="IY19"/>
      <c r="IZ19"/>
      <c r="JA19"/>
      <c r="JB19"/>
      <c r="JC19"/>
      <c r="JD19"/>
      <c r="JE19">
        <f>+Tabla520212224[[#This Row],[Recuento]]*Tabla520212224[[#This Row],[Volúmen bruto]]</f>
        <v>0</v>
      </c>
      <c r="JF19">
        <f>+Tabla520212224[[#This Row],[Recuento]]*Tabla520212224[[#This Row],[Área neta]]</f>
        <v>0</v>
      </c>
      <c r="JG19" s="26"/>
      <c r="JI19" t="s">
        <v>1862</v>
      </c>
      <c r="JJ19" t="s">
        <v>1525</v>
      </c>
      <c r="JK19" t="s">
        <v>97</v>
      </c>
      <c r="JL19">
        <v>0.22</v>
      </c>
      <c r="JM19">
        <v>11</v>
      </c>
      <c r="JN19">
        <v>4</v>
      </c>
      <c r="JO19">
        <f>+Tabla52021222425[[#This Row],[Recuento]]*Tabla52021222425[[#This Row],[Volúmen bruto]]</f>
        <v>0.88</v>
      </c>
      <c r="JP19">
        <f>+Tabla52021222425[[#This Row],[Recuento]]*Tabla52021222425[[#This Row],[Área neta]]</f>
        <v>44</v>
      </c>
      <c r="JQ19" s="26"/>
      <c r="JS19" t="s">
        <v>1862</v>
      </c>
      <c r="JT19" t="s">
        <v>1525</v>
      </c>
      <c r="JU19" t="s">
        <v>97</v>
      </c>
      <c r="JV19">
        <v>0.06</v>
      </c>
      <c r="JW19">
        <v>2.33</v>
      </c>
      <c r="JX19">
        <v>2</v>
      </c>
      <c r="JY19">
        <f>+Tabla5202122242526[[#This Row],[Recuento]]*Tabla5202122242526[[#This Row],[Volúmen bruto]]</f>
        <v>0.12</v>
      </c>
      <c r="JZ19">
        <f>+Tabla5202122242526[[#This Row],[Recuento]]*Tabla5202122242526[[#This Row],[Área neta]]</f>
        <v>4.66</v>
      </c>
      <c r="KA19" s="26"/>
      <c r="KC19"/>
      <c r="KD19"/>
      <c r="KE19"/>
      <c r="KF19"/>
      <c r="KG19"/>
      <c r="KH19"/>
      <c r="KI19">
        <f>+Tabla5202122242526104[[#This Row],[Recuento]]*Tabla5202122242526104[[#This Row],[Volúmen bruto]]</f>
        <v>0</v>
      </c>
      <c r="KJ19">
        <f>+Tabla5202122242526104[[#This Row],[Recuento]]*Tabla5202122242526104[[#This Row],[Área neta]]</f>
        <v>0</v>
      </c>
      <c r="KK19" s="26"/>
      <c r="KM19" t="s">
        <v>1862</v>
      </c>
      <c r="KN19" t="s">
        <v>1524</v>
      </c>
      <c r="KO19" t="s">
        <v>97</v>
      </c>
      <c r="KP19">
        <v>0.06</v>
      </c>
      <c r="KQ19">
        <v>1</v>
      </c>
      <c r="KR19">
        <v>1</v>
      </c>
      <c r="KS19">
        <f>+Tabla5202122242526104110[[#This Row],[Recuento]]*Tabla5202122242526104110[[#This Row],[Volúmen bruto]]</f>
        <v>0.06</v>
      </c>
      <c r="KT19">
        <f>+Tabla5202122242526104110[[#This Row],[Recuento]]*Tabla5202122242526104110[[#This Row],[Área neta]]</f>
        <v>1</v>
      </c>
      <c r="KU19" s="26">
        <f>+SUM(KT19:KT33)</f>
        <v>46.710000000000008</v>
      </c>
      <c r="KW19" t="s">
        <v>1863</v>
      </c>
      <c r="KX19" t="s">
        <v>1524</v>
      </c>
      <c r="KY19" t="s">
        <v>97</v>
      </c>
      <c r="KZ19">
        <v>0.16</v>
      </c>
      <c r="LA19">
        <v>7.44</v>
      </c>
      <c r="LB19">
        <v>1</v>
      </c>
      <c r="LC19">
        <f>+Tabla520212224252659[[#This Row],[Recuento]]*Tabla520212224252659[[#This Row],[Volúmen bruto]]</f>
        <v>0.16</v>
      </c>
      <c r="LD19">
        <f>+Tabla520212224252659[[#This Row],[Recuento]]*Tabla520212224252659[[#This Row],[Área neta]]</f>
        <v>7.44</v>
      </c>
      <c r="LE19" s="26"/>
      <c r="LG19"/>
      <c r="LH19"/>
      <c r="LI19"/>
      <c r="LJ19"/>
      <c r="LK19"/>
      <c r="LL19"/>
      <c r="LM19">
        <f>+Tabla520212224252659111[[#This Row],[Recuento]]*Tabla520212224252659111[[#This Row],[Volúmen bruto]]</f>
        <v>0</v>
      </c>
      <c r="LN19">
        <f>+Tabla520212224252659111[[#This Row],[Recuento]]*Tabla520212224252659111[[#This Row],[Área neta]]</f>
        <v>0</v>
      </c>
      <c r="LO19" s="26"/>
      <c r="LQ19"/>
      <c r="LR19"/>
      <c r="LS19"/>
      <c r="LT19"/>
      <c r="LU19"/>
      <c r="LV19"/>
      <c r="LW19">
        <f>+Tabla520212224252659111114[[#This Row],[Recuento]]*Tabla520212224252659111114[[#This Row],[Volúmen bruto]]</f>
        <v>0</v>
      </c>
      <c r="LX19">
        <f>+Tabla520212224252659111114[[#This Row],[Recuento]]*Tabla520212224252659111114[[#This Row],[Área neta]]</f>
        <v>0</v>
      </c>
      <c r="LY19" s="26"/>
      <c r="MA19" t="s">
        <v>1862</v>
      </c>
      <c r="MB19" t="s">
        <v>1525</v>
      </c>
      <c r="MC19" t="s">
        <v>97</v>
      </c>
      <c r="MD19">
        <v>0.12</v>
      </c>
      <c r="ME19">
        <v>6.24</v>
      </c>
      <c r="MF19">
        <v>2</v>
      </c>
      <c r="MG19">
        <f>+Tabla520212224252659111114128[[#This Row],[Recuento]]*Tabla520212224252659111114128[[#This Row],[Volúmen bruto]]</f>
        <v>0.24</v>
      </c>
      <c r="MH19">
        <f>+Tabla520212224252659111114128[[#This Row],[Recuento]]*Tabla520212224252659111114128[[#This Row],[Área neta]]</f>
        <v>12.48</v>
      </c>
      <c r="MI19" s="26"/>
      <c r="MK19" t="s">
        <v>1863</v>
      </c>
      <c r="ML19" t="s">
        <v>1525</v>
      </c>
      <c r="MM19" t="s">
        <v>98</v>
      </c>
      <c r="MN19">
        <v>0</v>
      </c>
      <c r="MO19">
        <v>0.99</v>
      </c>
      <c r="MP19">
        <v>1</v>
      </c>
      <c r="MQ19">
        <f>+Tabla520212224252627[[#This Row],[Recuento]]*Tabla520212224252627[[#This Row],[Volúmen bruto]]</f>
        <v>0</v>
      </c>
      <c r="MR19">
        <f>+Tabla520212224252627[[#This Row],[Recuento]]*Tabla520212224252627[[#This Row],[Área neta]]</f>
        <v>0.99</v>
      </c>
      <c r="MS19" s="26">
        <f>+SUM(MR19)</f>
        <v>0.99</v>
      </c>
      <c r="MU19" t="s">
        <v>1549</v>
      </c>
      <c r="MV19" t="s">
        <v>1525</v>
      </c>
      <c r="MW19" t="s">
        <v>99</v>
      </c>
      <c r="MX19">
        <v>0</v>
      </c>
      <c r="MY19">
        <v>0.14000000000000001</v>
      </c>
      <c r="MZ19">
        <v>1</v>
      </c>
      <c r="NA19">
        <f>+Tabla520212224252627129[[#This Row],[Recuento]]*Tabla520212224252627129[[#This Row],[Volúmen bruto]]</f>
        <v>0</v>
      </c>
      <c r="NB19">
        <f>+Tabla520212224252627129[[#This Row],[Recuento]]*Tabla520212224252627129[[#This Row],[Área neta]]</f>
        <v>0.14000000000000001</v>
      </c>
      <c r="NC19" s="26"/>
      <c r="NE19"/>
      <c r="NF19"/>
      <c r="NG19"/>
      <c r="NH19"/>
      <c r="NI19"/>
      <c r="NJ19"/>
      <c r="NK19">
        <f>+Tabla520212224252627129125[[#This Row],[Recuento]]*Tabla520212224252627129125[[#This Row],[Volúmen bruto]]</f>
        <v>0</v>
      </c>
      <c r="NL19">
        <f>+Tabla520212224252627129125[[#This Row],[Recuento]]*Tabla520212224252627129125[[#This Row],[Área neta]]</f>
        <v>0</v>
      </c>
      <c r="NM19" s="26"/>
      <c r="NO19" t="s">
        <v>1549</v>
      </c>
      <c r="NP19" t="s">
        <v>1525</v>
      </c>
      <c r="NQ19" t="s">
        <v>1677</v>
      </c>
      <c r="NR19">
        <v>0</v>
      </c>
      <c r="NS19">
        <v>1.63</v>
      </c>
      <c r="NT19">
        <v>1</v>
      </c>
      <c r="NU19">
        <f>+Tabla520212224252627129125130[[#This Row],[Recuento]]*Tabla520212224252627129125130[[#This Row],[Volúmen bruto]]</f>
        <v>0</v>
      </c>
      <c r="NV19">
        <f>+Tabla520212224252627129125130[[#This Row],[Recuento]]*Tabla520212224252627129125130[[#This Row],[Área neta]]</f>
        <v>1.63</v>
      </c>
      <c r="NW19" s="26"/>
      <c r="NY19"/>
      <c r="NZ19"/>
      <c r="OA19"/>
      <c r="OB19"/>
      <c r="OC19"/>
      <c r="OD19"/>
      <c r="OE19">
        <f>+Tabla520212224252627129125130131[[#This Row],[Recuento]]*Tabla520212224252627129125130131[[#This Row],[Volúmen bruto]]</f>
        <v>0</v>
      </c>
      <c r="OF19">
        <f>+Tabla520212224252627129125130131[[#This Row],[Recuento]]*Tabla520212224252627129125130131[[#This Row],[Área neta]]</f>
        <v>0</v>
      </c>
      <c r="OG19" s="26"/>
      <c r="OI19" t="s">
        <v>1549</v>
      </c>
      <c r="OJ19" t="s">
        <v>1525</v>
      </c>
      <c r="OK19" t="s">
        <v>1781</v>
      </c>
      <c r="OL19">
        <v>0</v>
      </c>
      <c r="OM19">
        <v>0.1</v>
      </c>
      <c r="ON19">
        <v>1</v>
      </c>
      <c r="OO19">
        <f>+Tabla520212224252627129125130131132[[#This Row],[Recuento]]*Tabla520212224252627129125130131132[[#This Row],[Volúmen bruto]]</f>
        <v>0</v>
      </c>
      <c r="OP19">
        <f>+Tabla520212224252627129125130131132[[#This Row],[Recuento]]*Tabla520212224252627129125130131132[[#This Row],[Área neta]]</f>
        <v>0.1</v>
      </c>
      <c r="OQ19" s="26"/>
      <c r="OS19"/>
      <c r="OT19"/>
      <c r="OU19"/>
      <c r="OV19"/>
      <c r="OW19"/>
      <c r="OX19"/>
      <c r="OY19">
        <f>+Tabla52021222425262728[[#This Row],[Recuento]]*Tabla52021222425262728[[#This Row],[Volúmen bruto]]</f>
        <v>0</v>
      </c>
      <c r="OZ19">
        <f>+Tabla52021222425262728[[#This Row],[Recuento]]*Tabla52021222425262728[[#This Row],[Área neta]]</f>
        <v>0</v>
      </c>
      <c r="PA19" s="26"/>
      <c r="PC19" t="s">
        <v>1862</v>
      </c>
      <c r="PD19" t="s">
        <v>1525</v>
      </c>
      <c r="PE19" t="s">
        <v>1628</v>
      </c>
      <c r="PF19">
        <v>0.03</v>
      </c>
      <c r="PG19">
        <v>1.5</v>
      </c>
      <c r="PH19">
        <v>1</v>
      </c>
      <c r="PI19">
        <f>+Tabla52021222425262728133[[#This Row],[Recuento]]*Tabla52021222425262728133[[#This Row],[Volúmen bruto]]</f>
        <v>0.03</v>
      </c>
      <c r="PJ19">
        <f>+Tabla52021222425262728133[[#This Row],[Recuento]]*Tabla52021222425262728133[[#This Row],[Área neta]]</f>
        <v>1.5</v>
      </c>
      <c r="PK19" s="26"/>
      <c r="PM19" t="s">
        <v>1863</v>
      </c>
      <c r="PN19" t="s">
        <v>1524</v>
      </c>
      <c r="PO19" t="s">
        <v>1676</v>
      </c>
      <c r="PP19">
        <v>0.24</v>
      </c>
      <c r="PQ19">
        <v>1.99</v>
      </c>
      <c r="PR19">
        <v>1</v>
      </c>
      <c r="PS19">
        <f>+Tabla5202122242526272893[[#This Row],[Recuento]]*Tabla5202122242526272893[[#This Row],[Volúmen bruto]]</f>
        <v>0.24</v>
      </c>
      <c r="PT19">
        <f>+Tabla5202122242526272893[[#This Row],[Recuento]]*Tabla5202122242526272893[[#This Row],[Área neta]]</f>
        <v>1.99</v>
      </c>
      <c r="PU19" s="26">
        <f>+SUM(PT19)</f>
        <v>1.99</v>
      </c>
      <c r="PW19" t="s">
        <v>1862</v>
      </c>
      <c r="PX19" t="s">
        <v>1525</v>
      </c>
      <c r="PY19" t="s">
        <v>1628</v>
      </c>
      <c r="PZ19">
        <v>0.02</v>
      </c>
      <c r="QA19">
        <v>0.96</v>
      </c>
      <c r="QB19">
        <v>1</v>
      </c>
      <c r="QC19">
        <f>+Tabla520212224252627289349[[#This Row],[Recuento]]*Tabla520212224252627289349[[#This Row],[Volúmen bruto]]</f>
        <v>0.02</v>
      </c>
      <c r="QD19">
        <f>+Tabla520212224252627289349[[#This Row],[Recuento]]*Tabla520212224252627289349[[#This Row],[Área neta]]</f>
        <v>0.96</v>
      </c>
      <c r="QE19" s="26"/>
      <c r="QG19"/>
      <c r="QH19"/>
      <c r="QI19"/>
      <c r="QJ19"/>
      <c r="QK19"/>
      <c r="QL19"/>
      <c r="QM19">
        <f>+Tabla520212224252627289349134[[#This Row],[Recuento]]*Tabla520212224252627289349134[[#This Row],[Volúmen bruto]]</f>
        <v>0</v>
      </c>
      <c r="QN19">
        <f>+Tabla520212224252627289349134[[#This Row],[Recuento]]*Tabla520212224252627289349134[[#This Row],[Área neta]]</f>
        <v>0</v>
      </c>
      <c r="QO19" s="26"/>
      <c r="QQ19" t="s">
        <v>1862</v>
      </c>
      <c r="QR19" t="s">
        <v>1524</v>
      </c>
      <c r="QS19" t="s">
        <v>1726</v>
      </c>
      <c r="QT19">
        <v>0.05</v>
      </c>
      <c r="QU19">
        <v>0.24</v>
      </c>
      <c r="QV19">
        <v>1</v>
      </c>
      <c r="QW19">
        <v>1</v>
      </c>
      <c r="QX19">
        <f>+Tabla5202122242526272829[[#This Row],[Recuento]]*Tabla5202122242526272829[[#This Row],[Volúmen bruto]]</f>
        <v>0.05</v>
      </c>
      <c r="QY19">
        <f>+Tabla5202122242526272829[[#This Row],[Recuento]]*Tabla5202122242526272829[[#This Row],[Área neta]]</f>
        <v>0.24</v>
      </c>
      <c r="QZ19">
        <f>+Tabla5202122242526272829[[#This Row],[Recuento]]*Tabla5202122242526272829[[#This Row],[Longitud]]</f>
        <v>1</v>
      </c>
      <c r="RA19" s="26"/>
      <c r="RC19"/>
      <c r="RD19"/>
      <c r="RE19"/>
      <c r="RF19"/>
      <c r="RG19"/>
      <c r="RH19"/>
      <c r="RI19"/>
      <c r="RJ19"/>
      <c r="RK19" s="26"/>
      <c r="RM19"/>
      <c r="RN19"/>
      <c r="RO19"/>
      <c r="RP19"/>
      <c r="RQ19"/>
      <c r="RR19"/>
      <c r="RS19"/>
      <c r="RT19"/>
      <c r="RU19" s="26">
        <f t="shared" si="7"/>
        <v>0</v>
      </c>
      <c r="RW19"/>
      <c r="RX19"/>
      <c r="RY19"/>
      <c r="RZ19"/>
      <c r="SA19"/>
      <c r="SB19"/>
      <c r="SC19">
        <f>+Tabla52021222425262728313233[[#This Row],[Recuento]]*Tabla52021222425262728313233[[#This Row],[Volúmen bruto]]</f>
        <v>0</v>
      </c>
      <c r="SD19">
        <f>+Tabla52021222425262728313233[[#This Row],[Recuento]]*Tabla52021222425262728313233[[#This Row],[Área neta]]</f>
        <v>0</v>
      </c>
      <c r="SE19" s="26"/>
      <c r="SG19"/>
      <c r="SH19"/>
      <c r="SI19"/>
      <c r="SJ19"/>
      <c r="SK19"/>
      <c r="SL19"/>
      <c r="SM19">
        <f>+Tabla5202122242526272831323314[[#This Row],[Recuento]]*Tabla5202122242526272831323314[[#This Row],[Volúmen bruto]]</f>
        <v>0</v>
      </c>
      <c r="SN19">
        <f>+Tabla5202122242526272831323314[[#This Row],[Recuento]]*Tabla5202122242526272831323314[[#This Row],[Área neta]]</f>
        <v>0</v>
      </c>
      <c r="SO19" s="26"/>
      <c r="SQ19" t="s">
        <v>1862</v>
      </c>
      <c r="SR19" t="s">
        <v>1524</v>
      </c>
      <c r="SS19" t="s">
        <v>94</v>
      </c>
      <c r="ST19">
        <v>1.06</v>
      </c>
      <c r="SU19">
        <v>10.6</v>
      </c>
      <c r="SV19">
        <v>1</v>
      </c>
      <c r="SW19" s="34">
        <f>+Tabla5789141516[[#This Row],[Recuento]]*Tabla5789141516[[#This Row],[Volúmen bruto]]</f>
        <v>1.06</v>
      </c>
      <c r="SX19" s="34">
        <f>+Tabla5789141516[[#This Row],[Recuento]]*Tabla5789141516[[#This Row],[Área neta]]</f>
        <v>10.6</v>
      </c>
      <c r="SY19" s="36"/>
      <c r="SZ19" s="26"/>
      <c r="TA19"/>
      <c r="TB19"/>
      <c r="TC19"/>
      <c r="TD19"/>
      <c r="TE19"/>
      <c r="TF19" s="33"/>
      <c r="TG19" s="34"/>
      <c r="TH19" s="34"/>
      <c r="TI19" s="36"/>
      <c r="TJ19" s="26"/>
      <c r="TK19" t="s">
        <v>1863</v>
      </c>
      <c r="TL19" t="s">
        <v>1525</v>
      </c>
      <c r="TM19" t="s">
        <v>94</v>
      </c>
      <c r="TN19">
        <v>0.21</v>
      </c>
      <c r="TO19">
        <v>2.57</v>
      </c>
      <c r="TP19">
        <v>1</v>
      </c>
      <c r="TQ19" s="34">
        <f>+Tabla57891415163435[[#This Row],[Recuento]]*Tabla57891415163435[[#This Row],[Volúmen bruto]]</f>
        <v>0.21</v>
      </c>
      <c r="TR19" s="34">
        <f>+Tabla57891415163435[[#This Row],[Recuento]]*Tabla57891415163435[[#This Row],[Área neta]]</f>
        <v>2.57</v>
      </c>
      <c r="TS19" s="36"/>
      <c r="TT19" s="26"/>
      <c r="TU19"/>
      <c r="TV19"/>
      <c r="TW19"/>
      <c r="TX19"/>
      <c r="TY19"/>
      <c r="TZ19" s="33"/>
      <c r="UA19" s="34"/>
      <c r="UB19" s="34"/>
      <c r="UC19" s="36"/>
      <c r="UD19" s="26"/>
      <c r="UE19"/>
      <c r="UF19"/>
      <c r="UG19"/>
      <c r="UH19"/>
      <c r="UI19"/>
      <c r="UJ19" s="33"/>
      <c r="UK19" s="34"/>
      <c r="UL19" s="34"/>
      <c r="UM19" s="36"/>
      <c r="UN19" s="26"/>
      <c r="UO19"/>
      <c r="UP19"/>
      <c r="UQ19"/>
      <c r="UR19"/>
      <c r="US19"/>
      <c r="UT19" s="33"/>
      <c r="UU19" s="34"/>
      <c r="UV19" s="34"/>
      <c r="UW19" s="36"/>
      <c r="UX19" s="26"/>
      <c r="UY19"/>
      <c r="UZ19"/>
      <c r="VA19"/>
      <c r="VB19"/>
      <c r="VC19"/>
      <c r="VD19" s="33"/>
      <c r="VE19" s="34"/>
      <c r="VF19" s="34"/>
      <c r="VG19" s="36"/>
      <c r="VH19" s="26"/>
      <c r="VI19"/>
      <c r="VJ19"/>
      <c r="VK19"/>
      <c r="VL19"/>
      <c r="VM19"/>
      <c r="VN19" s="33"/>
      <c r="VO19" s="34"/>
      <c r="VP19" s="34"/>
      <c r="VQ19" s="36"/>
      <c r="VR19" s="26"/>
      <c r="VS19"/>
      <c r="VT19"/>
      <c r="VU19"/>
      <c r="VV19"/>
      <c r="VW19"/>
      <c r="VX19" s="33"/>
      <c r="VY19" s="34"/>
      <c r="VZ19" s="34"/>
      <c r="WA19" s="36"/>
      <c r="WB19" s="26"/>
      <c r="WC19"/>
      <c r="WD19"/>
      <c r="WE19"/>
      <c r="WF19"/>
      <c r="WG19"/>
      <c r="WH19" s="33"/>
      <c r="WI19" s="34"/>
      <c r="WJ19" s="34"/>
      <c r="WK19" s="36"/>
      <c r="WL19" s="26"/>
      <c r="WM19"/>
      <c r="WN19"/>
      <c r="WO19"/>
      <c r="WP19"/>
      <c r="WQ19"/>
      <c r="WR19" s="33"/>
      <c r="WS19" s="34"/>
      <c r="WT19" s="34"/>
      <c r="WU19" s="36"/>
      <c r="WV19" s="26"/>
      <c r="WW19"/>
      <c r="WX19"/>
      <c r="WY19"/>
      <c r="WZ19"/>
      <c r="XA19"/>
      <c r="XB19" s="33"/>
      <c r="XC19" s="34"/>
      <c r="XD19" s="34"/>
      <c r="XE19" s="36"/>
      <c r="XF19" s="26"/>
      <c r="XG19"/>
      <c r="XH19"/>
      <c r="XI19"/>
      <c r="XJ19"/>
      <c r="XK19"/>
      <c r="XL19"/>
      <c r="XM19" s="34">
        <f>+Tabla578914151634353637383940414243444536[[#This Row],[Recuento]]*Tabla578914151634353637383940414243444536[[#This Row],[Volúmen bruto]]</f>
        <v>0</v>
      </c>
      <c r="XN19" s="34">
        <f>+Tabla578914151634353637383940414243444536[[#This Row],[Recuento]]*Tabla578914151634353637383940414243444536[[#This Row],[Área neta]]</f>
        <v>0</v>
      </c>
      <c r="XO19" s="35"/>
      <c r="XP19" s="26"/>
      <c r="XQ19"/>
      <c r="XR19"/>
      <c r="XS19"/>
      <c r="XT19"/>
      <c r="XU19"/>
      <c r="XV19"/>
      <c r="XW19" s="34">
        <f>+Tabla5789141516343536373839404142434445[[#This Row],[Recuento]]*Tabla5789141516343536373839404142434445[[#This Row],[Volúmen bruto]]</f>
        <v>0</v>
      </c>
      <c r="XX19" s="34">
        <f>+Tabla5789141516343536373839404142434445[[#This Row],[Recuento]]*Tabla5789141516343536373839404142434445[[#This Row],[Área neta]]</f>
        <v>0</v>
      </c>
      <c r="XY19" s="35"/>
      <c r="XZ19" s="26"/>
      <c r="YA19"/>
      <c r="YB19"/>
      <c r="YC19"/>
      <c r="YD19"/>
      <c r="YE19"/>
      <c r="YF19"/>
      <c r="YG19" s="34">
        <f>+Tabla578914151634353637383940414243444558[[#This Row],[Recuento]]*Tabla578914151634353637383940414243444558[[#This Row],[Volúmen bruto]]</f>
        <v>0</v>
      </c>
      <c r="YH19" s="34">
        <f>+Tabla578914151634353637383940414243444558[[#This Row],[Recuento]]*Tabla578914151634353637383940414243444558[[#This Row],[Área neta]]</f>
        <v>0</v>
      </c>
      <c r="YI19" s="35">
        <f>+SUM(YH19:YH23)</f>
        <v>0</v>
      </c>
      <c r="YJ19" s="35"/>
      <c r="YK19"/>
      <c r="YL19"/>
      <c r="YM19"/>
      <c r="YN19"/>
      <c r="YO19"/>
      <c r="YQ19"/>
      <c r="YR19"/>
      <c r="YS19"/>
      <c r="YT19"/>
      <c r="YU19"/>
      <c r="YV19" s="33"/>
      <c r="YW19" s="34"/>
      <c r="YX19" s="34"/>
      <c r="YY19" s="35"/>
      <c r="YZ19" s="26"/>
      <c r="ZA19"/>
      <c r="ZB19"/>
      <c r="ZC19"/>
      <c r="ZD19"/>
      <c r="ZE19"/>
      <c r="ZF19" s="33"/>
      <c r="ZG19" s="34"/>
      <c r="ZH19" s="34"/>
      <c r="ZI19" s="35"/>
      <c r="ZJ19" s="26"/>
      <c r="ZK19" t="s">
        <v>1863</v>
      </c>
      <c r="ZL19" t="s">
        <v>1524</v>
      </c>
      <c r="ZM19" t="s">
        <v>1485</v>
      </c>
      <c r="ZN19">
        <v>0.02</v>
      </c>
      <c r="ZO19">
        <v>0.68</v>
      </c>
      <c r="ZP19">
        <v>3</v>
      </c>
      <c r="ZQ19" s="34">
        <f>+Tabla5789141516343536373839404142434445464748495041[[#This Row],[Recuento]]*Tabla5789141516343536373839404142434445464748495041[[#This Row],[Volúmen bruto]]</f>
        <v>0.06</v>
      </c>
      <c r="ZR19" s="34">
        <f>+Tabla5789141516343536373839404142434445464748495041[[#This Row],[Recuento]]*Tabla5789141516343536373839404142434445464748495041[[#This Row],[Área neta]]</f>
        <v>2.04</v>
      </c>
      <c r="ZS19" s="35">
        <f>+SUM(ZR19:ZR33)</f>
        <v>23.659999999999997</v>
      </c>
      <c r="ZT19" s="26"/>
      <c r="ZU19"/>
      <c r="ZV19"/>
      <c r="ZW19"/>
      <c r="ZX19"/>
      <c r="ZY19"/>
      <c r="ZZ19"/>
      <c r="AAA19" s="34">
        <f>+Tabla57891415163435363738394041424344454647484950[[#This Row],[Recuento]]*Tabla57891415163435363738394041424344454647484950[[#This Row],[Volúmen bruto]]</f>
        <v>0</v>
      </c>
      <c r="AAB19" s="34">
        <f>+Tabla57891415163435363738394041424344454647484950[[#This Row],[Recuento]]*Tabla57891415163435363738394041424344454647484950[[#This Row],[Área neta]]</f>
        <v>0</v>
      </c>
      <c r="AAC19" s="35"/>
      <c r="AAD19" s="26"/>
      <c r="AAE19"/>
      <c r="AAF19"/>
      <c r="AAG19"/>
      <c r="AAH19"/>
      <c r="AAI19"/>
      <c r="AAJ19" s="33">
        <v>1</v>
      </c>
      <c r="AAK19" s="34">
        <v>2.2077499999999999</v>
      </c>
      <c r="AAL19" s="34">
        <v>8.8309999999999995</v>
      </c>
      <c r="AAM19" s="35"/>
      <c r="AAN19" s="26"/>
      <c r="AAO19" t="s">
        <v>1863</v>
      </c>
      <c r="AAP19" t="s">
        <v>1525</v>
      </c>
      <c r="AAQ19" t="s">
        <v>92</v>
      </c>
      <c r="AAR19">
        <v>0.02</v>
      </c>
      <c r="AAS19">
        <v>0.35</v>
      </c>
      <c r="AAT19">
        <v>3</v>
      </c>
      <c r="AAU19" s="34">
        <f>+Tabla5789141516343536373839404142434445464748495051[[#This Row],[Recuento]]*Tabla5789141516343536373839404142434445464748495051[[#This Row],[Volúmen bruto]]</f>
        <v>0.06</v>
      </c>
      <c r="AAV19" s="34">
        <f>+Tabla5789141516343536373839404142434445464748495051[[#This Row],[Recuento]]*Tabla5789141516343536373839404142434445464748495051[[#This Row],[Área neta]]</f>
        <v>1.0499999999999998</v>
      </c>
      <c r="AAW19" s="35"/>
      <c r="AAX19" s="26"/>
      <c r="AAY19"/>
      <c r="AAZ19"/>
      <c r="ABA19"/>
      <c r="ABB19"/>
      <c r="ABC19"/>
      <c r="ABD19" s="33"/>
      <c r="ABE19" s="34"/>
      <c r="ABF19" s="34"/>
      <c r="ABG19" s="35"/>
      <c r="ABH19" s="26"/>
      <c r="ABI19"/>
      <c r="ABJ19"/>
      <c r="ABK19"/>
      <c r="ABL19"/>
      <c r="ABM19"/>
      <c r="ABN19" s="33"/>
      <c r="ABO19" s="34"/>
      <c r="ABP19" s="34"/>
      <c r="ABQ19" s="35"/>
      <c r="ABR19" s="26"/>
      <c r="ABS19"/>
      <c r="ABT19"/>
      <c r="ABU19"/>
      <c r="ABV19"/>
      <c r="ABW19"/>
      <c r="ABX19" s="33"/>
      <c r="ABY19" s="34"/>
      <c r="ABZ19" s="34"/>
      <c r="ACA19" s="35"/>
      <c r="ACB19" s="26"/>
      <c r="ACC19"/>
      <c r="ACD19"/>
      <c r="ACE19"/>
      <c r="ACF19"/>
      <c r="ACG19"/>
      <c r="ACH19" s="33"/>
      <c r="ACI19" s="34"/>
      <c r="ACJ19" s="34"/>
      <c r="ACK19" s="35"/>
      <c r="ACL19" s="26"/>
      <c r="ACM19"/>
      <c r="ACN19"/>
      <c r="ACO19"/>
      <c r="ACP19"/>
      <c r="ACQ19"/>
      <c r="ACR19" s="33"/>
      <c r="ACS19" s="34"/>
      <c r="ACT19" s="34"/>
      <c r="ACU19" s="35"/>
      <c r="ACV19" s="26"/>
      <c r="ACW19" t="s">
        <v>1238</v>
      </c>
      <c r="ACX19" s="1">
        <v>2</v>
      </c>
      <c r="ACY19" s="2">
        <v>0.4</v>
      </c>
      <c r="ACZ19" s="2">
        <v>1.8</v>
      </c>
      <c r="ADA19">
        <v>1</v>
      </c>
      <c r="ADB19" s="2">
        <f>+(ACZ19*ACY19)*ADA19</f>
        <v>0.72000000000000008</v>
      </c>
      <c r="ADD19" t="s">
        <v>1720</v>
      </c>
      <c r="ADE19">
        <v>6.27</v>
      </c>
      <c r="ADF19">
        <v>2</v>
      </c>
      <c r="ADG19" s="26">
        <f t="shared" si="3"/>
        <v>12.54</v>
      </c>
      <c r="ADH19"/>
      <c r="ADI19"/>
      <c r="ADJ19"/>
      <c r="ADK19"/>
      <c r="ADL19"/>
      <c r="ADM19"/>
      <c r="ADN19">
        <f ca="1">+Tabla578914151634353637383940414243444546474849505152535560[[#This Row],[G. Total]]*Tabla578914151634353637383940414243444546474849505152535560[[#This Row],[Recuento]]</f>
        <v>0</v>
      </c>
      <c r="ADO19" s="35"/>
      <c r="ADP19" s="26"/>
      <c r="ADQ19"/>
      <c r="ADR19"/>
      <c r="ADS19"/>
      <c r="ADT19"/>
      <c r="ADU19"/>
      <c r="ADV19" s="35"/>
      <c r="ADW19" s="35"/>
      <c r="ADX19"/>
      <c r="ADY19"/>
      <c r="ADZ19"/>
      <c r="AEA19"/>
      <c r="AEB19"/>
      <c r="AEC19">
        <f ca="1">+Tabla57891415163435363738394041424344454647484950515253556062[[#This Row],[Total]]*Tabla57891415163435363738394041424344454647484950515253556062[[#This Row],[Recuento]]</f>
        <v>0</v>
      </c>
      <c r="AED19" s="35"/>
      <c r="AEE19" s="26"/>
      <c r="AEF19"/>
      <c r="AEG19"/>
      <c r="AEH19"/>
      <c r="AEI19"/>
      <c r="AEJ19"/>
      <c r="AEK19" s="35"/>
      <c r="AEL19" s="35"/>
      <c r="AEM19" t="s">
        <v>1522</v>
      </c>
      <c r="AEN19" t="s">
        <v>1523</v>
      </c>
      <c r="AEO19" t="s">
        <v>453</v>
      </c>
      <c r="AEP19">
        <v>5.52</v>
      </c>
      <c r="AEQ19">
        <v>1</v>
      </c>
      <c r="AER19">
        <f ca="1">+Tabla5789141516343536373839404142434445464748495051525355606264[[#This Row],[G. Total]]*Tabla5789141516343536373839404142434445464748495051525355606264[[#This Row],[Recuento]]</f>
        <v>5.52</v>
      </c>
      <c r="AES19" s="36"/>
      <c r="AET19" s="26"/>
      <c r="AEU19"/>
      <c r="AEV19"/>
      <c r="AEW19"/>
      <c r="AEX19"/>
      <c r="AEY19"/>
      <c r="AEZ19" s="35"/>
      <c r="AFA19" s="26"/>
      <c r="AFB19"/>
      <c r="AFC19"/>
      <c r="AFD19"/>
      <c r="AFE19"/>
      <c r="AFF19"/>
      <c r="AFG19"/>
      <c r="AFH19"/>
      <c r="AFI19"/>
      <c r="AFJ19"/>
      <c r="AFK19"/>
      <c r="AFL19"/>
      <c r="AFM19">
        <f ca="1">+Tabla578914151634353637383940414243444546474849505152535560626467[[#This Row],[G. Total]]*Tabla578914151634353637383940414243444546474849505152535560626467[[#This Row],[Recuento]]</f>
        <v>0</v>
      </c>
      <c r="AFN19" s="36"/>
      <c r="AFO19" s="26"/>
      <c r="AFP19" s="2" t="s">
        <v>106</v>
      </c>
      <c r="AFQ19" s="2">
        <f>26*2</f>
        <v>52</v>
      </c>
      <c r="AFR19" s="2">
        <f>(0.24*4)+0.36+((0.4+0.15)*6)</f>
        <v>4.62</v>
      </c>
      <c r="AFS19" s="2">
        <f>+AFR19*AFQ19</f>
        <v>240.24</v>
      </c>
      <c r="AFT19" s="2">
        <v>5</v>
      </c>
      <c r="AFU19" s="2">
        <f>+AFT19*AFQ19</f>
        <v>260</v>
      </c>
      <c r="AFW19" s="2" t="s">
        <v>106</v>
      </c>
      <c r="AFX19" s="2">
        <v>4</v>
      </c>
      <c r="AFY19" s="2">
        <f>(0.24*4)+0.36+((0.4+0.15)*6)</f>
        <v>4.62</v>
      </c>
      <c r="AFZ19" s="2">
        <f>+AFY19*AFX19</f>
        <v>18.48</v>
      </c>
      <c r="AGA19" s="2">
        <v>5</v>
      </c>
      <c r="AGB19" s="2">
        <f>+AGA19*AFX19</f>
        <v>20</v>
      </c>
    </row>
    <row r="20" spans="1:860" ht="15" customHeight="1" x14ac:dyDescent="0.25">
      <c r="A20">
        <v>1</v>
      </c>
      <c r="B20" t="s">
        <v>1862</v>
      </c>
      <c r="C20" t="s">
        <v>1225</v>
      </c>
      <c r="D20" t="s">
        <v>1550</v>
      </c>
      <c r="E20">
        <v>0.3</v>
      </c>
      <c r="F20">
        <v>5.24</v>
      </c>
      <c r="G20"/>
      <c r="H20">
        <f>+Tabla3[[#This Row],[Volúmen neto]]*A20</f>
        <v>0.3</v>
      </c>
      <c r="I20">
        <f>+Tabla3[[#This Row],[Longitud de eje]]*A20</f>
        <v>5.24</v>
      </c>
      <c r="J20"/>
      <c r="K20"/>
      <c r="L20"/>
      <c r="M20"/>
      <c r="N20"/>
      <c r="O20"/>
      <c r="P20"/>
      <c r="Q20"/>
      <c r="R20">
        <f>+Tabla5[[#This Row],[Recuento]]*Tabla5[[#This Row],[Volúmen bruto]]</f>
        <v>0</v>
      </c>
      <c r="S20">
        <f>+Tabla5[[#This Row],[Recuento]]*Tabla5[[#This Row],[Área neta]]</f>
        <v>0</v>
      </c>
      <c r="T20">
        <f>+Tabla5[[#This Row],[Longitud nominal]]*Tabla5[[#This Row],[Recuento]]</f>
        <v>0</v>
      </c>
      <c r="U20" s="26"/>
      <c r="V20"/>
      <c r="W20"/>
      <c r="X20"/>
      <c r="Y20"/>
      <c r="Z20"/>
      <c r="AA20"/>
      <c r="AB20"/>
      <c r="AC20"/>
      <c r="AD20">
        <f>+Tabla522[[#This Row],[Recuento]]*Tabla522[[#This Row],[Volúmen bruto]]</f>
        <v>0</v>
      </c>
      <c r="AE20">
        <f>+Tabla522[[#This Row],[Recuento]]*Tabla522[[#This Row],[Área neta]]</f>
        <v>0</v>
      </c>
      <c r="AF20">
        <f>+Tabla522[[#This Row],[Longitud nominal]]*Tabla522[[#This Row],[Recuento]]</f>
        <v>0</v>
      </c>
      <c r="AG20" s="26">
        <f t="shared" si="4"/>
        <v>0</v>
      </c>
      <c r="AH20"/>
      <c r="AI20"/>
      <c r="AJ20"/>
      <c r="AK20"/>
      <c r="AL20"/>
      <c r="AM20"/>
      <c r="AN20"/>
      <c r="AO20"/>
      <c r="AP20">
        <f>+Tabla52223[[#This Row],[Recuento]]*Tabla52223[[#This Row],[Volúmen bruto]]</f>
        <v>0</v>
      </c>
      <c r="AQ20">
        <f>+Tabla52223[[#This Row],[Recuento]]*Tabla52223[[#This Row],[Área neta]]</f>
        <v>0</v>
      </c>
      <c r="AR20">
        <f>+Tabla52223[[#This Row],[Longitud nominal]]*Tabla52223[[#This Row],[Recuento]]</f>
        <v>0</v>
      </c>
      <c r="AS20" s="26">
        <f t="shared" si="5"/>
        <v>0</v>
      </c>
      <c r="AT20"/>
      <c r="AU20"/>
      <c r="AV20"/>
      <c r="AW20"/>
      <c r="AX20"/>
      <c r="AY20"/>
      <c r="AZ20"/>
      <c r="BA20"/>
      <c r="BB20">
        <f>+Tabla5222329[[#This Row],[Recuento]]*Tabla5222329[[#This Row],[Volúmen bruto]]</f>
        <v>0</v>
      </c>
      <c r="BC20">
        <f>+Tabla5222329[[#This Row],[Recuento]]*Tabla5222329[[#This Row],[Área neta]]</f>
        <v>0</v>
      </c>
      <c r="BD20">
        <f>+Tabla5222329[[#This Row],[Longitud nominal]]*Tabla5222329[[#This Row],[Recuento]]</f>
        <v>0</v>
      </c>
      <c r="BE20" s="26">
        <f t="shared" si="6"/>
        <v>0</v>
      </c>
      <c r="BF20">
        <v>20</v>
      </c>
      <c r="BG20" t="s">
        <v>1862</v>
      </c>
      <c r="BH20" t="s">
        <v>1524</v>
      </c>
      <c r="BI20" t="s">
        <v>1406</v>
      </c>
      <c r="BJ20">
        <v>5.25</v>
      </c>
      <c r="BK20">
        <v>5.5</v>
      </c>
      <c r="BL20">
        <f>+Tabla3102[[#This Row],[En culmo]]*BF20</f>
        <v>110</v>
      </c>
      <c r="BM20"/>
      <c r="BN20"/>
      <c r="BO20"/>
      <c r="BP20"/>
      <c r="BQ20"/>
      <c r="BR20"/>
      <c r="BS20"/>
      <c r="BT20">
        <f>+Tabla31069[[#This Row],[En culmo]]*BN20</f>
        <v>0</v>
      </c>
      <c r="BU20"/>
      <c r="BV20">
        <v>1</v>
      </c>
      <c r="BW20" t="s">
        <v>1862</v>
      </c>
      <c r="BX20" t="s">
        <v>1525</v>
      </c>
      <c r="BY20" t="s">
        <v>1406</v>
      </c>
      <c r="BZ20">
        <v>2.0099999999999998</v>
      </c>
      <c r="CA20">
        <v>2.5</v>
      </c>
      <c r="CB20">
        <f>+Tabla31011[[#This Row],[En culmo]]*BV20</f>
        <v>2.5</v>
      </c>
      <c r="CD20">
        <v>2</v>
      </c>
      <c r="CE20" t="s">
        <v>1862</v>
      </c>
      <c r="CF20" t="s">
        <v>1525</v>
      </c>
      <c r="CG20" t="s">
        <v>1405</v>
      </c>
      <c r="CH20">
        <v>0.2</v>
      </c>
      <c r="CI20">
        <v>0.5</v>
      </c>
      <c r="CJ20">
        <f>+Tabla3101170[[#This Row],[En culmo]]*CD20</f>
        <v>1</v>
      </c>
      <c r="CK20"/>
      <c r="CR20">
        <f>+Tabla31011116[[#This Row],[En culmo]]*CT20</f>
        <v>0</v>
      </c>
      <c r="CT20">
        <v>2</v>
      </c>
      <c r="CU20" t="s">
        <v>1862</v>
      </c>
      <c r="CV20" t="s">
        <v>1383</v>
      </c>
      <c r="CW20" t="s">
        <v>1405</v>
      </c>
      <c r="CX20">
        <v>5.26</v>
      </c>
      <c r="CY20">
        <v>5.5</v>
      </c>
      <c r="CZ20">
        <f>+Tabla3101170117[[#This Row],[En culmo]]*CT20</f>
        <v>11</v>
      </c>
      <c r="DA20"/>
      <c r="DB20">
        <v>4</v>
      </c>
      <c r="DC20" t="s">
        <v>1862</v>
      </c>
      <c r="DD20" t="s">
        <v>1383</v>
      </c>
      <c r="DE20" t="s">
        <v>1723</v>
      </c>
      <c r="DF20">
        <v>1.21</v>
      </c>
      <c r="DG20">
        <f>+Tabla31011704[[#This Row],[Longitud de eje]]*DB20</f>
        <v>4.84</v>
      </c>
      <c r="DH20"/>
      <c r="DI20"/>
      <c r="DJ20"/>
      <c r="DK20"/>
      <c r="DL20"/>
      <c r="DM20"/>
      <c r="DN20">
        <f>+Tabla3101170411[[#This Row],[Longitud de eje]]*DI20</f>
        <v>0</v>
      </c>
      <c r="DO20"/>
      <c r="DP20"/>
      <c r="DQ20"/>
      <c r="DR20"/>
      <c r="DS20"/>
      <c r="DT20"/>
      <c r="DU20">
        <f>+Tabla3101170411120[[#This Row],[Longitud de eje]]*DP20</f>
        <v>0</v>
      </c>
      <c r="DV20"/>
      <c r="DW20"/>
      <c r="DX20"/>
      <c r="DY20"/>
      <c r="DZ20"/>
      <c r="EA20"/>
      <c r="EB20">
        <f>+Tabla3101170411120122[[#This Row],[Longitud de eje]]*DW20</f>
        <v>0</v>
      </c>
      <c r="EC20"/>
      <c r="ED20">
        <v>10</v>
      </c>
      <c r="EE20" t="s">
        <v>1862</v>
      </c>
      <c r="EF20" t="s">
        <v>1524</v>
      </c>
      <c r="EG20" t="s">
        <v>1406</v>
      </c>
      <c r="EH20">
        <v>0.77</v>
      </c>
      <c r="EI20">
        <v>1</v>
      </c>
      <c r="EJ20">
        <f>+Tabla3101112[[#This Row],[En culmo]]*ED20</f>
        <v>10</v>
      </c>
      <c r="EK20"/>
      <c r="EL20"/>
      <c r="EM20"/>
      <c r="EN20"/>
      <c r="EO20"/>
      <c r="EP20"/>
      <c r="EQ20"/>
      <c r="ER20">
        <f>+Tabla3101112123[[#This Row],[En culmo]]*EL20</f>
        <v>0</v>
      </c>
      <c r="ES20"/>
      <c r="ET20">
        <v>1</v>
      </c>
      <c r="EU20" t="s">
        <v>1862</v>
      </c>
      <c r="EV20" t="s">
        <v>1525</v>
      </c>
      <c r="EW20" t="s">
        <v>1406</v>
      </c>
      <c r="EX20">
        <v>0.88</v>
      </c>
      <c r="EY20">
        <v>1.5</v>
      </c>
      <c r="EZ20">
        <f>+Tabla310111257[[#This Row],[En culmo]]*ET20</f>
        <v>1.5</v>
      </c>
      <c r="FA20"/>
      <c r="FB20"/>
      <c r="FC20"/>
      <c r="FD20"/>
      <c r="FE20"/>
      <c r="FF20"/>
      <c r="FG20">
        <v>1.5</v>
      </c>
      <c r="FH20">
        <f>+Tabla310111257124[[#This Row],[En culmo]]*FB20</f>
        <v>0</v>
      </c>
      <c r="FI20"/>
      <c r="FK20"/>
      <c r="FL20"/>
      <c r="FM20"/>
      <c r="FN20"/>
      <c r="FO20"/>
      <c r="FP20"/>
      <c r="FQ20"/>
      <c r="FS20"/>
      <c r="FT20"/>
      <c r="FU20"/>
      <c r="FV20"/>
      <c r="FW20"/>
      <c r="FX20"/>
      <c r="FY20"/>
      <c r="FZ20">
        <v>3</v>
      </c>
      <c r="GA20" t="s">
        <v>1862</v>
      </c>
      <c r="GB20" t="s">
        <v>1524</v>
      </c>
      <c r="GC20" t="s">
        <v>1584</v>
      </c>
      <c r="GD20">
        <v>0.08</v>
      </c>
      <c r="GE20">
        <v>1.9</v>
      </c>
      <c r="GF20">
        <f>+Tabla3101112131157[[#This Row],[Volúmen]]*FZ20</f>
        <v>0.24</v>
      </c>
      <c r="GG20">
        <f>+Tabla3101112131157[[#This Row],[Longitud del eje]]*FZ20</f>
        <v>5.6999999999999993</v>
      </c>
      <c r="GI20"/>
      <c r="GJ20"/>
      <c r="GK20"/>
      <c r="GL20"/>
      <c r="GM20"/>
      <c r="GN20"/>
      <c r="GO20"/>
      <c r="GQ20" t="s">
        <v>1862</v>
      </c>
      <c r="GR20" t="s">
        <v>1383</v>
      </c>
      <c r="GS20" t="s">
        <v>1667</v>
      </c>
      <c r="GT20">
        <v>0.2</v>
      </c>
      <c r="GU20">
        <v>2.23</v>
      </c>
      <c r="GV20">
        <v>1</v>
      </c>
      <c r="GW20">
        <f>+Tabla578914[[#This Row],[Recuento]]*Tabla578914[[#This Row],[Volúmen bruto]]</f>
        <v>0.2</v>
      </c>
      <c r="GX20">
        <f>+Tabla578914[[#This Row],[Recuento]]*Tabla578914[[#This Row],[Área neta]]</f>
        <v>2.23</v>
      </c>
      <c r="GY20" s="36"/>
      <c r="HA20" t="s">
        <v>1862</v>
      </c>
      <c r="HB20" t="s">
        <v>1383</v>
      </c>
      <c r="HC20" t="s">
        <v>98</v>
      </c>
      <c r="HD20">
        <v>0.01</v>
      </c>
      <c r="HE20">
        <v>9.6999999999999993</v>
      </c>
      <c r="HF20">
        <v>1</v>
      </c>
      <c r="HG20">
        <f>+Tabla578914126[[#This Row],[Recuento]]*Tabla578914126[[#This Row],[Volúmen bruto]]</f>
        <v>0.01</v>
      </c>
      <c r="HH20">
        <f>+Tabla578914126[[#This Row],[Recuento]]*Tabla578914126[[#This Row],[Área neta]]</f>
        <v>9.6999999999999993</v>
      </c>
      <c r="HI20" s="36"/>
      <c r="HK20"/>
      <c r="HL20"/>
      <c r="HM20"/>
      <c r="HN20"/>
      <c r="HO20"/>
      <c r="HP20"/>
      <c r="HQ20">
        <f>+Tabla578914126127[[#This Row],[Recuento]]*Tabla578914126127[[#This Row],[Volúmen bruto]]</f>
        <v>0</v>
      </c>
      <c r="HR20">
        <f>+Tabla578914126127[[#This Row],[Recuento]]*Tabla578914126127[[#This Row],[Área neta]]</f>
        <v>0</v>
      </c>
      <c r="HS20" s="36"/>
      <c r="HT20" s="26"/>
      <c r="HU20"/>
      <c r="HV20"/>
      <c r="HW20"/>
      <c r="HX20"/>
      <c r="HY20"/>
      <c r="HZ20"/>
      <c r="IA20"/>
      <c r="IB20"/>
      <c r="IC20" s="36"/>
      <c r="ID20" s="26"/>
      <c r="IE20"/>
      <c r="IF20"/>
      <c r="IG20"/>
      <c r="IH20"/>
      <c r="II20"/>
      <c r="IJ20"/>
      <c r="IK20"/>
      <c r="IL20"/>
      <c r="IM20" s="36"/>
      <c r="IN20" s="26"/>
      <c r="IO20"/>
      <c r="IP20"/>
      <c r="IQ20"/>
      <c r="IR20"/>
      <c r="IS20"/>
      <c r="IT20"/>
      <c r="IU20"/>
      <c r="IV20">
        <f>+Tabla520212223[[#This Row],[Recuento]]*Tabla520212223[[#This Row],[Área neta]]</f>
        <v>0</v>
      </c>
      <c r="IW20" s="26">
        <f t="shared" si="0"/>
        <v>0</v>
      </c>
      <c r="IY20"/>
      <c r="IZ20"/>
      <c r="JA20"/>
      <c r="JB20"/>
      <c r="JC20"/>
      <c r="JD20"/>
      <c r="JE20">
        <f>+Tabla520212224[[#This Row],[Recuento]]*Tabla520212224[[#This Row],[Volúmen bruto]]</f>
        <v>0</v>
      </c>
      <c r="JF20">
        <f>+Tabla520212224[[#This Row],[Recuento]]*Tabla520212224[[#This Row],[Área neta]]</f>
        <v>0</v>
      </c>
      <c r="JG20" s="26"/>
      <c r="JI20" t="s">
        <v>1862</v>
      </c>
      <c r="JJ20" t="s">
        <v>1525</v>
      </c>
      <c r="JK20" t="s">
        <v>97</v>
      </c>
      <c r="JL20">
        <v>0.15</v>
      </c>
      <c r="JM20">
        <v>5.5</v>
      </c>
      <c r="JN20">
        <v>4</v>
      </c>
      <c r="JO20">
        <f>+Tabla52021222425[[#This Row],[Recuento]]*Tabla52021222425[[#This Row],[Volúmen bruto]]</f>
        <v>0.6</v>
      </c>
      <c r="JP20">
        <f>+Tabla52021222425[[#This Row],[Recuento]]*Tabla52021222425[[#This Row],[Área neta]]</f>
        <v>22</v>
      </c>
      <c r="JQ20" s="26"/>
      <c r="JS20" t="s">
        <v>1862</v>
      </c>
      <c r="JT20" t="s">
        <v>1525</v>
      </c>
      <c r="JU20" t="s">
        <v>97</v>
      </c>
      <c r="JV20">
        <v>0.05</v>
      </c>
      <c r="JW20">
        <v>1.65</v>
      </c>
      <c r="JX20">
        <v>2</v>
      </c>
      <c r="JY20">
        <f>+Tabla5202122242526[[#This Row],[Recuento]]*Tabla5202122242526[[#This Row],[Volúmen bruto]]</f>
        <v>0.1</v>
      </c>
      <c r="JZ20">
        <f>+Tabla5202122242526[[#This Row],[Recuento]]*Tabla5202122242526[[#This Row],[Área neta]]</f>
        <v>3.3</v>
      </c>
      <c r="KA20" s="26"/>
      <c r="KC20"/>
      <c r="KD20"/>
      <c r="KE20"/>
      <c r="KF20"/>
      <c r="KG20"/>
      <c r="KH20"/>
      <c r="KI20">
        <f>+Tabla5202122242526104[[#This Row],[Recuento]]*Tabla5202122242526104[[#This Row],[Volúmen bruto]]</f>
        <v>0</v>
      </c>
      <c r="KJ20">
        <f>+Tabla5202122242526104[[#This Row],[Recuento]]*Tabla5202122242526104[[#This Row],[Área neta]]</f>
        <v>0</v>
      </c>
      <c r="KK20" s="26"/>
      <c r="KM20" t="s">
        <v>1862</v>
      </c>
      <c r="KN20" t="s">
        <v>1524</v>
      </c>
      <c r="KO20" t="s">
        <v>97</v>
      </c>
      <c r="KP20">
        <v>0.05</v>
      </c>
      <c r="KQ20">
        <v>0.56999999999999995</v>
      </c>
      <c r="KR20">
        <v>1</v>
      </c>
      <c r="KS20">
        <f>+Tabla5202122242526104110[[#This Row],[Recuento]]*Tabla5202122242526104110[[#This Row],[Volúmen bruto]]</f>
        <v>0.05</v>
      </c>
      <c r="KT20">
        <f>+Tabla5202122242526104110[[#This Row],[Recuento]]*Tabla5202122242526104110[[#This Row],[Área neta]]</f>
        <v>0.56999999999999995</v>
      </c>
      <c r="KU20" s="26"/>
      <c r="KW20" t="s">
        <v>1863</v>
      </c>
      <c r="KX20" t="s">
        <v>1524</v>
      </c>
      <c r="KY20" t="s">
        <v>1677</v>
      </c>
      <c r="KZ20">
        <v>0.01</v>
      </c>
      <c r="LA20">
        <v>0.53</v>
      </c>
      <c r="LB20">
        <v>2</v>
      </c>
      <c r="LC20">
        <f>+Tabla520212224252659[[#This Row],[Recuento]]*Tabla520212224252659[[#This Row],[Volúmen bruto]]</f>
        <v>0.02</v>
      </c>
      <c r="LD20">
        <f>+Tabla520212224252659[[#This Row],[Recuento]]*Tabla520212224252659[[#This Row],[Área neta]]</f>
        <v>1.06</v>
      </c>
      <c r="LE20" s="26">
        <f>+SUM(LD20:LD21)</f>
        <v>8.5400000000000009</v>
      </c>
      <c r="LG20"/>
      <c r="LH20"/>
      <c r="LI20"/>
      <c r="LJ20"/>
      <c r="LK20"/>
      <c r="LL20"/>
      <c r="LM20">
        <f>+Tabla520212224252659111[[#This Row],[Recuento]]*Tabla520212224252659111[[#This Row],[Volúmen bruto]]</f>
        <v>0</v>
      </c>
      <c r="LN20">
        <f>+Tabla520212224252659111[[#This Row],[Recuento]]*Tabla520212224252659111[[#This Row],[Área neta]]</f>
        <v>0</v>
      </c>
      <c r="LO20" s="26"/>
      <c r="LQ20"/>
      <c r="LR20"/>
      <c r="LS20"/>
      <c r="LT20"/>
      <c r="LU20"/>
      <c r="LV20"/>
      <c r="LW20">
        <f>+Tabla520212224252659111114[[#This Row],[Recuento]]*Tabla520212224252659111114[[#This Row],[Volúmen bruto]]</f>
        <v>0</v>
      </c>
      <c r="LX20">
        <f>+Tabla520212224252659111114[[#This Row],[Recuento]]*Tabla520212224252659111114[[#This Row],[Área neta]]</f>
        <v>0</v>
      </c>
      <c r="LY20" s="26"/>
      <c r="MA20" t="s">
        <v>1862</v>
      </c>
      <c r="MB20" t="s">
        <v>1525</v>
      </c>
      <c r="MC20" t="s">
        <v>97</v>
      </c>
      <c r="MD20">
        <v>0.04</v>
      </c>
      <c r="ME20">
        <v>6.24</v>
      </c>
      <c r="MF20">
        <v>2</v>
      </c>
      <c r="MG20">
        <f>+Tabla520212224252659111114128[[#This Row],[Recuento]]*Tabla520212224252659111114128[[#This Row],[Volúmen bruto]]</f>
        <v>0.08</v>
      </c>
      <c r="MH20">
        <f>+Tabla520212224252659111114128[[#This Row],[Recuento]]*Tabla520212224252659111114128[[#This Row],[Área neta]]</f>
        <v>12.48</v>
      </c>
      <c r="MI20" s="26"/>
      <c r="MK20" t="s">
        <v>1863</v>
      </c>
      <c r="ML20" t="s">
        <v>1525</v>
      </c>
      <c r="MM20" t="s">
        <v>99</v>
      </c>
      <c r="MN20">
        <v>0.01</v>
      </c>
      <c r="MO20">
        <v>0.99</v>
      </c>
      <c r="MP20">
        <v>1</v>
      </c>
      <c r="MQ20">
        <f>+Tabla520212224252627[[#This Row],[Recuento]]*Tabla520212224252627[[#This Row],[Volúmen bruto]]</f>
        <v>0.01</v>
      </c>
      <c r="MR20">
        <f>+Tabla520212224252627[[#This Row],[Recuento]]*Tabla520212224252627[[#This Row],[Área neta]]</f>
        <v>0.99</v>
      </c>
      <c r="MS20" s="26">
        <f>+SUM(MR20)</f>
        <v>0.99</v>
      </c>
      <c r="MU20" t="s">
        <v>1549</v>
      </c>
      <c r="MV20" t="s">
        <v>1525</v>
      </c>
      <c r="MW20" t="s">
        <v>99</v>
      </c>
      <c r="MX20">
        <v>0</v>
      </c>
      <c r="MY20">
        <v>0.02</v>
      </c>
      <c r="MZ20">
        <v>2</v>
      </c>
      <c r="NA20">
        <f>+Tabla520212224252627129[[#This Row],[Recuento]]*Tabla520212224252627129[[#This Row],[Volúmen bruto]]</f>
        <v>0</v>
      </c>
      <c r="NB20">
        <f>+Tabla520212224252627129[[#This Row],[Recuento]]*Tabla520212224252627129[[#This Row],[Área neta]]</f>
        <v>0.04</v>
      </c>
      <c r="NC20" s="26"/>
      <c r="NE20"/>
      <c r="NF20"/>
      <c r="NG20"/>
      <c r="NH20"/>
      <c r="NI20"/>
      <c r="NJ20"/>
      <c r="NK20">
        <f>+Tabla520212224252627129125[[#This Row],[Recuento]]*Tabla520212224252627129125[[#This Row],[Volúmen bruto]]</f>
        <v>0</v>
      </c>
      <c r="NL20">
        <f>+Tabla520212224252627129125[[#This Row],[Recuento]]*Tabla520212224252627129125[[#This Row],[Área neta]]</f>
        <v>0</v>
      </c>
      <c r="NM20" s="26"/>
      <c r="NO20" t="s">
        <v>1549</v>
      </c>
      <c r="NP20" t="s">
        <v>1525</v>
      </c>
      <c r="NQ20" t="s">
        <v>1781</v>
      </c>
      <c r="NR20">
        <v>0</v>
      </c>
      <c r="NS20">
        <v>0.3</v>
      </c>
      <c r="NT20">
        <v>1</v>
      </c>
      <c r="NU20">
        <f>+Tabla520212224252627129125130[[#This Row],[Recuento]]*Tabla520212224252627129125130[[#This Row],[Volúmen bruto]]</f>
        <v>0</v>
      </c>
      <c r="NV20">
        <f>+Tabla520212224252627129125130[[#This Row],[Recuento]]*Tabla520212224252627129125130[[#This Row],[Área neta]]</f>
        <v>0.3</v>
      </c>
      <c r="NW20" s="26">
        <f>+SUM(NV20:NV22)</f>
        <v>2.41</v>
      </c>
      <c r="NY20"/>
      <c r="NZ20"/>
      <c r="OA20"/>
      <c r="OB20"/>
      <c r="OC20"/>
      <c r="OD20"/>
      <c r="OE20">
        <f>+Tabla520212224252627129125130131[[#This Row],[Recuento]]*Tabla520212224252627129125130131[[#This Row],[Volúmen bruto]]</f>
        <v>0</v>
      </c>
      <c r="OF20">
        <f>+Tabla520212224252627129125130131[[#This Row],[Recuento]]*Tabla520212224252627129125130131[[#This Row],[Área neta]]</f>
        <v>0</v>
      </c>
      <c r="OG20" s="26"/>
      <c r="OI20" t="s">
        <v>1549</v>
      </c>
      <c r="OJ20" t="s">
        <v>1525</v>
      </c>
      <c r="OK20" t="s">
        <v>1781</v>
      </c>
      <c r="OL20">
        <v>0</v>
      </c>
      <c r="OM20">
        <v>0.35</v>
      </c>
      <c r="ON20">
        <v>1</v>
      </c>
      <c r="OO20">
        <f>+Tabla520212224252627129125130131132[[#This Row],[Recuento]]*Tabla520212224252627129125130131132[[#This Row],[Volúmen bruto]]</f>
        <v>0</v>
      </c>
      <c r="OP20">
        <f>+Tabla520212224252627129125130131132[[#This Row],[Recuento]]*Tabla520212224252627129125130131132[[#This Row],[Área neta]]</f>
        <v>0.35</v>
      </c>
      <c r="OQ20" s="26"/>
      <c r="OS20"/>
      <c r="OT20"/>
      <c r="OU20"/>
      <c r="OV20"/>
      <c r="OW20"/>
      <c r="OX20"/>
      <c r="OY20">
        <f>+Tabla52021222425262728[[#This Row],[Recuento]]*Tabla52021222425262728[[#This Row],[Volúmen bruto]]</f>
        <v>0</v>
      </c>
      <c r="OZ20">
        <f>+Tabla52021222425262728[[#This Row],[Recuento]]*Tabla52021222425262728[[#This Row],[Área neta]]</f>
        <v>0</v>
      </c>
      <c r="PA20" s="26"/>
      <c r="PC20" t="s">
        <v>1862</v>
      </c>
      <c r="PD20" t="s">
        <v>1525</v>
      </c>
      <c r="PE20" t="s">
        <v>1628</v>
      </c>
      <c r="PF20">
        <v>0.02</v>
      </c>
      <c r="PG20">
        <v>1.01</v>
      </c>
      <c r="PH20">
        <v>1</v>
      </c>
      <c r="PI20">
        <f>+Tabla52021222425262728133[[#This Row],[Recuento]]*Tabla52021222425262728133[[#This Row],[Volúmen bruto]]</f>
        <v>0.02</v>
      </c>
      <c r="PJ20">
        <f>+Tabla52021222425262728133[[#This Row],[Recuento]]*Tabla52021222425262728133[[#This Row],[Área neta]]</f>
        <v>1.01</v>
      </c>
      <c r="PK20" s="26"/>
      <c r="PM20"/>
      <c r="PN20"/>
      <c r="PO20"/>
      <c r="PP20"/>
      <c r="PQ20"/>
      <c r="PR20"/>
      <c r="PS20">
        <f>+Tabla5202122242526272893[[#This Row],[Recuento]]*Tabla5202122242526272893[[#This Row],[Volúmen bruto]]</f>
        <v>0</v>
      </c>
      <c r="PT20">
        <f>+Tabla5202122242526272893[[#This Row],[Recuento]]*Tabla5202122242526272893[[#This Row],[Área neta]]</f>
        <v>0</v>
      </c>
      <c r="PU20" s="26"/>
      <c r="PW20" t="s">
        <v>1862</v>
      </c>
      <c r="PX20" t="s">
        <v>1525</v>
      </c>
      <c r="PY20" t="s">
        <v>1628</v>
      </c>
      <c r="PZ20">
        <v>0.02</v>
      </c>
      <c r="QA20">
        <v>0.83</v>
      </c>
      <c r="QB20">
        <v>1</v>
      </c>
      <c r="QC20">
        <f>+Tabla520212224252627289349[[#This Row],[Recuento]]*Tabla520212224252627289349[[#This Row],[Volúmen bruto]]</f>
        <v>0.02</v>
      </c>
      <c r="QD20">
        <f>+Tabla520212224252627289349[[#This Row],[Recuento]]*Tabla520212224252627289349[[#This Row],[Área neta]]</f>
        <v>0.83</v>
      </c>
      <c r="QE20" s="26"/>
      <c r="QG20"/>
      <c r="QH20"/>
      <c r="QI20"/>
      <c r="QJ20"/>
      <c r="QK20"/>
      <c r="QL20"/>
      <c r="QM20">
        <f>+Tabla520212224252627289349134[[#This Row],[Recuento]]*Tabla520212224252627289349134[[#This Row],[Volúmen bruto]]</f>
        <v>0</v>
      </c>
      <c r="QN20">
        <f>+Tabla520212224252627289349134[[#This Row],[Recuento]]*Tabla520212224252627289349134[[#This Row],[Área neta]]</f>
        <v>0</v>
      </c>
      <c r="QO20" s="26"/>
      <c r="QQ20" t="s">
        <v>1862</v>
      </c>
      <c r="QR20" t="s">
        <v>1524</v>
      </c>
      <c r="QS20" t="s">
        <v>1726</v>
      </c>
      <c r="QT20">
        <v>0.16</v>
      </c>
      <c r="QU20">
        <v>0.82</v>
      </c>
      <c r="QV20">
        <v>1</v>
      </c>
      <c r="QW20">
        <v>2</v>
      </c>
      <c r="QX20">
        <f>+Tabla5202122242526272829[[#This Row],[Recuento]]*Tabla5202122242526272829[[#This Row],[Volúmen bruto]]</f>
        <v>0.32</v>
      </c>
      <c r="QY20">
        <f>+Tabla5202122242526272829[[#This Row],[Recuento]]*Tabla5202122242526272829[[#This Row],[Área neta]]</f>
        <v>1.64</v>
      </c>
      <c r="QZ20">
        <f>+Tabla5202122242526272829[[#This Row],[Recuento]]*Tabla5202122242526272829[[#This Row],[Longitud]]</f>
        <v>2</v>
      </c>
      <c r="RA20" s="26"/>
      <c r="RC20"/>
      <c r="RD20"/>
      <c r="RE20"/>
      <c r="RF20"/>
      <c r="RG20"/>
      <c r="RH20"/>
      <c r="RI20"/>
      <c r="RJ20"/>
      <c r="RK20" s="26"/>
      <c r="RM20"/>
      <c r="RN20"/>
      <c r="RO20"/>
      <c r="RP20"/>
      <c r="RQ20"/>
      <c r="RR20"/>
      <c r="RS20"/>
      <c r="RT20"/>
      <c r="RU20" s="26">
        <f t="shared" si="7"/>
        <v>0</v>
      </c>
      <c r="RW20"/>
      <c r="RX20"/>
      <c r="RY20"/>
      <c r="RZ20"/>
      <c r="SA20"/>
      <c r="SB20"/>
      <c r="SC20">
        <f>+Tabla52021222425262728313233[[#This Row],[Recuento]]*Tabla52021222425262728313233[[#This Row],[Volúmen bruto]]</f>
        <v>0</v>
      </c>
      <c r="SD20">
        <f>+Tabla52021222425262728313233[[#This Row],[Recuento]]*Tabla52021222425262728313233[[#This Row],[Área neta]]</f>
        <v>0</v>
      </c>
      <c r="SE20" s="26"/>
      <c r="SG20"/>
      <c r="SH20"/>
      <c r="SI20"/>
      <c r="SJ20"/>
      <c r="SK20"/>
      <c r="SL20"/>
      <c r="SM20">
        <f>+Tabla5202122242526272831323314[[#This Row],[Recuento]]*Tabla5202122242526272831323314[[#This Row],[Volúmen bruto]]</f>
        <v>0</v>
      </c>
      <c r="SN20">
        <f>+Tabla5202122242526272831323314[[#This Row],[Recuento]]*Tabla5202122242526272831323314[[#This Row],[Área neta]]</f>
        <v>0</v>
      </c>
      <c r="SO20" s="26"/>
      <c r="SQ20" t="s">
        <v>1862</v>
      </c>
      <c r="SR20" t="s">
        <v>1524</v>
      </c>
      <c r="SS20" t="s">
        <v>1627</v>
      </c>
      <c r="ST20">
        <v>1.22</v>
      </c>
      <c r="SU20">
        <v>6.1</v>
      </c>
      <c r="SV20">
        <v>1</v>
      </c>
      <c r="SW20" s="34">
        <f>+Tabla5789141516[[#This Row],[Recuento]]*Tabla5789141516[[#This Row],[Volúmen bruto]]</f>
        <v>1.22</v>
      </c>
      <c r="SX20" s="34">
        <f>+Tabla5789141516[[#This Row],[Recuento]]*Tabla5789141516[[#This Row],[Área neta]]</f>
        <v>6.1</v>
      </c>
      <c r="SY20" s="35">
        <f>+SUM(SX20:SX35)</f>
        <v>80.94</v>
      </c>
      <c r="SZ20" s="26"/>
      <c r="TA20"/>
      <c r="TB20"/>
      <c r="TC20"/>
      <c r="TD20"/>
      <c r="TE20"/>
      <c r="TF20" s="33"/>
      <c r="TG20" s="34"/>
      <c r="TH20" s="34"/>
      <c r="TI20" s="36"/>
      <c r="TJ20" s="26"/>
      <c r="TK20" t="s">
        <v>1863</v>
      </c>
      <c r="TL20" t="s">
        <v>1525</v>
      </c>
      <c r="TM20" t="s">
        <v>1628</v>
      </c>
      <c r="TN20">
        <v>0.08</v>
      </c>
      <c r="TO20">
        <v>4.0999999999999996</v>
      </c>
      <c r="TP20">
        <v>1</v>
      </c>
      <c r="TQ20" s="34">
        <f>+Tabla57891415163435[[#This Row],[Recuento]]*Tabla57891415163435[[#This Row],[Volúmen bruto]]</f>
        <v>0.08</v>
      </c>
      <c r="TR20" s="34">
        <f>+Tabla57891415163435[[#This Row],[Recuento]]*Tabla57891415163435[[#This Row],[Área neta]]</f>
        <v>4.0999999999999996</v>
      </c>
      <c r="TS20" s="35">
        <f>+SUM(TR20:TR21)</f>
        <v>6.67</v>
      </c>
      <c r="TT20" s="26"/>
      <c r="TU20"/>
      <c r="TV20"/>
      <c r="TW20"/>
      <c r="TX20"/>
      <c r="TY20"/>
      <c r="TZ20" s="33"/>
      <c r="UA20" s="34"/>
      <c r="UB20" s="34"/>
      <c r="UC20" s="36"/>
      <c r="UD20" s="26"/>
      <c r="UE20"/>
      <c r="UF20"/>
      <c r="UG20"/>
      <c r="UH20"/>
      <c r="UI20"/>
      <c r="UJ20" s="33"/>
      <c r="UK20" s="34"/>
      <c r="UL20" s="34"/>
      <c r="UM20" s="36"/>
      <c r="UN20" s="26"/>
      <c r="UO20"/>
      <c r="UP20"/>
      <c r="UQ20"/>
      <c r="UR20"/>
      <c r="US20"/>
      <c r="UT20" s="33"/>
      <c r="UU20" s="34"/>
      <c r="UV20" s="34"/>
      <c r="UW20" s="36"/>
      <c r="UX20" s="26"/>
      <c r="UY20"/>
      <c r="UZ20"/>
      <c r="VA20"/>
      <c r="VB20"/>
      <c r="VC20"/>
      <c r="VD20" s="33"/>
      <c r="VE20" s="34"/>
      <c r="VF20" s="34"/>
      <c r="VG20" s="36"/>
      <c r="VH20" s="26"/>
      <c r="VI20"/>
      <c r="VJ20"/>
      <c r="VK20"/>
      <c r="VL20"/>
      <c r="VM20"/>
      <c r="VN20" s="33"/>
      <c r="VO20" s="34"/>
      <c r="VP20" s="34"/>
      <c r="VQ20" s="36"/>
      <c r="VR20" s="26"/>
      <c r="VS20"/>
      <c r="VT20"/>
      <c r="VU20"/>
      <c r="VV20"/>
      <c r="VW20"/>
      <c r="VX20" s="33"/>
      <c r="VY20" s="34"/>
      <c r="VZ20" s="34"/>
      <c r="WA20" s="36"/>
      <c r="WB20" s="26"/>
      <c r="WC20"/>
      <c r="WD20"/>
      <c r="WE20"/>
      <c r="WF20"/>
      <c r="WG20"/>
      <c r="WH20" s="33"/>
      <c r="WI20" s="34"/>
      <c r="WJ20" s="34"/>
      <c r="WK20" s="36"/>
      <c r="WL20" s="26"/>
      <c r="WM20"/>
      <c r="WN20"/>
      <c r="WO20"/>
      <c r="WP20"/>
      <c r="WQ20"/>
      <c r="WR20" s="33"/>
      <c r="WS20" s="34"/>
      <c r="WT20" s="34"/>
      <c r="WU20" s="36"/>
      <c r="WV20" s="26"/>
      <c r="WW20"/>
      <c r="WX20"/>
      <c r="WY20"/>
      <c r="WZ20"/>
      <c r="XA20"/>
      <c r="XB20" s="33"/>
      <c r="XC20" s="34"/>
      <c r="XD20" s="34"/>
      <c r="XE20" s="36"/>
      <c r="XF20" s="26"/>
      <c r="XG20"/>
      <c r="XH20"/>
      <c r="XI20"/>
      <c r="XJ20"/>
      <c r="XK20"/>
      <c r="XL20"/>
      <c r="XM20" s="34">
        <f>+Tabla578914151634353637383940414243444536[[#This Row],[Recuento]]*Tabla578914151634353637383940414243444536[[#This Row],[Volúmen bruto]]</f>
        <v>0</v>
      </c>
      <c r="XN20" s="34">
        <f>+Tabla578914151634353637383940414243444536[[#This Row],[Recuento]]*Tabla578914151634353637383940414243444536[[#This Row],[Área neta]]</f>
        <v>0</v>
      </c>
      <c r="XO20" s="36"/>
      <c r="XP20" s="26"/>
      <c r="XQ20"/>
      <c r="XR20"/>
      <c r="XS20"/>
      <c r="XT20"/>
      <c r="XU20"/>
      <c r="XV20"/>
      <c r="XW20" s="34">
        <f>+Tabla5789141516343536373839404142434445[[#This Row],[Recuento]]*Tabla5789141516343536373839404142434445[[#This Row],[Volúmen bruto]]</f>
        <v>0</v>
      </c>
      <c r="XX20" s="34">
        <f>+Tabla5789141516343536373839404142434445[[#This Row],[Recuento]]*Tabla5789141516343536373839404142434445[[#This Row],[Área neta]]</f>
        <v>0</v>
      </c>
      <c r="XY20" s="35"/>
      <c r="XZ20" s="26"/>
      <c r="YA20"/>
      <c r="YB20"/>
      <c r="YC20"/>
      <c r="YD20"/>
      <c r="YE20"/>
      <c r="YF20"/>
      <c r="YG20" s="34">
        <f>+Tabla578914151634353637383940414243444558[[#This Row],[Recuento]]*Tabla578914151634353637383940414243444558[[#This Row],[Volúmen bruto]]</f>
        <v>0</v>
      </c>
      <c r="YH20" s="34">
        <f>+Tabla578914151634353637383940414243444558[[#This Row],[Recuento]]*Tabla578914151634353637383940414243444558[[#This Row],[Área neta]]</f>
        <v>0</v>
      </c>
      <c r="YI20" s="35"/>
      <c r="YJ20" s="35"/>
      <c r="YK20"/>
      <c r="YL20"/>
      <c r="YM20"/>
      <c r="YN20"/>
      <c r="YO20"/>
      <c r="YQ20"/>
      <c r="YR20"/>
      <c r="YS20"/>
      <c r="YT20"/>
      <c r="YU20"/>
      <c r="YV20" s="33"/>
      <c r="YW20" s="34"/>
      <c r="YX20" s="34"/>
      <c r="YY20" s="35"/>
      <c r="YZ20" s="26"/>
      <c r="ZA20"/>
      <c r="ZB20"/>
      <c r="ZC20"/>
      <c r="ZD20"/>
      <c r="ZE20"/>
      <c r="ZF20" s="33"/>
      <c r="ZG20" s="34"/>
      <c r="ZH20" s="34"/>
      <c r="ZI20" s="35"/>
      <c r="ZJ20" s="26"/>
      <c r="ZK20" t="s">
        <v>1863</v>
      </c>
      <c r="ZL20" t="s">
        <v>1525</v>
      </c>
      <c r="ZM20" t="s">
        <v>1485</v>
      </c>
      <c r="ZN20">
        <v>0.5</v>
      </c>
      <c r="ZO20">
        <v>20.190000000000001</v>
      </c>
      <c r="ZP20">
        <v>1</v>
      </c>
      <c r="ZQ20" s="34">
        <f>+Tabla5789141516343536373839404142434445464748495041[[#This Row],[Recuento]]*Tabla5789141516343536373839404142434445464748495041[[#This Row],[Volúmen bruto]]</f>
        <v>0.5</v>
      </c>
      <c r="ZR20" s="34">
        <f>+Tabla5789141516343536373839404142434445464748495041[[#This Row],[Recuento]]*Tabla5789141516343536373839404142434445464748495041[[#This Row],[Área neta]]</f>
        <v>20.190000000000001</v>
      </c>
      <c r="ZS20" s="35"/>
      <c r="ZT20" s="26"/>
      <c r="ZU20"/>
      <c r="ZV20"/>
      <c r="ZW20"/>
      <c r="ZX20"/>
      <c r="ZY20"/>
      <c r="ZZ20"/>
      <c r="AAA20" s="34">
        <f>+Tabla57891415163435363738394041424344454647484950[[#This Row],[Recuento]]*Tabla57891415163435363738394041424344454647484950[[#This Row],[Volúmen bruto]]</f>
        <v>0</v>
      </c>
      <c r="AAB20" s="34">
        <f>+Tabla57891415163435363738394041424344454647484950[[#This Row],[Recuento]]*Tabla57891415163435363738394041424344454647484950[[#This Row],[Área neta]]</f>
        <v>0</v>
      </c>
      <c r="AAC20" s="35"/>
      <c r="AAD20" s="26"/>
      <c r="AAE20"/>
      <c r="AAF20"/>
      <c r="AAG20"/>
      <c r="AAH20"/>
      <c r="AAI20"/>
      <c r="AAJ20" s="33"/>
      <c r="AAK20" s="34"/>
      <c r="AAL20" s="34"/>
      <c r="AAM20" s="35"/>
      <c r="AAN20" s="26"/>
      <c r="AAO20" t="s">
        <v>1863</v>
      </c>
      <c r="AAP20" t="s">
        <v>1524</v>
      </c>
      <c r="AAQ20" t="s">
        <v>98</v>
      </c>
      <c r="AAR20">
        <v>0</v>
      </c>
      <c r="AAS20">
        <v>0.35</v>
      </c>
      <c r="AAT20">
        <v>12</v>
      </c>
      <c r="AAU20" s="34">
        <f>+Tabla5789141516343536373839404142434445464748495051[[#This Row],[Recuento]]*Tabla5789141516343536373839404142434445464748495051[[#This Row],[Volúmen bruto]]</f>
        <v>0</v>
      </c>
      <c r="AAV20" s="34">
        <f>+Tabla5789141516343536373839404142434445464748495051[[#This Row],[Recuento]]*Tabla5789141516343536373839404142434445464748495051[[#This Row],[Área neta]]</f>
        <v>4.1999999999999993</v>
      </c>
      <c r="AAW20" s="35">
        <f>+SUM(AAV20:AAV21)</f>
        <v>6.2999999999999989</v>
      </c>
      <c r="AAX20" s="26"/>
      <c r="AAY20"/>
      <c r="AAZ20"/>
      <c r="ABA20"/>
      <c r="ABB20"/>
      <c r="ABC20"/>
      <c r="ABD20" s="33"/>
      <c r="ABE20" s="34"/>
      <c r="ABF20" s="34"/>
      <c r="ABG20" s="35"/>
      <c r="ABH20" s="26"/>
      <c r="ABI20"/>
      <c r="ABJ20"/>
      <c r="ABK20"/>
      <c r="ABL20"/>
      <c r="ABM20"/>
      <c r="ABN20" s="33"/>
      <c r="ABO20" s="34"/>
      <c r="ABP20" s="34"/>
      <c r="ABQ20" s="35"/>
      <c r="ABR20" s="26"/>
      <c r="ABS20"/>
      <c r="ABT20"/>
      <c r="ABU20"/>
      <c r="ABV20"/>
      <c r="ABW20"/>
      <c r="ABX20" s="33"/>
      <c r="ABY20" s="34"/>
      <c r="ABZ20" s="34"/>
      <c r="ACA20" s="35"/>
      <c r="ACB20" s="26"/>
      <c r="ACC20"/>
      <c r="ACD20"/>
      <c r="ACE20"/>
      <c r="ACF20"/>
      <c r="ACG20"/>
      <c r="ACH20" s="33"/>
      <c r="ACI20" s="34"/>
      <c r="ACJ20" s="34"/>
      <c r="ACK20" s="35"/>
      <c r="ACL20" s="26"/>
      <c r="ACM20"/>
      <c r="ACN20"/>
      <c r="ACO20"/>
      <c r="ACP20"/>
      <c r="ACQ20"/>
      <c r="ACR20" s="33"/>
      <c r="ACS20" s="34"/>
      <c r="ACT20" s="34"/>
      <c r="ACU20" s="35"/>
      <c r="ACV20" s="26"/>
      <c r="ACW20" s="75" t="s">
        <v>1237</v>
      </c>
      <c r="ACX20" s="1">
        <v>2</v>
      </c>
      <c r="ACY20" s="2">
        <v>0.4</v>
      </c>
      <c r="ACZ20" s="2">
        <v>2.4500000000000002</v>
      </c>
      <c r="ADA20">
        <v>1</v>
      </c>
      <c r="ADB20" s="2">
        <f>+(ACZ20*ACY20)*ADA20</f>
        <v>0.98000000000000009</v>
      </c>
      <c r="ADD20" t="s">
        <v>1720</v>
      </c>
      <c r="ADE20">
        <v>1.4</v>
      </c>
      <c r="ADF20">
        <v>2</v>
      </c>
      <c r="ADG20" s="26">
        <f t="shared" si="3"/>
        <v>2.8</v>
      </c>
      <c r="ADH20"/>
      <c r="ADI20"/>
      <c r="ADJ20"/>
      <c r="ADK20"/>
      <c r="ADL20"/>
      <c r="ADM20"/>
      <c r="ADN20">
        <f ca="1">+Tabla578914151634353637383940414243444546474849505152535560[[#This Row],[G. Total]]*Tabla578914151634353637383940414243444546474849505152535560[[#This Row],[Recuento]]</f>
        <v>0</v>
      </c>
      <c r="ADO20" s="35"/>
      <c r="ADP20" s="26"/>
      <c r="ADQ20"/>
      <c r="ADR20"/>
      <c r="ADS20"/>
      <c r="ADT20"/>
      <c r="ADU20"/>
      <c r="ADV20" s="35"/>
      <c r="ADW20" s="35"/>
      <c r="ADX20"/>
      <c r="ADY20"/>
      <c r="ADZ20"/>
      <c r="AEA20"/>
      <c r="AEB20"/>
      <c r="AEC20">
        <f ca="1">+Tabla57891415163435363738394041424344454647484950515253556062[[#This Row],[Total]]*Tabla57891415163435363738394041424344454647484950515253556062[[#This Row],[Recuento]]</f>
        <v>0</v>
      </c>
      <c r="AED20" s="35"/>
      <c r="AEE20" s="26"/>
      <c r="AEF20"/>
      <c r="AEG20"/>
      <c r="AEH20"/>
      <c r="AEI20"/>
      <c r="AEJ20"/>
      <c r="AEK20" s="35"/>
      <c r="AEL20" s="35"/>
      <c r="AEM20" t="s">
        <v>1522</v>
      </c>
      <c r="AEN20" t="s">
        <v>1523</v>
      </c>
      <c r="AEO20" t="s">
        <v>453</v>
      </c>
      <c r="AEP20">
        <v>0.67</v>
      </c>
      <c r="AEQ20">
        <v>1</v>
      </c>
      <c r="AER20">
        <f ca="1">+Tabla5789141516343536373839404142434445464748495051525355606264[[#This Row],[G. Total]]*Tabla5789141516343536373839404142434445464748495051525355606264[[#This Row],[Recuento]]</f>
        <v>0.67</v>
      </c>
      <c r="AES20" s="35"/>
      <c r="AET20" s="26"/>
      <c r="AEU20"/>
      <c r="AEV20"/>
      <c r="AEW20"/>
      <c r="AEX20"/>
      <c r="AEY20"/>
      <c r="AEZ20" s="35"/>
      <c r="AFA20" s="26"/>
      <c r="AFB20"/>
      <c r="AFC20"/>
      <c r="AFD20"/>
      <c r="AFE20"/>
      <c r="AFF20"/>
      <c r="AFG20"/>
      <c r="AFH20"/>
      <c r="AFI20"/>
      <c r="AFJ20"/>
      <c r="AFK20"/>
      <c r="AFL20"/>
      <c r="AFM20">
        <f ca="1">+Tabla578914151634353637383940414243444546474849505152535560626467[[#This Row],[G. Total]]*Tabla578914151634353637383940414243444546474849505152535560626467[[#This Row],[Recuento]]</f>
        <v>0</v>
      </c>
      <c r="AFN20" s="36"/>
      <c r="AFO20" s="26"/>
      <c r="AFP20" s="2" t="s">
        <v>107</v>
      </c>
      <c r="AFW20" s="2" t="s">
        <v>107</v>
      </c>
    </row>
    <row r="21" spans="1:860" ht="15" customHeight="1" x14ac:dyDescent="0.25">
      <c r="A21">
        <v>1</v>
      </c>
      <c r="B21" t="s">
        <v>1862</v>
      </c>
      <c r="C21" t="s">
        <v>1225</v>
      </c>
      <c r="D21" t="s">
        <v>1550</v>
      </c>
      <c r="E21">
        <v>0.51</v>
      </c>
      <c r="F21">
        <v>9.1300000000000008</v>
      </c>
      <c r="G21"/>
      <c r="H21">
        <f>+Tabla3[[#This Row],[Volúmen neto]]*A21</f>
        <v>0.51</v>
      </c>
      <c r="I21">
        <f>+Tabla3[[#This Row],[Longitud de eje]]*A21</f>
        <v>9.1300000000000008</v>
      </c>
      <c r="J21"/>
      <c r="K21"/>
      <c r="L21"/>
      <c r="M21"/>
      <c r="N21"/>
      <c r="O21"/>
      <c r="P21"/>
      <c r="Q21"/>
      <c r="R21">
        <f>+Tabla5[[#This Row],[Recuento]]*Tabla5[[#This Row],[Volúmen bruto]]</f>
        <v>0</v>
      </c>
      <c r="S21">
        <f>+Tabla5[[#This Row],[Recuento]]*Tabla5[[#This Row],[Área neta]]</f>
        <v>0</v>
      </c>
      <c r="T21">
        <f>+Tabla5[[#This Row],[Longitud nominal]]*Tabla5[[#This Row],[Recuento]]</f>
        <v>0</v>
      </c>
      <c r="U21" s="26"/>
      <c r="V21"/>
      <c r="W21"/>
      <c r="X21"/>
      <c r="Y21"/>
      <c r="Z21"/>
      <c r="AA21"/>
      <c r="AB21"/>
      <c r="AC21"/>
      <c r="AD21">
        <f>+Tabla522[[#This Row],[Recuento]]*Tabla522[[#This Row],[Volúmen bruto]]</f>
        <v>0</v>
      </c>
      <c r="AE21">
        <f>+Tabla522[[#This Row],[Recuento]]*Tabla522[[#This Row],[Área neta]]</f>
        <v>0</v>
      </c>
      <c r="AF21">
        <f>+Tabla522[[#This Row],[Longitud nominal]]*Tabla522[[#This Row],[Recuento]]</f>
        <v>0</v>
      </c>
      <c r="AG21" s="26">
        <f t="shared" si="4"/>
        <v>0</v>
      </c>
      <c r="AH21"/>
      <c r="AI21"/>
      <c r="AJ21"/>
      <c r="AK21"/>
      <c r="AL21"/>
      <c r="AM21"/>
      <c r="AN21"/>
      <c r="AO21"/>
      <c r="AP21">
        <f>+Tabla52223[[#This Row],[Recuento]]*Tabla52223[[#This Row],[Volúmen bruto]]</f>
        <v>0</v>
      </c>
      <c r="AQ21">
        <f>+Tabla52223[[#This Row],[Recuento]]*Tabla52223[[#This Row],[Área neta]]</f>
        <v>0</v>
      </c>
      <c r="AR21">
        <f>+Tabla52223[[#This Row],[Longitud nominal]]*Tabla52223[[#This Row],[Recuento]]</f>
        <v>0</v>
      </c>
      <c r="AS21" s="26">
        <f t="shared" si="5"/>
        <v>0</v>
      </c>
      <c r="AT21"/>
      <c r="AU21"/>
      <c r="AV21"/>
      <c r="AW21"/>
      <c r="AX21"/>
      <c r="AY21"/>
      <c r="AZ21"/>
      <c r="BA21"/>
      <c r="BB21">
        <f>+Tabla5222329[[#This Row],[Recuento]]*Tabla5222329[[#This Row],[Volúmen bruto]]</f>
        <v>0</v>
      </c>
      <c r="BC21">
        <f>+Tabla5222329[[#This Row],[Recuento]]*Tabla5222329[[#This Row],[Área neta]]</f>
        <v>0</v>
      </c>
      <c r="BD21">
        <f>+Tabla5222329[[#This Row],[Longitud nominal]]*Tabla5222329[[#This Row],[Recuento]]</f>
        <v>0</v>
      </c>
      <c r="BE21" s="26">
        <f t="shared" si="6"/>
        <v>0</v>
      </c>
      <c r="BF21">
        <v>12</v>
      </c>
      <c r="BG21" t="s">
        <v>1862</v>
      </c>
      <c r="BH21" t="s">
        <v>1524</v>
      </c>
      <c r="BI21" t="s">
        <v>1406</v>
      </c>
      <c r="BJ21">
        <v>5</v>
      </c>
      <c r="BK21">
        <v>5.5</v>
      </c>
      <c r="BL21">
        <f>+Tabla3102[[#This Row],[En culmo]]*BF21</f>
        <v>66</v>
      </c>
      <c r="BM21"/>
      <c r="BN21"/>
      <c r="BO21"/>
      <c r="BP21"/>
      <c r="BQ21"/>
      <c r="BR21"/>
      <c r="BS21"/>
      <c r="BT21">
        <f>+Tabla31069[[#This Row],[En culmo]]*BN21</f>
        <v>0</v>
      </c>
      <c r="BU21"/>
      <c r="BV21">
        <v>2</v>
      </c>
      <c r="BW21" t="s">
        <v>1862</v>
      </c>
      <c r="BX21" t="s">
        <v>1525</v>
      </c>
      <c r="BY21" t="s">
        <v>1406</v>
      </c>
      <c r="BZ21">
        <v>7.2</v>
      </c>
      <c r="CA21">
        <v>7.5</v>
      </c>
      <c r="CB21">
        <f>+Tabla31011[[#This Row],[En culmo]]*BV21</f>
        <v>15</v>
      </c>
      <c r="CD21">
        <v>2</v>
      </c>
      <c r="CE21" t="s">
        <v>1862</v>
      </c>
      <c r="CF21" t="s">
        <v>1525</v>
      </c>
      <c r="CG21" t="s">
        <v>1405</v>
      </c>
      <c r="CH21">
        <v>0.49</v>
      </c>
      <c r="CI21">
        <v>1</v>
      </c>
      <c r="CJ21">
        <f>+Tabla3101170[[#This Row],[En culmo]]*CD21</f>
        <v>2</v>
      </c>
      <c r="CK21"/>
      <c r="CR21">
        <f>+Tabla31011116[[#This Row],[En culmo]]*CT21</f>
        <v>0</v>
      </c>
      <c r="CT21">
        <v>2</v>
      </c>
      <c r="CU21" t="s">
        <v>1862</v>
      </c>
      <c r="CV21" t="s">
        <v>1383</v>
      </c>
      <c r="CW21" t="s">
        <v>1405</v>
      </c>
      <c r="CX21">
        <v>6.08</v>
      </c>
      <c r="CY21">
        <v>4</v>
      </c>
      <c r="CZ21">
        <f>+Tabla3101170117[[#This Row],[En culmo]]*CT21</f>
        <v>8</v>
      </c>
      <c r="DA21"/>
      <c r="DB21">
        <v>2</v>
      </c>
      <c r="DC21" t="s">
        <v>1862</v>
      </c>
      <c r="DD21" t="s">
        <v>1383</v>
      </c>
      <c r="DE21" t="s">
        <v>1723</v>
      </c>
      <c r="DF21">
        <v>1.22</v>
      </c>
      <c r="DG21">
        <f>+Tabla31011704[[#This Row],[Longitud de eje]]*DB21</f>
        <v>2.44</v>
      </c>
      <c r="DH21"/>
      <c r="DI21"/>
      <c r="DJ21"/>
      <c r="DK21"/>
      <c r="DL21"/>
      <c r="DM21"/>
      <c r="DN21">
        <f>+Tabla3101170411[[#This Row],[Longitud de eje]]*DI21</f>
        <v>0</v>
      </c>
      <c r="DO21"/>
      <c r="DP21"/>
      <c r="DQ21"/>
      <c r="DR21"/>
      <c r="DS21"/>
      <c r="DT21"/>
      <c r="DU21">
        <f>+Tabla3101170411120[[#This Row],[Longitud de eje]]*DP21</f>
        <v>0</v>
      </c>
      <c r="DV21"/>
      <c r="DW21"/>
      <c r="DX21"/>
      <c r="DY21"/>
      <c r="DZ21"/>
      <c r="EA21"/>
      <c r="EB21">
        <f>+Tabla3101170411120122[[#This Row],[Longitud de eje]]*DW21</f>
        <v>0</v>
      </c>
      <c r="EC21"/>
      <c r="ED21">
        <v>2</v>
      </c>
      <c r="EE21" t="s">
        <v>1862</v>
      </c>
      <c r="EF21" t="s">
        <v>1524</v>
      </c>
      <c r="EG21" t="s">
        <v>1406</v>
      </c>
      <c r="EH21">
        <v>2.61</v>
      </c>
      <c r="EI21">
        <v>3</v>
      </c>
      <c r="EJ21">
        <f>+Tabla3101112[[#This Row],[En culmo]]*ED21</f>
        <v>6</v>
      </c>
      <c r="EK21"/>
      <c r="EL21"/>
      <c r="EM21"/>
      <c r="EN21"/>
      <c r="EO21"/>
      <c r="EP21"/>
      <c r="EQ21"/>
      <c r="ER21">
        <f>+Tabla3101112123[[#This Row],[En culmo]]*EL21</f>
        <v>0</v>
      </c>
      <c r="ES21"/>
      <c r="ET21">
        <v>2</v>
      </c>
      <c r="EU21" t="s">
        <v>1862</v>
      </c>
      <c r="EV21" t="s">
        <v>1525</v>
      </c>
      <c r="EW21" t="s">
        <v>1406</v>
      </c>
      <c r="EX21">
        <v>1.7</v>
      </c>
      <c r="EY21">
        <v>2</v>
      </c>
      <c r="EZ21">
        <f>+Tabla310111257[[#This Row],[En culmo]]*ET21</f>
        <v>4</v>
      </c>
      <c r="FA21"/>
      <c r="FB21"/>
      <c r="FC21"/>
      <c r="FD21"/>
      <c r="FE21"/>
      <c r="FF21"/>
      <c r="FG21">
        <v>2</v>
      </c>
      <c r="FH21">
        <f>+Tabla310111257124[[#This Row],[En culmo]]*FB21</f>
        <v>0</v>
      </c>
      <c r="FI21"/>
      <c r="FK21"/>
      <c r="FL21"/>
      <c r="FM21"/>
      <c r="FN21"/>
      <c r="FO21"/>
      <c r="FP21"/>
      <c r="FQ21"/>
      <c r="FS21"/>
      <c r="FT21"/>
      <c r="FU21"/>
      <c r="FV21"/>
      <c r="FW21"/>
      <c r="FX21"/>
      <c r="FY21"/>
      <c r="FZ21">
        <v>1</v>
      </c>
      <c r="GA21" t="s">
        <v>1862</v>
      </c>
      <c r="GB21" t="s">
        <v>1524</v>
      </c>
      <c r="GC21" t="s">
        <v>1584</v>
      </c>
      <c r="GD21">
        <v>0.21</v>
      </c>
      <c r="GE21">
        <v>2.68</v>
      </c>
      <c r="GF21">
        <f>+Tabla3101112131157[[#This Row],[Volúmen]]*FZ21</f>
        <v>0.21</v>
      </c>
      <c r="GG21">
        <f>+Tabla3101112131157[[#This Row],[Longitud del eje]]*FZ21</f>
        <v>2.68</v>
      </c>
      <c r="GI21"/>
      <c r="GJ21"/>
      <c r="GK21"/>
      <c r="GL21"/>
      <c r="GM21"/>
      <c r="GN21"/>
      <c r="GO21"/>
      <c r="GQ21" t="s">
        <v>1862</v>
      </c>
      <c r="GR21" t="s">
        <v>1383</v>
      </c>
      <c r="GS21" t="s">
        <v>1667</v>
      </c>
      <c r="GT21">
        <v>0.98</v>
      </c>
      <c r="GU21">
        <v>10.93</v>
      </c>
      <c r="GV21">
        <v>1</v>
      </c>
      <c r="GW21">
        <f>+Tabla578914[[#This Row],[Recuento]]*Tabla578914[[#This Row],[Volúmen bruto]]</f>
        <v>0.98</v>
      </c>
      <c r="GX21">
        <f>+Tabla578914[[#This Row],[Recuento]]*Tabla578914[[#This Row],[Área neta]]</f>
        <v>10.93</v>
      </c>
      <c r="GY21" s="36"/>
      <c r="HA21" t="s">
        <v>1862</v>
      </c>
      <c r="HB21" t="s">
        <v>1383</v>
      </c>
      <c r="HC21" t="s">
        <v>98</v>
      </c>
      <c r="HD21">
        <v>0.01</v>
      </c>
      <c r="HE21">
        <v>9.9600000000000009</v>
      </c>
      <c r="HF21">
        <v>1</v>
      </c>
      <c r="HG21">
        <f>+Tabla578914126[[#This Row],[Recuento]]*Tabla578914126[[#This Row],[Volúmen bruto]]</f>
        <v>0.01</v>
      </c>
      <c r="HH21">
        <f>+Tabla578914126[[#This Row],[Recuento]]*Tabla578914126[[#This Row],[Área neta]]</f>
        <v>9.9600000000000009</v>
      </c>
      <c r="HI21" s="36"/>
      <c r="HK21"/>
      <c r="HL21"/>
      <c r="HM21"/>
      <c r="HN21"/>
      <c r="HO21"/>
      <c r="HP21"/>
      <c r="HQ21">
        <f>+Tabla578914126127[[#This Row],[Recuento]]*Tabla578914126127[[#This Row],[Volúmen bruto]]</f>
        <v>0</v>
      </c>
      <c r="HR21">
        <f>+Tabla578914126127[[#This Row],[Recuento]]*Tabla578914126127[[#This Row],[Área neta]]</f>
        <v>0</v>
      </c>
      <c r="HS21" s="36"/>
      <c r="HT21" s="26"/>
      <c r="HU21"/>
      <c r="HV21"/>
      <c r="HW21"/>
      <c r="HX21"/>
      <c r="HY21"/>
      <c r="HZ21"/>
      <c r="IA21"/>
      <c r="IB21"/>
      <c r="IC21" s="36"/>
      <c r="ID21" s="26"/>
      <c r="IE21"/>
      <c r="IF21"/>
      <c r="IG21"/>
      <c r="IH21"/>
      <c r="II21"/>
      <c r="IJ21"/>
      <c r="IK21"/>
      <c r="IL21"/>
      <c r="IM21" s="36"/>
      <c r="IN21" s="26"/>
      <c r="IO21"/>
      <c r="IP21"/>
      <c r="IQ21"/>
      <c r="IR21"/>
      <c r="IS21"/>
      <c r="IT21"/>
      <c r="IU21"/>
      <c r="IV21">
        <f>+Tabla520212223[[#This Row],[Recuento]]*Tabla520212223[[#This Row],[Área neta]]</f>
        <v>0</v>
      </c>
      <c r="IW21" s="26">
        <f t="shared" si="0"/>
        <v>0</v>
      </c>
      <c r="IY21"/>
      <c r="IZ21"/>
      <c r="JA21"/>
      <c r="JB21"/>
      <c r="JC21"/>
      <c r="JD21"/>
      <c r="JE21">
        <f>+Tabla520212224[[#This Row],[Recuento]]*Tabla520212224[[#This Row],[Volúmen bruto]]</f>
        <v>0</v>
      </c>
      <c r="JF21">
        <f>+Tabla520212224[[#This Row],[Recuento]]*Tabla520212224[[#This Row],[Área neta]]</f>
        <v>0</v>
      </c>
      <c r="JG21" s="26"/>
      <c r="JI21" t="s">
        <v>1862</v>
      </c>
      <c r="JJ21" t="s">
        <v>1525</v>
      </c>
      <c r="JK21" t="s">
        <v>97</v>
      </c>
      <c r="JL21">
        <v>0</v>
      </c>
      <c r="JM21">
        <v>0.22</v>
      </c>
      <c r="JN21">
        <v>2</v>
      </c>
      <c r="JO21">
        <f>+Tabla52021222425[[#This Row],[Recuento]]*Tabla52021222425[[#This Row],[Volúmen bruto]]</f>
        <v>0</v>
      </c>
      <c r="JP21">
        <f>+Tabla52021222425[[#This Row],[Recuento]]*Tabla52021222425[[#This Row],[Área neta]]</f>
        <v>0.44</v>
      </c>
      <c r="JQ21" s="26"/>
      <c r="JS21" t="s">
        <v>1862</v>
      </c>
      <c r="JT21" t="s">
        <v>1525</v>
      </c>
      <c r="JU21" t="s">
        <v>97</v>
      </c>
      <c r="JV21">
        <v>0.01</v>
      </c>
      <c r="JW21">
        <v>0.68</v>
      </c>
      <c r="JX21">
        <v>2</v>
      </c>
      <c r="JY21">
        <f>+Tabla5202122242526[[#This Row],[Recuento]]*Tabla5202122242526[[#This Row],[Volúmen bruto]]</f>
        <v>0.02</v>
      </c>
      <c r="JZ21">
        <f>+Tabla5202122242526[[#This Row],[Recuento]]*Tabla5202122242526[[#This Row],[Área neta]]</f>
        <v>1.36</v>
      </c>
      <c r="KA21" s="26"/>
      <c r="KC21"/>
      <c r="KD21"/>
      <c r="KE21"/>
      <c r="KF21"/>
      <c r="KG21"/>
      <c r="KH21"/>
      <c r="KI21">
        <f>+Tabla5202122242526104[[#This Row],[Recuento]]*Tabla5202122242526104[[#This Row],[Volúmen bruto]]</f>
        <v>0</v>
      </c>
      <c r="KJ21">
        <f>+Tabla5202122242526104[[#This Row],[Recuento]]*Tabla5202122242526104[[#This Row],[Área neta]]</f>
        <v>0</v>
      </c>
      <c r="KK21" s="26"/>
      <c r="KM21" t="s">
        <v>1862</v>
      </c>
      <c r="KN21" t="s">
        <v>1524</v>
      </c>
      <c r="KO21" t="s">
        <v>97</v>
      </c>
      <c r="KP21">
        <v>0.04</v>
      </c>
      <c r="KQ21">
        <v>2.09</v>
      </c>
      <c r="KR21">
        <v>1</v>
      </c>
      <c r="KS21">
        <f>+Tabla5202122242526104110[[#This Row],[Recuento]]*Tabla5202122242526104110[[#This Row],[Volúmen bruto]]</f>
        <v>0.04</v>
      </c>
      <c r="KT21">
        <f>+Tabla5202122242526104110[[#This Row],[Recuento]]*Tabla5202122242526104110[[#This Row],[Área neta]]</f>
        <v>2.09</v>
      </c>
      <c r="KU21" s="26"/>
      <c r="KW21" t="s">
        <v>1863</v>
      </c>
      <c r="KX21" t="s">
        <v>1524</v>
      </c>
      <c r="KY21" t="s">
        <v>1677</v>
      </c>
      <c r="KZ21">
        <v>0.01</v>
      </c>
      <c r="LA21">
        <v>7.48</v>
      </c>
      <c r="LB21">
        <v>1</v>
      </c>
      <c r="LC21">
        <f>+Tabla520212224252659[[#This Row],[Recuento]]*Tabla520212224252659[[#This Row],[Volúmen bruto]]</f>
        <v>0.01</v>
      </c>
      <c r="LD21">
        <f>+Tabla520212224252659[[#This Row],[Recuento]]*Tabla520212224252659[[#This Row],[Área neta]]</f>
        <v>7.48</v>
      </c>
      <c r="LE21" s="26"/>
      <c r="LG21"/>
      <c r="LH21"/>
      <c r="LI21"/>
      <c r="LJ21"/>
      <c r="LK21"/>
      <c r="LL21"/>
      <c r="LM21">
        <f>+Tabla520212224252659111[[#This Row],[Recuento]]*Tabla520212224252659111[[#This Row],[Volúmen bruto]]</f>
        <v>0</v>
      </c>
      <c r="LN21">
        <f>+Tabla520212224252659111[[#This Row],[Recuento]]*Tabla520212224252659111[[#This Row],[Área neta]]</f>
        <v>0</v>
      </c>
      <c r="LO21" s="26"/>
      <c r="LQ21"/>
      <c r="LR21"/>
      <c r="LS21"/>
      <c r="LT21"/>
      <c r="LU21"/>
      <c r="LV21"/>
      <c r="LW21">
        <f>+Tabla520212224252659111114[[#This Row],[Recuento]]*Tabla520212224252659111114[[#This Row],[Volúmen bruto]]</f>
        <v>0</v>
      </c>
      <c r="LX21">
        <f>+Tabla520212224252659111114[[#This Row],[Recuento]]*Tabla520212224252659111114[[#This Row],[Área neta]]</f>
        <v>0</v>
      </c>
      <c r="LY21" s="26"/>
      <c r="MA21" t="s">
        <v>1862</v>
      </c>
      <c r="MB21" t="s">
        <v>1525</v>
      </c>
      <c r="MC21" t="s">
        <v>97</v>
      </c>
      <c r="MD21">
        <v>0.15</v>
      </c>
      <c r="ME21">
        <v>6.58</v>
      </c>
      <c r="MF21">
        <v>1</v>
      </c>
      <c r="MG21">
        <f>+Tabla520212224252659111114128[[#This Row],[Recuento]]*Tabla520212224252659111114128[[#This Row],[Volúmen bruto]]</f>
        <v>0.15</v>
      </c>
      <c r="MH21">
        <f>+Tabla520212224252659111114128[[#This Row],[Recuento]]*Tabla520212224252659111114128[[#This Row],[Área neta]]</f>
        <v>6.58</v>
      </c>
      <c r="MI21" s="26"/>
      <c r="MK21" t="s">
        <v>1863</v>
      </c>
      <c r="ML21" t="s">
        <v>1525</v>
      </c>
      <c r="MM21" t="s">
        <v>1676</v>
      </c>
      <c r="MN21">
        <v>0.12</v>
      </c>
      <c r="MO21">
        <v>0.99</v>
      </c>
      <c r="MP21">
        <v>1</v>
      </c>
      <c r="MQ21">
        <f>+Tabla520212224252627[[#This Row],[Recuento]]*Tabla520212224252627[[#This Row],[Volúmen bruto]]</f>
        <v>0.12</v>
      </c>
      <c r="MR21">
        <f>+Tabla520212224252627[[#This Row],[Recuento]]*Tabla520212224252627[[#This Row],[Área neta]]</f>
        <v>0.99</v>
      </c>
      <c r="MS21" s="26">
        <f>+SUM(MR21)</f>
        <v>0.99</v>
      </c>
      <c r="MU21" t="s">
        <v>1549</v>
      </c>
      <c r="MV21" t="s">
        <v>1525</v>
      </c>
      <c r="MW21" t="s">
        <v>99</v>
      </c>
      <c r="MX21">
        <v>0</v>
      </c>
      <c r="MY21">
        <v>0.1</v>
      </c>
      <c r="MZ21">
        <v>2</v>
      </c>
      <c r="NA21">
        <f>+Tabla520212224252627129[[#This Row],[Recuento]]*Tabla520212224252627129[[#This Row],[Volúmen bruto]]</f>
        <v>0</v>
      </c>
      <c r="NB21">
        <f>+Tabla520212224252627129[[#This Row],[Recuento]]*Tabla520212224252627129[[#This Row],[Área neta]]</f>
        <v>0.2</v>
      </c>
      <c r="NC21" s="26"/>
      <c r="NE21"/>
      <c r="NF21"/>
      <c r="NG21"/>
      <c r="NH21"/>
      <c r="NI21"/>
      <c r="NJ21"/>
      <c r="NK21">
        <f>+Tabla520212224252627129125[[#This Row],[Recuento]]*Tabla520212224252627129125[[#This Row],[Volúmen bruto]]</f>
        <v>0</v>
      </c>
      <c r="NL21">
        <f>+Tabla520212224252627129125[[#This Row],[Recuento]]*Tabla520212224252627129125[[#This Row],[Área neta]]</f>
        <v>0</v>
      </c>
      <c r="NM21" s="26"/>
      <c r="NO21" t="s">
        <v>1549</v>
      </c>
      <c r="NP21" t="s">
        <v>1525</v>
      </c>
      <c r="NQ21" t="s">
        <v>1781</v>
      </c>
      <c r="NR21">
        <v>0</v>
      </c>
      <c r="NS21">
        <v>0.48</v>
      </c>
      <c r="NT21">
        <v>1</v>
      </c>
      <c r="NU21">
        <f>+Tabla520212224252627129125130[[#This Row],[Recuento]]*Tabla520212224252627129125130[[#This Row],[Volúmen bruto]]</f>
        <v>0</v>
      </c>
      <c r="NV21">
        <f>+Tabla520212224252627129125130[[#This Row],[Recuento]]*Tabla520212224252627129125130[[#This Row],[Área neta]]</f>
        <v>0.48</v>
      </c>
      <c r="NW21" s="26"/>
      <c r="NY21"/>
      <c r="NZ21"/>
      <c r="OA21"/>
      <c r="OB21"/>
      <c r="OC21"/>
      <c r="OD21"/>
      <c r="OE21">
        <f>+Tabla520212224252627129125130131[[#This Row],[Recuento]]*Tabla520212224252627129125130131[[#This Row],[Volúmen bruto]]</f>
        <v>0</v>
      </c>
      <c r="OF21">
        <f>+Tabla520212224252627129125130131[[#This Row],[Recuento]]*Tabla520212224252627129125130131[[#This Row],[Área neta]]</f>
        <v>0</v>
      </c>
      <c r="OG21" s="26"/>
      <c r="OI21" t="s">
        <v>1549</v>
      </c>
      <c r="OJ21" t="s">
        <v>1525</v>
      </c>
      <c r="OK21" t="s">
        <v>1781</v>
      </c>
      <c r="OL21">
        <v>0</v>
      </c>
      <c r="OM21">
        <v>0.16</v>
      </c>
      <c r="ON21">
        <v>2</v>
      </c>
      <c r="OO21">
        <f>+Tabla520212224252627129125130131132[[#This Row],[Recuento]]*Tabla520212224252627129125130131132[[#This Row],[Volúmen bruto]]</f>
        <v>0</v>
      </c>
      <c r="OP21">
        <f>+Tabla520212224252627129125130131132[[#This Row],[Recuento]]*Tabla520212224252627129125130131132[[#This Row],[Área neta]]</f>
        <v>0.32</v>
      </c>
      <c r="OQ21" s="26"/>
      <c r="OS21"/>
      <c r="OT21"/>
      <c r="OU21"/>
      <c r="OV21"/>
      <c r="OW21"/>
      <c r="OX21"/>
      <c r="OY21">
        <f>+Tabla52021222425262728[[#This Row],[Recuento]]*Tabla52021222425262728[[#This Row],[Volúmen bruto]]</f>
        <v>0</v>
      </c>
      <c r="OZ21">
        <f>+Tabla52021222425262728[[#This Row],[Recuento]]*Tabla52021222425262728[[#This Row],[Área neta]]</f>
        <v>0</v>
      </c>
      <c r="PA21" s="26"/>
      <c r="PC21" t="s">
        <v>1862</v>
      </c>
      <c r="PD21" t="s">
        <v>1525</v>
      </c>
      <c r="PE21" t="s">
        <v>1628</v>
      </c>
      <c r="PF21">
        <v>0.02</v>
      </c>
      <c r="PG21">
        <v>1.02</v>
      </c>
      <c r="PH21">
        <v>1</v>
      </c>
      <c r="PI21">
        <f>+Tabla52021222425262728133[[#This Row],[Recuento]]*Tabla52021222425262728133[[#This Row],[Volúmen bruto]]</f>
        <v>0.02</v>
      </c>
      <c r="PJ21">
        <f>+Tabla52021222425262728133[[#This Row],[Recuento]]*Tabla52021222425262728133[[#This Row],[Área neta]]</f>
        <v>1.02</v>
      </c>
      <c r="PK21" s="26"/>
      <c r="PM21"/>
      <c r="PN21"/>
      <c r="PO21"/>
      <c r="PP21"/>
      <c r="PQ21"/>
      <c r="PR21"/>
      <c r="PS21">
        <f>+Tabla5202122242526272893[[#This Row],[Recuento]]*Tabla5202122242526272893[[#This Row],[Volúmen bruto]]</f>
        <v>0</v>
      </c>
      <c r="PT21">
        <f>+Tabla5202122242526272893[[#This Row],[Recuento]]*Tabla5202122242526272893[[#This Row],[Área neta]]</f>
        <v>0</v>
      </c>
      <c r="PU21" s="26"/>
      <c r="PW21" t="s">
        <v>1862</v>
      </c>
      <c r="PX21" t="s">
        <v>1525</v>
      </c>
      <c r="PY21" t="s">
        <v>97</v>
      </c>
      <c r="PZ21">
        <v>0.05</v>
      </c>
      <c r="QA21">
        <v>2.37</v>
      </c>
      <c r="QB21">
        <v>1</v>
      </c>
      <c r="QC21">
        <f>+Tabla520212224252627289349[[#This Row],[Recuento]]*Tabla520212224252627289349[[#This Row],[Volúmen bruto]]</f>
        <v>0.05</v>
      </c>
      <c r="QD21">
        <f>+Tabla520212224252627289349[[#This Row],[Recuento]]*Tabla520212224252627289349[[#This Row],[Área neta]]</f>
        <v>2.37</v>
      </c>
      <c r="QE21" s="26">
        <f>+SUM(QD21:QD31)</f>
        <v>20.439999999999998</v>
      </c>
      <c r="QG21"/>
      <c r="QH21"/>
      <c r="QI21"/>
      <c r="QJ21"/>
      <c r="QK21"/>
      <c r="QL21"/>
      <c r="QM21">
        <f>+Tabla520212224252627289349134[[#This Row],[Recuento]]*Tabla520212224252627289349134[[#This Row],[Volúmen bruto]]</f>
        <v>0</v>
      </c>
      <c r="QN21">
        <f>+Tabla520212224252627289349134[[#This Row],[Recuento]]*Tabla520212224252627289349134[[#This Row],[Área neta]]</f>
        <v>0</v>
      </c>
      <c r="QO21" s="26"/>
      <c r="QQ21" t="s">
        <v>1862</v>
      </c>
      <c r="QR21" t="s">
        <v>1524</v>
      </c>
      <c r="QS21" t="s">
        <v>1726</v>
      </c>
      <c r="QT21">
        <v>0.17</v>
      </c>
      <c r="QU21">
        <v>0.83</v>
      </c>
      <c r="QV21">
        <v>1</v>
      </c>
      <c r="QW21">
        <v>1</v>
      </c>
      <c r="QX21">
        <f>+Tabla5202122242526272829[[#This Row],[Recuento]]*Tabla5202122242526272829[[#This Row],[Volúmen bruto]]</f>
        <v>0.17</v>
      </c>
      <c r="QY21">
        <f>+Tabla5202122242526272829[[#This Row],[Recuento]]*Tabla5202122242526272829[[#This Row],[Área neta]]</f>
        <v>0.83</v>
      </c>
      <c r="QZ21">
        <f>+Tabla5202122242526272829[[#This Row],[Recuento]]*Tabla5202122242526272829[[#This Row],[Longitud]]</f>
        <v>1</v>
      </c>
      <c r="RA21" s="26"/>
      <c r="RC21"/>
      <c r="RD21"/>
      <c r="RE21"/>
      <c r="RF21"/>
      <c r="RG21"/>
      <c r="RH21"/>
      <c r="RI21"/>
      <c r="RJ21"/>
      <c r="RK21" s="26"/>
      <c r="RM21"/>
      <c r="RN21"/>
      <c r="RO21"/>
      <c r="RP21"/>
      <c r="RQ21"/>
      <c r="RR21"/>
      <c r="RS21"/>
      <c r="RT21"/>
      <c r="RU21" s="26">
        <f t="shared" si="7"/>
        <v>0</v>
      </c>
      <c r="RW21"/>
      <c r="RX21"/>
      <c r="RY21"/>
      <c r="RZ21"/>
      <c r="SA21"/>
      <c r="SB21"/>
      <c r="SC21">
        <f>+Tabla52021222425262728313233[[#This Row],[Recuento]]*Tabla52021222425262728313233[[#This Row],[Volúmen bruto]]</f>
        <v>0</v>
      </c>
      <c r="SD21">
        <f>+Tabla52021222425262728313233[[#This Row],[Recuento]]*Tabla52021222425262728313233[[#This Row],[Área neta]]</f>
        <v>0</v>
      </c>
      <c r="SE21" s="26"/>
      <c r="SG21"/>
      <c r="SH21"/>
      <c r="SI21"/>
      <c r="SJ21"/>
      <c r="SK21"/>
      <c r="SL21"/>
      <c r="SM21">
        <f>+Tabla5202122242526272831323314[[#This Row],[Recuento]]*Tabla5202122242526272831323314[[#This Row],[Volúmen bruto]]</f>
        <v>0</v>
      </c>
      <c r="SN21">
        <f>+Tabla5202122242526272831323314[[#This Row],[Recuento]]*Tabla5202122242526272831323314[[#This Row],[Área neta]]</f>
        <v>0</v>
      </c>
      <c r="SO21" s="26"/>
      <c r="SQ21" t="s">
        <v>1862</v>
      </c>
      <c r="SR21" t="s">
        <v>1524</v>
      </c>
      <c r="SS21" t="s">
        <v>1627</v>
      </c>
      <c r="ST21">
        <v>0.23</v>
      </c>
      <c r="SU21">
        <v>1.1499999999999999</v>
      </c>
      <c r="SV21">
        <v>1</v>
      </c>
      <c r="SW21" s="34">
        <f>+Tabla5789141516[[#This Row],[Recuento]]*Tabla5789141516[[#This Row],[Volúmen bruto]]</f>
        <v>0.23</v>
      </c>
      <c r="SX21" s="34">
        <f>+Tabla5789141516[[#This Row],[Recuento]]*Tabla5789141516[[#This Row],[Área neta]]</f>
        <v>1.1499999999999999</v>
      </c>
      <c r="SY21" s="36"/>
      <c r="SZ21" s="26"/>
      <c r="TA21"/>
      <c r="TB21"/>
      <c r="TC21"/>
      <c r="TD21"/>
      <c r="TE21"/>
      <c r="TF21" s="33"/>
      <c r="TG21" s="34"/>
      <c r="TH21" s="34"/>
      <c r="TI21" s="36"/>
      <c r="TJ21" s="26"/>
      <c r="TK21" t="s">
        <v>1863</v>
      </c>
      <c r="TL21" t="s">
        <v>1525</v>
      </c>
      <c r="TM21" t="s">
        <v>1628</v>
      </c>
      <c r="TN21">
        <v>0.05</v>
      </c>
      <c r="TO21">
        <v>2.57</v>
      </c>
      <c r="TP21">
        <v>1</v>
      </c>
      <c r="TQ21" s="34">
        <f>+Tabla57891415163435[[#This Row],[Recuento]]*Tabla57891415163435[[#This Row],[Volúmen bruto]]</f>
        <v>0.05</v>
      </c>
      <c r="TR21" s="34">
        <f>+Tabla57891415163435[[#This Row],[Recuento]]*Tabla57891415163435[[#This Row],[Área neta]]</f>
        <v>2.57</v>
      </c>
      <c r="TS21" s="36"/>
      <c r="TT21" s="26"/>
      <c r="TU21"/>
      <c r="TV21"/>
      <c r="TW21"/>
      <c r="TX21"/>
      <c r="TY21"/>
      <c r="TZ21" s="33"/>
      <c r="UA21" s="34"/>
      <c r="UB21" s="34"/>
      <c r="UC21" s="36"/>
      <c r="UD21" s="26"/>
      <c r="UE21"/>
      <c r="UF21"/>
      <c r="UG21"/>
      <c r="UH21"/>
      <c r="UI21"/>
      <c r="UJ21" s="33"/>
      <c r="UK21" s="34"/>
      <c r="UL21" s="34"/>
      <c r="UM21" s="36"/>
      <c r="UN21" s="26"/>
      <c r="UO21"/>
      <c r="UP21"/>
      <c r="UQ21"/>
      <c r="UR21"/>
      <c r="US21"/>
      <c r="UT21" s="33"/>
      <c r="UU21" s="34"/>
      <c r="UV21" s="34"/>
      <c r="UW21" s="36"/>
      <c r="UX21" s="26"/>
      <c r="UY21"/>
      <c r="UZ21"/>
      <c r="VA21"/>
      <c r="VB21"/>
      <c r="VC21"/>
      <c r="VD21" s="33"/>
      <c r="VE21" s="34"/>
      <c r="VF21" s="34"/>
      <c r="VG21" s="36"/>
      <c r="VH21" s="26"/>
      <c r="VI21"/>
      <c r="VJ21"/>
      <c r="VK21"/>
      <c r="VL21"/>
      <c r="VM21"/>
      <c r="VN21" s="33"/>
      <c r="VO21" s="34"/>
      <c r="VP21" s="34"/>
      <c r="VQ21" s="36"/>
      <c r="VR21" s="26"/>
      <c r="VS21"/>
      <c r="VT21"/>
      <c r="VU21"/>
      <c r="VV21"/>
      <c r="VW21"/>
      <c r="VX21" s="33"/>
      <c r="VY21" s="34"/>
      <c r="VZ21" s="34"/>
      <c r="WA21" s="36"/>
      <c r="WB21" s="26"/>
      <c r="WC21"/>
      <c r="WD21"/>
      <c r="WE21"/>
      <c r="WF21"/>
      <c r="WG21"/>
      <c r="WH21" s="33"/>
      <c r="WI21" s="34"/>
      <c r="WJ21" s="34"/>
      <c r="WK21" s="36"/>
      <c r="WL21" s="26"/>
      <c r="WM21"/>
      <c r="WN21"/>
      <c r="WO21"/>
      <c r="WP21"/>
      <c r="WQ21"/>
      <c r="WR21" s="33"/>
      <c r="WS21" s="34"/>
      <c r="WT21" s="34"/>
      <c r="WU21" s="36"/>
      <c r="WV21" s="26"/>
      <c r="WW21"/>
      <c r="WX21"/>
      <c r="WY21"/>
      <c r="WZ21"/>
      <c r="XA21"/>
      <c r="XB21" s="33"/>
      <c r="XC21" s="34"/>
      <c r="XD21" s="34"/>
      <c r="XE21" s="36"/>
      <c r="XF21" s="26"/>
      <c r="XG21"/>
      <c r="XH21"/>
      <c r="XI21"/>
      <c r="XJ21"/>
      <c r="XK21"/>
      <c r="XL21"/>
      <c r="XM21" s="34">
        <f>+Tabla578914151634353637383940414243444536[[#This Row],[Recuento]]*Tabla578914151634353637383940414243444536[[#This Row],[Volúmen bruto]]</f>
        <v>0</v>
      </c>
      <c r="XN21" s="34">
        <f>+Tabla578914151634353637383940414243444536[[#This Row],[Recuento]]*Tabla578914151634353637383940414243444536[[#This Row],[Área neta]]</f>
        <v>0</v>
      </c>
      <c r="XO21" s="36"/>
      <c r="XP21" s="26"/>
      <c r="XQ21"/>
      <c r="XR21"/>
      <c r="XS21"/>
      <c r="XT21"/>
      <c r="XU21"/>
      <c r="XV21"/>
      <c r="XW21" s="34">
        <f>+Tabla5789141516343536373839404142434445[[#This Row],[Recuento]]*Tabla5789141516343536373839404142434445[[#This Row],[Volúmen bruto]]</f>
        <v>0</v>
      </c>
      <c r="XX21" s="34">
        <f>+Tabla5789141516343536373839404142434445[[#This Row],[Recuento]]*Tabla5789141516343536373839404142434445[[#This Row],[Área neta]]</f>
        <v>0</v>
      </c>
      <c r="XY21" s="36"/>
      <c r="XZ21" s="26"/>
      <c r="YA21"/>
      <c r="YB21"/>
      <c r="YC21"/>
      <c r="YD21"/>
      <c r="YE21"/>
      <c r="YF21"/>
      <c r="YG21" s="34">
        <f>+Tabla578914151634353637383940414243444558[[#This Row],[Recuento]]*Tabla578914151634353637383940414243444558[[#This Row],[Volúmen bruto]]</f>
        <v>0</v>
      </c>
      <c r="YH21" s="34">
        <f>+Tabla578914151634353637383940414243444558[[#This Row],[Recuento]]*Tabla578914151634353637383940414243444558[[#This Row],[Área neta]]</f>
        <v>0</v>
      </c>
      <c r="YI21" s="36"/>
      <c r="YJ21" s="36"/>
      <c r="YK21"/>
      <c r="YL21"/>
      <c r="YM21"/>
      <c r="YN21"/>
      <c r="YO21"/>
      <c r="YQ21"/>
      <c r="YR21"/>
      <c r="YS21"/>
      <c r="YT21"/>
      <c r="YU21"/>
      <c r="YV21" s="33"/>
      <c r="YW21" s="34"/>
      <c r="YX21" s="34"/>
      <c r="YY21" s="36"/>
      <c r="YZ21" s="26"/>
      <c r="ZA21"/>
      <c r="ZB21"/>
      <c r="ZC21"/>
      <c r="ZD21"/>
      <c r="ZE21"/>
      <c r="ZF21" s="33"/>
      <c r="ZG21" s="34"/>
      <c r="ZH21" s="34"/>
      <c r="ZI21" s="36"/>
      <c r="ZJ21" s="26"/>
      <c r="ZK21" t="s">
        <v>1863</v>
      </c>
      <c r="ZL21" t="s">
        <v>1524</v>
      </c>
      <c r="ZM21" t="s">
        <v>1730</v>
      </c>
      <c r="ZN21">
        <v>0.01</v>
      </c>
      <c r="ZO21">
        <v>0.2</v>
      </c>
      <c r="ZP21">
        <v>2</v>
      </c>
      <c r="ZQ21" s="34">
        <f>+Tabla5789141516343536373839404142434445464748495041[[#This Row],[Recuento]]*Tabla5789141516343536373839404142434445464748495041[[#This Row],[Volúmen bruto]]</f>
        <v>0.02</v>
      </c>
      <c r="ZR21" s="34">
        <f>+Tabla5789141516343536373839404142434445464748495041[[#This Row],[Recuento]]*Tabla5789141516343536373839404142434445464748495041[[#This Row],[Área neta]]</f>
        <v>0.4</v>
      </c>
      <c r="ZS21" s="36"/>
      <c r="ZT21" s="26"/>
      <c r="ZU21"/>
      <c r="ZV21"/>
      <c r="ZW21"/>
      <c r="ZX21"/>
      <c r="ZY21"/>
      <c r="ZZ21"/>
      <c r="AAA21" s="34">
        <f>+Tabla57891415163435363738394041424344454647484950[[#This Row],[Recuento]]*Tabla57891415163435363738394041424344454647484950[[#This Row],[Volúmen bruto]]</f>
        <v>0</v>
      </c>
      <c r="AAB21" s="34">
        <f>+Tabla57891415163435363738394041424344454647484950[[#This Row],[Recuento]]*Tabla57891415163435363738394041424344454647484950[[#This Row],[Área neta]]</f>
        <v>0</v>
      </c>
      <c r="AAC21" s="36"/>
      <c r="AAD21" s="26"/>
      <c r="AAE21"/>
      <c r="AAF21"/>
      <c r="AAG21"/>
      <c r="AAH21"/>
      <c r="AAI21"/>
      <c r="AAJ21" s="33"/>
      <c r="AAK21" s="34"/>
      <c r="AAL21" s="34"/>
      <c r="AAM21" s="36"/>
      <c r="AAN21" s="26"/>
      <c r="AAO21" t="s">
        <v>1863</v>
      </c>
      <c r="AAP21" t="s">
        <v>1525</v>
      </c>
      <c r="AAQ21" t="s">
        <v>98</v>
      </c>
      <c r="AAR21">
        <v>0</v>
      </c>
      <c r="AAS21">
        <v>0.35</v>
      </c>
      <c r="AAT21">
        <v>6</v>
      </c>
      <c r="AAU21" s="34">
        <f>+Tabla5789141516343536373839404142434445464748495051[[#This Row],[Recuento]]*Tabla5789141516343536373839404142434445464748495051[[#This Row],[Volúmen bruto]]</f>
        <v>0</v>
      </c>
      <c r="AAV21" s="34">
        <f>+Tabla5789141516343536373839404142434445464748495051[[#This Row],[Recuento]]*Tabla5789141516343536373839404142434445464748495051[[#This Row],[Área neta]]</f>
        <v>2.0999999999999996</v>
      </c>
      <c r="AAW21" s="35"/>
      <c r="AAX21" s="26"/>
      <c r="AAY21"/>
      <c r="AAZ21"/>
      <c r="ABA21"/>
      <c r="ABB21"/>
      <c r="ABC21"/>
      <c r="ABD21" s="33"/>
      <c r="ABE21" s="34"/>
      <c r="ABF21" s="34"/>
      <c r="ABG21" s="36"/>
      <c r="ABH21" s="26"/>
      <c r="ABI21"/>
      <c r="ABJ21"/>
      <c r="ABK21"/>
      <c r="ABL21"/>
      <c r="ABM21"/>
      <c r="ABN21" s="33"/>
      <c r="ABO21" s="34"/>
      <c r="ABP21" s="34"/>
      <c r="ABQ21" s="36"/>
      <c r="ABR21" s="26"/>
      <c r="ABS21"/>
      <c r="ABT21"/>
      <c r="ABU21"/>
      <c r="ABV21"/>
      <c r="ABW21"/>
      <c r="ABX21" s="33"/>
      <c r="ABY21" s="34"/>
      <c r="ABZ21" s="34"/>
      <c r="ACA21" s="36"/>
      <c r="ACB21" s="26"/>
      <c r="ACC21"/>
      <c r="ACD21"/>
      <c r="ACE21"/>
      <c r="ACF21"/>
      <c r="ACG21"/>
      <c r="ACH21" s="33"/>
      <c r="ACI21" s="34"/>
      <c r="ACJ21" s="34"/>
      <c r="ACK21" s="36"/>
      <c r="ACL21" s="26"/>
      <c r="ACM21"/>
      <c r="ACN21"/>
      <c r="ACO21"/>
      <c r="ACP21"/>
      <c r="ACQ21"/>
      <c r="ACR21" s="33"/>
      <c r="ACS21" s="34"/>
      <c r="ACT21" s="34"/>
      <c r="ACU21" s="36"/>
      <c r="ACV21" s="26"/>
      <c r="ACW21" t="s">
        <v>1236</v>
      </c>
      <c r="ACX21" s="1">
        <v>2</v>
      </c>
      <c r="ACY21" s="2">
        <v>0.9</v>
      </c>
      <c r="ACZ21" s="2">
        <v>0.9</v>
      </c>
      <c r="ADA21">
        <v>1</v>
      </c>
      <c r="ADB21" s="2">
        <f>+(ACZ21*ACY21)*ADA21</f>
        <v>0.81</v>
      </c>
      <c r="ADD21" t="s">
        <v>1720</v>
      </c>
      <c r="ADE21">
        <v>2.85</v>
      </c>
      <c r="ADF21">
        <v>1</v>
      </c>
      <c r="ADG21" s="26">
        <f t="shared" si="3"/>
        <v>2.85</v>
      </c>
      <c r="ADH21"/>
      <c r="ADI21"/>
      <c r="ADJ21"/>
      <c r="ADK21"/>
      <c r="ADL21"/>
      <c r="ADM21"/>
      <c r="ADN21">
        <f ca="1">+Tabla578914151634353637383940414243444546474849505152535560[[#This Row],[G. Total]]*Tabla578914151634353637383940414243444546474849505152535560[[#This Row],[Recuento]]</f>
        <v>0</v>
      </c>
      <c r="ADO21" s="36"/>
      <c r="ADP21" s="26"/>
      <c r="ADQ21"/>
      <c r="ADR21"/>
      <c r="ADS21"/>
      <c r="ADT21"/>
      <c r="ADU21"/>
      <c r="ADV21" s="36"/>
      <c r="ADW21" s="36"/>
      <c r="ADX21"/>
      <c r="ADY21"/>
      <c r="ADZ21"/>
      <c r="AEA21"/>
      <c r="AEB21"/>
      <c r="AEC21">
        <f ca="1">+Tabla57891415163435363738394041424344454647484950515253556062[[#This Row],[Total]]*Tabla57891415163435363738394041424344454647484950515253556062[[#This Row],[Recuento]]</f>
        <v>0</v>
      </c>
      <c r="AED21" s="36"/>
      <c r="AEE21" s="26"/>
      <c r="AEF21"/>
      <c r="AEG21"/>
      <c r="AEH21"/>
      <c r="AEI21"/>
      <c r="AEJ21"/>
      <c r="AEK21" s="35"/>
      <c r="AEL21" s="35"/>
      <c r="AEM21" t="s">
        <v>1522</v>
      </c>
      <c r="AEN21" t="s">
        <v>1523</v>
      </c>
      <c r="AEO21" t="s">
        <v>453</v>
      </c>
      <c r="AEP21">
        <v>11.66</v>
      </c>
      <c r="AEQ21">
        <v>1</v>
      </c>
      <c r="AER21">
        <f ca="1">+Tabla5789141516343536373839404142434445464748495051525355606264[[#This Row],[G. Total]]*Tabla5789141516343536373839404142434445464748495051525355606264[[#This Row],[Recuento]]</f>
        <v>11.66</v>
      </c>
      <c r="AES21" s="36"/>
      <c r="AET21" s="26"/>
      <c r="AEU21"/>
      <c r="AEV21"/>
      <c r="AEW21"/>
      <c r="AEX21"/>
      <c r="AEY21"/>
      <c r="AEZ21" s="35">
        <f>+SUM(AEV21:AEV37)</f>
        <v>0</v>
      </c>
      <c r="AFA21" s="26"/>
      <c r="AFB21"/>
      <c r="AFC21"/>
      <c r="AFD21"/>
      <c r="AFE21"/>
      <c r="AFF21"/>
      <c r="AFG21"/>
      <c r="AFH21"/>
      <c r="AFI21"/>
      <c r="AFJ21"/>
      <c r="AFK21"/>
      <c r="AFL21"/>
      <c r="AFM21">
        <f ca="1">+Tabla578914151634353637383940414243444546474849505152535560626467[[#This Row],[G. Total]]*Tabla578914151634353637383940414243444546474849505152535560626467[[#This Row],[Recuento]]</f>
        <v>0</v>
      </c>
      <c r="AFN21" s="35"/>
      <c r="AFO21" s="26"/>
      <c r="AFP21" s="2" t="s">
        <v>107</v>
      </c>
      <c r="AFQ21" s="2">
        <f>6*2</f>
        <v>12</v>
      </c>
      <c r="AFR21" s="2">
        <f>(0.24*4)+0.36+((0.4+0.15)*2)</f>
        <v>2.42</v>
      </c>
      <c r="AFS21" s="2">
        <f>+AFR21*AFQ21</f>
        <v>29.04</v>
      </c>
      <c r="AFU21" s="2">
        <f>+AFT21*AFQ21</f>
        <v>0</v>
      </c>
      <c r="AFW21" s="2" t="s">
        <v>107</v>
      </c>
      <c r="AFY21" s="2">
        <f>(0.24*4)+0.36+((0.4+0.15)*2)</f>
        <v>2.42</v>
      </c>
      <c r="AFZ21" s="2">
        <f>+AFY21*AFX21</f>
        <v>0</v>
      </c>
      <c r="AGB21" s="2">
        <f>+AGA21*AFX21</f>
        <v>0</v>
      </c>
    </row>
    <row r="22" spans="1:860" ht="15" customHeight="1" x14ac:dyDescent="0.25">
      <c r="A22">
        <v>1</v>
      </c>
      <c r="B22" t="s">
        <v>1862</v>
      </c>
      <c r="C22" t="s">
        <v>1225</v>
      </c>
      <c r="D22" t="s">
        <v>1550</v>
      </c>
      <c r="E22">
        <v>0.28999999999999998</v>
      </c>
      <c r="F22">
        <v>5.0999999999999996</v>
      </c>
      <c r="G22"/>
      <c r="H22">
        <f>+Tabla3[[#This Row],[Volúmen neto]]*A22</f>
        <v>0.28999999999999998</v>
      </c>
      <c r="I22">
        <f>+Tabla3[[#This Row],[Longitud de eje]]*A22</f>
        <v>5.0999999999999996</v>
      </c>
      <c r="J22"/>
      <c r="K22"/>
      <c r="L22"/>
      <c r="M22"/>
      <c r="N22"/>
      <c r="O22"/>
      <c r="P22"/>
      <c r="Q22"/>
      <c r="R22">
        <f>+Tabla5[[#This Row],[Recuento]]*Tabla5[[#This Row],[Volúmen bruto]]</f>
        <v>0</v>
      </c>
      <c r="S22">
        <f>+Tabla5[[#This Row],[Recuento]]*Tabla5[[#This Row],[Área neta]]</f>
        <v>0</v>
      </c>
      <c r="T22">
        <f>+Tabla5[[#This Row],[Longitud nominal]]*Tabla5[[#This Row],[Recuento]]</f>
        <v>0</v>
      </c>
      <c r="U22" s="26"/>
      <c r="V22"/>
      <c r="W22"/>
      <c r="X22"/>
      <c r="Y22"/>
      <c r="Z22"/>
      <c r="AA22"/>
      <c r="AB22"/>
      <c r="AC22"/>
      <c r="AD22">
        <f>+Tabla522[[#This Row],[Recuento]]*Tabla522[[#This Row],[Volúmen bruto]]</f>
        <v>0</v>
      </c>
      <c r="AE22">
        <f>+Tabla522[[#This Row],[Recuento]]*Tabla522[[#This Row],[Área neta]]</f>
        <v>0</v>
      </c>
      <c r="AF22">
        <f>+Tabla522[[#This Row],[Longitud nominal]]*Tabla522[[#This Row],[Recuento]]</f>
        <v>0</v>
      </c>
      <c r="AG22" s="26">
        <f t="shared" si="4"/>
        <v>0</v>
      </c>
      <c r="AH22"/>
      <c r="AI22"/>
      <c r="AJ22"/>
      <c r="AK22"/>
      <c r="AL22"/>
      <c r="AM22"/>
      <c r="AN22"/>
      <c r="AO22"/>
      <c r="AP22">
        <f>+Tabla52223[[#This Row],[Recuento]]*Tabla52223[[#This Row],[Volúmen bruto]]</f>
        <v>0</v>
      </c>
      <c r="AQ22">
        <f>+Tabla52223[[#This Row],[Recuento]]*Tabla52223[[#This Row],[Área neta]]</f>
        <v>0</v>
      </c>
      <c r="AR22">
        <f>+Tabla52223[[#This Row],[Longitud nominal]]*Tabla52223[[#This Row],[Recuento]]</f>
        <v>0</v>
      </c>
      <c r="AS22" s="26">
        <f t="shared" si="5"/>
        <v>0</v>
      </c>
      <c r="AT22"/>
      <c r="AU22"/>
      <c r="AV22"/>
      <c r="AW22"/>
      <c r="AX22"/>
      <c r="AY22"/>
      <c r="AZ22"/>
      <c r="BA22"/>
      <c r="BB22">
        <f>+Tabla5222329[[#This Row],[Recuento]]*Tabla5222329[[#This Row],[Volúmen bruto]]</f>
        <v>0</v>
      </c>
      <c r="BC22">
        <f>+Tabla5222329[[#This Row],[Recuento]]*Tabla5222329[[#This Row],[Área neta]]</f>
        <v>0</v>
      </c>
      <c r="BD22">
        <f>+Tabla5222329[[#This Row],[Longitud nominal]]*Tabla5222329[[#This Row],[Recuento]]</f>
        <v>0</v>
      </c>
      <c r="BE22" s="26">
        <f t="shared" si="6"/>
        <v>0</v>
      </c>
      <c r="BF22">
        <v>3</v>
      </c>
      <c r="BG22" t="s">
        <v>1862</v>
      </c>
      <c r="BH22" t="s">
        <v>1524</v>
      </c>
      <c r="BI22" t="s">
        <v>1406</v>
      </c>
      <c r="BJ22">
        <v>5.23</v>
      </c>
      <c r="BK22">
        <v>5.5</v>
      </c>
      <c r="BL22">
        <f>+Tabla3102[[#This Row],[En culmo]]*BF22</f>
        <v>16.5</v>
      </c>
      <c r="BM22"/>
      <c r="BN22"/>
      <c r="BO22"/>
      <c r="BP22"/>
      <c r="BQ22"/>
      <c r="BR22"/>
      <c r="BS22"/>
      <c r="BT22">
        <f>+Tabla31069[[#This Row],[En culmo]]*BN22</f>
        <v>0</v>
      </c>
      <c r="BU22"/>
      <c r="BV22">
        <v>1</v>
      </c>
      <c r="BW22" t="s">
        <v>1862</v>
      </c>
      <c r="BX22" t="s">
        <v>1525</v>
      </c>
      <c r="BY22" t="s">
        <v>1406</v>
      </c>
      <c r="BZ22">
        <v>1.05</v>
      </c>
      <c r="CA22">
        <v>1.5</v>
      </c>
      <c r="CB22">
        <f>+Tabla31011[[#This Row],[En culmo]]*BV22</f>
        <v>1.5</v>
      </c>
      <c r="CD22">
        <v>2</v>
      </c>
      <c r="CE22" t="s">
        <v>1862</v>
      </c>
      <c r="CF22" t="s">
        <v>1525</v>
      </c>
      <c r="CG22" t="s">
        <v>1405</v>
      </c>
      <c r="CH22">
        <v>1.55</v>
      </c>
      <c r="CI22">
        <v>2</v>
      </c>
      <c r="CJ22">
        <f>+Tabla3101170[[#This Row],[En culmo]]*CD22</f>
        <v>4</v>
      </c>
      <c r="CK22"/>
      <c r="CR22">
        <f>+Tabla31011116[[#This Row],[En culmo]]*CT22</f>
        <v>0</v>
      </c>
      <c r="CT22">
        <v>2</v>
      </c>
      <c r="CU22" t="s">
        <v>1862</v>
      </c>
      <c r="CV22" t="s">
        <v>1383</v>
      </c>
      <c r="CW22" t="s">
        <v>1405</v>
      </c>
      <c r="CX22">
        <v>6</v>
      </c>
      <c r="CY22">
        <v>3</v>
      </c>
      <c r="CZ22">
        <f>+Tabla3101170117[[#This Row],[En culmo]]*CT22</f>
        <v>6</v>
      </c>
      <c r="DA22"/>
      <c r="DB22">
        <v>4</v>
      </c>
      <c r="DC22" t="s">
        <v>1862</v>
      </c>
      <c r="DD22" t="s">
        <v>1383</v>
      </c>
      <c r="DE22" t="s">
        <v>1723</v>
      </c>
      <c r="DF22">
        <v>0.57999999999999996</v>
      </c>
      <c r="DG22">
        <f>+Tabla31011704[[#This Row],[Longitud de eje]]*DB22</f>
        <v>2.3199999999999998</v>
      </c>
      <c r="DH22"/>
      <c r="DI22"/>
      <c r="DJ22"/>
      <c r="DK22"/>
      <c r="DL22"/>
      <c r="DM22"/>
      <c r="DN22">
        <f>+Tabla3101170411[[#This Row],[Longitud de eje]]*DI22</f>
        <v>0</v>
      </c>
      <c r="DO22"/>
      <c r="DP22"/>
      <c r="DQ22"/>
      <c r="DR22"/>
      <c r="DS22"/>
      <c r="DT22"/>
      <c r="DU22">
        <f>+Tabla3101170411120[[#This Row],[Longitud de eje]]*DP22</f>
        <v>0</v>
      </c>
      <c r="DV22"/>
      <c r="DW22"/>
      <c r="DX22"/>
      <c r="DY22"/>
      <c r="DZ22"/>
      <c r="EA22"/>
      <c r="EB22">
        <f>+Tabla3101170411120122[[#This Row],[Longitud de eje]]*DW22</f>
        <v>0</v>
      </c>
      <c r="EC22"/>
      <c r="ED22">
        <v>38</v>
      </c>
      <c r="EE22" t="s">
        <v>1862</v>
      </c>
      <c r="EF22" t="s">
        <v>1524</v>
      </c>
      <c r="EG22" t="s">
        <v>1406</v>
      </c>
      <c r="EH22">
        <v>1.98</v>
      </c>
      <c r="EI22">
        <v>2.5</v>
      </c>
      <c r="EJ22">
        <f>+Tabla3101112[[#This Row],[En culmo]]*ED22</f>
        <v>95</v>
      </c>
      <c r="EK22"/>
      <c r="EL22"/>
      <c r="EM22"/>
      <c r="EN22"/>
      <c r="EO22"/>
      <c r="EP22"/>
      <c r="EQ22"/>
      <c r="ER22">
        <f>+Tabla3101112123[[#This Row],[En culmo]]*EL22</f>
        <v>0</v>
      </c>
      <c r="ES22"/>
      <c r="ET22">
        <v>2</v>
      </c>
      <c r="EU22" t="s">
        <v>1862</v>
      </c>
      <c r="EV22" t="s">
        <v>1525</v>
      </c>
      <c r="EW22" t="s">
        <v>1406</v>
      </c>
      <c r="EX22">
        <v>2.0299999999999998</v>
      </c>
      <c r="EY22">
        <v>2.5</v>
      </c>
      <c r="EZ22">
        <f>+Tabla310111257[[#This Row],[En culmo]]*ET22</f>
        <v>5</v>
      </c>
      <c r="FA22"/>
      <c r="FB22"/>
      <c r="FC22"/>
      <c r="FD22"/>
      <c r="FE22"/>
      <c r="FF22"/>
      <c r="FG22">
        <v>2.5</v>
      </c>
      <c r="FH22">
        <f>+Tabla310111257124[[#This Row],[En culmo]]*FB22</f>
        <v>0</v>
      </c>
      <c r="FI22"/>
      <c r="FK22"/>
      <c r="FL22"/>
      <c r="FM22"/>
      <c r="FN22"/>
      <c r="FO22"/>
      <c r="FP22"/>
      <c r="FQ22"/>
      <c r="FS22"/>
      <c r="FT22"/>
      <c r="FU22"/>
      <c r="FV22"/>
      <c r="FW22"/>
      <c r="FX22"/>
      <c r="FY22"/>
      <c r="FZ22">
        <v>1</v>
      </c>
      <c r="GA22" t="s">
        <v>1862</v>
      </c>
      <c r="GB22" t="s">
        <v>1524</v>
      </c>
      <c r="GC22" t="s">
        <v>1584</v>
      </c>
      <c r="GD22">
        <v>0.1</v>
      </c>
      <c r="GE22">
        <v>1.24</v>
      </c>
      <c r="GF22">
        <f>+Tabla3101112131157[[#This Row],[Volúmen]]*FZ22</f>
        <v>0.1</v>
      </c>
      <c r="GG22">
        <f>+Tabla3101112131157[[#This Row],[Longitud del eje]]*FZ22</f>
        <v>1.24</v>
      </c>
      <c r="GI22"/>
      <c r="GJ22"/>
      <c r="GK22"/>
      <c r="GL22"/>
      <c r="GM22"/>
      <c r="GN22"/>
      <c r="GO22"/>
      <c r="GQ22" t="s">
        <v>1862</v>
      </c>
      <c r="GR22" t="s">
        <v>1383</v>
      </c>
      <c r="GS22" t="s">
        <v>1667</v>
      </c>
      <c r="GT22">
        <v>1.07</v>
      </c>
      <c r="GU22">
        <v>11.89</v>
      </c>
      <c r="GV22">
        <v>1</v>
      </c>
      <c r="GW22">
        <f>+Tabla578914[[#This Row],[Recuento]]*Tabla578914[[#This Row],[Volúmen bruto]]</f>
        <v>1.07</v>
      </c>
      <c r="GX22">
        <f>+Tabla578914[[#This Row],[Recuento]]*Tabla578914[[#This Row],[Área neta]]</f>
        <v>11.89</v>
      </c>
      <c r="GY22" s="35"/>
      <c r="HA22" t="s">
        <v>1862</v>
      </c>
      <c r="HB22" t="s">
        <v>1383</v>
      </c>
      <c r="HC22" t="s">
        <v>1667</v>
      </c>
      <c r="HD22">
        <v>0.89</v>
      </c>
      <c r="HE22">
        <v>9.93</v>
      </c>
      <c r="HF22">
        <v>1</v>
      </c>
      <c r="HG22">
        <f>+Tabla578914126[[#This Row],[Recuento]]*Tabla578914126[[#This Row],[Volúmen bruto]]</f>
        <v>0.89</v>
      </c>
      <c r="HH22">
        <f>+Tabla578914126[[#This Row],[Recuento]]*Tabla578914126[[#This Row],[Área neta]]</f>
        <v>9.93</v>
      </c>
      <c r="HI22" s="35">
        <f>+SUM(HH22:HH27)+SUM(HH37:HH39)</f>
        <v>87.29</v>
      </c>
      <c r="HK22"/>
      <c r="HL22"/>
      <c r="HM22"/>
      <c r="HN22"/>
      <c r="HO22"/>
      <c r="HP22"/>
      <c r="HQ22">
        <f>+Tabla578914126127[[#This Row],[Recuento]]*Tabla578914126127[[#This Row],[Volúmen bruto]]</f>
        <v>0</v>
      </c>
      <c r="HR22">
        <f>+Tabla578914126127[[#This Row],[Recuento]]*Tabla578914126127[[#This Row],[Área neta]]</f>
        <v>0</v>
      </c>
      <c r="HS22" s="36"/>
      <c r="HT22" s="26"/>
      <c r="HU22"/>
      <c r="HV22"/>
      <c r="HW22"/>
      <c r="HX22"/>
      <c r="HY22"/>
      <c r="HZ22"/>
      <c r="IA22"/>
      <c r="IB22"/>
      <c r="IC22" s="36"/>
      <c r="ID22" s="26"/>
      <c r="IE22"/>
      <c r="IF22"/>
      <c r="IG22"/>
      <c r="IH22"/>
      <c r="II22"/>
      <c r="IJ22"/>
      <c r="IK22"/>
      <c r="IL22"/>
      <c r="IM22" s="36"/>
      <c r="IN22" s="26"/>
      <c r="IO22"/>
      <c r="IP22"/>
      <c r="IQ22"/>
      <c r="IR22"/>
      <c r="IS22"/>
      <c r="IT22"/>
      <c r="IU22"/>
      <c r="IV22">
        <f>+Tabla520212223[[#This Row],[Recuento]]*Tabla520212223[[#This Row],[Área neta]]</f>
        <v>0</v>
      </c>
      <c r="IW22" s="26">
        <f t="shared" si="0"/>
        <v>0</v>
      </c>
      <c r="IY22"/>
      <c r="IZ22"/>
      <c r="JA22"/>
      <c r="JB22"/>
      <c r="JC22"/>
      <c r="JD22"/>
      <c r="JE22">
        <f>+Tabla520212224[[#This Row],[Recuento]]*Tabla520212224[[#This Row],[Volúmen bruto]]</f>
        <v>0</v>
      </c>
      <c r="JF22">
        <f>+Tabla520212224[[#This Row],[Recuento]]*Tabla520212224[[#This Row],[Área neta]]</f>
        <v>0</v>
      </c>
      <c r="JG22" s="26"/>
      <c r="JI22" t="s">
        <v>1862</v>
      </c>
      <c r="JJ22" t="s">
        <v>1524</v>
      </c>
      <c r="JK22" t="s">
        <v>98</v>
      </c>
      <c r="JL22">
        <v>0</v>
      </c>
      <c r="JM22">
        <v>0</v>
      </c>
      <c r="JN22">
        <v>3</v>
      </c>
      <c r="JO22">
        <f>+Tabla52021222425[[#This Row],[Recuento]]*Tabla52021222425[[#This Row],[Volúmen bruto]]</f>
        <v>0</v>
      </c>
      <c r="JP22">
        <f>+Tabla52021222425[[#This Row],[Recuento]]*Tabla52021222425[[#This Row],[Área neta]]</f>
        <v>0</v>
      </c>
      <c r="JQ22" s="26">
        <f>+SUM(JP22:JP29)</f>
        <v>45.12</v>
      </c>
      <c r="JS22" t="s">
        <v>1862</v>
      </c>
      <c r="JT22" t="s">
        <v>1524</v>
      </c>
      <c r="JU22" t="s">
        <v>1677</v>
      </c>
      <c r="JV22">
        <v>0</v>
      </c>
      <c r="JW22">
        <v>0.89</v>
      </c>
      <c r="JX22">
        <v>1</v>
      </c>
      <c r="JY22">
        <f>+Tabla5202122242526[[#This Row],[Recuento]]*Tabla5202122242526[[#This Row],[Volúmen bruto]]</f>
        <v>0</v>
      </c>
      <c r="JZ22">
        <f>+Tabla5202122242526[[#This Row],[Recuento]]*Tabla5202122242526[[#This Row],[Área neta]]</f>
        <v>0.89</v>
      </c>
      <c r="KA22" s="26">
        <f>+SUM(JZ22:JZ29)</f>
        <v>10.790000000000001</v>
      </c>
      <c r="KC22"/>
      <c r="KD22"/>
      <c r="KE22"/>
      <c r="KF22"/>
      <c r="KG22"/>
      <c r="KH22"/>
      <c r="KI22">
        <f>+Tabla5202122242526104[[#This Row],[Recuento]]*Tabla5202122242526104[[#This Row],[Volúmen bruto]]</f>
        <v>0</v>
      </c>
      <c r="KJ22">
        <f>+Tabla5202122242526104[[#This Row],[Recuento]]*Tabla5202122242526104[[#This Row],[Área neta]]</f>
        <v>0</v>
      </c>
      <c r="KK22" s="26"/>
      <c r="KM22" t="s">
        <v>1862</v>
      </c>
      <c r="KN22" t="s">
        <v>1524</v>
      </c>
      <c r="KO22" t="s">
        <v>97</v>
      </c>
      <c r="KP22">
        <v>0.04</v>
      </c>
      <c r="KQ22">
        <v>1.84</v>
      </c>
      <c r="KR22">
        <v>1</v>
      </c>
      <c r="KS22">
        <f>+Tabla5202122242526104110[[#This Row],[Recuento]]*Tabla5202122242526104110[[#This Row],[Volúmen bruto]]</f>
        <v>0.04</v>
      </c>
      <c r="KT22">
        <f>+Tabla5202122242526104110[[#This Row],[Recuento]]*Tabla5202122242526104110[[#This Row],[Área neta]]</f>
        <v>1.84</v>
      </c>
      <c r="KU22" s="26"/>
      <c r="KW22"/>
      <c r="KX22"/>
      <c r="KY22"/>
      <c r="KZ22"/>
      <c r="LA22"/>
      <c r="LB22"/>
      <c r="LC22">
        <f>+Tabla520212224252659[[#This Row],[Recuento]]*Tabla520212224252659[[#This Row],[Volúmen bruto]]</f>
        <v>0</v>
      </c>
      <c r="LD22">
        <f>+Tabla520212224252659[[#This Row],[Recuento]]*Tabla520212224252659[[#This Row],[Área neta]]</f>
        <v>0</v>
      </c>
      <c r="LE22" s="26"/>
      <c r="LG22"/>
      <c r="LH22"/>
      <c r="LI22"/>
      <c r="LJ22"/>
      <c r="LK22"/>
      <c r="LL22"/>
      <c r="LM22">
        <f>+Tabla520212224252659111[[#This Row],[Recuento]]*Tabla520212224252659111[[#This Row],[Volúmen bruto]]</f>
        <v>0</v>
      </c>
      <c r="LN22">
        <f>+Tabla520212224252659111[[#This Row],[Recuento]]*Tabla520212224252659111[[#This Row],[Área neta]]</f>
        <v>0</v>
      </c>
      <c r="LO22" s="26"/>
      <c r="LQ22"/>
      <c r="LR22"/>
      <c r="LS22"/>
      <c r="LT22"/>
      <c r="LU22"/>
      <c r="LV22"/>
      <c r="LW22">
        <f>+Tabla520212224252659111114[[#This Row],[Recuento]]*Tabla520212224252659111114[[#This Row],[Volúmen bruto]]</f>
        <v>0</v>
      </c>
      <c r="LX22">
        <f>+Tabla520212224252659111114[[#This Row],[Recuento]]*Tabla520212224252659111114[[#This Row],[Área neta]]</f>
        <v>0</v>
      </c>
      <c r="LY22" s="26"/>
      <c r="MA22" t="s">
        <v>1862</v>
      </c>
      <c r="MB22" t="s">
        <v>1525</v>
      </c>
      <c r="MC22" t="s">
        <v>97</v>
      </c>
      <c r="MD22">
        <v>0.05</v>
      </c>
      <c r="ME22">
        <v>6.58</v>
      </c>
      <c r="MF22">
        <v>1</v>
      </c>
      <c r="MG22">
        <f>+Tabla520212224252659111114128[[#This Row],[Recuento]]*Tabla520212224252659111114128[[#This Row],[Volúmen bruto]]</f>
        <v>0.05</v>
      </c>
      <c r="MH22">
        <f>+Tabla520212224252659111114128[[#This Row],[Recuento]]*Tabla520212224252659111114128[[#This Row],[Área neta]]</f>
        <v>6.58</v>
      </c>
      <c r="MI22" s="26"/>
      <c r="MK22"/>
      <c r="ML22"/>
      <c r="MM22"/>
      <c r="MN22"/>
      <c r="MO22"/>
      <c r="MP22"/>
      <c r="MQ22">
        <f>+Tabla520212224252627[[#This Row],[Recuento]]*Tabla520212224252627[[#This Row],[Volúmen bruto]]</f>
        <v>0</v>
      </c>
      <c r="MR22">
        <f>+Tabla520212224252627[[#This Row],[Recuento]]*Tabla520212224252627[[#This Row],[Área neta]]</f>
        <v>0</v>
      </c>
      <c r="MS22" s="26"/>
      <c r="MU22"/>
      <c r="MV22"/>
      <c r="MW22"/>
      <c r="MX22"/>
      <c r="MY22"/>
      <c r="MZ22"/>
      <c r="NA22">
        <f>+Tabla520212224252627129[[#This Row],[Recuento]]*Tabla520212224252627129[[#This Row],[Volúmen bruto]]</f>
        <v>0</v>
      </c>
      <c r="NB22">
        <f>+Tabla520212224252627129[[#This Row],[Recuento]]*Tabla520212224252627129[[#This Row],[Área neta]]</f>
        <v>0</v>
      </c>
      <c r="NC22" s="26"/>
      <c r="NE22"/>
      <c r="NF22"/>
      <c r="NG22"/>
      <c r="NH22"/>
      <c r="NI22"/>
      <c r="NJ22"/>
      <c r="NK22">
        <f>+Tabla520212224252627129125[[#This Row],[Recuento]]*Tabla520212224252627129125[[#This Row],[Volúmen bruto]]</f>
        <v>0</v>
      </c>
      <c r="NL22">
        <f>+Tabla520212224252627129125[[#This Row],[Recuento]]*Tabla520212224252627129125[[#This Row],[Área neta]]</f>
        <v>0</v>
      </c>
      <c r="NM22" s="26"/>
      <c r="NO22" t="s">
        <v>1549</v>
      </c>
      <c r="NP22" t="s">
        <v>1525</v>
      </c>
      <c r="NQ22" t="s">
        <v>1781</v>
      </c>
      <c r="NR22">
        <v>0.02</v>
      </c>
      <c r="NS22">
        <v>1.63</v>
      </c>
      <c r="NT22">
        <v>1</v>
      </c>
      <c r="NU22">
        <f>+Tabla520212224252627129125130[[#This Row],[Recuento]]*Tabla520212224252627129125130[[#This Row],[Volúmen bruto]]</f>
        <v>0.02</v>
      </c>
      <c r="NV22">
        <f>+Tabla520212224252627129125130[[#This Row],[Recuento]]*Tabla520212224252627129125130[[#This Row],[Área neta]]</f>
        <v>1.63</v>
      </c>
      <c r="NW22" s="26"/>
      <c r="NY22"/>
      <c r="NZ22"/>
      <c r="OA22"/>
      <c r="OB22"/>
      <c r="OC22"/>
      <c r="OD22"/>
      <c r="OE22">
        <f>+Tabla520212224252627129125130131[[#This Row],[Recuento]]*Tabla520212224252627129125130131[[#This Row],[Volúmen bruto]]</f>
        <v>0</v>
      </c>
      <c r="OF22">
        <f>+Tabla520212224252627129125130131[[#This Row],[Recuento]]*Tabla520212224252627129125130131[[#This Row],[Área neta]]</f>
        <v>0</v>
      </c>
      <c r="OG22" s="26"/>
      <c r="OI22" t="s">
        <v>1549</v>
      </c>
      <c r="OJ22" t="s">
        <v>1525</v>
      </c>
      <c r="OK22" t="s">
        <v>1781</v>
      </c>
      <c r="OL22">
        <v>0</v>
      </c>
      <c r="OM22">
        <v>0.04</v>
      </c>
      <c r="ON22">
        <v>2</v>
      </c>
      <c r="OO22">
        <f>+Tabla520212224252627129125130131132[[#This Row],[Recuento]]*Tabla520212224252627129125130131132[[#This Row],[Volúmen bruto]]</f>
        <v>0</v>
      </c>
      <c r="OP22">
        <f>+Tabla520212224252627129125130131132[[#This Row],[Recuento]]*Tabla520212224252627129125130131132[[#This Row],[Área neta]]</f>
        <v>0.08</v>
      </c>
      <c r="OQ22" s="26"/>
      <c r="OS22"/>
      <c r="OT22"/>
      <c r="OU22"/>
      <c r="OV22"/>
      <c r="OW22"/>
      <c r="OX22"/>
      <c r="OY22">
        <f>+Tabla52021222425262728[[#This Row],[Recuento]]*Tabla52021222425262728[[#This Row],[Volúmen bruto]]</f>
        <v>0</v>
      </c>
      <c r="OZ22">
        <f>+Tabla52021222425262728[[#This Row],[Recuento]]*Tabla52021222425262728[[#This Row],[Área neta]]</f>
        <v>0</v>
      </c>
      <c r="PA22" s="26"/>
      <c r="PC22" t="s">
        <v>1862</v>
      </c>
      <c r="PD22" t="s">
        <v>1525</v>
      </c>
      <c r="PE22" t="s">
        <v>1628</v>
      </c>
      <c r="PF22">
        <v>0.02</v>
      </c>
      <c r="PG22">
        <v>0.88</v>
      </c>
      <c r="PH22">
        <v>1</v>
      </c>
      <c r="PI22">
        <f>+Tabla52021222425262728133[[#This Row],[Recuento]]*Tabla52021222425262728133[[#This Row],[Volúmen bruto]]</f>
        <v>0.02</v>
      </c>
      <c r="PJ22">
        <f>+Tabla52021222425262728133[[#This Row],[Recuento]]*Tabla52021222425262728133[[#This Row],[Área neta]]</f>
        <v>0.88</v>
      </c>
      <c r="PK22" s="26"/>
      <c r="PM22"/>
      <c r="PN22"/>
      <c r="PO22"/>
      <c r="PP22"/>
      <c r="PQ22"/>
      <c r="PR22"/>
      <c r="PS22">
        <f>+Tabla5202122242526272893[[#This Row],[Recuento]]*Tabla5202122242526272893[[#This Row],[Volúmen bruto]]</f>
        <v>0</v>
      </c>
      <c r="PT22">
        <f>+Tabla5202122242526272893[[#This Row],[Recuento]]*Tabla5202122242526272893[[#This Row],[Área neta]]</f>
        <v>0</v>
      </c>
      <c r="PU22" s="26"/>
      <c r="PW22" t="s">
        <v>1862</v>
      </c>
      <c r="PX22" t="s">
        <v>1525</v>
      </c>
      <c r="PY22" t="s">
        <v>97</v>
      </c>
      <c r="PZ22">
        <v>0.04</v>
      </c>
      <c r="QA22">
        <v>1.98</v>
      </c>
      <c r="QB22">
        <v>1</v>
      </c>
      <c r="QC22">
        <f>+Tabla520212224252627289349[[#This Row],[Recuento]]*Tabla520212224252627289349[[#This Row],[Volúmen bruto]]</f>
        <v>0.04</v>
      </c>
      <c r="QD22">
        <f>+Tabla520212224252627289349[[#This Row],[Recuento]]*Tabla520212224252627289349[[#This Row],[Área neta]]</f>
        <v>1.98</v>
      </c>
      <c r="QE22" s="26"/>
      <c r="QG22"/>
      <c r="QH22"/>
      <c r="QI22"/>
      <c r="QJ22"/>
      <c r="QK22"/>
      <c r="QL22"/>
      <c r="QM22">
        <f>+Tabla520212224252627289349134[[#This Row],[Recuento]]*Tabla520212224252627289349134[[#This Row],[Volúmen bruto]]</f>
        <v>0</v>
      </c>
      <c r="QN22">
        <f>+Tabla520212224252627289349134[[#This Row],[Recuento]]*Tabla520212224252627289349134[[#This Row],[Área neta]]</f>
        <v>0</v>
      </c>
      <c r="QO22" s="26"/>
      <c r="QQ22" t="s">
        <v>1862</v>
      </c>
      <c r="QR22" t="s">
        <v>1524</v>
      </c>
      <c r="QS22" t="s">
        <v>1726</v>
      </c>
      <c r="QT22">
        <v>0.03</v>
      </c>
      <c r="QU22">
        <v>0.14000000000000001</v>
      </c>
      <c r="QV22">
        <v>1</v>
      </c>
      <c r="QW22">
        <v>1</v>
      </c>
      <c r="QX22">
        <f>+Tabla5202122242526272829[[#This Row],[Recuento]]*Tabla5202122242526272829[[#This Row],[Volúmen bruto]]</f>
        <v>0.03</v>
      </c>
      <c r="QY22">
        <f>+Tabla5202122242526272829[[#This Row],[Recuento]]*Tabla5202122242526272829[[#This Row],[Área neta]]</f>
        <v>0.14000000000000001</v>
      </c>
      <c r="QZ22">
        <f>+Tabla5202122242526272829[[#This Row],[Recuento]]*Tabla5202122242526272829[[#This Row],[Longitud]]</f>
        <v>1</v>
      </c>
      <c r="RA22" s="26"/>
      <c r="RC22"/>
      <c r="RD22"/>
      <c r="RE22"/>
      <c r="RF22"/>
      <c r="RG22"/>
      <c r="RH22"/>
      <c r="RI22"/>
      <c r="RJ22"/>
      <c r="RK22" s="26"/>
      <c r="RM22"/>
      <c r="RN22"/>
      <c r="RO22"/>
      <c r="RP22"/>
      <c r="RQ22"/>
      <c r="RR22"/>
      <c r="RS22"/>
      <c r="RT22"/>
      <c r="RU22" s="26">
        <f t="shared" si="7"/>
        <v>0</v>
      </c>
      <c r="RW22"/>
      <c r="RX22"/>
      <c r="RY22"/>
      <c r="RZ22"/>
      <c r="SA22"/>
      <c r="SB22"/>
      <c r="SC22">
        <f>+Tabla52021222425262728313233[[#This Row],[Recuento]]*Tabla52021222425262728313233[[#This Row],[Volúmen bruto]]</f>
        <v>0</v>
      </c>
      <c r="SD22">
        <f>+Tabla52021222425262728313233[[#This Row],[Recuento]]*Tabla52021222425262728313233[[#This Row],[Área neta]]</f>
        <v>0</v>
      </c>
      <c r="SE22" s="26"/>
      <c r="SG22"/>
      <c r="SH22"/>
      <c r="SI22"/>
      <c r="SJ22"/>
      <c r="SK22"/>
      <c r="SL22"/>
      <c r="SM22">
        <f>+Tabla5202122242526272831323314[[#This Row],[Recuento]]*Tabla5202122242526272831323314[[#This Row],[Volúmen bruto]]</f>
        <v>0</v>
      </c>
      <c r="SN22">
        <f>+Tabla5202122242526272831323314[[#This Row],[Recuento]]*Tabla5202122242526272831323314[[#This Row],[Área neta]]</f>
        <v>0</v>
      </c>
      <c r="SO22" s="26"/>
      <c r="SQ22" t="s">
        <v>1862</v>
      </c>
      <c r="SR22" t="s">
        <v>1524</v>
      </c>
      <c r="SS22" t="s">
        <v>1627</v>
      </c>
      <c r="ST22">
        <v>0.96</v>
      </c>
      <c r="SU22">
        <v>4.82</v>
      </c>
      <c r="SV22">
        <v>2</v>
      </c>
      <c r="SW22" s="34">
        <f>+Tabla5789141516[[#This Row],[Recuento]]*Tabla5789141516[[#This Row],[Volúmen bruto]]</f>
        <v>1.92</v>
      </c>
      <c r="SX22" s="34">
        <f>+Tabla5789141516[[#This Row],[Recuento]]*Tabla5789141516[[#This Row],[Área neta]]</f>
        <v>9.64</v>
      </c>
      <c r="SY22" s="36"/>
      <c r="SZ22" s="26"/>
      <c r="TA22"/>
      <c r="TB22"/>
      <c r="TC22"/>
      <c r="TD22"/>
      <c r="TE22"/>
      <c r="TF22"/>
      <c r="TG22"/>
      <c r="TH22"/>
      <c r="TI22" s="36">
        <f t="shared" ref="TI22:TI49" si="8">+SUM(TD22:TD23)</f>
        <v>0</v>
      </c>
      <c r="TJ22" s="26"/>
      <c r="TK22"/>
      <c r="TL22"/>
      <c r="TM22"/>
      <c r="TN22"/>
      <c r="TO22"/>
      <c r="TP22"/>
      <c r="TQ22" s="34">
        <f>+Tabla57891415163435[[#This Row],[Recuento]]*Tabla57891415163435[[#This Row],[Volúmen bruto]]</f>
        <v>0</v>
      </c>
      <c r="TR22" s="34">
        <f>+Tabla57891415163435[[#This Row],[Recuento]]*Tabla57891415163435[[#This Row],[Área neta]]</f>
        <v>0</v>
      </c>
      <c r="TS22" s="36"/>
      <c r="TT22" s="26"/>
      <c r="TU22"/>
      <c r="TV22"/>
      <c r="TW22"/>
      <c r="TX22"/>
      <c r="TY22"/>
      <c r="TZ22" s="33"/>
      <c r="UA22" s="34"/>
      <c r="UB22" s="34"/>
      <c r="UC22" s="36"/>
      <c r="UD22" s="26"/>
      <c r="UE22"/>
      <c r="UF22"/>
      <c r="UG22"/>
      <c r="UH22"/>
      <c r="UI22"/>
      <c r="UJ22" s="33"/>
      <c r="UK22" s="34"/>
      <c r="UL22" s="34"/>
      <c r="UM22" s="36"/>
      <c r="UN22" s="26"/>
      <c r="UO22"/>
      <c r="UP22"/>
      <c r="UQ22"/>
      <c r="UR22"/>
      <c r="US22"/>
      <c r="UT22" s="33"/>
      <c r="UU22" s="34"/>
      <c r="UV22" s="34"/>
      <c r="UW22" s="36"/>
      <c r="UX22" s="26"/>
      <c r="UY22"/>
      <c r="UZ22"/>
      <c r="VA22"/>
      <c r="VB22"/>
      <c r="VC22"/>
      <c r="VD22" s="33"/>
      <c r="VE22" s="34"/>
      <c r="VF22" s="34"/>
      <c r="VG22" s="36"/>
      <c r="VH22" s="26"/>
      <c r="VI22"/>
      <c r="VJ22"/>
      <c r="VK22"/>
      <c r="VL22"/>
      <c r="VM22"/>
      <c r="VN22" s="33"/>
      <c r="VO22" s="34"/>
      <c r="VP22" s="34"/>
      <c r="VQ22" s="36"/>
      <c r="VR22" s="26"/>
      <c r="VS22"/>
      <c r="VT22"/>
      <c r="VU22"/>
      <c r="VV22"/>
      <c r="VW22"/>
      <c r="VX22" s="33"/>
      <c r="VY22" s="34"/>
      <c r="VZ22" s="34"/>
      <c r="WA22" s="36"/>
      <c r="WB22" s="26"/>
      <c r="WC22"/>
      <c r="WD22"/>
      <c r="WE22"/>
      <c r="WF22"/>
      <c r="WG22"/>
      <c r="WH22" s="33"/>
      <c r="WI22" s="34"/>
      <c r="WJ22" s="34"/>
      <c r="WK22" s="36"/>
      <c r="WL22" s="26"/>
      <c r="WM22"/>
      <c r="WN22"/>
      <c r="WO22"/>
      <c r="WP22"/>
      <c r="WQ22"/>
      <c r="WR22" s="33"/>
      <c r="WS22" s="34"/>
      <c r="WT22" s="34"/>
      <c r="WU22" s="36"/>
      <c r="WV22" s="26"/>
      <c r="WW22"/>
      <c r="WX22"/>
      <c r="WY22"/>
      <c r="WZ22"/>
      <c r="XA22"/>
      <c r="XB22" s="33"/>
      <c r="XC22" s="34"/>
      <c r="XD22" s="34"/>
      <c r="XE22" s="36"/>
      <c r="XF22" s="26"/>
      <c r="XG22"/>
      <c r="XH22"/>
      <c r="XI22"/>
      <c r="XJ22"/>
      <c r="XK22"/>
      <c r="XL22"/>
      <c r="XM22" s="34">
        <f>+Tabla578914151634353637383940414243444536[[#This Row],[Recuento]]*Tabla578914151634353637383940414243444536[[#This Row],[Volúmen bruto]]</f>
        <v>0</v>
      </c>
      <c r="XN22" s="34">
        <f>+Tabla578914151634353637383940414243444536[[#This Row],[Recuento]]*Tabla578914151634353637383940414243444536[[#This Row],[Área neta]]</f>
        <v>0</v>
      </c>
      <c r="XO22" s="35"/>
      <c r="XP22" s="26"/>
      <c r="XQ22"/>
      <c r="XR22"/>
      <c r="XS22"/>
      <c r="XT22"/>
      <c r="XU22"/>
      <c r="XV22"/>
      <c r="XW22" s="34">
        <f>+Tabla5789141516343536373839404142434445[[#This Row],[Recuento]]*Tabla5789141516343536373839404142434445[[#This Row],[Volúmen bruto]]</f>
        <v>0</v>
      </c>
      <c r="XX22" s="34">
        <f>+Tabla5789141516343536373839404142434445[[#This Row],[Recuento]]*Tabla5789141516343536373839404142434445[[#This Row],[Área neta]]</f>
        <v>0</v>
      </c>
      <c r="XY22" s="35"/>
      <c r="XZ22" s="26"/>
      <c r="YA22"/>
      <c r="YB22"/>
      <c r="YC22"/>
      <c r="YD22"/>
      <c r="YE22"/>
      <c r="YF22"/>
      <c r="YG22" s="34">
        <f>+Tabla578914151634353637383940414243444558[[#This Row],[Recuento]]*Tabla578914151634353637383940414243444558[[#This Row],[Volúmen bruto]]</f>
        <v>0</v>
      </c>
      <c r="YH22" s="34">
        <f>+Tabla578914151634353637383940414243444558[[#This Row],[Recuento]]*Tabla578914151634353637383940414243444558[[#This Row],[Área neta]]</f>
        <v>0</v>
      </c>
      <c r="YI22" s="35"/>
      <c r="YJ22" s="36"/>
      <c r="YK22"/>
      <c r="YL22"/>
      <c r="YM22"/>
      <c r="YN22"/>
      <c r="YO22"/>
      <c r="YQ22"/>
      <c r="YR22"/>
      <c r="YS22"/>
      <c r="YT22"/>
      <c r="YU22"/>
      <c r="YV22" s="33"/>
      <c r="YW22" s="34"/>
      <c r="YX22" s="34"/>
      <c r="YY22" s="35"/>
      <c r="YZ22" s="26"/>
      <c r="ZA22"/>
      <c r="ZB22"/>
      <c r="ZC22"/>
      <c r="ZD22"/>
      <c r="ZE22"/>
      <c r="ZF22" s="33"/>
      <c r="ZG22" s="34"/>
      <c r="ZH22" s="34"/>
      <c r="ZI22" s="35"/>
      <c r="ZJ22" s="26"/>
      <c r="ZK22" t="s">
        <v>1863</v>
      </c>
      <c r="ZL22" t="s">
        <v>1524</v>
      </c>
      <c r="ZM22" t="s">
        <v>1730</v>
      </c>
      <c r="ZN22">
        <v>0.01</v>
      </c>
      <c r="ZO22">
        <v>0.44</v>
      </c>
      <c r="ZP22">
        <v>2</v>
      </c>
      <c r="ZQ22" s="34">
        <f>+Tabla5789141516343536373839404142434445464748495041[[#This Row],[Recuento]]*Tabla5789141516343536373839404142434445464748495041[[#This Row],[Volúmen bruto]]</f>
        <v>0.02</v>
      </c>
      <c r="ZR22" s="34">
        <f>+Tabla5789141516343536373839404142434445464748495041[[#This Row],[Recuento]]*Tabla5789141516343536373839404142434445464748495041[[#This Row],[Área neta]]</f>
        <v>0.88</v>
      </c>
      <c r="ZS22" s="35"/>
      <c r="ZT22" s="26"/>
      <c r="ZU22"/>
      <c r="ZV22"/>
      <c r="ZW22"/>
      <c r="ZX22"/>
      <c r="ZY22"/>
      <c r="ZZ22" s="33"/>
      <c r="AAA22" s="34"/>
      <c r="AAB22" s="34"/>
      <c r="AAC22" s="35"/>
      <c r="AAD22" s="26"/>
      <c r="AAE22"/>
      <c r="AAF22"/>
      <c r="AAG22"/>
      <c r="AAH22"/>
      <c r="AAI22"/>
      <c r="AAJ22" s="33"/>
      <c r="AAK22" s="34"/>
      <c r="AAL22" s="34"/>
      <c r="AAM22" s="35"/>
      <c r="AAN22" s="26"/>
      <c r="AAO22"/>
      <c r="AAP22"/>
      <c r="AAQ22"/>
      <c r="AAR22"/>
      <c r="AAS22"/>
      <c r="AAT22"/>
      <c r="AAU22" s="34">
        <f>+Tabla5789141516343536373839404142434445464748495051[[#This Row],[Recuento]]*Tabla5789141516343536373839404142434445464748495051[[#This Row],[Volúmen bruto]]</f>
        <v>0</v>
      </c>
      <c r="AAV22" s="34">
        <f>+Tabla5789141516343536373839404142434445464748495051[[#This Row],[Recuento]]*Tabla5789141516343536373839404142434445464748495051[[#This Row],[Área neta]]</f>
        <v>0</v>
      </c>
      <c r="AAW22" s="35"/>
      <c r="AAX22" s="26"/>
      <c r="AAY22"/>
      <c r="AAZ22"/>
      <c r="ABA22"/>
      <c r="ABB22"/>
      <c r="ABC22"/>
      <c r="ABD22" s="33"/>
      <c r="ABE22" s="34"/>
      <c r="ABF22" s="34"/>
      <c r="ABG22" s="35"/>
      <c r="ABH22" s="26"/>
      <c r="ABI22"/>
      <c r="ABJ22"/>
      <c r="ABK22"/>
      <c r="ABL22"/>
      <c r="ABM22"/>
      <c r="ABN22" s="33"/>
      <c r="ABO22" s="34"/>
      <c r="ABP22" s="34"/>
      <c r="ABQ22" s="35"/>
      <c r="ABR22" s="26"/>
      <c r="ABS22"/>
      <c r="ABT22"/>
      <c r="ABU22"/>
      <c r="ABV22"/>
      <c r="ABW22"/>
      <c r="ABX22" s="33"/>
      <c r="ABY22" s="34"/>
      <c r="ABZ22" s="34"/>
      <c r="ACA22" s="35"/>
      <c r="ACB22" s="26"/>
      <c r="ACC22"/>
      <c r="ACD22"/>
      <c r="ACE22"/>
      <c r="ACF22"/>
      <c r="ACG22"/>
      <c r="ACH22" s="33"/>
      <c r="ACI22" s="34"/>
      <c r="ACJ22" s="34"/>
      <c r="ACK22" s="35"/>
      <c r="ACL22" s="26"/>
      <c r="ACM22"/>
      <c r="ACN22"/>
      <c r="ACO22"/>
      <c r="ACP22"/>
      <c r="ACQ22"/>
      <c r="ACR22" s="33"/>
      <c r="ACS22" s="34"/>
      <c r="ACT22" s="34"/>
      <c r="ACU22" s="35"/>
      <c r="ACV22" s="26"/>
      <c r="ACW22" t="s">
        <v>1247</v>
      </c>
      <c r="ACX22" s="1">
        <v>2</v>
      </c>
      <c r="ACY22" s="2">
        <v>1.2</v>
      </c>
      <c r="ACZ22" s="2">
        <v>1.99</v>
      </c>
      <c r="ADA22" s="38">
        <v>2</v>
      </c>
      <c r="ADB22" s="2">
        <f>+(ACZ22*ACY22)*ADA22</f>
        <v>4.7759999999999998</v>
      </c>
      <c r="ADD22" t="s">
        <v>1720</v>
      </c>
      <c r="ADE22">
        <v>1.65</v>
      </c>
      <c r="ADF22">
        <v>1</v>
      </c>
      <c r="ADG22" s="26">
        <f t="shared" si="3"/>
        <v>1.65</v>
      </c>
      <c r="ADH22"/>
      <c r="ADI22"/>
      <c r="ADJ22"/>
      <c r="ADK22"/>
      <c r="ADL22"/>
      <c r="ADM22"/>
      <c r="ADN22">
        <f ca="1">+Tabla578914151634353637383940414243444546474849505152535560[[#This Row],[G. Total]]*Tabla578914151634353637383940414243444546474849505152535560[[#This Row],[Recuento]]</f>
        <v>0</v>
      </c>
      <c r="ADO22" s="35"/>
      <c r="ADP22" s="26"/>
      <c r="ADQ22"/>
      <c r="ADR22"/>
      <c r="ADS22"/>
      <c r="ADT22"/>
      <c r="ADU22"/>
      <c r="ADV22" s="35"/>
      <c r="ADW22" s="35"/>
      <c r="ADX22"/>
      <c r="ADY22"/>
      <c r="ADZ22"/>
      <c r="AEA22"/>
      <c r="AEB22"/>
      <c r="AEC22">
        <f ca="1">+Tabla57891415163435363738394041424344454647484950515253556062[[#This Row],[Total]]*Tabla57891415163435363738394041424344454647484950515253556062[[#This Row],[Recuento]]</f>
        <v>0</v>
      </c>
      <c r="AED22" s="35"/>
      <c r="AEE22" s="26"/>
      <c r="AEF22"/>
      <c r="AEG22"/>
      <c r="AEH22"/>
      <c r="AEI22"/>
      <c r="AEJ22"/>
      <c r="AEK22" s="35"/>
      <c r="AEL22" s="35"/>
      <c r="AEM22" t="s">
        <v>1522</v>
      </c>
      <c r="AEN22" t="s">
        <v>1523</v>
      </c>
      <c r="AEO22" t="s">
        <v>453</v>
      </c>
      <c r="AEP22">
        <v>0.71</v>
      </c>
      <c r="AEQ22">
        <v>1</v>
      </c>
      <c r="AER22">
        <f ca="1">+Tabla5789141516343536373839404142434445464748495051525355606264[[#This Row],[G. Total]]*Tabla5789141516343536373839404142434445464748495051525355606264[[#This Row],[Recuento]]</f>
        <v>0.71</v>
      </c>
      <c r="AES22" s="35"/>
      <c r="AET22" s="26"/>
      <c r="AEU22"/>
      <c r="AEV22"/>
      <c r="AEW22"/>
      <c r="AEX22"/>
      <c r="AEY22"/>
      <c r="AEZ22" s="35"/>
      <c r="AFA22" s="26"/>
      <c r="AFB22"/>
      <c r="AFC22"/>
      <c r="AFD22"/>
      <c r="AFE22"/>
      <c r="AFF22"/>
      <c r="AFG22"/>
      <c r="AFH22"/>
      <c r="AFI22"/>
      <c r="AFJ22"/>
      <c r="AFK22"/>
      <c r="AFL22"/>
      <c r="AFM22">
        <f ca="1">+Tabla578914151634353637383940414243444546474849505152535560626467[[#This Row],[G. Total]]*Tabla578914151634353637383940414243444546474849505152535560626467[[#This Row],[Recuento]]</f>
        <v>0</v>
      </c>
      <c r="AFN22" s="35"/>
      <c r="AFO22" s="26"/>
      <c r="AFP22" s="2" t="s">
        <v>108</v>
      </c>
      <c r="AFW22" s="2" t="s">
        <v>108</v>
      </c>
    </row>
    <row r="23" spans="1:860" ht="15" customHeight="1" x14ac:dyDescent="0.25">
      <c r="A23">
        <v>1</v>
      </c>
      <c r="B23" t="s">
        <v>1862</v>
      </c>
      <c r="C23" t="s">
        <v>1225</v>
      </c>
      <c r="D23" t="s">
        <v>1550</v>
      </c>
      <c r="E23">
        <v>0.32</v>
      </c>
      <c r="F23">
        <v>5.38</v>
      </c>
      <c r="G23"/>
      <c r="H23">
        <f>+Tabla3[[#This Row],[Volúmen neto]]*A23</f>
        <v>0.32</v>
      </c>
      <c r="I23">
        <f>+Tabla3[[#This Row],[Longitud de eje]]*A23</f>
        <v>5.38</v>
      </c>
      <c r="J23"/>
      <c r="K23"/>
      <c r="L23"/>
      <c r="M23"/>
      <c r="N23"/>
      <c r="O23"/>
      <c r="P23"/>
      <c r="Q23"/>
      <c r="R23">
        <f>+Tabla5[[#This Row],[Recuento]]*Tabla5[[#This Row],[Volúmen bruto]]</f>
        <v>0</v>
      </c>
      <c r="S23">
        <f>+Tabla5[[#This Row],[Recuento]]*Tabla5[[#This Row],[Área neta]]</f>
        <v>0</v>
      </c>
      <c r="T23">
        <f>+Tabla5[[#This Row],[Longitud nominal]]*Tabla5[[#This Row],[Recuento]]</f>
        <v>0</v>
      </c>
      <c r="U23" s="26"/>
      <c r="V23"/>
      <c r="W23"/>
      <c r="X23"/>
      <c r="Y23"/>
      <c r="Z23"/>
      <c r="AA23"/>
      <c r="AB23"/>
      <c r="AC23"/>
      <c r="AD23"/>
      <c r="AE23"/>
      <c r="AF23"/>
      <c r="AG23" s="26">
        <f t="shared" si="4"/>
        <v>0</v>
      </c>
      <c r="AH23"/>
      <c r="AI23"/>
      <c r="AJ23"/>
      <c r="AK23"/>
      <c r="AL23"/>
      <c r="AM23"/>
      <c r="AN23"/>
      <c r="AO23"/>
      <c r="AP23"/>
      <c r="AQ23"/>
      <c r="AR23"/>
      <c r="AS23" s="26">
        <f t="shared" si="5"/>
        <v>0</v>
      </c>
      <c r="AT23"/>
      <c r="AU23"/>
      <c r="AV23"/>
      <c r="AW23"/>
      <c r="AX23"/>
      <c r="AY23"/>
      <c r="AZ23"/>
      <c r="BA23"/>
      <c r="BB23"/>
      <c r="BC23"/>
      <c r="BD23"/>
      <c r="BE23" s="26">
        <f t="shared" si="6"/>
        <v>0</v>
      </c>
      <c r="BF23">
        <v>1</v>
      </c>
      <c r="BG23" t="s">
        <v>1862</v>
      </c>
      <c r="BH23" t="s">
        <v>1524</v>
      </c>
      <c r="BI23" t="s">
        <v>1406</v>
      </c>
      <c r="BJ23">
        <v>1.1000000000000001</v>
      </c>
      <c r="BK23">
        <v>1.5</v>
      </c>
      <c r="BL23">
        <f>+Tabla3102[[#This Row],[En culmo]]*BF23</f>
        <v>1.5</v>
      </c>
      <c r="BM23"/>
      <c r="BN23"/>
      <c r="BO23"/>
      <c r="BP23"/>
      <c r="BQ23"/>
      <c r="BR23"/>
      <c r="BS23"/>
      <c r="BT23">
        <f>+Tabla31069[[#This Row],[En culmo]]*BN23</f>
        <v>0</v>
      </c>
      <c r="BU23"/>
      <c r="BV23">
        <v>1</v>
      </c>
      <c r="BW23" t="s">
        <v>1862</v>
      </c>
      <c r="BX23" t="s">
        <v>1525</v>
      </c>
      <c r="BY23" t="s">
        <v>1406</v>
      </c>
      <c r="BZ23">
        <v>3.1</v>
      </c>
      <c r="CA23">
        <v>3.5</v>
      </c>
      <c r="CB23">
        <f>+Tabla31011[[#This Row],[En culmo]]*BV23</f>
        <v>3.5</v>
      </c>
      <c r="CD23">
        <v>20</v>
      </c>
      <c r="CE23" t="s">
        <v>1862</v>
      </c>
      <c r="CF23" t="s">
        <v>1525</v>
      </c>
      <c r="CG23" t="s">
        <v>1405</v>
      </c>
      <c r="CH23">
        <v>1.25</v>
      </c>
      <c r="CI23">
        <v>1.5</v>
      </c>
      <c r="CJ23">
        <f>+Tabla3101170[[#This Row],[En culmo]]*CD23</f>
        <v>30</v>
      </c>
      <c r="CK23"/>
      <c r="CR23">
        <f>+Tabla31011116[[#This Row],[En culmo]]*CT23</f>
        <v>0</v>
      </c>
      <c r="CT23">
        <v>2</v>
      </c>
      <c r="CU23" t="s">
        <v>1862</v>
      </c>
      <c r="CV23" t="s">
        <v>1383</v>
      </c>
      <c r="CW23" t="s">
        <v>1405</v>
      </c>
      <c r="CX23">
        <v>1.1499999999999999</v>
      </c>
      <c r="CY23">
        <v>2</v>
      </c>
      <c r="CZ23">
        <f>+Tabla3101170117[[#This Row],[En culmo]]*CT23</f>
        <v>4</v>
      </c>
      <c r="DA23"/>
      <c r="DB23">
        <v>2</v>
      </c>
      <c r="DC23" t="s">
        <v>1862</v>
      </c>
      <c r="DD23" t="s">
        <v>1383</v>
      </c>
      <c r="DE23" t="s">
        <v>1723</v>
      </c>
      <c r="DF23">
        <v>0.74</v>
      </c>
      <c r="DG23">
        <f>+Tabla31011704[[#This Row],[Longitud de eje]]*DB23</f>
        <v>1.48</v>
      </c>
      <c r="DH23"/>
      <c r="DI23"/>
      <c r="DJ23"/>
      <c r="DK23"/>
      <c r="DL23"/>
      <c r="DM23"/>
      <c r="DN23">
        <f>+Tabla3101170411[[#This Row],[Longitud de eje]]*DI23</f>
        <v>0</v>
      </c>
      <c r="DO23"/>
      <c r="DP23"/>
      <c r="DQ23"/>
      <c r="DR23"/>
      <c r="DS23"/>
      <c r="DT23"/>
      <c r="DU23">
        <f>+Tabla3101170411120[[#This Row],[Longitud de eje]]*DP23</f>
        <v>0</v>
      </c>
      <c r="DV23"/>
      <c r="DW23"/>
      <c r="DX23"/>
      <c r="DY23"/>
      <c r="DZ23"/>
      <c r="EA23"/>
      <c r="EB23">
        <f>+Tabla3101170411120122[[#This Row],[Longitud de eje]]*DW23</f>
        <v>0</v>
      </c>
      <c r="EC23"/>
      <c r="ED23">
        <v>2</v>
      </c>
      <c r="EE23" t="s">
        <v>1862</v>
      </c>
      <c r="EF23" t="s">
        <v>1524</v>
      </c>
      <c r="EG23" t="s">
        <v>1406</v>
      </c>
      <c r="EH23">
        <v>2.95</v>
      </c>
      <c r="EI23">
        <v>3.5</v>
      </c>
      <c r="EJ23">
        <f>+Tabla3101112[[#This Row],[En culmo]]*ED23</f>
        <v>7</v>
      </c>
      <c r="EK23"/>
      <c r="EL23"/>
      <c r="EM23"/>
      <c r="EN23"/>
      <c r="EO23"/>
      <c r="EP23"/>
      <c r="EQ23"/>
      <c r="ER23">
        <f>+Tabla3101112123[[#This Row],[En culmo]]*EL23</f>
        <v>0</v>
      </c>
      <c r="ES23"/>
      <c r="ET23">
        <v>2</v>
      </c>
      <c r="EU23" t="s">
        <v>1862</v>
      </c>
      <c r="EV23" t="s">
        <v>1525</v>
      </c>
      <c r="EW23" t="s">
        <v>1406</v>
      </c>
      <c r="EX23">
        <v>1.28</v>
      </c>
      <c r="EY23">
        <v>1.5</v>
      </c>
      <c r="EZ23">
        <f>+Tabla310111257[[#This Row],[En culmo]]*ET23</f>
        <v>3</v>
      </c>
      <c r="FA23"/>
      <c r="FB23"/>
      <c r="FC23"/>
      <c r="FD23"/>
      <c r="FE23"/>
      <c r="FF23"/>
      <c r="FG23">
        <v>1.5</v>
      </c>
      <c r="FH23">
        <f>+Tabla310111257124[[#This Row],[En culmo]]*FB23</f>
        <v>0</v>
      </c>
      <c r="FI23"/>
      <c r="FK23"/>
      <c r="FL23"/>
      <c r="FM23"/>
      <c r="FN23"/>
      <c r="FO23"/>
      <c r="FP23"/>
      <c r="FQ23"/>
      <c r="FS23"/>
      <c r="FT23"/>
      <c r="FU23"/>
      <c r="FV23"/>
      <c r="FW23"/>
      <c r="FX23"/>
      <c r="FY23"/>
      <c r="FZ23">
        <v>2</v>
      </c>
      <c r="GA23" t="s">
        <v>1862</v>
      </c>
      <c r="GB23" t="s">
        <v>1524</v>
      </c>
      <c r="GC23" t="s">
        <v>1584</v>
      </c>
      <c r="GD23">
        <v>0.15</v>
      </c>
      <c r="GE23">
        <v>1.9</v>
      </c>
      <c r="GF23">
        <f>+Tabla3101112131157[[#This Row],[Volúmen]]*FZ23</f>
        <v>0.3</v>
      </c>
      <c r="GG23">
        <f>+Tabla3101112131157[[#This Row],[Longitud del eje]]*FZ23</f>
        <v>3.8</v>
      </c>
      <c r="GI23"/>
      <c r="GJ23"/>
      <c r="GK23"/>
      <c r="GL23"/>
      <c r="GM23"/>
      <c r="GN23"/>
      <c r="GO23"/>
      <c r="GQ23" t="s">
        <v>1862</v>
      </c>
      <c r="GR23" t="s">
        <v>1383</v>
      </c>
      <c r="GS23" t="s">
        <v>1667</v>
      </c>
      <c r="GT23">
        <v>0.33</v>
      </c>
      <c r="GU23">
        <v>3.62</v>
      </c>
      <c r="GV23">
        <v>1</v>
      </c>
      <c r="GW23" s="2">
        <f>+Tabla578914[[#This Row],[Recuento]]*Tabla578914[[#This Row],[Volúmen bruto]]</f>
        <v>0.33</v>
      </c>
      <c r="GX23" s="2">
        <f>+Tabla578914[[#This Row],[Recuento]]*Tabla578914[[#This Row],[Área neta]]</f>
        <v>3.62</v>
      </c>
      <c r="GY23" s="36"/>
      <c r="HA23" t="s">
        <v>1862</v>
      </c>
      <c r="HB23" t="s">
        <v>1383</v>
      </c>
      <c r="HC23" t="s">
        <v>1667</v>
      </c>
      <c r="HD23">
        <v>1.22</v>
      </c>
      <c r="HE23">
        <v>13.52</v>
      </c>
      <c r="HF23">
        <v>1</v>
      </c>
      <c r="HG23" s="2">
        <f>+Tabla578914126[[#This Row],[Recuento]]*Tabla578914126[[#This Row],[Volúmen bruto]]</f>
        <v>1.22</v>
      </c>
      <c r="HH23" s="2">
        <f>+Tabla578914126[[#This Row],[Recuento]]*Tabla578914126[[#This Row],[Área neta]]</f>
        <v>13.52</v>
      </c>
      <c r="HI23" s="36"/>
      <c r="HK23"/>
      <c r="HL23"/>
      <c r="HM23"/>
      <c r="HN23"/>
      <c r="HO23"/>
      <c r="HP23"/>
      <c r="HQ23" s="2">
        <f>+Tabla578914126127[[#This Row],[Recuento]]*Tabla578914126127[[#This Row],[Volúmen bruto]]</f>
        <v>0</v>
      </c>
      <c r="HR23" s="2">
        <f>+Tabla578914126127[[#This Row],[Recuento]]*Tabla578914126127[[#This Row],[Área neta]]</f>
        <v>0</v>
      </c>
      <c r="HS23" s="36"/>
      <c r="HT23" s="26"/>
      <c r="HU23"/>
      <c r="HV23"/>
      <c r="HW23"/>
      <c r="HX23"/>
      <c r="HY23"/>
      <c r="HZ23"/>
      <c r="IA23"/>
      <c r="IB23"/>
      <c r="IC23" s="36"/>
      <c r="ID23" s="26"/>
      <c r="IE23"/>
      <c r="IF23"/>
      <c r="IG23"/>
      <c r="IH23"/>
      <c r="II23"/>
      <c r="IJ23"/>
      <c r="IK23"/>
      <c r="IL23"/>
      <c r="IM23" s="36"/>
      <c r="IN23" s="26"/>
      <c r="IO23"/>
      <c r="IP23"/>
      <c r="IQ23"/>
      <c r="IR23"/>
      <c r="IS23"/>
      <c r="IT23"/>
      <c r="IU23"/>
      <c r="IV23">
        <f>+Tabla520212223[[#This Row],[Recuento]]*Tabla520212223[[#This Row],[Área neta]]</f>
        <v>0</v>
      </c>
      <c r="IW23" s="26">
        <f t="shared" si="0"/>
        <v>0</v>
      </c>
      <c r="IY23"/>
      <c r="IZ23"/>
      <c r="JA23"/>
      <c r="JB23"/>
      <c r="JC23"/>
      <c r="JD23"/>
      <c r="JE23">
        <f>+Tabla520212224[[#This Row],[Recuento]]*Tabla520212224[[#This Row],[Volúmen bruto]]</f>
        <v>0</v>
      </c>
      <c r="JF23">
        <f>+Tabla520212224[[#This Row],[Recuento]]*Tabla520212224[[#This Row],[Área neta]]</f>
        <v>0</v>
      </c>
      <c r="JG23" s="26"/>
      <c r="JI23" t="s">
        <v>1862</v>
      </c>
      <c r="JJ23" t="s">
        <v>1524</v>
      </c>
      <c r="JK23" t="s">
        <v>98</v>
      </c>
      <c r="JL23">
        <v>0</v>
      </c>
      <c r="JM23">
        <v>0.02</v>
      </c>
      <c r="JN23">
        <v>1</v>
      </c>
      <c r="JO23">
        <f>+Tabla52021222425[[#This Row],[Recuento]]*Tabla52021222425[[#This Row],[Volúmen bruto]]</f>
        <v>0</v>
      </c>
      <c r="JP23">
        <f>+Tabla52021222425[[#This Row],[Recuento]]*Tabla52021222425[[#This Row],[Área neta]]</f>
        <v>0.02</v>
      </c>
      <c r="JQ23" s="26"/>
      <c r="JS23" t="s">
        <v>1862</v>
      </c>
      <c r="JT23" t="s">
        <v>1524</v>
      </c>
      <c r="JU23" t="s">
        <v>1677</v>
      </c>
      <c r="JV23">
        <v>0</v>
      </c>
      <c r="JW23">
        <v>1.4</v>
      </c>
      <c r="JX23">
        <v>1</v>
      </c>
      <c r="JY23">
        <f>+Tabla5202122242526[[#This Row],[Recuento]]*Tabla5202122242526[[#This Row],[Volúmen bruto]]</f>
        <v>0</v>
      </c>
      <c r="JZ23">
        <f>+Tabla5202122242526[[#This Row],[Recuento]]*Tabla5202122242526[[#This Row],[Área neta]]</f>
        <v>1.4</v>
      </c>
      <c r="KA23" s="26"/>
      <c r="KC23"/>
      <c r="KD23"/>
      <c r="KE23"/>
      <c r="KF23"/>
      <c r="KG23"/>
      <c r="KH23"/>
      <c r="KI23">
        <f>+Tabla5202122242526104[[#This Row],[Recuento]]*Tabla5202122242526104[[#This Row],[Volúmen bruto]]</f>
        <v>0</v>
      </c>
      <c r="KJ23">
        <f>+Tabla5202122242526104[[#This Row],[Recuento]]*Tabla5202122242526104[[#This Row],[Área neta]]</f>
        <v>0</v>
      </c>
      <c r="KK23" s="26"/>
      <c r="KM23" t="s">
        <v>1862</v>
      </c>
      <c r="KN23" t="s">
        <v>1525</v>
      </c>
      <c r="KO23" t="s">
        <v>97</v>
      </c>
      <c r="KP23">
        <v>7.0000000000000007E-2</v>
      </c>
      <c r="KQ23">
        <v>1.93</v>
      </c>
      <c r="KR23">
        <v>1</v>
      </c>
      <c r="KS23">
        <f>+Tabla5202122242526104110[[#This Row],[Recuento]]*Tabla5202122242526104110[[#This Row],[Volúmen bruto]]</f>
        <v>7.0000000000000007E-2</v>
      </c>
      <c r="KT23">
        <f>+Tabla5202122242526104110[[#This Row],[Recuento]]*Tabla5202122242526104110[[#This Row],[Área neta]]</f>
        <v>1.93</v>
      </c>
      <c r="KU23" s="26"/>
      <c r="KW23"/>
      <c r="KX23"/>
      <c r="KY23"/>
      <c r="KZ23"/>
      <c r="LA23"/>
      <c r="LB23"/>
      <c r="LC23">
        <f>+Tabla520212224252659[[#This Row],[Recuento]]*Tabla520212224252659[[#This Row],[Volúmen bruto]]</f>
        <v>0</v>
      </c>
      <c r="LD23">
        <f>+Tabla520212224252659[[#This Row],[Recuento]]*Tabla520212224252659[[#This Row],[Área neta]]</f>
        <v>0</v>
      </c>
      <c r="LE23" s="26"/>
      <c r="LG23"/>
      <c r="LH23"/>
      <c r="LI23"/>
      <c r="LJ23"/>
      <c r="LK23"/>
      <c r="LL23"/>
      <c r="LM23">
        <f>+Tabla520212224252659111[[#This Row],[Recuento]]*Tabla520212224252659111[[#This Row],[Volúmen bruto]]</f>
        <v>0</v>
      </c>
      <c r="LN23">
        <f>+Tabla520212224252659111[[#This Row],[Recuento]]*Tabla520212224252659111[[#This Row],[Área neta]]</f>
        <v>0</v>
      </c>
      <c r="LO23" s="26"/>
      <c r="LQ23"/>
      <c r="LR23"/>
      <c r="LS23"/>
      <c r="LT23"/>
      <c r="LU23"/>
      <c r="LV23"/>
      <c r="LW23">
        <f>+Tabla520212224252659111114[[#This Row],[Recuento]]*Tabla520212224252659111114[[#This Row],[Volúmen bruto]]</f>
        <v>0</v>
      </c>
      <c r="LX23">
        <f>+Tabla520212224252659111114[[#This Row],[Recuento]]*Tabla520212224252659111114[[#This Row],[Área neta]]</f>
        <v>0</v>
      </c>
      <c r="LY23" s="26"/>
      <c r="MA23" t="s">
        <v>1862</v>
      </c>
      <c r="MB23" t="s">
        <v>1525</v>
      </c>
      <c r="MC23" t="s">
        <v>97</v>
      </c>
      <c r="MD23">
        <v>0.23</v>
      </c>
      <c r="ME23">
        <v>6.19</v>
      </c>
      <c r="MF23">
        <v>1</v>
      </c>
      <c r="MG23">
        <f>+Tabla520212224252659111114128[[#This Row],[Recuento]]*Tabla520212224252659111114128[[#This Row],[Volúmen bruto]]</f>
        <v>0.23</v>
      </c>
      <c r="MH23">
        <f>+Tabla520212224252659111114128[[#This Row],[Recuento]]*Tabla520212224252659111114128[[#This Row],[Área neta]]</f>
        <v>6.19</v>
      </c>
      <c r="MI23" s="26"/>
      <c r="MK23"/>
      <c r="ML23"/>
      <c r="MM23"/>
      <c r="MN23"/>
      <c r="MO23"/>
      <c r="MP23"/>
      <c r="MQ23">
        <f>+Tabla520212224252627[[#This Row],[Recuento]]*Tabla520212224252627[[#This Row],[Volúmen bruto]]</f>
        <v>0</v>
      </c>
      <c r="MR23">
        <f>+Tabla520212224252627[[#This Row],[Recuento]]*Tabla520212224252627[[#This Row],[Área neta]]</f>
        <v>0</v>
      </c>
      <c r="MS23" s="26"/>
      <c r="MU23"/>
      <c r="MV23"/>
      <c r="MW23"/>
      <c r="MX23"/>
      <c r="MY23"/>
      <c r="MZ23"/>
      <c r="NA23">
        <f>+Tabla520212224252627129[[#This Row],[Recuento]]*Tabla520212224252627129[[#This Row],[Volúmen bruto]]</f>
        <v>0</v>
      </c>
      <c r="NB23">
        <f>+Tabla520212224252627129[[#This Row],[Recuento]]*Tabla520212224252627129[[#This Row],[Área neta]]</f>
        <v>0</v>
      </c>
      <c r="NC23" s="26"/>
      <c r="NE23"/>
      <c r="NF23"/>
      <c r="NG23"/>
      <c r="NH23"/>
      <c r="NI23"/>
      <c r="NJ23"/>
      <c r="NK23">
        <f>+Tabla520212224252627129125[[#This Row],[Recuento]]*Tabla520212224252627129125[[#This Row],[Volúmen bruto]]</f>
        <v>0</v>
      </c>
      <c r="NL23">
        <f>+Tabla520212224252627129125[[#This Row],[Recuento]]*Tabla520212224252627129125[[#This Row],[Área neta]]</f>
        <v>0</v>
      </c>
      <c r="NM23" s="26"/>
      <c r="NO23" t="s">
        <v>1549</v>
      </c>
      <c r="NP23" t="s">
        <v>1525</v>
      </c>
      <c r="NQ23" t="s">
        <v>1676</v>
      </c>
      <c r="NR23">
        <v>0.04</v>
      </c>
      <c r="NS23">
        <v>0.33</v>
      </c>
      <c r="NT23">
        <v>1</v>
      </c>
      <c r="NU23">
        <f>+Tabla520212224252627129125130[[#This Row],[Recuento]]*Tabla520212224252627129125130[[#This Row],[Volúmen bruto]]</f>
        <v>0.04</v>
      </c>
      <c r="NV23">
        <f>+Tabla520212224252627129125130[[#This Row],[Recuento]]*Tabla520212224252627129125130[[#This Row],[Área neta]]</f>
        <v>0.33</v>
      </c>
      <c r="NW23" s="26">
        <f>+SUM(NV23:NV25)</f>
        <v>2.52</v>
      </c>
      <c r="NY23"/>
      <c r="NZ23"/>
      <c r="OA23"/>
      <c r="OB23"/>
      <c r="OC23"/>
      <c r="OD23"/>
      <c r="OE23">
        <f>+Tabla520212224252627129125130131[[#This Row],[Recuento]]*Tabla520212224252627129125130131[[#This Row],[Volúmen bruto]]</f>
        <v>0</v>
      </c>
      <c r="OF23">
        <f>+Tabla520212224252627129125130131[[#This Row],[Recuento]]*Tabla520212224252627129125130131[[#This Row],[Área neta]]</f>
        <v>0</v>
      </c>
      <c r="OG23" s="26"/>
      <c r="OI23"/>
      <c r="OJ23"/>
      <c r="OK23"/>
      <c r="OL23"/>
      <c r="OM23"/>
      <c r="ON23"/>
      <c r="OO23">
        <f>+Tabla520212224252627129125130131132[[#This Row],[Recuento]]*Tabla520212224252627129125130131132[[#This Row],[Volúmen bruto]]</f>
        <v>0</v>
      </c>
      <c r="OP23">
        <f>+Tabla520212224252627129125130131132[[#This Row],[Recuento]]*Tabla520212224252627129125130131132[[#This Row],[Área neta]]</f>
        <v>0</v>
      </c>
      <c r="OQ23" s="26"/>
      <c r="OS23"/>
      <c r="OT23"/>
      <c r="OU23"/>
      <c r="OV23"/>
      <c r="OW23"/>
      <c r="OX23"/>
      <c r="OY23">
        <f>+Tabla52021222425262728[[#This Row],[Recuento]]*Tabla52021222425262728[[#This Row],[Volúmen bruto]]</f>
        <v>0</v>
      </c>
      <c r="OZ23">
        <f>+Tabla52021222425262728[[#This Row],[Recuento]]*Tabla52021222425262728[[#This Row],[Área neta]]</f>
        <v>0</v>
      </c>
      <c r="PA23" s="26"/>
      <c r="PC23" t="s">
        <v>1862</v>
      </c>
      <c r="PD23" t="s">
        <v>1525</v>
      </c>
      <c r="PE23" t="s">
        <v>1628</v>
      </c>
      <c r="PF23">
        <v>0.02</v>
      </c>
      <c r="PG23">
        <v>0.96</v>
      </c>
      <c r="PH23">
        <v>1</v>
      </c>
      <c r="PI23">
        <f>+Tabla52021222425262728133[[#This Row],[Recuento]]*Tabla52021222425262728133[[#This Row],[Volúmen bruto]]</f>
        <v>0.02</v>
      </c>
      <c r="PJ23">
        <f>+Tabla52021222425262728133[[#This Row],[Recuento]]*Tabla52021222425262728133[[#This Row],[Área neta]]</f>
        <v>0.96</v>
      </c>
      <c r="PK23" s="26"/>
      <c r="PM23"/>
      <c r="PN23"/>
      <c r="PO23"/>
      <c r="PP23"/>
      <c r="PQ23"/>
      <c r="PR23"/>
      <c r="PS23">
        <f>+Tabla5202122242526272893[[#This Row],[Recuento]]*Tabla5202122242526272893[[#This Row],[Volúmen bruto]]</f>
        <v>0</v>
      </c>
      <c r="PT23">
        <f>+Tabla5202122242526272893[[#This Row],[Recuento]]*Tabla5202122242526272893[[#This Row],[Área neta]]</f>
        <v>0</v>
      </c>
      <c r="PU23" s="26"/>
      <c r="PW23" t="s">
        <v>1862</v>
      </c>
      <c r="PX23" t="s">
        <v>1525</v>
      </c>
      <c r="PY23" t="s">
        <v>97</v>
      </c>
      <c r="PZ23">
        <v>0.03</v>
      </c>
      <c r="QA23">
        <v>1.54</v>
      </c>
      <c r="QB23">
        <v>1</v>
      </c>
      <c r="QC23">
        <f>+Tabla520212224252627289349[[#This Row],[Recuento]]*Tabla520212224252627289349[[#This Row],[Volúmen bruto]]</f>
        <v>0.03</v>
      </c>
      <c r="QD23">
        <f>+Tabla520212224252627289349[[#This Row],[Recuento]]*Tabla520212224252627289349[[#This Row],[Área neta]]</f>
        <v>1.54</v>
      </c>
      <c r="QE23" s="26"/>
      <c r="QG23"/>
      <c r="QH23"/>
      <c r="QI23"/>
      <c r="QJ23"/>
      <c r="QK23"/>
      <c r="QL23"/>
      <c r="QM23">
        <f>+Tabla520212224252627289349134[[#This Row],[Recuento]]*Tabla520212224252627289349134[[#This Row],[Volúmen bruto]]</f>
        <v>0</v>
      </c>
      <c r="QN23">
        <f>+Tabla520212224252627289349134[[#This Row],[Recuento]]*Tabla520212224252627289349134[[#This Row],[Área neta]]</f>
        <v>0</v>
      </c>
      <c r="QO23" s="26"/>
      <c r="QQ23" t="s">
        <v>1862</v>
      </c>
      <c r="QR23" t="s">
        <v>1524</v>
      </c>
      <c r="QS23" t="s">
        <v>1726</v>
      </c>
      <c r="QT23">
        <v>0.14000000000000001</v>
      </c>
      <c r="QU23">
        <v>0.7</v>
      </c>
      <c r="QV23">
        <v>1</v>
      </c>
      <c r="QW23">
        <v>1</v>
      </c>
      <c r="QX23">
        <f>+Tabla5202122242526272829[[#This Row],[Recuento]]*Tabla5202122242526272829[[#This Row],[Volúmen bruto]]</f>
        <v>0.14000000000000001</v>
      </c>
      <c r="QY23">
        <f>+Tabla5202122242526272829[[#This Row],[Recuento]]*Tabla5202122242526272829[[#This Row],[Área neta]]</f>
        <v>0.7</v>
      </c>
      <c r="QZ23">
        <f>+Tabla5202122242526272829[[#This Row],[Recuento]]*Tabla5202122242526272829[[#This Row],[Longitud]]</f>
        <v>1</v>
      </c>
      <c r="RA23" s="26"/>
      <c r="RC23"/>
      <c r="RD23"/>
      <c r="RE23"/>
      <c r="RF23"/>
      <c r="RG23"/>
      <c r="RH23"/>
      <c r="RI23"/>
      <c r="RJ23"/>
      <c r="RK23" s="26"/>
      <c r="RM23"/>
      <c r="RN23"/>
      <c r="RO23"/>
      <c r="RP23"/>
      <c r="RQ23"/>
      <c r="RR23"/>
      <c r="RS23"/>
      <c r="RT23"/>
      <c r="RU23" s="26">
        <f t="shared" si="7"/>
        <v>0</v>
      </c>
      <c r="RW23"/>
      <c r="RX23"/>
      <c r="RY23"/>
      <c r="RZ23"/>
      <c r="SA23"/>
      <c r="SB23"/>
      <c r="SC23"/>
      <c r="SD23"/>
      <c r="SE23" s="26"/>
      <c r="SG23"/>
      <c r="SH23"/>
      <c r="SI23"/>
      <c r="SJ23"/>
      <c r="SK23"/>
      <c r="SL23"/>
      <c r="SM23">
        <f>+Tabla5202122242526272831323314[[#This Row],[Recuento]]*Tabla5202122242526272831323314[[#This Row],[Volúmen bruto]]</f>
        <v>0</v>
      </c>
      <c r="SN23">
        <f>+Tabla5202122242526272831323314[[#This Row],[Recuento]]*Tabla5202122242526272831323314[[#This Row],[Área neta]]</f>
        <v>0</v>
      </c>
      <c r="SO23" s="26"/>
      <c r="SQ23" t="s">
        <v>1862</v>
      </c>
      <c r="SR23" t="s">
        <v>1524</v>
      </c>
      <c r="SS23" t="s">
        <v>1627</v>
      </c>
      <c r="ST23">
        <v>2.16</v>
      </c>
      <c r="SU23">
        <v>10.8</v>
      </c>
      <c r="SV23">
        <v>1</v>
      </c>
      <c r="SW23" s="34">
        <f>+Tabla5789141516[[#This Row],[Recuento]]*Tabla5789141516[[#This Row],[Volúmen bruto]]</f>
        <v>2.16</v>
      </c>
      <c r="SX23" s="34">
        <f>+Tabla5789141516[[#This Row],[Recuento]]*Tabla5789141516[[#This Row],[Área neta]]</f>
        <v>10.8</v>
      </c>
      <c r="SY23" s="36"/>
      <c r="SZ23" s="26"/>
      <c r="TA23"/>
      <c r="TB23"/>
      <c r="TC23"/>
      <c r="TD23"/>
      <c r="TE23"/>
      <c r="TF23"/>
      <c r="TG23"/>
      <c r="TH23"/>
      <c r="TI23" s="36">
        <f t="shared" si="8"/>
        <v>0</v>
      </c>
      <c r="TJ23" s="26"/>
      <c r="TK23"/>
      <c r="TL23"/>
      <c r="TM23"/>
      <c r="TN23"/>
      <c r="TO23"/>
      <c r="TP23"/>
      <c r="TQ23" s="34">
        <f>+Tabla57891415163435[[#This Row],[Recuento]]*Tabla57891415163435[[#This Row],[Volúmen bruto]]</f>
        <v>0</v>
      </c>
      <c r="TR23" s="34">
        <f>+Tabla57891415163435[[#This Row],[Recuento]]*Tabla57891415163435[[#This Row],[Área neta]]</f>
        <v>0</v>
      </c>
      <c r="TS23" s="36"/>
      <c r="TT23" s="26"/>
      <c r="TU23"/>
      <c r="TV23"/>
      <c r="TW23"/>
      <c r="TX23"/>
      <c r="TY23"/>
      <c r="TZ23" s="33"/>
      <c r="UA23" s="34"/>
      <c r="UB23" s="34"/>
      <c r="UC23" s="36"/>
      <c r="UD23" s="26"/>
      <c r="UE23"/>
      <c r="UF23"/>
      <c r="UG23"/>
      <c r="UH23"/>
      <c r="UI23"/>
      <c r="UJ23" s="33"/>
      <c r="UK23" s="34"/>
      <c r="UL23" s="34"/>
      <c r="UM23" s="36"/>
      <c r="UN23" s="26"/>
      <c r="UO23"/>
      <c r="UP23"/>
      <c r="UQ23"/>
      <c r="UR23"/>
      <c r="US23"/>
      <c r="UT23" s="33"/>
      <c r="UU23" s="34"/>
      <c r="UV23" s="34"/>
      <c r="UW23" s="36"/>
      <c r="UX23" s="26"/>
      <c r="UY23"/>
      <c r="UZ23"/>
      <c r="VA23"/>
      <c r="VB23"/>
      <c r="VC23"/>
      <c r="VD23" s="33"/>
      <c r="VE23" s="34"/>
      <c r="VF23" s="34"/>
      <c r="VG23" s="36"/>
      <c r="VH23" s="26"/>
      <c r="VI23"/>
      <c r="VJ23"/>
      <c r="VK23"/>
      <c r="VL23"/>
      <c r="VM23"/>
      <c r="VN23" s="33"/>
      <c r="VO23" s="34"/>
      <c r="VP23" s="34"/>
      <c r="VQ23" s="36"/>
      <c r="VR23" s="26"/>
      <c r="VS23"/>
      <c r="VT23"/>
      <c r="VU23"/>
      <c r="VV23"/>
      <c r="VW23"/>
      <c r="VX23" s="33"/>
      <c r="VY23" s="34"/>
      <c r="VZ23" s="34"/>
      <c r="WA23" s="36"/>
      <c r="WB23" s="26"/>
      <c r="WC23"/>
      <c r="WD23"/>
      <c r="WE23"/>
      <c r="WF23"/>
      <c r="WG23"/>
      <c r="WH23" s="33"/>
      <c r="WI23" s="34"/>
      <c r="WJ23" s="34"/>
      <c r="WK23" s="36"/>
      <c r="WL23" s="26"/>
      <c r="WM23"/>
      <c r="WN23"/>
      <c r="WO23"/>
      <c r="WP23"/>
      <c r="WQ23"/>
      <c r="WR23" s="33"/>
      <c r="WS23" s="34"/>
      <c r="WT23" s="34"/>
      <c r="WU23" s="36"/>
      <c r="WV23" s="26"/>
      <c r="WW23"/>
      <c r="WX23"/>
      <c r="WY23"/>
      <c r="WZ23"/>
      <c r="XA23"/>
      <c r="XB23" s="33"/>
      <c r="XC23" s="34"/>
      <c r="XD23" s="34"/>
      <c r="XE23" s="36"/>
      <c r="XF23" s="26"/>
      <c r="XG23"/>
      <c r="XH23"/>
      <c r="XI23"/>
      <c r="XJ23"/>
      <c r="XK23"/>
      <c r="XL23"/>
      <c r="XM23" s="34">
        <f>+Tabla578914151634353637383940414243444536[[#This Row],[Recuento]]*Tabla578914151634353637383940414243444536[[#This Row],[Volúmen bruto]]</f>
        <v>0</v>
      </c>
      <c r="XN23" s="34">
        <f>+Tabla578914151634353637383940414243444536[[#This Row],[Recuento]]*Tabla578914151634353637383940414243444536[[#This Row],[Área neta]]</f>
        <v>0</v>
      </c>
      <c r="XO23" s="35"/>
      <c r="XP23" s="26"/>
      <c r="XQ23"/>
      <c r="XR23"/>
      <c r="XS23"/>
      <c r="XT23"/>
      <c r="XU23"/>
      <c r="XV23"/>
      <c r="XW23" s="34">
        <f>+Tabla5789141516343536373839404142434445[[#This Row],[Recuento]]*Tabla5789141516343536373839404142434445[[#This Row],[Volúmen bruto]]</f>
        <v>0</v>
      </c>
      <c r="XX23" s="34">
        <f>+Tabla5789141516343536373839404142434445[[#This Row],[Recuento]]*Tabla5789141516343536373839404142434445[[#This Row],[Área neta]]</f>
        <v>0</v>
      </c>
      <c r="XY23" s="35"/>
      <c r="XZ23" s="26"/>
      <c r="YA23"/>
      <c r="YB23"/>
      <c r="YC23"/>
      <c r="YD23"/>
      <c r="YE23"/>
      <c r="YF23"/>
      <c r="YG23" s="34">
        <f>+Tabla578914151634353637383940414243444558[[#This Row],[Recuento]]*Tabla578914151634353637383940414243444558[[#This Row],[Volúmen bruto]]</f>
        <v>0</v>
      </c>
      <c r="YH23" s="34">
        <f>+Tabla578914151634353637383940414243444558[[#This Row],[Recuento]]*Tabla578914151634353637383940414243444558[[#This Row],[Área neta]]</f>
        <v>0</v>
      </c>
      <c r="YI23" s="35"/>
      <c r="YJ23" s="35"/>
      <c r="YK23"/>
      <c r="YL23"/>
      <c r="YM23"/>
      <c r="YN23"/>
      <c r="YO23"/>
      <c r="YQ23"/>
      <c r="YR23"/>
      <c r="YS23"/>
      <c r="YT23"/>
      <c r="YU23"/>
      <c r="YV23" s="33"/>
      <c r="YW23" s="34"/>
      <c r="YX23" s="34"/>
      <c r="YY23" s="35"/>
      <c r="YZ23" s="26"/>
      <c r="ZA23"/>
      <c r="ZB23"/>
      <c r="ZC23"/>
      <c r="ZD23"/>
      <c r="ZE23"/>
      <c r="ZF23" s="33"/>
      <c r="ZG23" s="34"/>
      <c r="ZH23" s="34"/>
      <c r="ZI23" s="35"/>
      <c r="ZJ23" s="26"/>
      <c r="ZK23" t="s">
        <v>1863</v>
      </c>
      <c r="ZL23" t="s">
        <v>1524</v>
      </c>
      <c r="ZM23" t="s">
        <v>1730</v>
      </c>
      <c r="ZN23">
        <v>0</v>
      </c>
      <c r="ZO23">
        <v>0.15</v>
      </c>
      <c r="ZP23">
        <v>1</v>
      </c>
      <c r="ZQ23" s="34">
        <f>+Tabla5789141516343536373839404142434445464748495041[[#This Row],[Recuento]]*Tabla5789141516343536373839404142434445464748495041[[#This Row],[Volúmen bruto]]</f>
        <v>0</v>
      </c>
      <c r="ZR23" s="34">
        <f>+Tabla5789141516343536373839404142434445464748495041[[#This Row],[Recuento]]*Tabla5789141516343536373839404142434445464748495041[[#This Row],[Área neta]]</f>
        <v>0.15</v>
      </c>
      <c r="ZS23" s="35"/>
      <c r="ZT23" s="26"/>
      <c r="ZU23"/>
      <c r="ZV23"/>
      <c r="ZW23"/>
      <c r="ZX23"/>
      <c r="ZY23"/>
      <c r="ZZ23" s="33"/>
      <c r="AAA23" s="34"/>
      <c r="AAB23" s="34"/>
      <c r="AAC23" s="35"/>
      <c r="AAD23" s="26"/>
      <c r="AAE23"/>
      <c r="AAF23"/>
      <c r="AAG23"/>
      <c r="AAH23"/>
      <c r="AAI23"/>
      <c r="AAJ23" s="33"/>
      <c r="AAK23" s="34"/>
      <c r="AAL23" s="34"/>
      <c r="AAM23" s="35"/>
      <c r="AAN23" s="26"/>
      <c r="AAO23"/>
      <c r="AAP23"/>
      <c r="AAQ23"/>
      <c r="AAR23"/>
      <c r="AAS23"/>
      <c r="AAT23"/>
      <c r="AAU23" s="34">
        <f>+Tabla5789141516343536373839404142434445464748495051[[#This Row],[Recuento]]*Tabla5789141516343536373839404142434445464748495051[[#This Row],[Volúmen bruto]]</f>
        <v>0</v>
      </c>
      <c r="AAV23" s="34">
        <f>+Tabla5789141516343536373839404142434445464748495051[[#This Row],[Recuento]]*Tabla5789141516343536373839404142434445464748495051[[#This Row],[Área neta]]</f>
        <v>0</v>
      </c>
      <c r="AAW23" s="35"/>
      <c r="AAX23" s="26"/>
      <c r="AAY23"/>
      <c r="AAZ23"/>
      <c r="ABA23"/>
      <c r="ABB23"/>
      <c r="ABC23"/>
      <c r="ABD23" s="33"/>
      <c r="ABE23" s="34"/>
      <c r="ABF23" s="34"/>
      <c r="ABG23" s="35"/>
      <c r="ABH23" s="26"/>
      <c r="ABI23"/>
      <c r="ABJ23"/>
      <c r="ABK23"/>
      <c r="ABL23"/>
      <c r="ABM23"/>
      <c r="ABN23" s="33"/>
      <c r="ABO23" s="34"/>
      <c r="ABP23" s="34"/>
      <c r="ABQ23" s="35"/>
      <c r="ABR23" s="26"/>
      <c r="ABS23"/>
      <c r="ABT23"/>
      <c r="ABU23"/>
      <c r="ABV23"/>
      <c r="ABW23"/>
      <c r="ABX23" s="33"/>
      <c r="ABY23" s="34"/>
      <c r="ABZ23" s="34"/>
      <c r="ACA23" s="35"/>
      <c r="ACB23" s="26"/>
      <c r="ACC23"/>
      <c r="ACD23"/>
      <c r="ACE23"/>
      <c r="ACF23"/>
      <c r="ACG23"/>
      <c r="ACH23" s="33"/>
      <c r="ACI23" s="34"/>
      <c r="ACJ23" s="34"/>
      <c r="ACK23" s="35"/>
      <c r="ACL23" s="26"/>
      <c r="ACM23"/>
      <c r="ACN23"/>
      <c r="ACO23"/>
      <c r="ACP23"/>
      <c r="ACQ23"/>
      <c r="ACR23" s="33"/>
      <c r="ACS23" s="34"/>
      <c r="ACT23" s="34"/>
      <c r="ACU23" s="35"/>
      <c r="ACV23" s="26"/>
      <c r="ACW23" t="s">
        <v>1248</v>
      </c>
      <c r="ACX23" s="1">
        <v>2</v>
      </c>
      <c r="ACY23" s="2">
        <v>0.9</v>
      </c>
      <c r="ACZ23" s="2">
        <v>1.4</v>
      </c>
      <c r="ADA23" s="38">
        <v>3</v>
      </c>
      <c r="ADB23" s="2">
        <f t="shared" si="1"/>
        <v>3.7800000000000002</v>
      </c>
      <c r="ADD23" t="s">
        <v>1720</v>
      </c>
      <c r="ADE23">
        <v>4.4000000000000004</v>
      </c>
      <c r="ADF23">
        <v>2</v>
      </c>
      <c r="ADG23" s="26">
        <f>+ADF23*ADE23</f>
        <v>8.8000000000000007</v>
      </c>
      <c r="ADH23"/>
      <c r="ADI23"/>
      <c r="ADJ23"/>
      <c r="ADK23"/>
      <c r="ADL23"/>
      <c r="ADM23"/>
      <c r="ADN23">
        <f ca="1">+Tabla578914151634353637383940414243444546474849505152535560[[#This Row],[G. Total]]*Tabla578914151634353637383940414243444546474849505152535560[[#This Row],[Recuento]]</f>
        <v>0</v>
      </c>
      <c r="ADO23" s="35"/>
      <c r="ADP23" s="26"/>
      <c r="ADQ23"/>
      <c r="ADR23"/>
      <c r="ADS23"/>
      <c r="ADT23"/>
      <c r="ADU23"/>
      <c r="ADV23" s="35"/>
      <c r="ADW23" s="35"/>
      <c r="ADX23"/>
      <c r="ADY23"/>
      <c r="ADZ23"/>
      <c r="AEA23"/>
      <c r="AEB23"/>
      <c r="AEC23">
        <f ca="1">+Tabla57891415163435363738394041424344454647484950515253556062[[#This Row],[Total]]*Tabla57891415163435363738394041424344454647484950515253556062[[#This Row],[Recuento]]</f>
        <v>0</v>
      </c>
      <c r="AED23" s="36"/>
      <c r="AEE23" s="26"/>
      <c r="AEF23"/>
      <c r="AEG23"/>
      <c r="AEH23"/>
      <c r="AEI23"/>
      <c r="AEJ23"/>
      <c r="AEK23" s="35"/>
      <c r="AEL23" s="35"/>
      <c r="AEM23" t="s">
        <v>1522</v>
      </c>
      <c r="AEN23" t="s">
        <v>1523</v>
      </c>
      <c r="AEO23" t="s">
        <v>453</v>
      </c>
      <c r="AEP23">
        <v>2.83</v>
      </c>
      <c r="AEQ23">
        <v>1</v>
      </c>
      <c r="AER23">
        <f ca="1">+Tabla5789141516343536373839404142434445464748495051525355606264[[#This Row],[G. Total]]*Tabla5789141516343536373839404142434445464748495051525355606264[[#This Row],[Recuento]]</f>
        <v>2.83</v>
      </c>
      <c r="AES23" s="36"/>
      <c r="AET23" s="26"/>
      <c r="AEU23"/>
      <c r="AEV23"/>
      <c r="AEW23"/>
      <c r="AEX23"/>
      <c r="AEY23"/>
      <c r="AEZ23" s="35"/>
      <c r="AFA23" s="26"/>
      <c r="AFB23"/>
      <c r="AFC23"/>
      <c r="AFD23"/>
      <c r="AFE23"/>
      <c r="AFF23"/>
      <c r="AFG23"/>
      <c r="AFH23"/>
      <c r="AFI23"/>
      <c r="AFJ23"/>
      <c r="AFK23"/>
      <c r="AFL23"/>
      <c r="AFM23">
        <f ca="1">+Tabla578914151634353637383940414243444546474849505152535560626467[[#This Row],[G. Total]]*Tabla578914151634353637383940414243444546474849505152535560626467[[#This Row],[Recuento]]</f>
        <v>0</v>
      </c>
      <c r="AFN23" s="35"/>
      <c r="AFO23" s="26"/>
      <c r="AFP23" s="2" t="s">
        <v>108</v>
      </c>
      <c r="AFQ23" s="2">
        <f>240*2</f>
        <v>480</v>
      </c>
      <c r="AFR23" s="2">
        <f>0.12*3</f>
        <v>0.36</v>
      </c>
      <c r="AFS23" s="2">
        <f>+AFR23*AFQ23</f>
        <v>172.79999999999998</v>
      </c>
      <c r="AFT23" s="2">
        <v>2</v>
      </c>
      <c r="AFU23" s="2">
        <f>+AFT23*AFQ23</f>
        <v>960</v>
      </c>
      <c r="AFW23" s="2" t="s">
        <v>108</v>
      </c>
      <c r="AFX23" s="2">
        <v>99</v>
      </c>
      <c r="AFY23" s="2">
        <f>0.12*3</f>
        <v>0.36</v>
      </c>
      <c r="AFZ23" s="2">
        <f>+AFY23*AFX23</f>
        <v>35.64</v>
      </c>
      <c r="AGA23" s="2">
        <v>2</v>
      </c>
      <c r="AGB23" s="2">
        <f>+AGA23*AFX23</f>
        <v>198</v>
      </c>
    </row>
    <row r="24" spans="1:860" ht="15" customHeight="1" x14ac:dyDescent="0.25">
      <c r="A24">
        <v>1</v>
      </c>
      <c r="B24" t="s">
        <v>1863</v>
      </c>
      <c r="C24" t="s">
        <v>1225</v>
      </c>
      <c r="D24" t="s">
        <v>1550</v>
      </c>
      <c r="E24">
        <v>0.22</v>
      </c>
      <c r="F24">
        <v>3.61</v>
      </c>
      <c r="G24"/>
      <c r="H24">
        <f>+Tabla3[[#This Row],[Volúmen neto]]*A24</f>
        <v>0.22</v>
      </c>
      <c r="I24">
        <f>+Tabla3[[#This Row],[Longitud de eje]]*A24</f>
        <v>3.61</v>
      </c>
      <c r="J24"/>
      <c r="K24"/>
      <c r="L24"/>
      <c r="M24"/>
      <c r="N24"/>
      <c r="O24"/>
      <c r="P24"/>
      <c r="Q24"/>
      <c r="R24">
        <f>+Tabla5[[#This Row],[Recuento]]*Tabla5[[#This Row],[Volúmen bruto]]</f>
        <v>0</v>
      </c>
      <c r="S24">
        <f>+Tabla5[[#This Row],[Recuento]]*Tabla5[[#This Row],[Área neta]]</f>
        <v>0</v>
      </c>
      <c r="T24">
        <f>+Tabla5[[#This Row],[Longitud nominal]]*Tabla5[[#This Row],[Recuento]]</f>
        <v>0</v>
      </c>
      <c r="U24" s="26"/>
      <c r="V24"/>
      <c r="W24"/>
      <c r="X24"/>
      <c r="Y24"/>
      <c r="Z24"/>
      <c r="AA24"/>
      <c r="AB24"/>
      <c r="AC24"/>
      <c r="AD24"/>
      <c r="AE24"/>
      <c r="AF24"/>
      <c r="AG24" s="26">
        <f t="shared" si="4"/>
        <v>0</v>
      </c>
      <c r="AH24"/>
      <c r="AI24"/>
      <c r="AJ24"/>
      <c r="AK24"/>
      <c r="AL24"/>
      <c r="AM24"/>
      <c r="AN24"/>
      <c r="AO24"/>
      <c r="AP24"/>
      <c r="AQ24"/>
      <c r="AR24"/>
      <c r="AS24" s="26">
        <f t="shared" si="5"/>
        <v>0</v>
      </c>
      <c r="AT24"/>
      <c r="AU24"/>
      <c r="AV24"/>
      <c r="AW24"/>
      <c r="AX24"/>
      <c r="AY24"/>
      <c r="AZ24"/>
      <c r="BA24"/>
      <c r="BB24"/>
      <c r="BC24"/>
      <c r="BD24"/>
      <c r="BE24" s="26">
        <f t="shared" si="6"/>
        <v>0</v>
      </c>
      <c r="BF24">
        <v>1</v>
      </c>
      <c r="BG24" t="s">
        <v>1862</v>
      </c>
      <c r="BH24" t="s">
        <v>1524</v>
      </c>
      <c r="BI24" t="s">
        <v>1406</v>
      </c>
      <c r="BJ24">
        <v>13</v>
      </c>
      <c r="BK24">
        <v>13.5</v>
      </c>
      <c r="BL24">
        <f>+Tabla3102[[#This Row],[En culmo]]*BF24</f>
        <v>13.5</v>
      </c>
      <c r="BM24"/>
      <c r="BN24"/>
      <c r="BO24"/>
      <c r="BP24"/>
      <c r="BQ24"/>
      <c r="BR24"/>
      <c r="BS24"/>
      <c r="BT24">
        <f>+Tabla31069[[#This Row],[En culmo]]*BN24</f>
        <v>0</v>
      </c>
      <c r="BU24"/>
      <c r="BV24">
        <v>1</v>
      </c>
      <c r="BW24" t="s">
        <v>1862</v>
      </c>
      <c r="BX24" t="s">
        <v>1525</v>
      </c>
      <c r="BY24" t="s">
        <v>1406</v>
      </c>
      <c r="BZ24">
        <v>4.25</v>
      </c>
      <c r="CA24">
        <v>4.5</v>
      </c>
      <c r="CB24">
        <f>+Tabla31011[[#This Row],[En culmo]]*BV24</f>
        <v>4.5</v>
      </c>
      <c r="CD24">
        <v>4</v>
      </c>
      <c r="CE24" t="s">
        <v>1862</v>
      </c>
      <c r="CF24" t="s">
        <v>1525</v>
      </c>
      <c r="CG24" t="s">
        <v>1405</v>
      </c>
      <c r="CH24">
        <v>1.45</v>
      </c>
      <c r="CI24">
        <v>2</v>
      </c>
      <c r="CJ24">
        <f>+Tabla3101170[[#This Row],[En culmo]]*CD24</f>
        <v>8</v>
      </c>
      <c r="CK24"/>
      <c r="CR24">
        <f>+Tabla31011116[[#This Row],[En culmo]]*CT24</f>
        <v>0</v>
      </c>
      <c r="CT24">
        <v>4</v>
      </c>
      <c r="CU24" t="s">
        <v>1862</v>
      </c>
      <c r="CV24" t="s">
        <v>1383</v>
      </c>
      <c r="CW24" t="s">
        <v>1405</v>
      </c>
      <c r="CX24">
        <v>1.08</v>
      </c>
      <c r="CY24">
        <v>2.5</v>
      </c>
      <c r="CZ24">
        <f>+Tabla3101170117[[#This Row],[En culmo]]*CT24</f>
        <v>10</v>
      </c>
      <c r="DA24"/>
      <c r="DB24">
        <v>2</v>
      </c>
      <c r="DC24" t="s">
        <v>1862</v>
      </c>
      <c r="DD24" t="s">
        <v>1383</v>
      </c>
      <c r="DE24" t="s">
        <v>1723</v>
      </c>
      <c r="DF24">
        <v>0.55000000000000004</v>
      </c>
      <c r="DG24">
        <f>+Tabla31011704[[#This Row],[Longitud de eje]]*DB24</f>
        <v>1.1000000000000001</v>
      </c>
      <c r="DH24"/>
      <c r="DI24"/>
      <c r="DJ24"/>
      <c r="DK24"/>
      <c r="DL24"/>
      <c r="DM24"/>
      <c r="DN24">
        <f>+Tabla3101170411[[#This Row],[Longitud de eje]]*DI24</f>
        <v>0</v>
      </c>
      <c r="DO24"/>
      <c r="DP24"/>
      <c r="DQ24"/>
      <c r="DR24"/>
      <c r="DS24"/>
      <c r="DT24"/>
      <c r="DU24">
        <f>+Tabla3101170411120[[#This Row],[Longitud de eje]]*DP24</f>
        <v>0</v>
      </c>
      <c r="DV24"/>
      <c r="DW24"/>
      <c r="DX24"/>
      <c r="DY24"/>
      <c r="DZ24"/>
      <c r="EA24"/>
      <c r="EB24">
        <f>+Tabla3101170411120122[[#This Row],[Longitud de eje]]*DW24</f>
        <v>0</v>
      </c>
      <c r="EC24"/>
      <c r="ED24">
        <v>3</v>
      </c>
      <c r="EE24" t="s">
        <v>1862</v>
      </c>
      <c r="EF24" t="s">
        <v>1524</v>
      </c>
      <c r="EG24" t="s">
        <v>1406</v>
      </c>
      <c r="EH24">
        <v>2.91</v>
      </c>
      <c r="EI24">
        <v>3.5</v>
      </c>
      <c r="EJ24">
        <f>+Tabla3101112[[#This Row],[En culmo]]*ED24</f>
        <v>10.5</v>
      </c>
      <c r="EK24"/>
      <c r="EL24"/>
      <c r="EM24"/>
      <c r="EN24"/>
      <c r="EO24"/>
      <c r="EP24"/>
      <c r="EQ24"/>
      <c r="ER24">
        <f>+Tabla3101112123[[#This Row],[En culmo]]*EL24</f>
        <v>0</v>
      </c>
      <c r="ES24"/>
      <c r="ET24">
        <v>2</v>
      </c>
      <c r="EU24" t="s">
        <v>1862</v>
      </c>
      <c r="EV24" t="s">
        <v>1525</v>
      </c>
      <c r="EW24" t="s">
        <v>1406</v>
      </c>
      <c r="EX24">
        <v>1.29</v>
      </c>
      <c r="EY24">
        <v>1.5</v>
      </c>
      <c r="EZ24">
        <f>+Tabla310111257[[#This Row],[En culmo]]*ET24</f>
        <v>3</v>
      </c>
      <c r="FA24"/>
      <c r="FB24"/>
      <c r="FC24"/>
      <c r="FD24"/>
      <c r="FE24"/>
      <c r="FF24"/>
      <c r="FG24">
        <v>1.5</v>
      </c>
      <c r="FH24">
        <f>+Tabla310111257124[[#This Row],[En culmo]]*FB24</f>
        <v>0</v>
      </c>
      <c r="FI24"/>
      <c r="FK24"/>
      <c r="FL24"/>
      <c r="FM24"/>
      <c r="FN24"/>
      <c r="FO24"/>
      <c r="FP24"/>
      <c r="FQ24"/>
      <c r="FS24"/>
      <c r="FT24"/>
      <c r="FU24"/>
      <c r="FV24"/>
      <c r="FW24"/>
      <c r="FX24"/>
      <c r="FY24"/>
      <c r="FZ24">
        <v>1</v>
      </c>
      <c r="GA24" t="s">
        <v>1862</v>
      </c>
      <c r="GB24" t="s">
        <v>1524</v>
      </c>
      <c r="GC24" t="s">
        <v>1584</v>
      </c>
      <c r="GD24">
        <v>0.11</v>
      </c>
      <c r="GE24">
        <v>2.67</v>
      </c>
      <c r="GF24">
        <f>+Tabla3101112131157[[#This Row],[Volúmen]]*FZ24</f>
        <v>0.11</v>
      </c>
      <c r="GG24">
        <f>+Tabla3101112131157[[#This Row],[Longitud del eje]]*FZ24</f>
        <v>2.67</v>
      </c>
      <c r="GI24"/>
      <c r="GJ24"/>
      <c r="GK24"/>
      <c r="GL24"/>
      <c r="GM24"/>
      <c r="GN24"/>
      <c r="GO24"/>
      <c r="GQ24" t="s">
        <v>1862</v>
      </c>
      <c r="GR24" t="s">
        <v>1383</v>
      </c>
      <c r="GS24" t="s">
        <v>1667</v>
      </c>
      <c r="GT24">
        <v>1.78</v>
      </c>
      <c r="GU24">
        <v>19.760000000000002</v>
      </c>
      <c r="GV24">
        <v>1</v>
      </c>
      <c r="GW24">
        <f>+Tabla578914[[#This Row],[Recuento]]*Tabla578914[[#This Row],[Volúmen bruto]]</f>
        <v>1.78</v>
      </c>
      <c r="GX24">
        <f>+Tabla578914[[#This Row],[Recuento]]*Tabla578914[[#This Row],[Área neta]]</f>
        <v>19.760000000000002</v>
      </c>
      <c r="GY24" s="36"/>
      <c r="HA24" t="s">
        <v>1862</v>
      </c>
      <c r="HB24" t="s">
        <v>1383</v>
      </c>
      <c r="HC24" t="s">
        <v>1667</v>
      </c>
      <c r="HD24">
        <v>0.9</v>
      </c>
      <c r="HE24">
        <v>9.9700000000000006</v>
      </c>
      <c r="HF24">
        <v>1</v>
      </c>
      <c r="HG24">
        <f>+Tabla578914126[[#This Row],[Recuento]]*Tabla578914126[[#This Row],[Volúmen bruto]]</f>
        <v>0.9</v>
      </c>
      <c r="HH24">
        <f>+Tabla578914126[[#This Row],[Recuento]]*Tabla578914126[[#This Row],[Área neta]]</f>
        <v>9.9700000000000006</v>
      </c>
      <c r="HI24" s="36"/>
      <c r="HK24"/>
      <c r="HL24"/>
      <c r="HM24"/>
      <c r="HN24"/>
      <c r="HO24"/>
      <c r="HP24"/>
      <c r="HQ24">
        <f>+Tabla578914126127[[#This Row],[Recuento]]*Tabla578914126127[[#This Row],[Volúmen bruto]]</f>
        <v>0</v>
      </c>
      <c r="HR24">
        <f>+Tabla578914126127[[#This Row],[Recuento]]*Tabla578914126127[[#This Row],[Área neta]]</f>
        <v>0</v>
      </c>
      <c r="HS24" s="36"/>
      <c r="HT24" s="26"/>
      <c r="HU24"/>
      <c r="HV24"/>
      <c r="HW24"/>
      <c r="HX24"/>
      <c r="HY24"/>
      <c r="HZ24"/>
      <c r="IA24"/>
      <c r="IB24"/>
      <c r="IC24" s="36"/>
      <c r="ID24" s="26"/>
      <c r="IE24"/>
      <c r="IF24"/>
      <c r="IG24"/>
      <c r="IH24"/>
      <c r="II24"/>
      <c r="IJ24"/>
      <c r="IK24"/>
      <c r="IL24"/>
      <c r="IM24" s="36"/>
      <c r="IN24" s="26"/>
      <c r="IO24"/>
      <c r="IP24"/>
      <c r="IQ24"/>
      <c r="IR24"/>
      <c r="IS24"/>
      <c r="IT24"/>
      <c r="IU24"/>
      <c r="IV24">
        <f>+Tabla520212223[[#This Row],[Recuento]]*Tabla520212223[[#This Row],[Área neta]]</f>
        <v>0</v>
      </c>
      <c r="IW24" s="26">
        <f t="shared" si="0"/>
        <v>0</v>
      </c>
      <c r="IY24"/>
      <c r="IZ24"/>
      <c r="JA24"/>
      <c r="JB24"/>
      <c r="JC24"/>
      <c r="JD24"/>
      <c r="JE24">
        <f>+Tabla520212224[[#This Row],[Recuento]]*Tabla520212224[[#This Row],[Volúmen bruto]]</f>
        <v>0</v>
      </c>
      <c r="JF24">
        <f>+Tabla520212224[[#This Row],[Recuento]]*Tabla520212224[[#This Row],[Área neta]]</f>
        <v>0</v>
      </c>
      <c r="JG24" s="26"/>
      <c r="JI24" t="s">
        <v>1862</v>
      </c>
      <c r="JJ24" t="s">
        <v>1524</v>
      </c>
      <c r="JK24" t="s">
        <v>98</v>
      </c>
      <c r="JL24">
        <v>0</v>
      </c>
      <c r="JM24">
        <v>2.2999999999999998</v>
      </c>
      <c r="JN24">
        <v>1</v>
      </c>
      <c r="JO24">
        <f>+Tabla52021222425[[#This Row],[Recuento]]*Tabla52021222425[[#This Row],[Volúmen bruto]]</f>
        <v>0</v>
      </c>
      <c r="JP24">
        <f>+Tabla52021222425[[#This Row],[Recuento]]*Tabla52021222425[[#This Row],[Área neta]]</f>
        <v>2.2999999999999998</v>
      </c>
      <c r="JQ24" s="26"/>
      <c r="JS24" t="s">
        <v>1862</v>
      </c>
      <c r="JT24" t="s">
        <v>1524</v>
      </c>
      <c r="JU24" t="s">
        <v>1677</v>
      </c>
      <c r="JV24">
        <v>0</v>
      </c>
      <c r="JW24">
        <v>0.39</v>
      </c>
      <c r="JX24">
        <v>1</v>
      </c>
      <c r="JY24">
        <f>+Tabla5202122242526[[#This Row],[Recuento]]*Tabla5202122242526[[#This Row],[Volúmen bruto]]</f>
        <v>0</v>
      </c>
      <c r="JZ24">
        <f>+Tabla5202122242526[[#This Row],[Recuento]]*Tabla5202122242526[[#This Row],[Área neta]]</f>
        <v>0.39</v>
      </c>
      <c r="KA24" s="26"/>
      <c r="KC24"/>
      <c r="KD24"/>
      <c r="KE24"/>
      <c r="KF24"/>
      <c r="KG24"/>
      <c r="KH24"/>
      <c r="KI24">
        <f>+Tabla5202122242526104[[#This Row],[Recuento]]*Tabla5202122242526104[[#This Row],[Volúmen bruto]]</f>
        <v>0</v>
      </c>
      <c r="KJ24">
        <f>+Tabla5202122242526104[[#This Row],[Recuento]]*Tabla5202122242526104[[#This Row],[Área neta]]</f>
        <v>0</v>
      </c>
      <c r="KK24" s="26"/>
      <c r="KM24" t="s">
        <v>1862</v>
      </c>
      <c r="KN24" t="s">
        <v>1525</v>
      </c>
      <c r="KO24" t="s">
        <v>97</v>
      </c>
      <c r="KP24">
        <v>7.0000000000000007E-2</v>
      </c>
      <c r="KQ24">
        <v>1.54</v>
      </c>
      <c r="KR24">
        <v>1</v>
      </c>
      <c r="KS24">
        <f>+Tabla5202122242526104110[[#This Row],[Recuento]]*Tabla5202122242526104110[[#This Row],[Volúmen bruto]]</f>
        <v>7.0000000000000007E-2</v>
      </c>
      <c r="KT24">
        <f>+Tabla5202122242526104110[[#This Row],[Recuento]]*Tabla5202122242526104110[[#This Row],[Área neta]]</f>
        <v>1.54</v>
      </c>
      <c r="KU24" s="26"/>
      <c r="KW24"/>
      <c r="KX24"/>
      <c r="KY24"/>
      <c r="KZ24"/>
      <c r="LA24"/>
      <c r="LB24"/>
      <c r="LC24">
        <f>+Tabla520212224252659[[#This Row],[Recuento]]*Tabla520212224252659[[#This Row],[Volúmen bruto]]</f>
        <v>0</v>
      </c>
      <c r="LD24">
        <f>+Tabla520212224252659[[#This Row],[Recuento]]*Tabla520212224252659[[#This Row],[Área neta]]</f>
        <v>0</v>
      </c>
      <c r="LE24" s="26"/>
      <c r="LG24"/>
      <c r="LH24"/>
      <c r="LI24"/>
      <c r="LJ24"/>
      <c r="LK24"/>
      <c r="LL24"/>
      <c r="LM24">
        <f>+Tabla520212224252659111[[#This Row],[Recuento]]*Tabla520212224252659111[[#This Row],[Volúmen bruto]]</f>
        <v>0</v>
      </c>
      <c r="LN24">
        <f>+Tabla520212224252659111[[#This Row],[Recuento]]*Tabla520212224252659111[[#This Row],[Área neta]]</f>
        <v>0</v>
      </c>
      <c r="LO24" s="26"/>
      <c r="LQ24"/>
      <c r="LR24"/>
      <c r="LS24"/>
      <c r="LT24"/>
      <c r="LU24"/>
      <c r="LV24"/>
      <c r="LW24">
        <f>+Tabla520212224252659111114[[#This Row],[Recuento]]*Tabla520212224252659111114[[#This Row],[Volúmen bruto]]</f>
        <v>0</v>
      </c>
      <c r="LX24">
        <f>+Tabla520212224252659111114[[#This Row],[Recuento]]*Tabla520212224252659111114[[#This Row],[Área neta]]</f>
        <v>0</v>
      </c>
      <c r="LY24" s="26"/>
      <c r="MA24" t="s">
        <v>1862</v>
      </c>
      <c r="MB24" t="s">
        <v>1525</v>
      </c>
      <c r="MC24" t="s">
        <v>97</v>
      </c>
      <c r="MD24">
        <v>7.0000000000000007E-2</v>
      </c>
      <c r="ME24">
        <v>6.19</v>
      </c>
      <c r="MF24">
        <v>1</v>
      </c>
      <c r="MG24">
        <f>+Tabla520212224252659111114128[[#This Row],[Recuento]]*Tabla520212224252659111114128[[#This Row],[Volúmen bruto]]</f>
        <v>7.0000000000000007E-2</v>
      </c>
      <c r="MH24">
        <f>+Tabla520212224252659111114128[[#This Row],[Recuento]]*Tabla520212224252659111114128[[#This Row],[Área neta]]</f>
        <v>6.19</v>
      </c>
      <c r="MI24" s="26"/>
      <c r="MK24"/>
      <c r="ML24"/>
      <c r="MM24"/>
      <c r="MN24"/>
      <c r="MO24"/>
      <c r="MP24"/>
      <c r="MQ24">
        <f>+Tabla520212224252627[[#This Row],[Recuento]]*Tabla520212224252627[[#This Row],[Volúmen bruto]]</f>
        <v>0</v>
      </c>
      <c r="MR24">
        <f>+Tabla520212224252627[[#This Row],[Recuento]]*Tabla520212224252627[[#This Row],[Área neta]]</f>
        <v>0</v>
      </c>
      <c r="MS24" s="26"/>
      <c r="MU24"/>
      <c r="MV24"/>
      <c r="MW24"/>
      <c r="MX24"/>
      <c r="MY24"/>
      <c r="MZ24"/>
      <c r="NA24">
        <f>+Tabla520212224252627129[[#This Row],[Recuento]]*Tabla520212224252627129[[#This Row],[Volúmen bruto]]</f>
        <v>0</v>
      </c>
      <c r="NB24">
        <f>+Tabla520212224252627129[[#This Row],[Recuento]]*Tabla520212224252627129[[#This Row],[Área neta]]</f>
        <v>0</v>
      </c>
      <c r="NC24" s="26"/>
      <c r="NE24"/>
      <c r="NF24"/>
      <c r="NG24"/>
      <c r="NH24"/>
      <c r="NI24"/>
      <c r="NJ24"/>
      <c r="NK24">
        <f>+Tabla520212224252627129125[[#This Row],[Recuento]]*Tabla520212224252627129125[[#This Row],[Volúmen bruto]]</f>
        <v>0</v>
      </c>
      <c r="NL24">
        <f>+Tabla520212224252627129125[[#This Row],[Recuento]]*Tabla520212224252627129125[[#This Row],[Área neta]]</f>
        <v>0</v>
      </c>
      <c r="NM24" s="26"/>
      <c r="NO24" t="s">
        <v>1549</v>
      </c>
      <c r="NP24" t="s">
        <v>1525</v>
      </c>
      <c r="NQ24" t="s">
        <v>1676</v>
      </c>
      <c r="NR24">
        <v>7.0000000000000007E-2</v>
      </c>
      <c r="NS24">
        <v>0.56000000000000005</v>
      </c>
      <c r="NT24">
        <v>1</v>
      </c>
      <c r="NU24">
        <f>+Tabla520212224252627129125130[[#This Row],[Recuento]]*Tabla520212224252627129125130[[#This Row],[Volúmen bruto]]</f>
        <v>7.0000000000000007E-2</v>
      </c>
      <c r="NV24">
        <f>+Tabla520212224252627129125130[[#This Row],[Recuento]]*Tabla520212224252627129125130[[#This Row],[Área neta]]</f>
        <v>0.56000000000000005</v>
      </c>
      <c r="NW24" s="26"/>
      <c r="NY24"/>
      <c r="NZ24"/>
      <c r="OA24"/>
      <c r="OB24"/>
      <c r="OC24"/>
      <c r="OD24"/>
      <c r="OE24">
        <f>+Tabla520212224252627129125130131[[#This Row],[Recuento]]*Tabla520212224252627129125130131[[#This Row],[Volúmen bruto]]</f>
        <v>0</v>
      </c>
      <c r="OF24">
        <f>+Tabla520212224252627129125130131[[#This Row],[Recuento]]*Tabla520212224252627129125130131[[#This Row],[Área neta]]</f>
        <v>0</v>
      </c>
      <c r="OG24" s="26"/>
      <c r="OI24"/>
      <c r="OJ24"/>
      <c r="OK24"/>
      <c r="OL24"/>
      <c r="OM24"/>
      <c r="ON24"/>
      <c r="OO24">
        <f>+Tabla520212224252627129125130131132[[#This Row],[Recuento]]*Tabla520212224252627129125130131132[[#This Row],[Volúmen bruto]]</f>
        <v>0</v>
      </c>
      <c r="OP24">
        <f>+Tabla520212224252627129125130131132[[#This Row],[Recuento]]*Tabla520212224252627129125130131132[[#This Row],[Área neta]]</f>
        <v>0</v>
      </c>
      <c r="OQ24" s="26"/>
      <c r="OS24"/>
      <c r="OT24"/>
      <c r="OU24"/>
      <c r="OV24"/>
      <c r="OW24"/>
      <c r="OX24"/>
      <c r="OY24">
        <f>+Tabla52021222425262728[[#This Row],[Recuento]]*Tabla52021222425262728[[#This Row],[Volúmen bruto]]</f>
        <v>0</v>
      </c>
      <c r="OZ24">
        <f>+Tabla52021222425262728[[#This Row],[Recuento]]*Tabla52021222425262728[[#This Row],[Área neta]]</f>
        <v>0</v>
      </c>
      <c r="PA24" s="26"/>
      <c r="PC24" t="s">
        <v>1862</v>
      </c>
      <c r="PD24" t="s">
        <v>1525</v>
      </c>
      <c r="PE24" t="s">
        <v>1628</v>
      </c>
      <c r="PF24">
        <v>0.02</v>
      </c>
      <c r="PG24">
        <v>0.83</v>
      </c>
      <c r="PH24">
        <v>1</v>
      </c>
      <c r="PI24">
        <f>+Tabla52021222425262728133[[#This Row],[Recuento]]*Tabla52021222425262728133[[#This Row],[Volúmen bruto]]</f>
        <v>0.02</v>
      </c>
      <c r="PJ24">
        <f>+Tabla52021222425262728133[[#This Row],[Recuento]]*Tabla52021222425262728133[[#This Row],[Área neta]]</f>
        <v>0.83</v>
      </c>
      <c r="PK24" s="26"/>
      <c r="PM24"/>
      <c r="PN24"/>
      <c r="PO24"/>
      <c r="PP24"/>
      <c r="PQ24"/>
      <c r="PR24"/>
      <c r="PS24">
        <f>+Tabla5202122242526272893[[#This Row],[Recuento]]*Tabla5202122242526272893[[#This Row],[Volúmen bruto]]</f>
        <v>0</v>
      </c>
      <c r="PT24">
        <f>+Tabla5202122242526272893[[#This Row],[Recuento]]*Tabla5202122242526272893[[#This Row],[Área neta]]</f>
        <v>0</v>
      </c>
      <c r="PU24" s="26"/>
      <c r="PW24" t="s">
        <v>1862</v>
      </c>
      <c r="PX24" t="s">
        <v>1525</v>
      </c>
      <c r="PY24" t="s">
        <v>97</v>
      </c>
      <c r="PZ24">
        <v>0.02</v>
      </c>
      <c r="QA24">
        <v>1.1000000000000001</v>
      </c>
      <c r="QB24">
        <v>1</v>
      </c>
      <c r="QC24">
        <f>+Tabla520212224252627289349[[#This Row],[Recuento]]*Tabla520212224252627289349[[#This Row],[Volúmen bruto]]</f>
        <v>0.02</v>
      </c>
      <c r="QD24">
        <f>+Tabla520212224252627289349[[#This Row],[Recuento]]*Tabla520212224252627289349[[#This Row],[Área neta]]</f>
        <v>1.1000000000000001</v>
      </c>
      <c r="QE24" s="26"/>
      <c r="QG24"/>
      <c r="QH24"/>
      <c r="QI24"/>
      <c r="QJ24"/>
      <c r="QK24"/>
      <c r="QL24"/>
      <c r="QM24">
        <f>+Tabla520212224252627289349134[[#This Row],[Recuento]]*Tabla520212224252627289349134[[#This Row],[Volúmen bruto]]</f>
        <v>0</v>
      </c>
      <c r="QN24">
        <f>+Tabla520212224252627289349134[[#This Row],[Recuento]]*Tabla520212224252627289349134[[#This Row],[Área neta]]</f>
        <v>0</v>
      </c>
      <c r="QO24" s="26"/>
      <c r="QQ24" t="s">
        <v>1862</v>
      </c>
      <c r="QR24" t="s">
        <v>1524</v>
      </c>
      <c r="QS24" t="s">
        <v>1726</v>
      </c>
      <c r="QT24">
        <v>0.72</v>
      </c>
      <c r="QU24">
        <v>3.58</v>
      </c>
      <c r="QV24">
        <v>1</v>
      </c>
      <c r="QW24">
        <v>1</v>
      </c>
      <c r="QX24">
        <f>+Tabla5202122242526272829[[#This Row],[Recuento]]*Tabla5202122242526272829[[#This Row],[Volúmen bruto]]</f>
        <v>0.72</v>
      </c>
      <c r="QY24">
        <f>+Tabla5202122242526272829[[#This Row],[Recuento]]*Tabla5202122242526272829[[#This Row],[Área neta]]</f>
        <v>3.58</v>
      </c>
      <c r="QZ24">
        <f>+Tabla5202122242526272829[[#This Row],[Recuento]]*Tabla5202122242526272829[[#This Row],[Longitud]]</f>
        <v>1</v>
      </c>
      <c r="RA24" s="26"/>
      <c r="RC24"/>
      <c r="RD24"/>
      <c r="RE24"/>
      <c r="RF24"/>
      <c r="RG24"/>
      <c r="RH24"/>
      <c r="RI24"/>
      <c r="RJ24"/>
      <c r="RK24" s="26"/>
      <c r="RM24"/>
      <c r="RN24"/>
      <c r="RO24"/>
      <c r="RP24"/>
      <c r="RQ24"/>
      <c r="RR24"/>
      <c r="RS24"/>
      <c r="RT24"/>
      <c r="RU24" s="26">
        <f t="shared" si="7"/>
        <v>0</v>
      </c>
      <c r="RW24"/>
      <c r="RX24"/>
      <c r="RY24"/>
      <c r="RZ24"/>
      <c r="SA24"/>
      <c r="SB24"/>
      <c r="SC24"/>
      <c r="SD24"/>
      <c r="SE24" s="26"/>
      <c r="SG24"/>
      <c r="SH24"/>
      <c r="SI24"/>
      <c r="SJ24"/>
      <c r="SK24"/>
      <c r="SL24"/>
      <c r="SM24">
        <f>+Tabla5202122242526272831323314[[#This Row],[Recuento]]*Tabla5202122242526272831323314[[#This Row],[Volúmen bruto]]</f>
        <v>0</v>
      </c>
      <c r="SN24">
        <f>+Tabla5202122242526272831323314[[#This Row],[Recuento]]*Tabla5202122242526272831323314[[#This Row],[Área neta]]</f>
        <v>0</v>
      </c>
      <c r="SO24" s="26"/>
      <c r="SQ24" t="s">
        <v>1862</v>
      </c>
      <c r="SR24" t="s">
        <v>1524</v>
      </c>
      <c r="SS24" t="s">
        <v>1627</v>
      </c>
      <c r="ST24">
        <v>1.75</v>
      </c>
      <c r="SU24">
        <v>8.73</v>
      </c>
      <c r="SV24">
        <v>1</v>
      </c>
      <c r="SW24" s="34">
        <f>+Tabla5789141516[[#This Row],[Recuento]]*Tabla5789141516[[#This Row],[Volúmen bruto]]</f>
        <v>1.75</v>
      </c>
      <c r="SX24" s="34">
        <f>+Tabla5789141516[[#This Row],[Recuento]]*Tabla5789141516[[#This Row],[Área neta]]</f>
        <v>8.73</v>
      </c>
      <c r="SY24" s="170"/>
      <c r="SZ24" s="26"/>
      <c r="TA24"/>
      <c r="TB24"/>
      <c r="TC24"/>
      <c r="TD24"/>
      <c r="TE24"/>
      <c r="TF24"/>
      <c r="TG24"/>
      <c r="TH24"/>
      <c r="TI24" s="36">
        <f t="shared" si="8"/>
        <v>0</v>
      </c>
      <c r="TJ24" s="26"/>
      <c r="TK24"/>
      <c r="TL24"/>
      <c r="TM24"/>
      <c r="TN24"/>
      <c r="TO24"/>
      <c r="TP24"/>
      <c r="TQ24" s="34">
        <f>+Tabla57891415163435[[#This Row],[Recuento]]*Tabla57891415163435[[#This Row],[Volúmen bruto]]</f>
        <v>0</v>
      </c>
      <c r="TR24" s="34">
        <f>+Tabla57891415163435[[#This Row],[Recuento]]*Tabla57891415163435[[#This Row],[Área neta]]</f>
        <v>0</v>
      </c>
      <c r="TS24" s="36">
        <f t="shared" ref="TS24:TS51" si="9">+SUM(TN24:TN25)</f>
        <v>0</v>
      </c>
      <c r="TT24" s="26"/>
      <c r="TU24"/>
      <c r="TV24"/>
      <c r="TW24"/>
      <c r="TX24"/>
      <c r="TY24"/>
      <c r="TZ24"/>
      <c r="UA24"/>
      <c r="UB24"/>
      <c r="UC24" s="36">
        <f t="shared" ref="UC24:UC51" si="10">+SUM(TX24:TX25)</f>
        <v>0</v>
      </c>
      <c r="UD24" s="26"/>
      <c r="UE24"/>
      <c r="UF24"/>
      <c r="UG24"/>
      <c r="UH24"/>
      <c r="UI24"/>
      <c r="UJ24"/>
      <c r="UK24"/>
      <c r="UL24"/>
      <c r="UM24" s="36">
        <f t="shared" ref="UM24:UM51" si="11">+SUM(UH24:UH25)</f>
        <v>0</v>
      </c>
      <c r="UN24" s="26"/>
      <c r="UO24"/>
      <c r="UP24"/>
      <c r="UQ24"/>
      <c r="UR24"/>
      <c r="US24"/>
      <c r="UT24"/>
      <c r="UU24"/>
      <c r="UV24"/>
      <c r="UW24" s="36">
        <f t="shared" ref="UW24:UW51" si="12">+SUM(UR24:UR25)</f>
        <v>0</v>
      </c>
      <c r="UX24" s="26"/>
      <c r="UY24"/>
      <c r="UZ24"/>
      <c r="VA24"/>
      <c r="VB24"/>
      <c r="VC24"/>
      <c r="VD24"/>
      <c r="VE24"/>
      <c r="VF24"/>
      <c r="VG24" s="36">
        <f t="shared" ref="VG24:VG51" si="13">+SUM(VB24:VB25)</f>
        <v>0</v>
      </c>
      <c r="VH24" s="26"/>
      <c r="VI24"/>
      <c r="VJ24"/>
      <c r="VK24"/>
      <c r="VL24"/>
      <c r="VM24"/>
      <c r="VN24"/>
      <c r="VO24"/>
      <c r="VP24"/>
      <c r="VQ24" s="36">
        <f t="shared" ref="VQ24:VQ51" si="14">+SUM(VL24:VL25)</f>
        <v>0</v>
      </c>
      <c r="VR24" s="26"/>
      <c r="VS24"/>
      <c r="VT24"/>
      <c r="VU24"/>
      <c r="VV24"/>
      <c r="VW24"/>
      <c r="VX24"/>
      <c r="VY24"/>
      <c r="VZ24"/>
      <c r="WA24" s="36">
        <f t="shared" ref="WA24:WA51" si="15">+SUM(VV24:VV25)</f>
        <v>0</v>
      </c>
      <c r="WB24" s="26"/>
      <c r="WC24"/>
      <c r="WD24"/>
      <c r="WE24"/>
      <c r="WF24"/>
      <c r="WG24"/>
      <c r="WH24"/>
      <c r="WI24"/>
      <c r="WJ24"/>
      <c r="WK24" s="36">
        <f t="shared" ref="WK24:WK51" si="16">+SUM(WF24:WF25)</f>
        <v>0</v>
      </c>
      <c r="WL24" s="26"/>
      <c r="WM24"/>
      <c r="WN24"/>
      <c r="WO24"/>
      <c r="WP24"/>
      <c r="WQ24"/>
      <c r="WR24"/>
      <c r="WS24"/>
      <c r="WT24"/>
      <c r="WU24" s="36">
        <f t="shared" ref="WU24:WU51" si="17">+SUM(WP24:WP25)</f>
        <v>0</v>
      </c>
      <c r="WV24" s="26"/>
      <c r="WW24"/>
      <c r="WX24"/>
      <c r="WY24"/>
      <c r="WZ24"/>
      <c r="XA24"/>
      <c r="XB24"/>
      <c r="XC24"/>
      <c r="XD24"/>
      <c r="XE24" s="36">
        <f t="shared" ref="XE24:XE51" si="18">+SUM(WZ24:WZ25)</f>
        <v>0</v>
      </c>
      <c r="XF24" s="26"/>
      <c r="XG24"/>
      <c r="XH24"/>
      <c r="XI24"/>
      <c r="XJ24"/>
      <c r="XK24"/>
      <c r="XL24"/>
      <c r="XM24" s="34">
        <f>+Tabla578914151634353637383940414243444536[[#This Row],[Recuento]]*Tabla578914151634353637383940414243444536[[#This Row],[Volúmen bruto]]</f>
        <v>0</v>
      </c>
      <c r="XN24" s="34">
        <f>+Tabla578914151634353637383940414243444536[[#This Row],[Recuento]]*Tabla578914151634353637383940414243444536[[#This Row],[Área neta]]</f>
        <v>0</v>
      </c>
      <c r="XO24" s="35"/>
      <c r="XP24" s="26"/>
      <c r="XQ24"/>
      <c r="XR24"/>
      <c r="XS24"/>
      <c r="XT24"/>
      <c r="XU24"/>
      <c r="XV24"/>
      <c r="XW24" s="34">
        <f>+Tabla5789141516343536373839404142434445[[#This Row],[Recuento]]*Tabla5789141516343536373839404142434445[[#This Row],[Volúmen bruto]]</f>
        <v>0</v>
      </c>
      <c r="XX24" s="34">
        <f>+Tabla5789141516343536373839404142434445[[#This Row],[Recuento]]*Tabla5789141516343536373839404142434445[[#This Row],[Área neta]]</f>
        <v>0</v>
      </c>
      <c r="XY24" s="35"/>
      <c r="XZ24" s="26"/>
      <c r="YA24"/>
      <c r="YB24"/>
      <c r="YC24"/>
      <c r="YD24"/>
      <c r="YE24"/>
      <c r="YF24"/>
      <c r="YG24" s="34">
        <f>+Tabla578914151634353637383940414243444558[[#This Row],[Recuento]]*Tabla578914151634353637383940414243444558[[#This Row],[Volúmen bruto]]</f>
        <v>0</v>
      </c>
      <c r="YH24" s="34">
        <f>+Tabla578914151634353637383940414243444558[[#This Row],[Recuento]]*Tabla578914151634353637383940414243444558[[#This Row],[Área neta]]</f>
        <v>0</v>
      </c>
      <c r="YI24" s="35"/>
      <c r="YJ24" s="35"/>
      <c r="YK24"/>
      <c r="YL24"/>
      <c r="YM24"/>
      <c r="YN24"/>
      <c r="YO24"/>
      <c r="YQ24"/>
      <c r="YR24"/>
      <c r="YS24"/>
      <c r="YT24"/>
      <c r="YU24"/>
      <c r="YV24" s="33"/>
      <c r="YW24" s="34"/>
      <c r="YX24" s="34"/>
      <c r="YY24" s="35"/>
      <c r="YZ24" s="26"/>
      <c r="ZA24"/>
      <c r="ZB24"/>
      <c r="ZC24"/>
      <c r="ZD24"/>
      <c r="ZE24"/>
      <c r="ZF24" s="33"/>
      <c r="ZG24" s="34"/>
      <c r="ZH24" s="34"/>
      <c r="ZI24" s="35"/>
      <c r="ZJ24" s="26"/>
      <c r="ZK24"/>
      <c r="ZL24"/>
      <c r="ZM24"/>
      <c r="ZN24"/>
      <c r="ZO24"/>
      <c r="ZP24" s="33"/>
      <c r="ZQ24" s="34"/>
      <c r="ZR24" s="34"/>
      <c r="ZS24" s="35"/>
      <c r="ZT24" s="26"/>
      <c r="ZU24"/>
      <c r="ZV24"/>
      <c r="ZW24"/>
      <c r="ZX24"/>
      <c r="ZY24"/>
      <c r="ZZ24" s="33"/>
      <c r="AAA24" s="34"/>
      <c r="AAB24" s="34"/>
      <c r="AAC24" s="35"/>
      <c r="AAD24" s="26"/>
      <c r="AAE24"/>
      <c r="AAF24"/>
      <c r="AAG24"/>
      <c r="AAH24"/>
      <c r="AAI24"/>
      <c r="AAJ24" s="33"/>
      <c r="AAK24" s="34"/>
      <c r="AAL24" s="34"/>
      <c r="AAM24" s="35"/>
      <c r="AAN24" s="26"/>
      <c r="AAO24"/>
      <c r="AAP24"/>
      <c r="AAQ24"/>
      <c r="AAR24"/>
      <c r="AAS24"/>
      <c r="AAT24"/>
      <c r="AAU24" s="34">
        <f>+Tabla5789141516343536373839404142434445464748495051[[#This Row],[Recuento]]*Tabla5789141516343536373839404142434445464748495051[[#This Row],[Volúmen bruto]]</f>
        <v>0</v>
      </c>
      <c r="AAV24" s="34">
        <f>+Tabla5789141516343536373839404142434445464748495051[[#This Row],[Recuento]]*Tabla5789141516343536373839404142434445464748495051[[#This Row],[Área neta]]</f>
        <v>0</v>
      </c>
      <c r="AAW24" s="35"/>
      <c r="AAX24" s="26"/>
      <c r="AAY24"/>
      <c r="AAZ24"/>
      <c r="ABA24"/>
      <c r="ABB24"/>
      <c r="ABC24"/>
      <c r="ABD24" s="33"/>
      <c r="ABE24" s="34"/>
      <c r="ABF24" s="34"/>
      <c r="ABG24" s="35"/>
      <c r="ABH24" s="26"/>
      <c r="ABI24"/>
      <c r="ABJ24"/>
      <c r="ABK24"/>
      <c r="ABL24"/>
      <c r="ABM24"/>
      <c r="ABN24" s="33"/>
      <c r="ABO24" s="34"/>
      <c r="ABP24" s="34"/>
      <c r="ABQ24" s="35"/>
      <c r="ABR24" s="26"/>
      <c r="ABS24"/>
      <c r="ABT24"/>
      <c r="ABU24"/>
      <c r="ABV24"/>
      <c r="ABW24"/>
      <c r="ABX24" s="33"/>
      <c r="ABY24" s="34"/>
      <c r="ABZ24" s="34"/>
      <c r="ACA24" s="35"/>
      <c r="ACB24" s="26"/>
      <c r="ACC24"/>
      <c r="ACD24"/>
      <c r="ACE24"/>
      <c r="ACF24"/>
      <c r="ACG24"/>
      <c r="ACH24" s="33"/>
      <c r="ACI24" s="34"/>
      <c r="ACJ24" s="34"/>
      <c r="ACK24" s="35"/>
      <c r="ACL24" s="26"/>
      <c r="ACM24"/>
      <c r="ACN24"/>
      <c r="ACO24"/>
      <c r="ACP24"/>
      <c r="ACQ24"/>
      <c r="ACR24" s="33"/>
      <c r="ACS24" s="34"/>
      <c r="ACT24" s="34"/>
      <c r="ACU24" s="35"/>
      <c r="ACV24" s="26"/>
      <c r="ACW24" t="s">
        <v>1229</v>
      </c>
      <c r="ACX24" s="1">
        <v>2</v>
      </c>
      <c r="ACY24" s="2">
        <v>1.8</v>
      </c>
      <c r="ACZ24" s="2">
        <v>0.4</v>
      </c>
      <c r="ADA24">
        <v>1</v>
      </c>
      <c r="ADB24" s="2">
        <f>+(ACZ24*ACY24)*ADA24</f>
        <v>0.72000000000000008</v>
      </c>
      <c r="ADG24" s="26"/>
      <c r="ADH24"/>
      <c r="ADI24"/>
      <c r="ADJ24"/>
      <c r="ADK24"/>
      <c r="ADL24"/>
      <c r="ADM24"/>
      <c r="ADN24">
        <f ca="1">+Tabla578914151634353637383940414243444546474849505152535560[[#This Row],[G. Total]]*Tabla578914151634353637383940414243444546474849505152535560[[#This Row],[Recuento]]</f>
        <v>0</v>
      </c>
      <c r="ADO24" s="35"/>
      <c r="ADP24" s="26"/>
      <c r="ADQ24"/>
      <c r="ADR24"/>
      <c r="ADS24"/>
      <c r="ADT24"/>
      <c r="ADU24"/>
      <c r="ADV24" s="35"/>
      <c r="ADW24" s="35"/>
      <c r="ADX24"/>
      <c r="ADY24"/>
      <c r="ADZ24"/>
      <c r="AEA24"/>
      <c r="AEB24"/>
      <c r="AEC24">
        <f ca="1">+Tabla57891415163435363738394041424344454647484950515253556062[[#This Row],[Total]]*Tabla57891415163435363738394041424344454647484950515253556062[[#This Row],[Recuento]]</f>
        <v>0</v>
      </c>
      <c r="AED24" s="35"/>
      <c r="AEE24" s="26"/>
      <c r="AEF24"/>
      <c r="AEG24"/>
      <c r="AEH24"/>
      <c r="AEI24"/>
      <c r="AEJ24"/>
      <c r="AEK24" s="35"/>
      <c r="AEL24" s="35"/>
      <c r="AEM24" t="s">
        <v>1522</v>
      </c>
      <c r="AEN24" t="s">
        <v>1523</v>
      </c>
      <c r="AEO24" t="s">
        <v>453</v>
      </c>
      <c r="AEP24">
        <v>17.809999999999999</v>
      </c>
      <c r="AEQ24">
        <v>1</v>
      </c>
      <c r="AER24">
        <f ca="1">+Tabla5789141516343536373839404142434445464748495051525355606264[[#This Row],[G. Total]]*Tabla5789141516343536373839404142434445464748495051525355606264[[#This Row],[Recuento]]</f>
        <v>17.809999999999999</v>
      </c>
      <c r="AES24" s="35"/>
      <c r="AET24" s="26"/>
      <c r="AEU24"/>
      <c r="AEV24"/>
      <c r="AEW24"/>
      <c r="AEX24"/>
      <c r="AEY24"/>
      <c r="AEZ24" s="35"/>
      <c r="AFA24" s="26"/>
      <c r="AFB24"/>
      <c r="AFC24"/>
      <c r="AFD24"/>
      <c r="AFE24"/>
      <c r="AFF24"/>
      <c r="AFG24"/>
      <c r="AFH24"/>
      <c r="AFI24"/>
      <c r="AFJ24"/>
      <c r="AFK24"/>
      <c r="AFL24"/>
      <c r="AFM24">
        <f ca="1">+Tabla578914151634353637383940414243444546474849505152535560626467[[#This Row],[G. Total]]*Tabla578914151634353637383940414243444546474849505152535560626467[[#This Row],[Recuento]]</f>
        <v>0</v>
      </c>
      <c r="AFN24" s="35"/>
      <c r="AFO24" s="26"/>
      <c r="AFP24" s="2" t="s">
        <v>109</v>
      </c>
      <c r="AFW24" s="2" t="s">
        <v>109</v>
      </c>
    </row>
    <row r="25" spans="1:860" ht="15" customHeight="1" x14ac:dyDescent="0.25">
      <c r="A25">
        <v>1</v>
      </c>
      <c r="B25" t="s">
        <v>1863</v>
      </c>
      <c r="C25" t="s">
        <v>1225</v>
      </c>
      <c r="D25" t="s">
        <v>1550</v>
      </c>
      <c r="E25">
        <v>0.23</v>
      </c>
      <c r="F25">
        <v>3.9</v>
      </c>
      <c r="G25"/>
      <c r="H25">
        <f>+Tabla3[[#This Row],[Volúmen neto]]*A25</f>
        <v>0.23</v>
      </c>
      <c r="I25">
        <f>+Tabla3[[#This Row],[Longitud de eje]]*A25</f>
        <v>3.9</v>
      </c>
      <c r="J25"/>
      <c r="K25"/>
      <c r="L25"/>
      <c r="M25"/>
      <c r="N25"/>
      <c r="O25"/>
      <c r="P25"/>
      <c r="Q25"/>
      <c r="R25">
        <f>+Tabla5[[#This Row],[Recuento]]*Tabla5[[#This Row],[Volúmen bruto]]</f>
        <v>0</v>
      </c>
      <c r="S25">
        <f>+Tabla5[[#This Row],[Recuento]]*Tabla5[[#This Row],[Área neta]]</f>
        <v>0</v>
      </c>
      <c r="T25">
        <f>+Tabla5[[#This Row],[Longitud nominal]]*Tabla5[[#This Row],[Recuento]]</f>
        <v>0</v>
      </c>
      <c r="U25" s="26"/>
      <c r="V25"/>
      <c r="W25"/>
      <c r="X25"/>
      <c r="Y25"/>
      <c r="Z25"/>
      <c r="AA25"/>
      <c r="AB25"/>
      <c r="AC25"/>
      <c r="AD25"/>
      <c r="AE25"/>
      <c r="AF25"/>
      <c r="AG25" s="26">
        <f t="shared" si="4"/>
        <v>0</v>
      </c>
      <c r="AH25"/>
      <c r="AI25"/>
      <c r="AJ25"/>
      <c r="AK25"/>
      <c r="AL25"/>
      <c r="AM25"/>
      <c r="AN25"/>
      <c r="AO25"/>
      <c r="AP25"/>
      <c r="AQ25"/>
      <c r="AR25"/>
      <c r="AS25" s="26">
        <f t="shared" si="5"/>
        <v>0</v>
      </c>
      <c r="AT25"/>
      <c r="AU25"/>
      <c r="AV25"/>
      <c r="AW25"/>
      <c r="AX25"/>
      <c r="AY25"/>
      <c r="AZ25"/>
      <c r="BA25"/>
      <c r="BB25"/>
      <c r="BC25"/>
      <c r="BD25"/>
      <c r="BE25" s="26">
        <f t="shared" si="6"/>
        <v>0</v>
      </c>
      <c r="BF25">
        <v>2</v>
      </c>
      <c r="BG25" t="s">
        <v>1862</v>
      </c>
      <c r="BH25" t="s">
        <v>1524</v>
      </c>
      <c r="BI25" t="s">
        <v>1406</v>
      </c>
      <c r="BJ25">
        <v>1.1599999999999999</v>
      </c>
      <c r="BK25">
        <v>1.5</v>
      </c>
      <c r="BL25">
        <f>+Tabla3102[[#This Row],[En culmo]]*BF25</f>
        <v>3</v>
      </c>
      <c r="BM25"/>
      <c r="BN25"/>
      <c r="BO25"/>
      <c r="BP25"/>
      <c r="BQ25"/>
      <c r="BR25"/>
      <c r="BS25"/>
      <c r="BT25">
        <f>+Tabla31069[[#This Row],[En culmo]]*BN25</f>
        <v>0</v>
      </c>
      <c r="BU25"/>
      <c r="BV25">
        <v>3</v>
      </c>
      <c r="BW25" t="s">
        <v>1862</v>
      </c>
      <c r="BX25" t="s">
        <v>1525</v>
      </c>
      <c r="BY25" t="s">
        <v>1406</v>
      </c>
      <c r="BZ25">
        <v>3.75</v>
      </c>
      <c r="CA25">
        <v>4</v>
      </c>
      <c r="CB25">
        <f>+Tabla31011[[#This Row],[En culmo]]*BV25</f>
        <v>12</v>
      </c>
      <c r="CD25">
        <v>8</v>
      </c>
      <c r="CE25" t="s">
        <v>1862</v>
      </c>
      <c r="CF25" t="s">
        <v>1525</v>
      </c>
      <c r="CG25" t="s">
        <v>1405</v>
      </c>
      <c r="CH25">
        <v>0.7</v>
      </c>
      <c r="CI25">
        <v>1</v>
      </c>
      <c r="CJ25">
        <f>+Tabla3101170[[#This Row],[En culmo]]*CD25</f>
        <v>8</v>
      </c>
      <c r="CK25"/>
      <c r="CR25">
        <f>+Tabla31011116[[#This Row],[En culmo]]*CT25</f>
        <v>0</v>
      </c>
      <c r="CT25">
        <v>4</v>
      </c>
      <c r="CU25" t="s">
        <v>1862</v>
      </c>
      <c r="CV25" t="s">
        <v>1383</v>
      </c>
      <c r="CW25" t="s">
        <v>1405</v>
      </c>
      <c r="CX25">
        <v>1.98</v>
      </c>
      <c r="CY25">
        <v>3.5</v>
      </c>
      <c r="CZ25">
        <f>+Tabla3101170117[[#This Row],[En culmo]]*CT25</f>
        <v>14</v>
      </c>
      <c r="DA25"/>
      <c r="DB25">
        <v>2</v>
      </c>
      <c r="DC25" t="s">
        <v>1862</v>
      </c>
      <c r="DD25" t="s">
        <v>1383</v>
      </c>
      <c r="DE25" t="s">
        <v>1723</v>
      </c>
      <c r="DF25">
        <v>0.84</v>
      </c>
      <c r="DG25">
        <f>+Tabla31011704[[#This Row],[Longitud de eje]]*DB25</f>
        <v>1.68</v>
      </c>
      <c r="DH25"/>
      <c r="DI25"/>
      <c r="DJ25"/>
      <c r="DK25"/>
      <c r="DL25"/>
      <c r="DM25"/>
      <c r="DN25">
        <f>+Tabla3101170411[[#This Row],[Longitud de eje]]*DI25</f>
        <v>0</v>
      </c>
      <c r="DO25"/>
      <c r="DP25"/>
      <c r="DQ25"/>
      <c r="DR25"/>
      <c r="DS25"/>
      <c r="DT25"/>
      <c r="DU25">
        <f>+Tabla3101170411120[[#This Row],[Longitud de eje]]*DP25</f>
        <v>0</v>
      </c>
      <c r="DV25"/>
      <c r="DW25"/>
      <c r="DX25"/>
      <c r="DY25"/>
      <c r="DZ25"/>
      <c r="EA25"/>
      <c r="EB25">
        <f>+Tabla3101170411120122[[#This Row],[Longitud de eje]]*DW25</f>
        <v>0</v>
      </c>
      <c r="EC25"/>
      <c r="ED25">
        <v>4</v>
      </c>
      <c r="EE25" t="s">
        <v>1862</v>
      </c>
      <c r="EF25" t="s">
        <v>1524</v>
      </c>
      <c r="EG25" t="s">
        <v>1406</v>
      </c>
      <c r="EH25">
        <v>0.3</v>
      </c>
      <c r="EI25">
        <v>0.5</v>
      </c>
      <c r="EJ25">
        <f>+Tabla3101112[[#This Row],[En culmo]]*ED25</f>
        <v>2</v>
      </c>
      <c r="EK25"/>
      <c r="EL25"/>
      <c r="EM25"/>
      <c r="EN25"/>
      <c r="EO25"/>
      <c r="EP25"/>
      <c r="EQ25"/>
      <c r="ER25">
        <f>+Tabla3101112123[[#This Row],[En culmo]]*EL25</f>
        <v>0</v>
      </c>
      <c r="ES25"/>
      <c r="ET25">
        <v>2</v>
      </c>
      <c r="EU25" t="s">
        <v>1862</v>
      </c>
      <c r="EV25" t="s">
        <v>1525</v>
      </c>
      <c r="EW25" t="s">
        <v>1406</v>
      </c>
      <c r="EX25">
        <v>3.85</v>
      </c>
      <c r="EY25">
        <v>4.5</v>
      </c>
      <c r="EZ25">
        <f>+Tabla310111257[[#This Row],[En culmo]]*ET25</f>
        <v>9</v>
      </c>
      <c r="FA25"/>
      <c r="FB25"/>
      <c r="FC25"/>
      <c r="FD25"/>
      <c r="FE25"/>
      <c r="FF25"/>
      <c r="FG25">
        <v>4.5</v>
      </c>
      <c r="FH25">
        <f>+Tabla310111257124[[#This Row],[En culmo]]*FB25</f>
        <v>0</v>
      </c>
      <c r="FI25"/>
      <c r="FK25"/>
      <c r="FL25"/>
      <c r="FM25"/>
      <c r="FN25"/>
      <c r="FO25"/>
      <c r="FP25"/>
      <c r="FQ25"/>
      <c r="FS25"/>
      <c r="FT25"/>
      <c r="FU25"/>
      <c r="FV25"/>
      <c r="FW25"/>
      <c r="FX25"/>
      <c r="FY25"/>
      <c r="FZ25">
        <v>2</v>
      </c>
      <c r="GA25" t="s">
        <v>1862</v>
      </c>
      <c r="GB25" t="s">
        <v>1524</v>
      </c>
      <c r="GC25" t="s">
        <v>1584</v>
      </c>
      <c r="GD25">
        <v>0.19</v>
      </c>
      <c r="GE25">
        <v>2.4</v>
      </c>
      <c r="GF25">
        <f>+Tabla3101112131157[[#This Row],[Volúmen]]*FZ25</f>
        <v>0.38</v>
      </c>
      <c r="GG25">
        <f>+Tabla3101112131157[[#This Row],[Longitud del eje]]*FZ25</f>
        <v>4.8</v>
      </c>
      <c r="GI25"/>
      <c r="GJ25"/>
      <c r="GK25"/>
      <c r="GL25"/>
      <c r="GM25"/>
      <c r="GN25"/>
      <c r="GO25"/>
      <c r="GQ25" t="s">
        <v>1862</v>
      </c>
      <c r="GR25" t="s">
        <v>1383</v>
      </c>
      <c r="GS25" t="s">
        <v>1667</v>
      </c>
      <c r="GT25">
        <v>1.88</v>
      </c>
      <c r="GU25">
        <v>20.91</v>
      </c>
      <c r="GV25">
        <v>1</v>
      </c>
      <c r="GW25">
        <f>+Tabla578914[[#This Row],[Recuento]]*Tabla578914[[#This Row],[Volúmen bruto]]</f>
        <v>1.88</v>
      </c>
      <c r="GX25">
        <f>+Tabla578914[[#This Row],[Recuento]]*Tabla578914[[#This Row],[Área neta]]</f>
        <v>20.91</v>
      </c>
      <c r="GY25" s="36"/>
      <c r="HA25" t="s">
        <v>1862</v>
      </c>
      <c r="HB25" t="s">
        <v>1383</v>
      </c>
      <c r="HC25" t="s">
        <v>1667</v>
      </c>
      <c r="HD25">
        <v>1.19</v>
      </c>
      <c r="HE25">
        <v>13.22</v>
      </c>
      <c r="HF25">
        <v>1</v>
      </c>
      <c r="HG25">
        <f>+Tabla578914126[[#This Row],[Recuento]]*Tabla578914126[[#This Row],[Volúmen bruto]]</f>
        <v>1.19</v>
      </c>
      <c r="HH25">
        <f>+Tabla578914126[[#This Row],[Recuento]]*Tabla578914126[[#This Row],[Área neta]]</f>
        <v>13.22</v>
      </c>
      <c r="HI25" s="36"/>
      <c r="HK25"/>
      <c r="HL25"/>
      <c r="HM25"/>
      <c r="HN25"/>
      <c r="HO25"/>
      <c r="HP25"/>
      <c r="HQ25">
        <f>+Tabla578914126127[[#This Row],[Recuento]]*Tabla578914126127[[#This Row],[Volúmen bruto]]</f>
        <v>0</v>
      </c>
      <c r="HR25">
        <f>+Tabla578914126127[[#This Row],[Recuento]]*Tabla578914126127[[#This Row],[Área neta]]</f>
        <v>0</v>
      </c>
      <c r="HS25" s="36"/>
      <c r="HT25" s="26"/>
      <c r="HU25"/>
      <c r="HV25"/>
      <c r="HW25"/>
      <c r="HX25"/>
      <c r="HY25"/>
      <c r="HZ25"/>
      <c r="IA25"/>
      <c r="IB25"/>
      <c r="IC25" s="36"/>
      <c r="ID25" s="26"/>
      <c r="IE25"/>
      <c r="IF25"/>
      <c r="IG25"/>
      <c r="IH25"/>
      <c r="II25"/>
      <c r="IJ25"/>
      <c r="IK25"/>
      <c r="IL25"/>
      <c r="IM25" s="36"/>
      <c r="IN25" s="26"/>
      <c r="IO25"/>
      <c r="IP25"/>
      <c r="IQ25"/>
      <c r="IR25"/>
      <c r="IS25"/>
      <c r="IT25"/>
      <c r="IU25"/>
      <c r="IV25">
        <f>+Tabla520212223[[#This Row],[Recuento]]*Tabla520212223[[#This Row],[Área neta]]</f>
        <v>0</v>
      </c>
      <c r="IW25" s="26">
        <f t="shared" si="0"/>
        <v>0</v>
      </c>
      <c r="IY25"/>
      <c r="IZ25"/>
      <c r="JA25"/>
      <c r="JB25"/>
      <c r="JC25"/>
      <c r="JD25"/>
      <c r="JE25">
        <f>+Tabla520212224[[#This Row],[Recuento]]*Tabla520212224[[#This Row],[Volúmen bruto]]</f>
        <v>0</v>
      </c>
      <c r="JF25">
        <f>+Tabla520212224[[#This Row],[Recuento]]*Tabla520212224[[#This Row],[Área neta]]</f>
        <v>0</v>
      </c>
      <c r="JG25" s="26"/>
      <c r="JI25" t="s">
        <v>1862</v>
      </c>
      <c r="JJ25" t="s">
        <v>1524</v>
      </c>
      <c r="JK25" t="s">
        <v>98</v>
      </c>
      <c r="JL25">
        <v>0</v>
      </c>
      <c r="JM25">
        <v>1.81</v>
      </c>
      <c r="JN25">
        <v>1</v>
      </c>
      <c r="JO25">
        <f>+Tabla52021222425[[#This Row],[Recuento]]*Tabla52021222425[[#This Row],[Volúmen bruto]]</f>
        <v>0</v>
      </c>
      <c r="JP25">
        <f>+Tabla52021222425[[#This Row],[Recuento]]*Tabla52021222425[[#This Row],[Área neta]]</f>
        <v>1.81</v>
      </c>
      <c r="JQ25" s="26"/>
      <c r="JS25" t="s">
        <v>1862</v>
      </c>
      <c r="JT25" t="s">
        <v>1524</v>
      </c>
      <c r="JU25" t="s">
        <v>1677</v>
      </c>
      <c r="JV25">
        <v>0</v>
      </c>
      <c r="JW25">
        <v>0.41</v>
      </c>
      <c r="JX25">
        <v>1</v>
      </c>
      <c r="JY25">
        <f>+Tabla5202122242526[[#This Row],[Recuento]]*Tabla5202122242526[[#This Row],[Volúmen bruto]]</f>
        <v>0</v>
      </c>
      <c r="JZ25">
        <f>+Tabla5202122242526[[#This Row],[Recuento]]*Tabla5202122242526[[#This Row],[Área neta]]</f>
        <v>0.41</v>
      </c>
      <c r="KA25" s="26"/>
      <c r="KC25"/>
      <c r="KD25"/>
      <c r="KE25"/>
      <c r="KF25"/>
      <c r="KG25"/>
      <c r="KH25"/>
      <c r="KI25">
        <f>+Tabla5202122242526104[[#This Row],[Recuento]]*Tabla5202122242526104[[#This Row],[Volúmen bruto]]</f>
        <v>0</v>
      </c>
      <c r="KJ25">
        <f>+Tabla5202122242526104[[#This Row],[Recuento]]*Tabla5202122242526104[[#This Row],[Área neta]]</f>
        <v>0</v>
      </c>
      <c r="KK25" s="26"/>
      <c r="KM25" t="s">
        <v>1862</v>
      </c>
      <c r="KN25" t="s">
        <v>1525</v>
      </c>
      <c r="KO25" t="s">
        <v>97</v>
      </c>
      <c r="KP25">
        <v>0.1</v>
      </c>
      <c r="KQ25">
        <v>5.19</v>
      </c>
      <c r="KR25">
        <v>1</v>
      </c>
      <c r="KS25">
        <f>+Tabla5202122242526104110[[#This Row],[Recuento]]*Tabla5202122242526104110[[#This Row],[Volúmen bruto]]</f>
        <v>0.1</v>
      </c>
      <c r="KT25">
        <f>+Tabla5202122242526104110[[#This Row],[Recuento]]*Tabla5202122242526104110[[#This Row],[Área neta]]</f>
        <v>5.19</v>
      </c>
      <c r="KU25" s="415"/>
      <c r="KW25"/>
      <c r="KX25"/>
      <c r="KY25"/>
      <c r="KZ25"/>
      <c r="LA25"/>
      <c r="LB25"/>
      <c r="LC25">
        <f>+Tabla520212224252659[[#This Row],[Recuento]]*Tabla520212224252659[[#This Row],[Volúmen bruto]]</f>
        <v>0</v>
      </c>
      <c r="LD25">
        <f>+Tabla520212224252659[[#This Row],[Recuento]]*Tabla520212224252659[[#This Row],[Área neta]]</f>
        <v>0</v>
      </c>
      <c r="LE25" s="26"/>
      <c r="LG25"/>
      <c r="LH25"/>
      <c r="LI25"/>
      <c r="LJ25"/>
      <c r="LK25"/>
      <c r="LL25"/>
      <c r="LM25">
        <f>+Tabla520212224252659111[[#This Row],[Recuento]]*Tabla520212224252659111[[#This Row],[Volúmen bruto]]</f>
        <v>0</v>
      </c>
      <c r="LN25">
        <f>+Tabla520212224252659111[[#This Row],[Recuento]]*Tabla520212224252659111[[#This Row],[Área neta]]</f>
        <v>0</v>
      </c>
      <c r="LO25" s="26"/>
      <c r="LQ25"/>
      <c r="LR25"/>
      <c r="LS25"/>
      <c r="LT25"/>
      <c r="LU25"/>
      <c r="LV25"/>
      <c r="LW25">
        <f>+Tabla520212224252659111114[[#This Row],[Recuento]]*Tabla520212224252659111114[[#This Row],[Volúmen bruto]]</f>
        <v>0</v>
      </c>
      <c r="LX25">
        <f>+Tabla520212224252659111114[[#This Row],[Recuento]]*Tabla520212224252659111114[[#This Row],[Área neta]]</f>
        <v>0</v>
      </c>
      <c r="LY25" s="26"/>
      <c r="MA25" t="s">
        <v>1862</v>
      </c>
      <c r="MB25" t="s">
        <v>1524</v>
      </c>
      <c r="MC25" t="s">
        <v>98</v>
      </c>
      <c r="MD25">
        <v>0</v>
      </c>
      <c r="ME25">
        <v>1.21</v>
      </c>
      <c r="MF25">
        <v>1</v>
      </c>
      <c r="MG25">
        <f>+Tabla520212224252659111114128[[#This Row],[Recuento]]*Tabla520212224252659111114128[[#This Row],[Volúmen bruto]]</f>
        <v>0</v>
      </c>
      <c r="MH25">
        <f>+Tabla520212224252659111114128[[#This Row],[Recuento]]*Tabla520212224252659111114128[[#This Row],[Área neta]]</f>
        <v>1.21</v>
      </c>
      <c r="MI25" s="26">
        <f>+SUM(MH25:MH34)</f>
        <v>78.459999999999994</v>
      </c>
      <c r="MK25"/>
      <c r="ML25"/>
      <c r="MM25"/>
      <c r="MN25"/>
      <c r="MO25"/>
      <c r="MP25"/>
      <c r="MQ25">
        <f>+Tabla520212224252627[[#This Row],[Recuento]]*Tabla520212224252627[[#This Row],[Volúmen bruto]]</f>
        <v>0</v>
      </c>
      <c r="MR25">
        <f>+Tabla520212224252627[[#This Row],[Recuento]]*Tabla520212224252627[[#This Row],[Área neta]]</f>
        <v>0</v>
      </c>
      <c r="MS25" s="26"/>
      <c r="MU25"/>
      <c r="MV25"/>
      <c r="MW25"/>
      <c r="MX25"/>
      <c r="MY25"/>
      <c r="MZ25"/>
      <c r="NA25">
        <f>+Tabla520212224252627129[[#This Row],[Recuento]]*Tabla520212224252627129[[#This Row],[Volúmen bruto]]</f>
        <v>0</v>
      </c>
      <c r="NB25">
        <f>+Tabla520212224252627129[[#This Row],[Recuento]]*Tabla520212224252627129[[#This Row],[Área neta]]</f>
        <v>0</v>
      </c>
      <c r="NC25" s="26"/>
      <c r="NE25"/>
      <c r="NF25"/>
      <c r="NG25"/>
      <c r="NH25"/>
      <c r="NI25"/>
      <c r="NJ25"/>
      <c r="NK25">
        <f>+Tabla520212224252627129125[[#This Row],[Recuento]]*Tabla520212224252627129125[[#This Row],[Volúmen bruto]]</f>
        <v>0</v>
      </c>
      <c r="NL25">
        <f>+Tabla520212224252627129125[[#This Row],[Recuento]]*Tabla520212224252627129125[[#This Row],[Área neta]]</f>
        <v>0</v>
      </c>
      <c r="NM25" s="26"/>
      <c r="NO25" t="s">
        <v>1549</v>
      </c>
      <c r="NP25" t="s">
        <v>1525</v>
      </c>
      <c r="NQ25" t="s">
        <v>1676</v>
      </c>
      <c r="NR25">
        <v>0.2</v>
      </c>
      <c r="NS25">
        <v>1.63</v>
      </c>
      <c r="NT25">
        <v>1</v>
      </c>
      <c r="NU25">
        <f>+Tabla520212224252627129125130[[#This Row],[Recuento]]*Tabla520212224252627129125130[[#This Row],[Volúmen bruto]]</f>
        <v>0.2</v>
      </c>
      <c r="NV25">
        <f>+Tabla520212224252627129125130[[#This Row],[Recuento]]*Tabla520212224252627129125130[[#This Row],[Área neta]]</f>
        <v>1.63</v>
      </c>
      <c r="NW25" s="26"/>
      <c r="NY25"/>
      <c r="NZ25"/>
      <c r="OA25"/>
      <c r="OB25"/>
      <c r="OC25"/>
      <c r="OD25"/>
      <c r="OE25">
        <f>+Tabla520212224252627129125130131[[#This Row],[Recuento]]*Tabla520212224252627129125130131[[#This Row],[Volúmen bruto]]</f>
        <v>0</v>
      </c>
      <c r="OF25">
        <f>+Tabla520212224252627129125130131[[#This Row],[Recuento]]*Tabla520212224252627129125130131[[#This Row],[Área neta]]</f>
        <v>0</v>
      </c>
      <c r="OG25" s="26"/>
      <c r="OI25"/>
      <c r="OJ25"/>
      <c r="OK25"/>
      <c r="OL25"/>
      <c r="OM25"/>
      <c r="ON25"/>
      <c r="OO25">
        <f>+Tabla520212224252627129125130131132[[#This Row],[Recuento]]*Tabla520212224252627129125130131132[[#This Row],[Volúmen bruto]]</f>
        <v>0</v>
      </c>
      <c r="OP25">
        <f>+Tabla520212224252627129125130131132[[#This Row],[Recuento]]*Tabla520212224252627129125130131132[[#This Row],[Área neta]]</f>
        <v>0</v>
      </c>
      <c r="OQ25" s="26"/>
      <c r="OS25"/>
      <c r="OT25"/>
      <c r="OU25"/>
      <c r="OV25"/>
      <c r="OW25"/>
      <c r="OX25"/>
      <c r="OY25">
        <f>+Tabla52021222425262728[[#This Row],[Recuento]]*Tabla52021222425262728[[#This Row],[Volúmen bruto]]</f>
        <v>0</v>
      </c>
      <c r="OZ25">
        <f>+Tabla52021222425262728[[#This Row],[Recuento]]*Tabla52021222425262728[[#This Row],[Área neta]]</f>
        <v>0</v>
      </c>
      <c r="PA25" s="26"/>
      <c r="PC25" t="s">
        <v>1862</v>
      </c>
      <c r="PD25" t="s">
        <v>1525</v>
      </c>
      <c r="PE25" t="s">
        <v>1628</v>
      </c>
      <c r="PF25">
        <v>0.03</v>
      </c>
      <c r="PG25">
        <v>1.62</v>
      </c>
      <c r="PH25">
        <v>1</v>
      </c>
      <c r="PI25">
        <f>+Tabla52021222425262728133[[#This Row],[Recuento]]*Tabla52021222425262728133[[#This Row],[Volúmen bruto]]</f>
        <v>0.03</v>
      </c>
      <c r="PJ25">
        <f>+Tabla52021222425262728133[[#This Row],[Recuento]]*Tabla52021222425262728133[[#This Row],[Área neta]]</f>
        <v>1.62</v>
      </c>
      <c r="PK25" s="26"/>
      <c r="PM25"/>
      <c r="PN25"/>
      <c r="PO25"/>
      <c r="PP25"/>
      <c r="PQ25"/>
      <c r="PR25"/>
      <c r="PS25">
        <f>+Tabla5202122242526272893[[#This Row],[Recuento]]*Tabla5202122242526272893[[#This Row],[Volúmen bruto]]</f>
        <v>0</v>
      </c>
      <c r="PT25">
        <f>+Tabla5202122242526272893[[#This Row],[Recuento]]*Tabla5202122242526272893[[#This Row],[Área neta]]</f>
        <v>0</v>
      </c>
      <c r="PU25" s="26"/>
      <c r="PW25" t="s">
        <v>1862</v>
      </c>
      <c r="PX25" t="s">
        <v>1525</v>
      </c>
      <c r="PY25" t="s">
        <v>97</v>
      </c>
      <c r="PZ25">
        <v>0.08</v>
      </c>
      <c r="QA25">
        <v>3.77</v>
      </c>
      <c r="QB25">
        <v>1</v>
      </c>
      <c r="QC25">
        <f>+Tabla520212224252627289349[[#This Row],[Recuento]]*Tabla520212224252627289349[[#This Row],[Volúmen bruto]]</f>
        <v>0.08</v>
      </c>
      <c r="QD25">
        <f>+Tabla520212224252627289349[[#This Row],[Recuento]]*Tabla520212224252627289349[[#This Row],[Área neta]]</f>
        <v>3.77</v>
      </c>
      <c r="QE25" s="26"/>
      <c r="QG25"/>
      <c r="QH25"/>
      <c r="QI25"/>
      <c r="QJ25"/>
      <c r="QK25"/>
      <c r="QL25"/>
      <c r="QM25">
        <f>+Tabla520212224252627289349134[[#This Row],[Recuento]]*Tabla520212224252627289349134[[#This Row],[Volúmen bruto]]</f>
        <v>0</v>
      </c>
      <c r="QN25">
        <f>+Tabla520212224252627289349134[[#This Row],[Recuento]]*Tabla520212224252627289349134[[#This Row],[Área neta]]</f>
        <v>0</v>
      </c>
      <c r="QO25" s="26"/>
      <c r="QQ25" t="s">
        <v>1862</v>
      </c>
      <c r="QR25" t="s">
        <v>1524</v>
      </c>
      <c r="QS25" t="s">
        <v>1726</v>
      </c>
      <c r="QT25">
        <v>0.18</v>
      </c>
      <c r="QU25">
        <v>0.9</v>
      </c>
      <c r="QV25">
        <v>1</v>
      </c>
      <c r="QW25">
        <v>1</v>
      </c>
      <c r="QX25">
        <f>+Tabla5202122242526272829[[#This Row],[Recuento]]*Tabla5202122242526272829[[#This Row],[Volúmen bruto]]</f>
        <v>0.18</v>
      </c>
      <c r="QY25">
        <f>+Tabla5202122242526272829[[#This Row],[Recuento]]*Tabla5202122242526272829[[#This Row],[Área neta]]</f>
        <v>0.9</v>
      </c>
      <c r="QZ25">
        <f>+Tabla5202122242526272829[[#This Row],[Recuento]]*Tabla5202122242526272829[[#This Row],[Longitud]]</f>
        <v>1</v>
      </c>
      <c r="RA25" s="26"/>
      <c r="RC25"/>
      <c r="RD25"/>
      <c r="RE25"/>
      <c r="RF25"/>
      <c r="RG25"/>
      <c r="RH25"/>
      <c r="RI25"/>
      <c r="RJ25"/>
      <c r="RK25" s="26"/>
      <c r="RM25"/>
      <c r="RN25"/>
      <c r="RO25"/>
      <c r="RP25"/>
      <c r="RQ25"/>
      <c r="RR25"/>
      <c r="RS25"/>
      <c r="RT25"/>
      <c r="RU25" s="26">
        <f t="shared" si="7"/>
        <v>0</v>
      </c>
      <c r="RW25"/>
      <c r="RX25"/>
      <c r="RY25"/>
      <c r="RZ25"/>
      <c r="SA25"/>
      <c r="SB25"/>
      <c r="SC25"/>
      <c r="SD25"/>
      <c r="SE25" s="26"/>
      <c r="SG25"/>
      <c r="SH25"/>
      <c r="SI25"/>
      <c r="SJ25"/>
      <c r="SK25"/>
      <c r="SL25"/>
      <c r="SM25">
        <f>+Tabla5202122242526272831323314[[#This Row],[Recuento]]*Tabla5202122242526272831323314[[#This Row],[Volúmen bruto]]</f>
        <v>0</v>
      </c>
      <c r="SN25">
        <f>+Tabla5202122242526272831323314[[#This Row],[Recuento]]*Tabla5202122242526272831323314[[#This Row],[Área neta]]</f>
        <v>0</v>
      </c>
      <c r="SO25" s="26"/>
      <c r="SQ25" t="s">
        <v>1862</v>
      </c>
      <c r="SR25" t="s">
        <v>1524</v>
      </c>
      <c r="SS25" t="s">
        <v>1627</v>
      </c>
      <c r="ST25">
        <v>1.22</v>
      </c>
      <c r="SU25">
        <v>6.11</v>
      </c>
      <c r="SV25">
        <v>1</v>
      </c>
      <c r="SW25" s="34">
        <f>+Tabla5789141516[[#This Row],[Recuento]]*Tabla5789141516[[#This Row],[Volúmen bruto]]</f>
        <v>1.22</v>
      </c>
      <c r="SX25" s="34">
        <f>+Tabla5789141516[[#This Row],[Recuento]]*Tabla5789141516[[#This Row],[Área neta]]</f>
        <v>6.11</v>
      </c>
      <c r="SY25" s="170"/>
      <c r="SZ25" s="26"/>
      <c r="TA25"/>
      <c r="TB25"/>
      <c r="TC25"/>
      <c r="TD25"/>
      <c r="TE25"/>
      <c r="TF25"/>
      <c r="TG25"/>
      <c r="TH25"/>
      <c r="TI25" s="36">
        <f t="shared" si="8"/>
        <v>0</v>
      </c>
      <c r="TJ25" s="26"/>
      <c r="TK25"/>
      <c r="TL25"/>
      <c r="TM25"/>
      <c r="TN25"/>
      <c r="TO25"/>
      <c r="TP25"/>
      <c r="TQ25" s="34">
        <f>+Tabla57891415163435[[#This Row],[Recuento]]*Tabla57891415163435[[#This Row],[Volúmen bruto]]</f>
        <v>0</v>
      </c>
      <c r="TR25" s="34">
        <f>+Tabla57891415163435[[#This Row],[Recuento]]*Tabla57891415163435[[#This Row],[Área neta]]</f>
        <v>0</v>
      </c>
      <c r="TS25" s="36">
        <f t="shared" si="9"/>
        <v>0</v>
      </c>
      <c r="TT25" s="26"/>
      <c r="TU25"/>
      <c r="TV25"/>
      <c r="TW25"/>
      <c r="TX25"/>
      <c r="TY25"/>
      <c r="TZ25"/>
      <c r="UA25"/>
      <c r="UB25"/>
      <c r="UC25" s="36">
        <f t="shared" si="10"/>
        <v>0</v>
      </c>
      <c r="UD25" s="26"/>
      <c r="UE25"/>
      <c r="UF25"/>
      <c r="UG25"/>
      <c r="UH25"/>
      <c r="UI25"/>
      <c r="UJ25"/>
      <c r="UK25"/>
      <c r="UL25"/>
      <c r="UM25" s="36">
        <f t="shared" si="11"/>
        <v>0</v>
      </c>
      <c r="UN25" s="26"/>
      <c r="UO25"/>
      <c r="UP25"/>
      <c r="UQ25"/>
      <c r="UR25"/>
      <c r="US25"/>
      <c r="UT25"/>
      <c r="UU25"/>
      <c r="UV25"/>
      <c r="UW25" s="36">
        <f t="shared" si="12"/>
        <v>0</v>
      </c>
      <c r="UX25" s="26"/>
      <c r="UY25"/>
      <c r="UZ25"/>
      <c r="VA25"/>
      <c r="VB25"/>
      <c r="VC25"/>
      <c r="VD25"/>
      <c r="VE25"/>
      <c r="VF25"/>
      <c r="VG25" s="36">
        <f t="shared" si="13"/>
        <v>0</v>
      </c>
      <c r="VH25" s="26"/>
      <c r="VI25"/>
      <c r="VJ25"/>
      <c r="VK25"/>
      <c r="VL25"/>
      <c r="VM25"/>
      <c r="VN25"/>
      <c r="VO25"/>
      <c r="VP25"/>
      <c r="VQ25" s="36">
        <f t="shared" si="14"/>
        <v>0</v>
      </c>
      <c r="VR25" s="26"/>
      <c r="VS25"/>
      <c r="VT25"/>
      <c r="VU25"/>
      <c r="VV25"/>
      <c r="VW25"/>
      <c r="VX25"/>
      <c r="VY25"/>
      <c r="VZ25"/>
      <c r="WA25" s="36">
        <f t="shared" si="15"/>
        <v>0</v>
      </c>
      <c r="WB25" s="26"/>
      <c r="WC25"/>
      <c r="WD25"/>
      <c r="WE25"/>
      <c r="WF25"/>
      <c r="WG25"/>
      <c r="WH25"/>
      <c r="WI25"/>
      <c r="WJ25"/>
      <c r="WK25" s="36">
        <f t="shared" si="16"/>
        <v>0</v>
      </c>
      <c r="WL25" s="26"/>
      <c r="WM25"/>
      <c r="WN25"/>
      <c r="WO25"/>
      <c r="WP25"/>
      <c r="WQ25"/>
      <c r="WR25"/>
      <c r="WS25"/>
      <c r="WT25"/>
      <c r="WU25" s="36">
        <f t="shared" si="17"/>
        <v>0</v>
      </c>
      <c r="WV25" s="26"/>
      <c r="WW25"/>
      <c r="WX25"/>
      <c r="WY25"/>
      <c r="WZ25"/>
      <c r="XA25"/>
      <c r="XB25"/>
      <c r="XC25"/>
      <c r="XD25"/>
      <c r="XE25" s="36">
        <f t="shared" si="18"/>
        <v>0</v>
      </c>
      <c r="XF25" s="26"/>
      <c r="XG25"/>
      <c r="XH25"/>
      <c r="XI25"/>
      <c r="XJ25"/>
      <c r="XK25"/>
      <c r="XL25"/>
      <c r="XM25" s="34">
        <f>+Tabla578914151634353637383940414243444536[[#This Row],[Recuento]]*Tabla578914151634353637383940414243444536[[#This Row],[Volúmen bruto]]</f>
        <v>0</v>
      </c>
      <c r="XN25" s="34">
        <f>+Tabla578914151634353637383940414243444536[[#This Row],[Recuento]]*Tabla578914151634353637383940414243444536[[#This Row],[Área neta]]</f>
        <v>0</v>
      </c>
      <c r="XO25" s="35"/>
      <c r="XP25" s="26"/>
      <c r="XQ25"/>
      <c r="XR25"/>
      <c r="XS25"/>
      <c r="XT25"/>
      <c r="XU25"/>
      <c r="XV25"/>
      <c r="XW25" s="34">
        <f>+Tabla5789141516343536373839404142434445[[#This Row],[Recuento]]*Tabla5789141516343536373839404142434445[[#This Row],[Volúmen bruto]]</f>
        <v>0</v>
      </c>
      <c r="XX25" s="34">
        <f>+Tabla5789141516343536373839404142434445[[#This Row],[Recuento]]*Tabla5789141516343536373839404142434445[[#This Row],[Área neta]]</f>
        <v>0</v>
      </c>
      <c r="XY25" s="35"/>
      <c r="XZ25" s="26"/>
      <c r="YA25"/>
      <c r="YB25"/>
      <c r="YC25"/>
      <c r="YD25"/>
      <c r="YE25"/>
      <c r="YF25"/>
      <c r="YG25" s="34">
        <f>+Tabla578914151634353637383940414243444558[[#This Row],[Recuento]]*Tabla578914151634353637383940414243444558[[#This Row],[Volúmen bruto]]</f>
        <v>0</v>
      </c>
      <c r="YH25" s="34">
        <f>+Tabla578914151634353637383940414243444558[[#This Row],[Recuento]]*Tabla578914151634353637383940414243444558[[#This Row],[Área neta]]</f>
        <v>0</v>
      </c>
      <c r="YI25" s="35"/>
      <c r="YJ25" s="35"/>
      <c r="YK25"/>
      <c r="YL25"/>
      <c r="YM25"/>
      <c r="YN25"/>
      <c r="YO25"/>
      <c r="YQ25"/>
      <c r="YR25"/>
      <c r="YS25"/>
      <c r="YT25"/>
      <c r="YU25"/>
      <c r="YV25" s="33"/>
      <c r="YW25" s="34"/>
      <c r="YX25" s="34"/>
      <c r="YY25" s="35"/>
      <c r="YZ25" s="26"/>
      <c r="ZA25"/>
      <c r="ZB25"/>
      <c r="ZC25"/>
      <c r="ZD25"/>
      <c r="ZE25"/>
      <c r="ZF25" s="33"/>
      <c r="ZG25" s="34"/>
      <c r="ZH25" s="34"/>
      <c r="ZI25" s="35"/>
      <c r="ZJ25" s="26"/>
      <c r="ZK25"/>
      <c r="ZL25"/>
      <c r="ZM25"/>
      <c r="ZN25"/>
      <c r="ZO25"/>
      <c r="ZP25" s="33"/>
      <c r="ZQ25" s="34"/>
      <c r="ZR25" s="34"/>
      <c r="ZS25" s="35"/>
      <c r="ZT25" s="26"/>
      <c r="ZU25"/>
      <c r="ZV25"/>
      <c r="ZW25"/>
      <c r="ZX25"/>
      <c r="ZY25"/>
      <c r="ZZ25" s="33"/>
      <c r="AAA25" s="34"/>
      <c r="AAB25" s="34"/>
      <c r="AAC25" s="35"/>
      <c r="AAD25" s="26"/>
      <c r="AAE25"/>
      <c r="AAF25"/>
      <c r="AAG25"/>
      <c r="AAH25"/>
      <c r="AAI25"/>
      <c r="AAJ25" s="33"/>
      <c r="AAK25" s="34"/>
      <c r="AAL25" s="34"/>
      <c r="AAM25" s="35"/>
      <c r="AAN25" s="26"/>
      <c r="AAO25"/>
      <c r="AAP25"/>
      <c r="AAQ25"/>
      <c r="AAR25"/>
      <c r="AAS25"/>
      <c r="AAT25"/>
      <c r="AAU25" s="34">
        <f>+Tabla5789141516343536373839404142434445464748495051[[#This Row],[Recuento]]*Tabla5789141516343536373839404142434445464748495051[[#This Row],[Volúmen bruto]]</f>
        <v>0</v>
      </c>
      <c r="AAV25" s="34">
        <f>+Tabla5789141516343536373839404142434445464748495051[[#This Row],[Recuento]]*Tabla5789141516343536373839404142434445464748495051[[#This Row],[Área neta]]</f>
        <v>0</v>
      </c>
      <c r="AAW25" s="35"/>
      <c r="AAX25" s="26"/>
      <c r="AAY25"/>
      <c r="AAZ25"/>
      <c r="ABA25"/>
      <c r="ABB25"/>
      <c r="ABC25"/>
      <c r="ABD25" s="33"/>
      <c r="ABE25" s="34"/>
      <c r="ABF25" s="34"/>
      <c r="ABG25" s="35"/>
      <c r="ABH25" s="26"/>
      <c r="ABI25"/>
      <c r="ABJ25"/>
      <c r="ABK25"/>
      <c r="ABL25"/>
      <c r="ABM25"/>
      <c r="ABN25" s="33"/>
      <c r="ABO25" s="34"/>
      <c r="ABP25" s="34"/>
      <c r="ABQ25" s="35"/>
      <c r="ABR25" s="26"/>
      <c r="ABS25"/>
      <c r="ABT25"/>
      <c r="ABU25"/>
      <c r="ABV25"/>
      <c r="ABW25"/>
      <c r="ABX25" s="33"/>
      <c r="ABY25" s="34"/>
      <c r="ABZ25" s="34"/>
      <c r="ACA25" s="35"/>
      <c r="ACB25" s="26"/>
      <c r="ACC25"/>
      <c r="ACD25"/>
      <c r="ACE25"/>
      <c r="ACF25"/>
      <c r="ACG25"/>
      <c r="ACH25" s="33"/>
      <c r="ACI25" s="34"/>
      <c r="ACJ25" s="34"/>
      <c r="ACK25" s="35"/>
      <c r="ACL25" s="26"/>
      <c r="ACM25"/>
      <c r="ACN25"/>
      <c r="ACO25"/>
      <c r="ACP25"/>
      <c r="ACQ25"/>
      <c r="ACR25" s="33"/>
      <c r="ACS25" s="34"/>
      <c r="ACT25" s="34"/>
      <c r="ACU25" s="35"/>
      <c r="ACV25" s="26"/>
      <c r="ACW25" t="s">
        <v>1249</v>
      </c>
      <c r="ACX25" s="1">
        <v>2</v>
      </c>
      <c r="ACY25" s="2">
        <v>0.35</v>
      </c>
      <c r="ACZ25" s="2">
        <v>2.1</v>
      </c>
      <c r="ADA25" s="38">
        <v>2</v>
      </c>
      <c r="ADB25" s="2">
        <f t="shared" si="1"/>
        <v>1.47</v>
      </c>
      <c r="ADD25" s="2" t="s">
        <v>1720</v>
      </c>
      <c r="ADE25" s="2">
        <v>0.85</v>
      </c>
      <c r="ADF25" s="2">
        <v>4</v>
      </c>
      <c r="ADG25" s="26">
        <f t="shared" ref="ADG25:ADG38" si="19">+ADF25*ADE25</f>
        <v>3.4</v>
      </c>
      <c r="ADH25"/>
      <c r="ADI25"/>
      <c r="ADJ25"/>
      <c r="ADK25"/>
      <c r="ADL25"/>
      <c r="ADM25"/>
      <c r="ADN25">
        <f ca="1">+Tabla578914151634353637383940414243444546474849505152535560[[#This Row],[G. Total]]*Tabla578914151634353637383940414243444546474849505152535560[[#This Row],[Recuento]]</f>
        <v>0</v>
      </c>
      <c r="ADO25" s="35"/>
      <c r="ADP25" s="26"/>
      <c r="ADQ25"/>
      <c r="ADR25"/>
      <c r="ADS25"/>
      <c r="ADT25"/>
      <c r="ADU25"/>
      <c r="ADV25" s="35"/>
      <c r="ADW25" s="35"/>
      <c r="ADX25"/>
      <c r="ADY25"/>
      <c r="ADZ25"/>
      <c r="AEA25"/>
      <c r="AEB25"/>
      <c r="AEC25">
        <f ca="1">+Tabla57891415163435363738394041424344454647484950515253556062[[#This Row],[Total]]*Tabla57891415163435363738394041424344454647484950515253556062[[#This Row],[Recuento]]</f>
        <v>0</v>
      </c>
      <c r="AED25" s="35"/>
      <c r="AEE25" s="26"/>
      <c r="AEF25"/>
      <c r="AEG25"/>
      <c r="AEH25"/>
      <c r="AEI25"/>
      <c r="AEJ25"/>
      <c r="AEK25" s="35"/>
      <c r="AEL25" s="35"/>
      <c r="AEM25" t="s">
        <v>1522</v>
      </c>
      <c r="AEN25" t="s">
        <v>1523</v>
      </c>
      <c r="AEO25" t="s">
        <v>453</v>
      </c>
      <c r="AEP25">
        <v>0.48</v>
      </c>
      <c r="AEQ25">
        <v>1</v>
      </c>
      <c r="AER25">
        <f ca="1">+Tabla5789141516343536373839404142434445464748495051525355606264[[#This Row],[G. Total]]*Tabla5789141516343536373839404142434445464748495051525355606264[[#This Row],[Recuento]]</f>
        <v>0.48</v>
      </c>
      <c r="AES25" s="36"/>
      <c r="AET25" s="26"/>
      <c r="AEU25"/>
      <c r="AEV25"/>
      <c r="AEW25"/>
      <c r="AEX25"/>
      <c r="AEY25"/>
      <c r="AEZ25" s="35"/>
      <c r="AFA25" s="26"/>
      <c r="AFB25"/>
      <c r="AFC25"/>
      <c r="AFD25"/>
      <c r="AFE25"/>
      <c r="AFF25"/>
      <c r="AFG25"/>
      <c r="AFH25"/>
      <c r="AFI25"/>
      <c r="AFJ25"/>
      <c r="AFK25"/>
      <c r="AFL25"/>
      <c r="AFM25">
        <f ca="1">+Tabla578914151634353637383940414243444546474849505152535560626467[[#This Row],[G. Total]]*Tabla578914151634353637383940414243444546474849505152535560626467[[#This Row],[Recuento]]</f>
        <v>0</v>
      </c>
      <c r="AFN25" s="35"/>
      <c r="AFO25" s="26"/>
      <c r="AFP25" s="2" t="s">
        <v>109</v>
      </c>
      <c r="AFQ25" s="2">
        <f>101*2</f>
        <v>202</v>
      </c>
      <c r="AFR25" s="2">
        <f>0.12*2</f>
        <v>0.24</v>
      </c>
      <c r="AFS25" s="2">
        <f>+AFR25*AFQ25</f>
        <v>48.48</v>
      </c>
      <c r="AFT25" s="2">
        <v>2</v>
      </c>
      <c r="AFU25" s="2">
        <f>+AFT25*AFQ25</f>
        <v>404</v>
      </c>
      <c r="AFW25" s="2" t="s">
        <v>109</v>
      </c>
      <c r="AFX25" s="2">
        <v>123</v>
      </c>
      <c r="AFY25" s="2">
        <f>0.12*2</f>
        <v>0.24</v>
      </c>
      <c r="AFZ25" s="2">
        <f>+AFY25*AFX25</f>
        <v>29.52</v>
      </c>
      <c r="AGA25" s="2">
        <v>2</v>
      </c>
      <c r="AGB25" s="2">
        <f>+AGA25*AFX25</f>
        <v>246</v>
      </c>
    </row>
    <row r="26" spans="1:860" ht="15" customHeight="1" x14ac:dyDescent="0.25">
      <c r="A26">
        <v>1</v>
      </c>
      <c r="B26" t="s">
        <v>1863</v>
      </c>
      <c r="C26" t="s">
        <v>1225</v>
      </c>
      <c r="D26" t="s">
        <v>1550</v>
      </c>
      <c r="E26">
        <v>0.21</v>
      </c>
      <c r="F26">
        <v>3.62</v>
      </c>
      <c r="G26"/>
      <c r="H26">
        <f>+Tabla3[[#This Row],[Volúmen neto]]*A26</f>
        <v>0.21</v>
      </c>
      <c r="I26">
        <f>+Tabla3[[#This Row],[Longitud de eje]]*A26</f>
        <v>3.62</v>
      </c>
      <c r="J26"/>
      <c r="K26"/>
      <c r="L26"/>
      <c r="M26"/>
      <c r="N26"/>
      <c r="O26"/>
      <c r="P26"/>
      <c r="Q26"/>
      <c r="R26">
        <f>+Tabla5[[#This Row],[Recuento]]*Tabla5[[#This Row],[Volúmen bruto]]</f>
        <v>0</v>
      </c>
      <c r="S26">
        <f>+Tabla5[[#This Row],[Recuento]]*Tabla5[[#This Row],[Área neta]]</f>
        <v>0</v>
      </c>
      <c r="T26">
        <f>+Tabla5[[#This Row],[Longitud nominal]]*Tabla5[[#This Row],[Recuento]]</f>
        <v>0</v>
      </c>
      <c r="U26" s="26"/>
      <c r="V26"/>
      <c r="W26"/>
      <c r="X26"/>
      <c r="Y26"/>
      <c r="Z26"/>
      <c r="AA26"/>
      <c r="AB26"/>
      <c r="AC26"/>
      <c r="AD26"/>
      <c r="AE26"/>
      <c r="AF26"/>
      <c r="AG26" s="26">
        <f t="shared" si="4"/>
        <v>0</v>
      </c>
      <c r="AH26"/>
      <c r="AI26"/>
      <c r="AJ26"/>
      <c r="AK26"/>
      <c r="AL26"/>
      <c r="AM26"/>
      <c r="AN26"/>
      <c r="AO26"/>
      <c r="AP26"/>
      <c r="AQ26"/>
      <c r="AR26"/>
      <c r="AS26" s="26">
        <f t="shared" si="5"/>
        <v>0</v>
      </c>
      <c r="AT26"/>
      <c r="AU26"/>
      <c r="AV26"/>
      <c r="AW26"/>
      <c r="AX26"/>
      <c r="AY26"/>
      <c r="AZ26"/>
      <c r="BA26"/>
      <c r="BB26"/>
      <c r="BC26"/>
      <c r="BD26"/>
      <c r="BE26" s="26">
        <f t="shared" si="6"/>
        <v>0</v>
      </c>
      <c r="BF26">
        <v>6</v>
      </c>
      <c r="BG26" t="s">
        <v>1862</v>
      </c>
      <c r="BH26" t="s">
        <v>1524</v>
      </c>
      <c r="BI26" t="s">
        <v>1406</v>
      </c>
      <c r="BJ26">
        <v>0.94</v>
      </c>
      <c r="BK26">
        <v>1.5</v>
      </c>
      <c r="BL26">
        <f>+Tabla3102[[#This Row],[En culmo]]*BF26</f>
        <v>9</v>
      </c>
      <c r="BM26"/>
      <c r="BN26">
        <v>1</v>
      </c>
      <c r="BO26"/>
      <c r="BP26"/>
      <c r="BQ26"/>
      <c r="BR26"/>
      <c r="BS26"/>
      <c r="BT26">
        <f>+Tabla31069[[#This Row],[Longitud de eje]]*BN26</f>
        <v>0</v>
      </c>
      <c r="BU26"/>
      <c r="BV26">
        <v>1</v>
      </c>
      <c r="BW26" t="s">
        <v>1862</v>
      </c>
      <c r="BX26" t="s">
        <v>1525</v>
      </c>
      <c r="BY26" t="s">
        <v>1406</v>
      </c>
      <c r="BZ26">
        <v>1.9</v>
      </c>
      <c r="CA26">
        <v>2.5</v>
      </c>
      <c r="CB26">
        <f>+Tabla31011[[#This Row],[En culmo]]*BV26</f>
        <v>2.5</v>
      </c>
      <c r="CD26">
        <v>22</v>
      </c>
      <c r="CE26" t="s">
        <v>1862</v>
      </c>
      <c r="CF26" t="s">
        <v>1525</v>
      </c>
      <c r="CG26" t="s">
        <v>1405</v>
      </c>
      <c r="CH26">
        <v>5</v>
      </c>
      <c r="CI26">
        <v>5.5</v>
      </c>
      <c r="CJ26">
        <f>+Tabla3101170[[#This Row],[En culmo]]*CD26</f>
        <v>121</v>
      </c>
      <c r="CK26"/>
      <c r="CR26">
        <f>+Tabla31011116[[#This Row],[En culmo]]*CT26</f>
        <v>0</v>
      </c>
      <c r="CT26">
        <v>32</v>
      </c>
      <c r="CU26" t="s">
        <v>1862</v>
      </c>
      <c r="CV26" t="s">
        <v>1383</v>
      </c>
      <c r="CW26" t="s">
        <v>1405</v>
      </c>
      <c r="CX26">
        <v>2.83</v>
      </c>
      <c r="CY26">
        <v>2.5</v>
      </c>
      <c r="CZ26">
        <f>+Tabla3101170117[[#This Row],[En culmo]]*CT26</f>
        <v>80</v>
      </c>
      <c r="DA26"/>
      <c r="DB26">
        <v>2</v>
      </c>
      <c r="DC26" t="s">
        <v>1862</v>
      </c>
      <c r="DD26" t="s">
        <v>1383</v>
      </c>
      <c r="DE26" t="s">
        <v>1723</v>
      </c>
      <c r="DF26">
        <v>1.27</v>
      </c>
      <c r="DG26">
        <f>+Tabla31011704[[#This Row],[Longitud de eje]]*DB26</f>
        <v>2.54</v>
      </c>
      <c r="DH26"/>
      <c r="DI26"/>
      <c r="DJ26"/>
      <c r="DK26"/>
      <c r="DL26"/>
      <c r="DM26"/>
      <c r="DN26">
        <f>+Tabla3101170411[[#This Row],[Longitud de eje]]*DI26</f>
        <v>0</v>
      </c>
      <c r="DO26"/>
      <c r="DP26"/>
      <c r="DQ26"/>
      <c r="DR26"/>
      <c r="DS26"/>
      <c r="DT26"/>
      <c r="DU26">
        <f>+Tabla3101170411120[[#This Row],[Longitud de eje]]*DP26</f>
        <v>0</v>
      </c>
      <c r="DV26"/>
      <c r="DW26"/>
      <c r="DX26"/>
      <c r="DY26"/>
      <c r="DZ26"/>
      <c r="EA26"/>
      <c r="EB26">
        <f>+Tabla3101170411120122[[#This Row],[Longitud de eje]]*DW26</f>
        <v>0</v>
      </c>
      <c r="EC26"/>
      <c r="ED26">
        <v>1</v>
      </c>
      <c r="EE26" t="s">
        <v>1862</v>
      </c>
      <c r="EF26" t="s">
        <v>1524</v>
      </c>
      <c r="EG26" t="s">
        <v>1406</v>
      </c>
      <c r="EH26">
        <v>1.88</v>
      </c>
      <c r="EI26">
        <v>2.5</v>
      </c>
      <c r="EJ26">
        <f>+Tabla3101112[[#This Row],[En culmo]]*ED26</f>
        <v>2.5</v>
      </c>
      <c r="EK26"/>
      <c r="EL26"/>
      <c r="EM26"/>
      <c r="EN26"/>
      <c r="EO26"/>
      <c r="EP26"/>
      <c r="EQ26"/>
      <c r="ER26">
        <f>+Tabla3101112123[[#This Row],[En culmo]]*EL26</f>
        <v>0</v>
      </c>
      <c r="ES26"/>
      <c r="ET26">
        <v>1</v>
      </c>
      <c r="EU26" t="s">
        <v>1862</v>
      </c>
      <c r="EV26" t="s">
        <v>1525</v>
      </c>
      <c r="EW26" t="s">
        <v>1406</v>
      </c>
      <c r="EX26">
        <v>3.39</v>
      </c>
      <c r="EY26">
        <v>4</v>
      </c>
      <c r="EZ26">
        <f>+Tabla310111257[[#This Row],[En culmo]]*ET26</f>
        <v>4</v>
      </c>
      <c r="FA26"/>
      <c r="FB26"/>
      <c r="FC26"/>
      <c r="FD26"/>
      <c r="FE26"/>
      <c r="FF26"/>
      <c r="FG26">
        <v>4</v>
      </c>
      <c r="FH26">
        <f>+Tabla310111257124[[#This Row],[En culmo]]*FB26</f>
        <v>0</v>
      </c>
      <c r="FI26"/>
      <c r="FK26"/>
      <c r="FL26"/>
      <c r="FM26"/>
      <c r="FN26"/>
      <c r="FO26"/>
      <c r="FP26"/>
      <c r="FQ26"/>
      <c r="FS26"/>
      <c r="FT26"/>
      <c r="FU26"/>
      <c r="FV26"/>
      <c r="FW26"/>
      <c r="FX26"/>
      <c r="FY26"/>
      <c r="FZ26">
        <v>2</v>
      </c>
      <c r="GA26" t="s">
        <v>1862</v>
      </c>
      <c r="GB26" t="s">
        <v>1524</v>
      </c>
      <c r="GC26" t="s">
        <v>1584</v>
      </c>
      <c r="GD26">
        <v>0.1</v>
      </c>
      <c r="GE26">
        <v>2.4</v>
      </c>
      <c r="GF26">
        <f>+Tabla3101112131157[[#This Row],[Volúmen]]*FZ26</f>
        <v>0.2</v>
      </c>
      <c r="GG26">
        <f>+Tabla3101112131157[[#This Row],[Longitud del eje]]*FZ26</f>
        <v>4.8</v>
      </c>
      <c r="GI26"/>
      <c r="GJ26"/>
      <c r="GK26"/>
      <c r="GL26"/>
      <c r="GM26"/>
      <c r="GN26"/>
      <c r="GO26"/>
      <c r="GQ26" t="s">
        <v>1862</v>
      </c>
      <c r="GR26" t="s">
        <v>1383</v>
      </c>
      <c r="GS26" t="s">
        <v>1667</v>
      </c>
      <c r="GT26">
        <v>0.19</v>
      </c>
      <c r="GU26">
        <v>2.06</v>
      </c>
      <c r="GV26">
        <v>1</v>
      </c>
      <c r="GW26">
        <f>+Tabla578914[[#This Row],[Recuento]]*Tabla578914[[#This Row],[Volúmen bruto]]</f>
        <v>0.19</v>
      </c>
      <c r="GX26">
        <f>+Tabla578914[[#This Row],[Recuento]]*Tabla578914[[#This Row],[Área neta]]</f>
        <v>2.06</v>
      </c>
      <c r="GY26" s="36"/>
      <c r="HA26" t="s">
        <v>1862</v>
      </c>
      <c r="HB26" t="s">
        <v>1383</v>
      </c>
      <c r="HC26" t="s">
        <v>1667</v>
      </c>
      <c r="HD26">
        <v>0.87</v>
      </c>
      <c r="HE26">
        <v>9.6999999999999993</v>
      </c>
      <c r="HF26">
        <v>1</v>
      </c>
      <c r="HG26">
        <f>+Tabla578914126[[#This Row],[Recuento]]*Tabla578914126[[#This Row],[Volúmen bruto]]</f>
        <v>0.87</v>
      </c>
      <c r="HH26">
        <f>+Tabla578914126[[#This Row],[Recuento]]*Tabla578914126[[#This Row],[Área neta]]</f>
        <v>9.6999999999999993</v>
      </c>
      <c r="HI26" s="36"/>
      <c r="HK26"/>
      <c r="HL26"/>
      <c r="HM26"/>
      <c r="HN26"/>
      <c r="HO26"/>
      <c r="HP26"/>
      <c r="HQ26">
        <f>+Tabla578914126127[[#This Row],[Recuento]]*Tabla578914126127[[#This Row],[Volúmen bruto]]</f>
        <v>0</v>
      </c>
      <c r="HR26">
        <f>+Tabla578914126127[[#This Row],[Recuento]]*Tabla578914126127[[#This Row],[Área neta]]</f>
        <v>0</v>
      </c>
      <c r="HS26" s="36"/>
      <c r="HT26" s="26"/>
      <c r="HU26"/>
      <c r="HV26"/>
      <c r="HW26"/>
      <c r="HX26"/>
      <c r="HY26"/>
      <c r="HZ26"/>
      <c r="IA26"/>
      <c r="IB26"/>
      <c r="IC26" s="36"/>
      <c r="ID26" s="26"/>
      <c r="IE26"/>
      <c r="IF26"/>
      <c r="IG26"/>
      <c r="IH26"/>
      <c r="II26"/>
      <c r="IJ26"/>
      <c r="IK26"/>
      <c r="IL26"/>
      <c r="IM26" s="36"/>
      <c r="IN26" s="26"/>
      <c r="IO26"/>
      <c r="IP26"/>
      <c r="IQ26"/>
      <c r="IR26"/>
      <c r="IS26"/>
      <c r="IT26"/>
      <c r="IU26"/>
      <c r="IV26">
        <f>+Tabla520212223[[#This Row],[Recuento]]*Tabla520212223[[#This Row],[Área neta]]</f>
        <v>0</v>
      </c>
      <c r="IW26" s="26">
        <f t="shared" si="0"/>
        <v>0</v>
      </c>
      <c r="IY26"/>
      <c r="IZ26"/>
      <c r="JA26"/>
      <c r="JB26"/>
      <c r="JC26"/>
      <c r="JD26"/>
      <c r="JE26">
        <f>+Tabla520212224[[#This Row],[Recuento]]*Tabla520212224[[#This Row],[Volúmen bruto]]</f>
        <v>0</v>
      </c>
      <c r="JF26">
        <f>+Tabla520212224[[#This Row],[Recuento]]*Tabla520212224[[#This Row],[Área neta]]</f>
        <v>0</v>
      </c>
      <c r="JG26" s="26"/>
      <c r="JI26" t="s">
        <v>1862</v>
      </c>
      <c r="JJ26" t="s">
        <v>1525</v>
      </c>
      <c r="JK26" t="s">
        <v>98</v>
      </c>
      <c r="JL26">
        <v>0.01</v>
      </c>
      <c r="JM26">
        <v>7.77</v>
      </c>
      <c r="JN26">
        <v>1</v>
      </c>
      <c r="JO26">
        <f>+Tabla52021222425[[#This Row],[Recuento]]*Tabla52021222425[[#This Row],[Volúmen bruto]]</f>
        <v>0.01</v>
      </c>
      <c r="JP26">
        <f>+Tabla52021222425[[#This Row],[Recuento]]*Tabla52021222425[[#This Row],[Área neta]]</f>
        <v>7.77</v>
      </c>
      <c r="JQ26" s="26"/>
      <c r="JS26" t="s">
        <v>1862</v>
      </c>
      <c r="JT26" t="s">
        <v>1525</v>
      </c>
      <c r="JU26" t="s">
        <v>1677</v>
      </c>
      <c r="JV26">
        <v>0</v>
      </c>
      <c r="JW26">
        <v>3.04</v>
      </c>
      <c r="JX26">
        <v>1</v>
      </c>
      <c r="JY26">
        <f>+Tabla5202122242526[[#This Row],[Recuento]]*Tabla5202122242526[[#This Row],[Volúmen bruto]]</f>
        <v>0</v>
      </c>
      <c r="JZ26">
        <f>+Tabla5202122242526[[#This Row],[Recuento]]*Tabla5202122242526[[#This Row],[Área neta]]</f>
        <v>3.04</v>
      </c>
      <c r="KA26" s="26"/>
      <c r="KC26"/>
      <c r="KD26"/>
      <c r="KE26"/>
      <c r="KF26"/>
      <c r="KG26"/>
      <c r="KH26"/>
      <c r="KI26">
        <f>+Tabla5202122242526104[[#This Row],[Recuento]]*Tabla5202122242526104[[#This Row],[Volúmen bruto]]</f>
        <v>0</v>
      </c>
      <c r="KJ26">
        <f>+Tabla5202122242526104[[#This Row],[Recuento]]*Tabla5202122242526104[[#This Row],[Área neta]]</f>
        <v>0</v>
      </c>
      <c r="KK26" s="26"/>
      <c r="KM26" t="s">
        <v>1862</v>
      </c>
      <c r="KN26" t="s">
        <v>1525</v>
      </c>
      <c r="KO26" t="s">
        <v>97</v>
      </c>
      <c r="KP26">
        <v>0.09</v>
      </c>
      <c r="KQ26">
        <v>4.26</v>
      </c>
      <c r="KR26">
        <v>1</v>
      </c>
      <c r="KS26">
        <f>+Tabla5202122242526104110[[#This Row],[Recuento]]*Tabla5202122242526104110[[#This Row],[Volúmen bruto]]</f>
        <v>0.09</v>
      </c>
      <c r="KT26">
        <f>+Tabla5202122242526104110[[#This Row],[Recuento]]*Tabla5202122242526104110[[#This Row],[Área neta]]</f>
        <v>4.26</v>
      </c>
      <c r="KU26" s="26"/>
      <c r="KW26"/>
      <c r="KX26"/>
      <c r="KY26"/>
      <c r="KZ26"/>
      <c r="LA26"/>
      <c r="LB26"/>
      <c r="LC26">
        <f>+Tabla520212224252659[[#This Row],[Recuento]]*Tabla520212224252659[[#This Row],[Volúmen bruto]]</f>
        <v>0</v>
      </c>
      <c r="LD26">
        <f>+Tabla520212224252659[[#This Row],[Recuento]]*Tabla520212224252659[[#This Row],[Área neta]]</f>
        <v>0</v>
      </c>
      <c r="LE26" s="26"/>
      <c r="LG26"/>
      <c r="LH26"/>
      <c r="LI26"/>
      <c r="LJ26"/>
      <c r="LK26"/>
      <c r="LL26"/>
      <c r="LM26">
        <f>+Tabla520212224252659111[[#This Row],[Recuento]]*Tabla520212224252659111[[#This Row],[Volúmen bruto]]</f>
        <v>0</v>
      </c>
      <c r="LN26">
        <f>+Tabla520212224252659111[[#This Row],[Recuento]]*Tabla520212224252659111[[#This Row],[Área neta]]</f>
        <v>0</v>
      </c>
      <c r="LO26" s="26"/>
      <c r="LQ26"/>
      <c r="LR26"/>
      <c r="LS26"/>
      <c r="LT26"/>
      <c r="LU26"/>
      <c r="LV26"/>
      <c r="LW26">
        <f>+Tabla520212224252659111114[[#This Row],[Recuento]]*Tabla520212224252659111114[[#This Row],[Volúmen bruto]]</f>
        <v>0</v>
      </c>
      <c r="LX26">
        <f>+Tabla520212224252659111114[[#This Row],[Recuento]]*Tabla520212224252659111114[[#This Row],[Área neta]]</f>
        <v>0</v>
      </c>
      <c r="LY26" s="26"/>
      <c r="MA26" t="s">
        <v>1862</v>
      </c>
      <c r="MB26" t="s">
        <v>1524</v>
      </c>
      <c r="MC26" t="s">
        <v>98</v>
      </c>
      <c r="MD26">
        <v>0</v>
      </c>
      <c r="ME26">
        <v>1.1100000000000001</v>
      </c>
      <c r="MF26">
        <v>1</v>
      </c>
      <c r="MG26">
        <f>+Tabla520212224252659111114128[[#This Row],[Recuento]]*Tabla520212224252659111114128[[#This Row],[Volúmen bruto]]</f>
        <v>0</v>
      </c>
      <c r="MH26">
        <f>+Tabla520212224252659111114128[[#This Row],[Recuento]]*Tabla520212224252659111114128[[#This Row],[Área neta]]</f>
        <v>1.1100000000000001</v>
      </c>
      <c r="MI26" s="26"/>
      <c r="MK26"/>
      <c r="ML26"/>
      <c r="MM26"/>
      <c r="MN26"/>
      <c r="MO26"/>
      <c r="MP26"/>
      <c r="MQ26">
        <f>+Tabla520212224252627[[#This Row],[Recuento]]*Tabla520212224252627[[#This Row],[Volúmen bruto]]</f>
        <v>0</v>
      </c>
      <c r="MR26">
        <f>+Tabla520212224252627[[#This Row],[Recuento]]*Tabla520212224252627[[#This Row],[Área neta]]</f>
        <v>0</v>
      </c>
      <c r="MS26" s="26"/>
      <c r="MU26"/>
      <c r="MV26"/>
      <c r="MW26"/>
      <c r="MX26"/>
      <c r="MY26"/>
      <c r="MZ26"/>
      <c r="NA26">
        <f>+Tabla520212224252627129[[#This Row],[Recuento]]*Tabla520212224252627129[[#This Row],[Volúmen bruto]]</f>
        <v>0</v>
      </c>
      <c r="NB26">
        <f>+Tabla520212224252627129[[#This Row],[Recuento]]*Tabla520212224252627129[[#This Row],[Área neta]]</f>
        <v>0</v>
      </c>
      <c r="NC26" s="26"/>
      <c r="NE26"/>
      <c r="NF26"/>
      <c r="NG26"/>
      <c r="NH26"/>
      <c r="NI26"/>
      <c r="NJ26"/>
      <c r="NK26">
        <f>+Tabla520212224252627129125[[#This Row],[Recuento]]*Tabla520212224252627129125[[#This Row],[Volúmen bruto]]</f>
        <v>0</v>
      </c>
      <c r="NL26">
        <f>+Tabla520212224252627129125[[#This Row],[Recuento]]*Tabla520212224252627129125[[#This Row],[Área neta]]</f>
        <v>0</v>
      </c>
      <c r="NM26" s="26"/>
      <c r="NO26"/>
      <c r="NP26"/>
      <c r="NQ26"/>
      <c r="NR26"/>
      <c r="NS26"/>
      <c r="NT26"/>
      <c r="NU26">
        <f>+Tabla520212224252627129125130[[#This Row],[Recuento]]*Tabla520212224252627129125130[[#This Row],[Volúmen bruto]]</f>
        <v>0</v>
      </c>
      <c r="NV26">
        <f>+Tabla520212224252627129125130[[#This Row],[Recuento]]*Tabla520212224252627129125130[[#This Row],[Área neta]]</f>
        <v>0</v>
      </c>
      <c r="NW26" s="26"/>
      <c r="NY26"/>
      <c r="NZ26"/>
      <c r="OA26"/>
      <c r="OB26"/>
      <c r="OC26"/>
      <c r="OD26"/>
      <c r="OE26">
        <f>+Tabla520212224252627129125130131[[#This Row],[Recuento]]*Tabla520212224252627129125130131[[#This Row],[Volúmen bruto]]</f>
        <v>0</v>
      </c>
      <c r="OF26">
        <f>+Tabla520212224252627129125130131[[#This Row],[Recuento]]*Tabla520212224252627129125130131[[#This Row],[Área neta]]</f>
        <v>0</v>
      </c>
      <c r="OG26" s="26"/>
      <c r="OI26"/>
      <c r="OJ26"/>
      <c r="OK26"/>
      <c r="OL26"/>
      <c r="OM26"/>
      <c r="ON26"/>
      <c r="OO26">
        <f>+Tabla520212224252627129125130131132[[#This Row],[Recuento]]*Tabla520212224252627129125130131132[[#This Row],[Volúmen bruto]]</f>
        <v>0</v>
      </c>
      <c r="OP26">
        <f>+Tabla520212224252627129125130131132[[#This Row],[Recuento]]*Tabla520212224252627129125130131132[[#This Row],[Área neta]]</f>
        <v>0</v>
      </c>
      <c r="OQ26" s="26"/>
      <c r="OS26"/>
      <c r="OT26"/>
      <c r="OU26"/>
      <c r="OV26"/>
      <c r="OW26"/>
      <c r="OX26"/>
      <c r="OY26">
        <f>+Tabla52021222425262728[[#This Row],[Recuento]]*Tabla52021222425262728[[#This Row],[Volúmen bruto]]</f>
        <v>0</v>
      </c>
      <c r="OZ26">
        <f>+Tabla52021222425262728[[#This Row],[Recuento]]*Tabla52021222425262728[[#This Row],[Área neta]]</f>
        <v>0</v>
      </c>
      <c r="PA26" s="26"/>
      <c r="PC26" t="s">
        <v>1862</v>
      </c>
      <c r="PD26" t="s">
        <v>1525</v>
      </c>
      <c r="PE26" t="s">
        <v>1628</v>
      </c>
      <c r="PF26">
        <v>0.03</v>
      </c>
      <c r="PG26">
        <v>1.37</v>
      </c>
      <c r="PH26">
        <v>1</v>
      </c>
      <c r="PI26">
        <f>+Tabla52021222425262728133[[#This Row],[Recuento]]*Tabla52021222425262728133[[#This Row],[Volúmen bruto]]</f>
        <v>0.03</v>
      </c>
      <c r="PJ26">
        <f>+Tabla52021222425262728133[[#This Row],[Recuento]]*Tabla52021222425262728133[[#This Row],[Área neta]]</f>
        <v>1.37</v>
      </c>
      <c r="PK26" s="26"/>
      <c r="PM26"/>
      <c r="PN26"/>
      <c r="PO26"/>
      <c r="PP26"/>
      <c r="PQ26"/>
      <c r="PR26"/>
      <c r="PS26">
        <f>+Tabla5202122242526272893[[#This Row],[Recuento]]*Tabla5202122242526272893[[#This Row],[Volúmen bruto]]</f>
        <v>0</v>
      </c>
      <c r="PT26">
        <f>+Tabla5202122242526272893[[#This Row],[Recuento]]*Tabla5202122242526272893[[#This Row],[Área neta]]</f>
        <v>0</v>
      </c>
      <c r="PU26" s="26"/>
      <c r="PW26" t="s">
        <v>1862</v>
      </c>
      <c r="PX26" t="s">
        <v>1525</v>
      </c>
      <c r="PY26" t="s">
        <v>97</v>
      </c>
      <c r="PZ26">
        <v>0.06</v>
      </c>
      <c r="QA26">
        <v>3.02</v>
      </c>
      <c r="QB26">
        <v>1</v>
      </c>
      <c r="QC26">
        <f>+Tabla520212224252627289349[[#This Row],[Recuento]]*Tabla520212224252627289349[[#This Row],[Volúmen bruto]]</f>
        <v>0.06</v>
      </c>
      <c r="QD26">
        <f>+Tabla520212224252627289349[[#This Row],[Recuento]]*Tabla520212224252627289349[[#This Row],[Área neta]]</f>
        <v>3.02</v>
      </c>
      <c r="QE26" s="26"/>
      <c r="QG26"/>
      <c r="QH26"/>
      <c r="QI26"/>
      <c r="QJ26"/>
      <c r="QK26"/>
      <c r="QL26"/>
      <c r="QM26">
        <f>+Tabla520212224252627289349134[[#This Row],[Recuento]]*Tabla520212224252627289349134[[#This Row],[Volúmen bruto]]</f>
        <v>0</v>
      </c>
      <c r="QN26">
        <f>+Tabla520212224252627289349134[[#This Row],[Recuento]]*Tabla520212224252627289349134[[#This Row],[Área neta]]</f>
        <v>0</v>
      </c>
      <c r="QO26" s="26"/>
      <c r="QQ26" t="s">
        <v>1862</v>
      </c>
      <c r="QR26" t="s">
        <v>1524</v>
      </c>
      <c r="QS26" t="s">
        <v>1726</v>
      </c>
      <c r="QT26">
        <v>0.11</v>
      </c>
      <c r="QU26">
        <v>0.54</v>
      </c>
      <c r="QV26">
        <v>1</v>
      </c>
      <c r="QW26">
        <v>1</v>
      </c>
      <c r="QX26">
        <f>+Tabla5202122242526272829[[#This Row],[Recuento]]*Tabla5202122242526272829[[#This Row],[Volúmen bruto]]</f>
        <v>0.11</v>
      </c>
      <c r="QY26">
        <f>+Tabla5202122242526272829[[#This Row],[Recuento]]*Tabla5202122242526272829[[#This Row],[Área neta]]</f>
        <v>0.54</v>
      </c>
      <c r="QZ26">
        <f>+Tabla5202122242526272829[[#This Row],[Recuento]]*Tabla5202122242526272829[[#This Row],[Longitud]]</f>
        <v>1</v>
      </c>
      <c r="RA26" s="26"/>
      <c r="RC26"/>
      <c r="RD26"/>
      <c r="RE26"/>
      <c r="RF26"/>
      <c r="RG26"/>
      <c r="RH26"/>
      <c r="RI26"/>
      <c r="RJ26"/>
      <c r="RK26" s="26"/>
      <c r="RM26"/>
      <c r="RN26"/>
      <c r="RO26"/>
      <c r="RP26"/>
      <c r="RQ26"/>
      <c r="RR26"/>
      <c r="RS26"/>
      <c r="RT26"/>
      <c r="RU26" s="26">
        <f t="shared" si="7"/>
        <v>0</v>
      </c>
      <c r="RW26"/>
      <c r="RX26"/>
      <c r="RY26"/>
      <c r="RZ26"/>
      <c r="SA26"/>
      <c r="SB26"/>
      <c r="SC26"/>
      <c r="SD26"/>
      <c r="SE26" s="26"/>
      <c r="SG26"/>
      <c r="SH26"/>
      <c r="SI26"/>
      <c r="SJ26"/>
      <c r="SK26"/>
      <c r="SL26"/>
      <c r="SM26">
        <f>+Tabla5202122242526272831323314[[#This Row],[Recuento]]*Tabla5202122242526272831323314[[#This Row],[Volúmen bruto]]</f>
        <v>0</v>
      </c>
      <c r="SN26">
        <f>+Tabla5202122242526272831323314[[#This Row],[Recuento]]*Tabla5202122242526272831323314[[#This Row],[Área neta]]</f>
        <v>0</v>
      </c>
      <c r="SO26" s="26"/>
      <c r="SQ26" t="s">
        <v>1862</v>
      </c>
      <c r="SR26" t="s">
        <v>1524</v>
      </c>
      <c r="SS26" t="s">
        <v>1627</v>
      </c>
      <c r="ST26">
        <v>1.76</v>
      </c>
      <c r="SU26">
        <v>8.81</v>
      </c>
      <c r="SV26">
        <v>1</v>
      </c>
      <c r="SW26" s="34">
        <f>+Tabla5789141516[[#This Row],[Recuento]]*Tabla5789141516[[#This Row],[Volúmen bruto]]</f>
        <v>1.76</v>
      </c>
      <c r="SX26" s="34">
        <f>+Tabla5789141516[[#This Row],[Recuento]]*Tabla5789141516[[#This Row],[Área neta]]</f>
        <v>8.81</v>
      </c>
      <c r="SY26" s="170"/>
      <c r="SZ26" s="26"/>
      <c r="TA26"/>
      <c r="TB26"/>
      <c r="TC26"/>
      <c r="TD26"/>
      <c r="TE26"/>
      <c r="TF26"/>
      <c r="TG26"/>
      <c r="TH26"/>
      <c r="TI26" s="36">
        <f t="shared" si="8"/>
        <v>0</v>
      </c>
      <c r="TJ26" s="26"/>
      <c r="TK26"/>
      <c r="TL26"/>
      <c r="TM26"/>
      <c r="TN26"/>
      <c r="TO26"/>
      <c r="TP26"/>
      <c r="TQ26" s="34">
        <f>+Tabla57891415163435[[#This Row],[Recuento]]*Tabla57891415163435[[#This Row],[Volúmen bruto]]</f>
        <v>0</v>
      </c>
      <c r="TR26" s="34">
        <f>+Tabla57891415163435[[#This Row],[Recuento]]*Tabla57891415163435[[#This Row],[Área neta]]</f>
        <v>0</v>
      </c>
      <c r="TS26" s="36">
        <f t="shared" si="9"/>
        <v>0</v>
      </c>
      <c r="TT26" s="26"/>
      <c r="TU26"/>
      <c r="TV26"/>
      <c r="TW26"/>
      <c r="TX26"/>
      <c r="TY26"/>
      <c r="TZ26"/>
      <c r="UA26"/>
      <c r="UB26"/>
      <c r="UC26" s="36">
        <f t="shared" si="10"/>
        <v>0</v>
      </c>
      <c r="UD26" s="26"/>
      <c r="UE26"/>
      <c r="UF26"/>
      <c r="UG26"/>
      <c r="UH26"/>
      <c r="UI26"/>
      <c r="UJ26"/>
      <c r="UK26"/>
      <c r="UL26"/>
      <c r="UM26" s="36">
        <f t="shared" si="11"/>
        <v>0</v>
      </c>
      <c r="UN26" s="26"/>
      <c r="UO26"/>
      <c r="UP26"/>
      <c r="UQ26"/>
      <c r="UR26"/>
      <c r="US26"/>
      <c r="UT26"/>
      <c r="UU26"/>
      <c r="UV26"/>
      <c r="UW26" s="36">
        <f t="shared" si="12"/>
        <v>0</v>
      </c>
      <c r="UX26" s="26"/>
      <c r="UY26"/>
      <c r="UZ26"/>
      <c r="VA26"/>
      <c r="VB26"/>
      <c r="VC26"/>
      <c r="VD26"/>
      <c r="VE26"/>
      <c r="VF26"/>
      <c r="VG26" s="36">
        <f t="shared" si="13"/>
        <v>0</v>
      </c>
      <c r="VH26" s="26"/>
      <c r="VI26"/>
      <c r="VJ26"/>
      <c r="VK26"/>
      <c r="VL26"/>
      <c r="VM26"/>
      <c r="VN26"/>
      <c r="VO26"/>
      <c r="VP26"/>
      <c r="VQ26" s="36">
        <f t="shared" si="14"/>
        <v>0</v>
      </c>
      <c r="VR26" s="26"/>
      <c r="VS26"/>
      <c r="VT26"/>
      <c r="VU26"/>
      <c r="VV26"/>
      <c r="VW26"/>
      <c r="VX26"/>
      <c r="VY26"/>
      <c r="VZ26"/>
      <c r="WA26" s="36">
        <f t="shared" si="15"/>
        <v>0</v>
      </c>
      <c r="WB26" s="26"/>
      <c r="WC26"/>
      <c r="WD26"/>
      <c r="WE26"/>
      <c r="WF26"/>
      <c r="WG26"/>
      <c r="WH26"/>
      <c r="WI26"/>
      <c r="WJ26"/>
      <c r="WK26" s="36">
        <f t="shared" si="16"/>
        <v>0</v>
      </c>
      <c r="WL26" s="26"/>
      <c r="WM26"/>
      <c r="WN26"/>
      <c r="WO26"/>
      <c r="WP26"/>
      <c r="WQ26"/>
      <c r="WR26"/>
      <c r="WS26"/>
      <c r="WT26"/>
      <c r="WU26" s="36">
        <f t="shared" si="17"/>
        <v>0</v>
      </c>
      <c r="WV26" s="26"/>
      <c r="WW26"/>
      <c r="WX26"/>
      <c r="WY26"/>
      <c r="WZ26"/>
      <c r="XA26"/>
      <c r="XB26"/>
      <c r="XC26"/>
      <c r="XD26"/>
      <c r="XE26" s="36">
        <f t="shared" si="18"/>
        <v>0</v>
      </c>
      <c r="XF26" s="26"/>
      <c r="XG26"/>
      <c r="XH26"/>
      <c r="XI26"/>
      <c r="XJ26"/>
      <c r="XK26"/>
      <c r="XL26"/>
      <c r="XM26" s="34">
        <f>+Tabla578914151634353637383940414243444536[[#This Row],[Recuento]]*Tabla578914151634353637383940414243444536[[#This Row],[Volúmen bruto]]</f>
        <v>0</v>
      </c>
      <c r="XN26" s="34">
        <f>+Tabla578914151634353637383940414243444536[[#This Row],[Recuento]]*Tabla578914151634353637383940414243444536[[#This Row],[Área neta]]</f>
        <v>0</v>
      </c>
      <c r="XO26" s="35"/>
      <c r="XP26" s="26"/>
      <c r="XQ26"/>
      <c r="XR26"/>
      <c r="XS26"/>
      <c r="XT26"/>
      <c r="XU26"/>
      <c r="XV26" s="33"/>
      <c r="XW26" s="34"/>
      <c r="XX26" s="34"/>
      <c r="XY26" s="35"/>
      <c r="XZ26" s="26"/>
      <c r="YA26"/>
      <c r="YB26"/>
      <c r="YC26"/>
      <c r="YD26"/>
      <c r="YE26"/>
      <c r="YF26" s="33"/>
      <c r="YG26" s="34"/>
      <c r="YH26" s="34"/>
      <c r="YI26" s="35"/>
      <c r="YJ26" s="35"/>
      <c r="YK26"/>
      <c r="YL26"/>
      <c r="YM26"/>
      <c r="YN26"/>
      <c r="YO26"/>
      <c r="YQ26"/>
      <c r="YR26"/>
      <c r="YS26"/>
      <c r="YT26"/>
      <c r="YU26"/>
      <c r="YV26" s="33"/>
      <c r="YW26" s="34"/>
      <c r="YX26" s="34"/>
      <c r="YY26" s="35"/>
      <c r="YZ26" s="26"/>
      <c r="ZA26"/>
      <c r="ZB26"/>
      <c r="ZC26"/>
      <c r="ZD26"/>
      <c r="ZE26"/>
      <c r="ZF26" s="33"/>
      <c r="ZG26" s="34"/>
      <c r="ZH26" s="34"/>
      <c r="ZI26" s="35"/>
      <c r="ZJ26" s="26"/>
      <c r="ZK26"/>
      <c r="ZL26"/>
      <c r="ZM26"/>
      <c r="ZN26"/>
      <c r="ZO26"/>
      <c r="ZP26" s="33"/>
      <c r="ZQ26" s="34"/>
      <c r="ZR26" s="34"/>
      <c r="ZS26" s="35"/>
      <c r="ZT26" s="26"/>
      <c r="ZU26"/>
      <c r="ZV26"/>
      <c r="ZW26"/>
      <c r="ZX26"/>
      <c r="ZY26"/>
      <c r="ZZ26" s="33"/>
      <c r="AAA26" s="34"/>
      <c r="AAB26" s="34"/>
      <c r="AAC26" s="35"/>
      <c r="AAD26" s="26"/>
      <c r="AAE26"/>
      <c r="AAF26"/>
      <c r="AAG26"/>
      <c r="AAH26"/>
      <c r="AAI26"/>
      <c r="AAJ26" s="33"/>
      <c r="AAK26" s="34"/>
      <c r="AAL26" s="34"/>
      <c r="AAM26" s="35"/>
      <c r="AAN26" s="26"/>
      <c r="AAO26"/>
      <c r="AAP26"/>
      <c r="AAQ26"/>
      <c r="AAR26"/>
      <c r="AAS26"/>
      <c r="AAT26"/>
      <c r="AAU26" s="34">
        <f>+Tabla5789141516343536373839404142434445464748495051[[#This Row],[Recuento]]*Tabla5789141516343536373839404142434445464748495051[[#This Row],[Volúmen bruto]]</f>
        <v>0</v>
      </c>
      <c r="AAV26" s="34">
        <f>+Tabla5789141516343536373839404142434445464748495051[[#This Row],[Recuento]]*Tabla5789141516343536373839404142434445464748495051[[#This Row],[Área neta]]</f>
        <v>0</v>
      </c>
      <c r="AAW26" s="35"/>
      <c r="AAX26" s="26"/>
      <c r="AAY26"/>
      <c r="AAZ26"/>
      <c r="ABA26"/>
      <c r="ABB26"/>
      <c r="ABC26"/>
      <c r="ABD26" s="33"/>
      <c r="ABE26" s="34"/>
      <c r="ABF26" s="34"/>
      <c r="ABG26" s="35"/>
      <c r="ABH26" s="26"/>
      <c r="ABI26"/>
      <c r="ABJ26"/>
      <c r="ABK26"/>
      <c r="ABL26"/>
      <c r="ABM26"/>
      <c r="ABN26" s="33"/>
      <c r="ABO26" s="34"/>
      <c r="ABP26" s="34"/>
      <c r="ABQ26" s="35"/>
      <c r="ABR26" s="26"/>
      <c r="ABS26"/>
      <c r="ABT26"/>
      <c r="ABU26"/>
      <c r="ABV26"/>
      <c r="ABW26"/>
      <c r="ABX26" s="33"/>
      <c r="ABY26" s="34"/>
      <c r="ABZ26" s="34"/>
      <c r="ACA26" s="35"/>
      <c r="ACB26" s="26"/>
      <c r="ACC26"/>
      <c r="ACD26"/>
      <c r="ACE26"/>
      <c r="ACF26"/>
      <c r="ACG26"/>
      <c r="ACH26" s="33"/>
      <c r="ACI26" s="34"/>
      <c r="ACJ26" s="34"/>
      <c r="ACK26" s="35"/>
      <c r="ACL26" s="26"/>
      <c r="ACM26"/>
      <c r="ACN26"/>
      <c r="ACO26"/>
      <c r="ACP26"/>
      <c r="ACQ26"/>
      <c r="ACR26" s="33"/>
      <c r="ACS26" s="34"/>
      <c r="ACT26" s="34"/>
      <c r="ACU26" s="35"/>
      <c r="ACV26" s="26"/>
      <c r="ACW26" t="s">
        <v>1250</v>
      </c>
      <c r="ACX26" s="1">
        <v>2</v>
      </c>
      <c r="ACY26" s="2">
        <v>0.35</v>
      </c>
      <c r="ACZ26" s="2">
        <v>1.3</v>
      </c>
      <c r="ADA26" s="38">
        <v>2</v>
      </c>
      <c r="ADB26" s="2">
        <f t="shared" si="1"/>
        <v>0.90999999999999992</v>
      </c>
      <c r="ADD26" s="2" t="s">
        <v>1720</v>
      </c>
      <c r="ADE26" s="2">
        <v>1.26</v>
      </c>
      <c r="ADF26" s="2">
        <v>5</v>
      </c>
      <c r="ADG26" s="26">
        <f t="shared" si="19"/>
        <v>6.3</v>
      </c>
      <c r="ADH26"/>
      <c r="ADI26"/>
      <c r="ADJ26"/>
      <c r="ADK26"/>
      <c r="ADL26"/>
      <c r="ADM26"/>
      <c r="ADN26">
        <f ca="1">+Tabla578914151634353637383940414243444546474849505152535560[[#This Row],[G. Total]]*Tabla578914151634353637383940414243444546474849505152535560[[#This Row],[Recuento]]</f>
        <v>0</v>
      </c>
      <c r="ADO26" s="36"/>
      <c r="ADP26" s="26"/>
      <c r="ADQ26"/>
      <c r="ADR26"/>
      <c r="ADS26"/>
      <c r="ADT26"/>
      <c r="ADU26"/>
      <c r="ADV26" s="35"/>
      <c r="ADW26" s="35"/>
      <c r="ADX26"/>
      <c r="ADY26"/>
      <c r="ADZ26"/>
      <c r="AEA26"/>
      <c r="AEB26"/>
      <c r="AEC26">
        <f ca="1">+Tabla57891415163435363738394041424344454647484950515253556062[[#This Row],[Total]]*Tabla57891415163435363738394041424344454647484950515253556062[[#This Row],[Recuento]]</f>
        <v>0</v>
      </c>
      <c r="AED26" s="35"/>
      <c r="AEE26" s="26"/>
      <c r="AEF26"/>
      <c r="AEG26"/>
      <c r="AEH26"/>
      <c r="AEI26"/>
      <c r="AEJ26"/>
      <c r="AEK26" s="35"/>
      <c r="AEL26" s="35"/>
      <c r="AEM26" t="s">
        <v>1522</v>
      </c>
      <c r="AEN26" t="s">
        <v>1523</v>
      </c>
      <c r="AEO26" t="s">
        <v>453</v>
      </c>
      <c r="AEP26">
        <v>0.61</v>
      </c>
      <c r="AEQ26">
        <v>1</v>
      </c>
      <c r="AER26">
        <f ca="1">+Tabla5789141516343536373839404142434445464748495051525355606264[[#This Row],[G. Total]]*Tabla5789141516343536373839404142434445464748495051525355606264[[#This Row],[Recuento]]</f>
        <v>0.61</v>
      </c>
      <c r="AES26" s="35"/>
      <c r="AET26" s="26"/>
      <c r="AEU26"/>
      <c r="AEV26"/>
      <c r="AEW26"/>
      <c r="AEX26"/>
      <c r="AEY26"/>
      <c r="AEZ26" s="35"/>
      <c r="AFA26" s="26"/>
      <c r="AFB26"/>
      <c r="AFC26"/>
      <c r="AFD26"/>
      <c r="AFE26"/>
      <c r="AFF26"/>
      <c r="AFG26"/>
      <c r="AFH26"/>
      <c r="AFI26"/>
      <c r="AFJ26"/>
      <c r="AFK26"/>
      <c r="AFL26"/>
      <c r="AFM26">
        <f ca="1">+Tabla578914151634353637383940414243444546474849505152535560626467[[#This Row],[G. Total]]*Tabla578914151634353637383940414243444546474849505152535560626467[[#This Row],[Recuento]]</f>
        <v>0</v>
      </c>
      <c r="AFN26" s="35"/>
      <c r="AFO26" s="26"/>
      <c r="AFP26" s="2" t="s">
        <v>110</v>
      </c>
      <c r="AFW26" s="2" t="s">
        <v>110</v>
      </c>
    </row>
    <row r="27" spans="1:860" ht="15" customHeight="1" x14ac:dyDescent="0.25">
      <c r="A27">
        <v>1</v>
      </c>
      <c r="B27" t="s">
        <v>1863</v>
      </c>
      <c r="C27" t="s">
        <v>1225</v>
      </c>
      <c r="D27" t="s">
        <v>1550</v>
      </c>
      <c r="E27">
        <v>0.21</v>
      </c>
      <c r="F27">
        <v>3.61</v>
      </c>
      <c r="G27"/>
      <c r="H27">
        <f>+Tabla3[[#This Row],[Volúmen neto]]*A27</f>
        <v>0.21</v>
      </c>
      <c r="I27">
        <f>+Tabla3[[#This Row],[Longitud de eje]]*A27</f>
        <v>3.61</v>
      </c>
      <c r="J27"/>
      <c r="K27"/>
      <c r="L27"/>
      <c r="M27"/>
      <c r="N27"/>
      <c r="O27"/>
      <c r="P27"/>
      <c r="Q27"/>
      <c r="R27">
        <f>+Tabla5[[#This Row],[Recuento]]*Tabla5[[#This Row],[Volúmen bruto]]</f>
        <v>0</v>
      </c>
      <c r="S27">
        <f>+Tabla5[[#This Row],[Recuento]]*Tabla5[[#This Row],[Área neta]]</f>
        <v>0</v>
      </c>
      <c r="T27">
        <f>+Tabla5[[#This Row],[Longitud nominal]]*Tabla5[[#This Row],[Recuento]]</f>
        <v>0</v>
      </c>
      <c r="U27" s="26"/>
      <c r="V27"/>
      <c r="W27"/>
      <c r="X27"/>
      <c r="Y27"/>
      <c r="Z27"/>
      <c r="AA27"/>
      <c r="AB27"/>
      <c r="AC27"/>
      <c r="AD27"/>
      <c r="AE27"/>
      <c r="AF27"/>
      <c r="AG27" s="26">
        <f t="shared" si="4"/>
        <v>0</v>
      </c>
      <c r="AH27"/>
      <c r="AI27"/>
      <c r="AJ27"/>
      <c r="AK27"/>
      <c r="AL27"/>
      <c r="AM27"/>
      <c r="AN27"/>
      <c r="AO27"/>
      <c r="AP27"/>
      <c r="AQ27"/>
      <c r="AR27"/>
      <c r="AS27" s="26">
        <f t="shared" si="5"/>
        <v>0</v>
      </c>
      <c r="AT27"/>
      <c r="AU27"/>
      <c r="AV27"/>
      <c r="AW27"/>
      <c r="AX27"/>
      <c r="AY27"/>
      <c r="AZ27"/>
      <c r="BA27"/>
      <c r="BB27"/>
      <c r="BC27"/>
      <c r="BD27"/>
      <c r="BE27" s="26">
        <f t="shared" si="6"/>
        <v>0</v>
      </c>
      <c r="BF27">
        <v>2</v>
      </c>
      <c r="BG27" t="s">
        <v>1862</v>
      </c>
      <c r="BH27" t="s">
        <v>1524</v>
      </c>
      <c r="BI27" t="s">
        <v>1406</v>
      </c>
      <c r="BJ27">
        <v>1.24</v>
      </c>
      <c r="BK27">
        <v>1.5</v>
      </c>
      <c r="BL27">
        <f>+Tabla3102[[#This Row],[En culmo]]*BF27</f>
        <v>3</v>
      </c>
      <c r="BM27"/>
      <c r="BN27">
        <v>1</v>
      </c>
      <c r="BO27"/>
      <c r="BP27"/>
      <c r="BQ27"/>
      <c r="BR27"/>
      <c r="BS27"/>
      <c r="BT27">
        <f>+Tabla31069[[#This Row],[Longitud de eje]]*BN27</f>
        <v>0</v>
      </c>
      <c r="BU27"/>
      <c r="BV27">
        <v>3</v>
      </c>
      <c r="BW27" t="s">
        <v>1862</v>
      </c>
      <c r="BX27" t="s">
        <v>1525</v>
      </c>
      <c r="BY27" t="s">
        <v>1406</v>
      </c>
      <c r="BZ27">
        <v>8.26</v>
      </c>
      <c r="CA27">
        <v>8.5</v>
      </c>
      <c r="CB27">
        <f>+Tabla31011[[#This Row],[En culmo]]*BV27</f>
        <v>25.5</v>
      </c>
      <c r="CD27">
        <v>2</v>
      </c>
      <c r="CE27" t="s">
        <v>1862</v>
      </c>
      <c r="CF27" t="s">
        <v>1525</v>
      </c>
      <c r="CG27" t="s">
        <v>1405</v>
      </c>
      <c r="CH27">
        <v>0.94</v>
      </c>
      <c r="CI27">
        <v>1.5</v>
      </c>
      <c r="CJ27">
        <f>+Tabla3101170[[#This Row],[En culmo]]*CD27</f>
        <v>3</v>
      </c>
      <c r="CK27"/>
      <c r="CR27">
        <f>+Tabla31011116[[#This Row],[En culmo]]*CT27</f>
        <v>0</v>
      </c>
      <c r="CT27">
        <v>2</v>
      </c>
      <c r="CU27" t="s">
        <v>1862</v>
      </c>
      <c r="CV27" t="s">
        <v>1383</v>
      </c>
      <c r="CW27" t="s">
        <v>1405</v>
      </c>
      <c r="CX27">
        <v>1.9</v>
      </c>
      <c r="CY27">
        <v>1.5</v>
      </c>
      <c r="CZ27">
        <f>+Tabla3101170117[[#This Row],[En culmo]]*CT27</f>
        <v>3</v>
      </c>
      <c r="DA27"/>
      <c r="DB27">
        <v>2</v>
      </c>
      <c r="DC27" t="s">
        <v>1862</v>
      </c>
      <c r="DD27" t="s">
        <v>1383</v>
      </c>
      <c r="DE27" t="s">
        <v>1723</v>
      </c>
      <c r="DF27">
        <v>0.6</v>
      </c>
      <c r="DG27">
        <f>+Tabla31011704[[#This Row],[Longitud de eje]]*DB27</f>
        <v>1.2</v>
      </c>
      <c r="DH27"/>
      <c r="DI27"/>
      <c r="DJ27"/>
      <c r="DK27"/>
      <c r="DL27"/>
      <c r="DM27"/>
      <c r="DN27">
        <f>+Tabla3101170411[[#This Row],[Longitud de eje]]*DI27</f>
        <v>0</v>
      </c>
      <c r="DO27"/>
      <c r="DP27"/>
      <c r="DQ27"/>
      <c r="DR27"/>
      <c r="DS27"/>
      <c r="DT27"/>
      <c r="DU27">
        <f>+Tabla3101170411120[[#This Row],[Longitud de eje]]*DP27</f>
        <v>0</v>
      </c>
      <c r="DV27"/>
      <c r="DW27"/>
      <c r="DX27"/>
      <c r="DY27"/>
      <c r="DZ27"/>
      <c r="EA27"/>
      <c r="EB27">
        <f>+Tabla3101170411120122[[#This Row],[Longitud de eje]]*DW27</f>
        <v>0</v>
      </c>
      <c r="EC27"/>
      <c r="ED27">
        <v>5</v>
      </c>
      <c r="EE27" t="s">
        <v>1862</v>
      </c>
      <c r="EF27" t="s">
        <v>1524</v>
      </c>
      <c r="EG27" t="s">
        <v>1406</v>
      </c>
      <c r="EH27">
        <v>4.46</v>
      </c>
      <c r="EI27">
        <v>5</v>
      </c>
      <c r="EJ27">
        <f>+Tabla3101112[[#This Row],[En culmo]]*ED27</f>
        <v>25</v>
      </c>
      <c r="EK27"/>
      <c r="EL27"/>
      <c r="EM27"/>
      <c r="EN27"/>
      <c r="EO27"/>
      <c r="EP27"/>
      <c r="EQ27"/>
      <c r="ER27">
        <f>+Tabla3101112123[[#This Row],[En culmo]]*EL27</f>
        <v>0</v>
      </c>
      <c r="ES27"/>
      <c r="ET27">
        <v>2</v>
      </c>
      <c r="EU27" t="s">
        <v>1862</v>
      </c>
      <c r="EV27" t="s">
        <v>1525</v>
      </c>
      <c r="EW27" t="s">
        <v>1406</v>
      </c>
      <c r="EX27">
        <v>4.09</v>
      </c>
      <c r="EY27">
        <v>4.5</v>
      </c>
      <c r="EZ27">
        <f>+Tabla310111257[[#This Row],[En culmo]]*ET27</f>
        <v>9</v>
      </c>
      <c r="FA27"/>
      <c r="FB27"/>
      <c r="FC27"/>
      <c r="FD27"/>
      <c r="FE27"/>
      <c r="FF27"/>
      <c r="FG27">
        <v>4</v>
      </c>
      <c r="FH27">
        <f>+Tabla310111257124[[#This Row],[En culmo]]*FB27</f>
        <v>0</v>
      </c>
      <c r="FI27"/>
      <c r="FK27"/>
      <c r="FL27"/>
      <c r="FM27"/>
      <c r="FN27"/>
      <c r="FO27"/>
      <c r="FP27"/>
      <c r="FQ27"/>
      <c r="FS27"/>
      <c r="FT27"/>
      <c r="FU27"/>
      <c r="FV27"/>
      <c r="FW27"/>
      <c r="FX27"/>
      <c r="FY27"/>
      <c r="FZ27">
        <v>2</v>
      </c>
      <c r="GA27" t="s">
        <v>1862</v>
      </c>
      <c r="GB27" t="s">
        <v>1524</v>
      </c>
      <c r="GC27" t="s">
        <v>1584</v>
      </c>
      <c r="GD27">
        <v>0.06</v>
      </c>
      <c r="GE27">
        <v>1.5</v>
      </c>
      <c r="GF27">
        <f>+Tabla3101112131157[[#This Row],[Volúmen]]*FZ27</f>
        <v>0.12</v>
      </c>
      <c r="GG27">
        <f>+Tabla3101112131157[[#This Row],[Longitud del eje]]*FZ27</f>
        <v>3</v>
      </c>
      <c r="GI27"/>
      <c r="GJ27"/>
      <c r="GK27"/>
      <c r="GL27"/>
      <c r="GM27"/>
      <c r="GN27"/>
      <c r="GO27"/>
      <c r="GQ27" t="s">
        <v>1862</v>
      </c>
      <c r="GR27" t="s">
        <v>1383</v>
      </c>
      <c r="GS27" t="s">
        <v>1667</v>
      </c>
      <c r="GT27">
        <v>0.33</v>
      </c>
      <c r="GU27">
        <v>3.66</v>
      </c>
      <c r="GV27">
        <v>1</v>
      </c>
      <c r="GW27">
        <f>+Tabla578914[[#This Row],[Recuento]]*Tabla578914[[#This Row],[Volúmen bruto]]</f>
        <v>0.33</v>
      </c>
      <c r="GX27">
        <f>+Tabla578914[[#This Row],[Recuento]]*Tabla578914[[#This Row],[Área neta]]</f>
        <v>3.66</v>
      </c>
      <c r="GY27" s="36"/>
      <c r="HA27" t="s">
        <v>1862</v>
      </c>
      <c r="HB27" t="s">
        <v>1383</v>
      </c>
      <c r="HC27" t="s">
        <v>1667</v>
      </c>
      <c r="HD27">
        <v>0.9</v>
      </c>
      <c r="HE27">
        <v>9.9600000000000009</v>
      </c>
      <c r="HF27">
        <v>1</v>
      </c>
      <c r="HG27">
        <f>+Tabla578914126[[#This Row],[Recuento]]*Tabla578914126[[#This Row],[Volúmen bruto]]</f>
        <v>0.9</v>
      </c>
      <c r="HH27">
        <f>+Tabla578914126[[#This Row],[Recuento]]*Tabla578914126[[#This Row],[Área neta]]</f>
        <v>9.9600000000000009</v>
      </c>
      <c r="HI27" s="36"/>
      <c r="HK27"/>
      <c r="HL27"/>
      <c r="HM27"/>
      <c r="HN27"/>
      <c r="HO27"/>
      <c r="HP27"/>
      <c r="HQ27">
        <f>+Tabla578914126127[[#This Row],[Recuento]]*Tabla578914126127[[#This Row],[Volúmen bruto]]</f>
        <v>0</v>
      </c>
      <c r="HR27">
        <f>+Tabla578914126127[[#This Row],[Recuento]]*Tabla578914126127[[#This Row],[Área neta]]</f>
        <v>0</v>
      </c>
      <c r="HS27" s="36"/>
      <c r="HT27" s="26"/>
      <c r="HU27"/>
      <c r="HV27"/>
      <c r="HW27"/>
      <c r="HX27"/>
      <c r="HY27"/>
      <c r="HZ27"/>
      <c r="IA27"/>
      <c r="IB27"/>
      <c r="IC27" s="36"/>
      <c r="ID27" s="26"/>
      <c r="IE27"/>
      <c r="IF27"/>
      <c r="IG27"/>
      <c r="IH27"/>
      <c r="II27"/>
      <c r="IJ27"/>
      <c r="IK27"/>
      <c r="IL27"/>
      <c r="IM27" s="36"/>
      <c r="IN27" s="26"/>
      <c r="IO27"/>
      <c r="IP27"/>
      <c r="IQ27"/>
      <c r="IR27"/>
      <c r="IS27"/>
      <c r="IT27"/>
      <c r="IU27"/>
      <c r="IV27">
        <f>+Tabla520212223[[#This Row],[Recuento]]*Tabla520212223[[#This Row],[Área neta]]</f>
        <v>0</v>
      </c>
      <c r="IW27" s="26">
        <f t="shared" si="0"/>
        <v>0</v>
      </c>
      <c r="IY27"/>
      <c r="IZ27"/>
      <c r="JA27"/>
      <c r="JB27"/>
      <c r="JC27"/>
      <c r="JD27"/>
      <c r="JE27">
        <f>+Tabla520212224[[#This Row],[Recuento]]*Tabla520212224[[#This Row],[Volúmen bruto]]</f>
        <v>0</v>
      </c>
      <c r="JF27">
        <f>+Tabla520212224[[#This Row],[Recuento]]*Tabla520212224[[#This Row],[Área neta]]</f>
        <v>0</v>
      </c>
      <c r="JG27" s="26"/>
      <c r="JI27" t="s">
        <v>1862</v>
      </c>
      <c r="JJ27" t="s">
        <v>1525</v>
      </c>
      <c r="JK27" t="s">
        <v>98</v>
      </c>
      <c r="JL27">
        <v>0.01</v>
      </c>
      <c r="JM27">
        <v>11</v>
      </c>
      <c r="JN27">
        <v>2</v>
      </c>
      <c r="JO27">
        <f>+Tabla52021222425[[#This Row],[Recuento]]*Tabla52021222425[[#This Row],[Volúmen bruto]]</f>
        <v>0.02</v>
      </c>
      <c r="JP27">
        <f>+Tabla52021222425[[#This Row],[Recuento]]*Tabla52021222425[[#This Row],[Área neta]]</f>
        <v>22</v>
      </c>
      <c r="JQ27" s="26"/>
      <c r="JS27" t="s">
        <v>1862</v>
      </c>
      <c r="JT27" t="s">
        <v>1525</v>
      </c>
      <c r="JU27" t="s">
        <v>1677</v>
      </c>
      <c r="JV27">
        <v>0</v>
      </c>
      <c r="JW27">
        <v>2.33</v>
      </c>
      <c r="JX27">
        <v>1</v>
      </c>
      <c r="JY27">
        <f>+Tabla5202122242526[[#This Row],[Recuento]]*Tabla5202122242526[[#This Row],[Volúmen bruto]]</f>
        <v>0</v>
      </c>
      <c r="JZ27">
        <f>+Tabla5202122242526[[#This Row],[Recuento]]*Tabla5202122242526[[#This Row],[Área neta]]</f>
        <v>2.33</v>
      </c>
      <c r="KA27" s="26"/>
      <c r="KC27"/>
      <c r="KD27"/>
      <c r="KE27"/>
      <c r="KF27"/>
      <c r="KG27"/>
      <c r="KH27"/>
      <c r="KI27">
        <f>+Tabla5202122242526104[[#This Row],[Recuento]]*Tabla5202122242526104[[#This Row],[Volúmen bruto]]</f>
        <v>0</v>
      </c>
      <c r="KJ27">
        <f>+Tabla5202122242526104[[#This Row],[Recuento]]*Tabla5202122242526104[[#This Row],[Área neta]]</f>
        <v>0</v>
      </c>
      <c r="KK27" s="26"/>
      <c r="KM27" t="s">
        <v>1862</v>
      </c>
      <c r="KN27" t="s">
        <v>1525</v>
      </c>
      <c r="KO27" t="s">
        <v>97</v>
      </c>
      <c r="KP27">
        <v>0.1</v>
      </c>
      <c r="KQ27">
        <v>5.18</v>
      </c>
      <c r="KR27">
        <v>1</v>
      </c>
      <c r="KS27">
        <f>+Tabla5202122242526104110[[#This Row],[Recuento]]*Tabla5202122242526104110[[#This Row],[Volúmen bruto]]</f>
        <v>0.1</v>
      </c>
      <c r="KT27">
        <f>+Tabla5202122242526104110[[#This Row],[Recuento]]*Tabla5202122242526104110[[#This Row],[Área neta]]</f>
        <v>5.18</v>
      </c>
      <c r="KU27" s="26"/>
      <c r="KW27"/>
      <c r="KX27"/>
      <c r="KY27"/>
      <c r="KZ27"/>
      <c r="LA27"/>
      <c r="LB27"/>
      <c r="LC27">
        <f>+Tabla520212224252659[[#This Row],[Recuento]]*Tabla520212224252659[[#This Row],[Volúmen bruto]]</f>
        <v>0</v>
      </c>
      <c r="LD27">
        <f>+Tabla520212224252659[[#This Row],[Recuento]]*Tabla520212224252659[[#This Row],[Área neta]]</f>
        <v>0</v>
      </c>
      <c r="LE27" s="26"/>
      <c r="LG27"/>
      <c r="LH27"/>
      <c r="LI27"/>
      <c r="LJ27"/>
      <c r="LK27"/>
      <c r="LL27"/>
      <c r="LM27">
        <f>+Tabla520212224252659111[[#This Row],[Recuento]]*Tabla520212224252659111[[#This Row],[Volúmen bruto]]</f>
        <v>0</v>
      </c>
      <c r="LN27">
        <f>+Tabla520212224252659111[[#This Row],[Recuento]]*Tabla520212224252659111[[#This Row],[Área neta]]</f>
        <v>0</v>
      </c>
      <c r="LO27" s="26"/>
      <c r="LQ27"/>
      <c r="LR27"/>
      <c r="LS27"/>
      <c r="LT27"/>
      <c r="LU27"/>
      <c r="LV27"/>
      <c r="LW27">
        <f>+Tabla520212224252659111114[[#This Row],[Recuento]]*Tabla520212224252659111114[[#This Row],[Volúmen bruto]]</f>
        <v>0</v>
      </c>
      <c r="LX27">
        <f>+Tabla520212224252659111114[[#This Row],[Recuento]]*Tabla520212224252659111114[[#This Row],[Área neta]]</f>
        <v>0</v>
      </c>
      <c r="LY27" s="26"/>
      <c r="MA27" t="s">
        <v>1862</v>
      </c>
      <c r="MB27" t="s">
        <v>1524</v>
      </c>
      <c r="MC27" t="s">
        <v>98</v>
      </c>
      <c r="MD27">
        <v>0</v>
      </c>
      <c r="ME27">
        <v>3.08</v>
      </c>
      <c r="MF27">
        <v>1</v>
      </c>
      <c r="MG27">
        <f>+Tabla520212224252659111114128[[#This Row],[Recuento]]*Tabla520212224252659111114128[[#This Row],[Volúmen bruto]]</f>
        <v>0</v>
      </c>
      <c r="MH27">
        <f>+Tabla520212224252659111114128[[#This Row],[Recuento]]*Tabla520212224252659111114128[[#This Row],[Área neta]]</f>
        <v>3.08</v>
      </c>
      <c r="MI27" s="26"/>
      <c r="MK27"/>
      <c r="ML27"/>
      <c r="MM27"/>
      <c r="MN27"/>
      <c r="MO27"/>
      <c r="MP27"/>
      <c r="MQ27">
        <f>+Tabla520212224252627[[#This Row],[Recuento]]*Tabla520212224252627[[#This Row],[Volúmen bruto]]</f>
        <v>0</v>
      </c>
      <c r="MR27">
        <f>+Tabla520212224252627[[#This Row],[Recuento]]*Tabla520212224252627[[#This Row],[Área neta]]</f>
        <v>0</v>
      </c>
      <c r="MS27" s="26"/>
      <c r="MU27"/>
      <c r="MV27"/>
      <c r="MW27"/>
      <c r="MX27"/>
      <c r="MY27"/>
      <c r="MZ27"/>
      <c r="NA27">
        <f>+Tabla520212224252627129[[#This Row],[Recuento]]*Tabla520212224252627129[[#This Row],[Volúmen bruto]]</f>
        <v>0</v>
      </c>
      <c r="NB27">
        <f>+Tabla520212224252627129[[#This Row],[Recuento]]*Tabla520212224252627129[[#This Row],[Área neta]]</f>
        <v>0</v>
      </c>
      <c r="NC27" s="26"/>
      <c r="NE27"/>
      <c r="NF27"/>
      <c r="NG27"/>
      <c r="NH27"/>
      <c r="NI27"/>
      <c r="NJ27"/>
      <c r="NK27">
        <f>+Tabla520212224252627129125[[#This Row],[Recuento]]*Tabla520212224252627129125[[#This Row],[Volúmen bruto]]</f>
        <v>0</v>
      </c>
      <c r="NL27">
        <f>+Tabla520212224252627129125[[#This Row],[Recuento]]*Tabla520212224252627129125[[#This Row],[Área neta]]</f>
        <v>0</v>
      </c>
      <c r="NM27" s="26"/>
      <c r="NO27"/>
      <c r="NP27"/>
      <c r="NQ27"/>
      <c r="NR27"/>
      <c r="NS27"/>
      <c r="NT27"/>
      <c r="NU27">
        <f>+Tabla520212224252627129125130[[#This Row],[Recuento]]*Tabla520212224252627129125130[[#This Row],[Volúmen bruto]]</f>
        <v>0</v>
      </c>
      <c r="NV27">
        <f>+Tabla520212224252627129125130[[#This Row],[Recuento]]*Tabla520212224252627129125130[[#This Row],[Área neta]]</f>
        <v>0</v>
      </c>
      <c r="NW27" s="26"/>
      <c r="NY27"/>
      <c r="NZ27"/>
      <c r="OA27"/>
      <c r="OB27"/>
      <c r="OC27"/>
      <c r="OD27"/>
      <c r="OE27">
        <f>+Tabla520212224252627129125130131[[#This Row],[Recuento]]*Tabla520212224252627129125130131[[#This Row],[Volúmen bruto]]</f>
        <v>0</v>
      </c>
      <c r="OF27">
        <f>+Tabla520212224252627129125130131[[#This Row],[Recuento]]*Tabla520212224252627129125130131[[#This Row],[Área neta]]</f>
        <v>0</v>
      </c>
      <c r="OG27" s="26"/>
      <c r="OI27"/>
      <c r="OJ27"/>
      <c r="OK27"/>
      <c r="OL27"/>
      <c r="OM27"/>
      <c r="ON27"/>
      <c r="OO27">
        <f>+Tabla520212224252627129125130131132[[#This Row],[Recuento]]*Tabla520212224252627129125130131132[[#This Row],[Volúmen bruto]]</f>
        <v>0</v>
      </c>
      <c r="OP27">
        <f>+Tabla520212224252627129125130131132[[#This Row],[Recuento]]*Tabla520212224252627129125130131132[[#This Row],[Área neta]]</f>
        <v>0</v>
      </c>
      <c r="OQ27" s="26"/>
      <c r="OS27"/>
      <c r="OT27"/>
      <c r="OU27"/>
      <c r="OV27"/>
      <c r="OW27"/>
      <c r="OX27"/>
      <c r="OY27">
        <f>+Tabla52021222425262728[[#This Row],[Recuento]]*Tabla52021222425262728[[#This Row],[Volúmen bruto]]</f>
        <v>0</v>
      </c>
      <c r="OZ27">
        <f>+Tabla52021222425262728[[#This Row],[Recuento]]*Tabla52021222425262728[[#This Row],[Área neta]]</f>
        <v>0</v>
      </c>
      <c r="PA27" s="26"/>
      <c r="PC27" t="s">
        <v>1862</v>
      </c>
      <c r="PD27" t="s">
        <v>1525</v>
      </c>
      <c r="PE27" t="s">
        <v>97</v>
      </c>
      <c r="PF27">
        <v>0.01</v>
      </c>
      <c r="PG27">
        <v>0.6</v>
      </c>
      <c r="PH27">
        <v>2</v>
      </c>
      <c r="PI27">
        <f>+Tabla52021222425262728133[[#This Row],[Recuento]]*Tabla52021222425262728133[[#This Row],[Volúmen bruto]]</f>
        <v>0.02</v>
      </c>
      <c r="PJ27">
        <f>+Tabla52021222425262728133[[#This Row],[Recuento]]*Tabla52021222425262728133[[#This Row],[Área neta]]</f>
        <v>1.2</v>
      </c>
      <c r="PK27" s="26">
        <f>+SUM(PJ27:PJ41)</f>
        <v>26.189999999999998</v>
      </c>
      <c r="PM27"/>
      <c r="PN27"/>
      <c r="PO27"/>
      <c r="PP27"/>
      <c r="PQ27"/>
      <c r="PR27"/>
      <c r="PS27">
        <f>+Tabla5202122242526272893[[#This Row],[Recuento]]*Tabla5202122242526272893[[#This Row],[Volúmen bruto]]</f>
        <v>0</v>
      </c>
      <c r="PT27">
        <f>+Tabla5202122242526272893[[#This Row],[Recuento]]*Tabla5202122242526272893[[#This Row],[Área neta]]</f>
        <v>0</v>
      </c>
      <c r="PU27" s="26"/>
      <c r="PW27" t="s">
        <v>1862</v>
      </c>
      <c r="PX27" t="s">
        <v>1525</v>
      </c>
      <c r="PY27" t="s">
        <v>97</v>
      </c>
      <c r="PZ27">
        <v>0.02</v>
      </c>
      <c r="QA27">
        <v>1.1100000000000001</v>
      </c>
      <c r="QB27">
        <v>2</v>
      </c>
      <c r="QC27">
        <f>+Tabla520212224252627289349[[#This Row],[Recuento]]*Tabla520212224252627289349[[#This Row],[Volúmen bruto]]</f>
        <v>0.04</v>
      </c>
      <c r="QD27">
        <f>+Tabla520212224252627289349[[#This Row],[Recuento]]*Tabla520212224252627289349[[#This Row],[Área neta]]</f>
        <v>2.2200000000000002</v>
      </c>
      <c r="QE27" s="26"/>
      <c r="QG27"/>
      <c r="QH27"/>
      <c r="QI27"/>
      <c r="QJ27"/>
      <c r="QK27"/>
      <c r="QL27"/>
      <c r="QM27">
        <f>+Tabla520212224252627289349134[[#This Row],[Recuento]]*Tabla520212224252627289349134[[#This Row],[Volúmen bruto]]</f>
        <v>0</v>
      </c>
      <c r="QN27">
        <f>+Tabla520212224252627289349134[[#This Row],[Recuento]]*Tabla520212224252627289349134[[#This Row],[Área neta]]</f>
        <v>0</v>
      </c>
      <c r="QO27" s="26"/>
      <c r="QQ27" t="s">
        <v>1862</v>
      </c>
      <c r="QR27" t="s">
        <v>1524</v>
      </c>
      <c r="QS27" t="s">
        <v>1726</v>
      </c>
      <c r="QT27">
        <v>0.62</v>
      </c>
      <c r="QU27">
        <v>3.1</v>
      </c>
      <c r="QV27">
        <v>1</v>
      </c>
      <c r="QW27">
        <v>1</v>
      </c>
      <c r="QX27">
        <f>+Tabla5202122242526272829[[#This Row],[Recuento]]*Tabla5202122242526272829[[#This Row],[Volúmen bruto]]</f>
        <v>0.62</v>
      </c>
      <c r="QY27">
        <f>+Tabla5202122242526272829[[#This Row],[Recuento]]*Tabla5202122242526272829[[#This Row],[Área neta]]</f>
        <v>3.1</v>
      </c>
      <c r="QZ27">
        <f>+Tabla5202122242526272829[[#This Row],[Recuento]]*Tabla5202122242526272829[[#This Row],[Longitud]]</f>
        <v>1</v>
      </c>
      <c r="RA27" s="26"/>
      <c r="RC27"/>
      <c r="RD27"/>
      <c r="RE27"/>
      <c r="RF27"/>
      <c r="RG27"/>
      <c r="RH27"/>
      <c r="RI27"/>
      <c r="RJ27"/>
      <c r="RK27" s="26"/>
      <c r="RM27"/>
      <c r="RN27"/>
      <c r="RO27"/>
      <c r="RP27"/>
      <c r="RQ27"/>
      <c r="RR27"/>
      <c r="RS27"/>
      <c r="RT27"/>
      <c r="RU27" s="26">
        <f t="shared" si="7"/>
        <v>0</v>
      </c>
      <c r="RW27"/>
      <c r="RX27"/>
      <c r="RY27"/>
      <c r="RZ27"/>
      <c r="SA27"/>
      <c r="SB27"/>
      <c r="SC27"/>
      <c r="SD27"/>
      <c r="SE27" s="26"/>
      <c r="SG27"/>
      <c r="SH27"/>
      <c r="SI27"/>
      <c r="SJ27"/>
      <c r="SK27"/>
      <c r="SL27"/>
      <c r="SM27">
        <f>+Tabla5202122242526272831323314[[#This Row],[Recuento]]*Tabla5202122242526272831323314[[#This Row],[Volúmen bruto]]</f>
        <v>0</v>
      </c>
      <c r="SN27">
        <f>+Tabla5202122242526272831323314[[#This Row],[Recuento]]*Tabla5202122242526272831323314[[#This Row],[Área neta]]</f>
        <v>0</v>
      </c>
      <c r="SO27" s="26"/>
      <c r="SQ27" t="s">
        <v>1862</v>
      </c>
      <c r="SR27" t="s">
        <v>1524</v>
      </c>
      <c r="SS27" t="s">
        <v>1627</v>
      </c>
      <c r="ST27">
        <v>7.0000000000000007E-2</v>
      </c>
      <c r="SU27">
        <v>0.36</v>
      </c>
      <c r="SV27">
        <v>6</v>
      </c>
      <c r="SW27" s="34">
        <f>+Tabla5789141516[[#This Row],[Recuento]]*Tabla5789141516[[#This Row],[Volúmen bruto]]</f>
        <v>0.42000000000000004</v>
      </c>
      <c r="SX27" s="34">
        <f>+Tabla5789141516[[#This Row],[Recuento]]*Tabla5789141516[[#This Row],[Área neta]]</f>
        <v>2.16</v>
      </c>
      <c r="SY27" s="36"/>
      <c r="SZ27" s="26"/>
      <c r="TA27"/>
      <c r="TB27"/>
      <c r="TC27"/>
      <c r="TD27"/>
      <c r="TE27"/>
      <c r="TF27"/>
      <c r="TG27"/>
      <c r="TH27"/>
      <c r="TI27" s="36">
        <f t="shared" si="8"/>
        <v>0</v>
      </c>
      <c r="TJ27" s="26"/>
      <c r="TK27"/>
      <c r="TL27"/>
      <c r="TM27"/>
      <c r="TN27"/>
      <c r="TO27"/>
      <c r="TP27"/>
      <c r="TQ27" s="34">
        <f>+Tabla57891415163435[[#This Row],[Recuento]]*Tabla57891415163435[[#This Row],[Volúmen bruto]]</f>
        <v>0</v>
      </c>
      <c r="TR27" s="34">
        <f>+Tabla57891415163435[[#This Row],[Recuento]]*Tabla57891415163435[[#This Row],[Área neta]]</f>
        <v>0</v>
      </c>
      <c r="TS27" s="36">
        <f t="shared" si="9"/>
        <v>0</v>
      </c>
      <c r="TT27" s="26"/>
      <c r="TU27"/>
      <c r="TV27"/>
      <c r="TW27"/>
      <c r="TX27"/>
      <c r="TY27"/>
      <c r="TZ27"/>
      <c r="UA27"/>
      <c r="UB27"/>
      <c r="UC27" s="36">
        <f t="shared" si="10"/>
        <v>0</v>
      </c>
      <c r="UD27" s="26"/>
      <c r="UE27"/>
      <c r="UF27"/>
      <c r="UG27"/>
      <c r="UH27"/>
      <c r="UI27"/>
      <c r="UJ27"/>
      <c r="UK27"/>
      <c r="UL27"/>
      <c r="UM27" s="36">
        <f t="shared" si="11"/>
        <v>0</v>
      </c>
      <c r="UN27" s="26"/>
      <c r="UO27"/>
      <c r="UP27"/>
      <c r="UQ27"/>
      <c r="UR27"/>
      <c r="US27"/>
      <c r="UT27"/>
      <c r="UU27"/>
      <c r="UV27"/>
      <c r="UW27" s="36">
        <f t="shared" si="12"/>
        <v>0</v>
      </c>
      <c r="UX27" s="26"/>
      <c r="UY27"/>
      <c r="UZ27"/>
      <c r="VA27"/>
      <c r="VB27"/>
      <c r="VC27"/>
      <c r="VD27"/>
      <c r="VE27"/>
      <c r="VF27"/>
      <c r="VG27" s="36">
        <f t="shared" si="13"/>
        <v>0</v>
      </c>
      <c r="VH27" s="26"/>
      <c r="VI27"/>
      <c r="VJ27"/>
      <c r="VK27"/>
      <c r="VL27"/>
      <c r="VM27"/>
      <c r="VN27"/>
      <c r="VO27"/>
      <c r="VP27"/>
      <c r="VQ27" s="36">
        <f t="shared" si="14"/>
        <v>0</v>
      </c>
      <c r="VR27" s="26"/>
      <c r="VS27"/>
      <c r="VT27"/>
      <c r="VU27"/>
      <c r="VV27"/>
      <c r="VW27"/>
      <c r="VX27"/>
      <c r="VY27"/>
      <c r="VZ27"/>
      <c r="WA27" s="36">
        <f t="shared" si="15"/>
        <v>0</v>
      </c>
      <c r="WB27" s="26"/>
      <c r="WC27"/>
      <c r="WD27"/>
      <c r="WE27"/>
      <c r="WF27"/>
      <c r="WG27"/>
      <c r="WH27"/>
      <c r="WI27"/>
      <c r="WJ27"/>
      <c r="WK27" s="36">
        <f t="shared" si="16"/>
        <v>0</v>
      </c>
      <c r="WL27" s="26"/>
      <c r="WM27"/>
      <c r="WN27"/>
      <c r="WO27"/>
      <c r="WP27"/>
      <c r="WQ27"/>
      <c r="WR27"/>
      <c r="WS27"/>
      <c r="WT27"/>
      <c r="WU27" s="36">
        <f t="shared" si="17"/>
        <v>0</v>
      </c>
      <c r="WV27" s="26"/>
      <c r="WW27"/>
      <c r="WX27"/>
      <c r="WY27"/>
      <c r="WZ27"/>
      <c r="XA27"/>
      <c r="XB27"/>
      <c r="XC27"/>
      <c r="XD27"/>
      <c r="XE27" s="36">
        <f t="shared" si="18"/>
        <v>0</v>
      </c>
      <c r="XF27" s="26"/>
      <c r="XG27"/>
      <c r="XH27"/>
      <c r="XI27"/>
      <c r="XJ27"/>
      <c r="XK27"/>
      <c r="XL27"/>
      <c r="XM27" s="34">
        <f>+Tabla578914151634353637383940414243444536[[#This Row],[Recuento]]*Tabla578914151634353637383940414243444536[[#This Row],[Volúmen bruto]]</f>
        <v>0</v>
      </c>
      <c r="XN27" s="34">
        <f>+Tabla578914151634353637383940414243444536[[#This Row],[Recuento]]*Tabla578914151634353637383940414243444536[[#This Row],[Área neta]]</f>
        <v>0</v>
      </c>
      <c r="XO27" s="35"/>
      <c r="XP27" s="26"/>
      <c r="XQ27"/>
      <c r="XR27"/>
      <c r="XS27"/>
      <c r="XT27"/>
      <c r="XU27"/>
      <c r="XV27" s="33"/>
      <c r="XW27" s="34"/>
      <c r="XX27" s="34"/>
      <c r="XY27" s="35"/>
      <c r="XZ27" s="26"/>
      <c r="YA27"/>
      <c r="YB27"/>
      <c r="YC27"/>
      <c r="YD27"/>
      <c r="YE27"/>
      <c r="YF27" s="33"/>
      <c r="YG27" s="34"/>
      <c r="YH27" s="34"/>
      <c r="YI27" s="35"/>
      <c r="YJ27" s="35"/>
      <c r="YK27"/>
      <c r="YL27"/>
      <c r="YM27"/>
      <c r="YN27"/>
      <c r="YO27"/>
      <c r="YQ27"/>
      <c r="YR27"/>
      <c r="YS27"/>
      <c r="YT27"/>
      <c r="YU27"/>
      <c r="YV27" s="33"/>
      <c r="YW27" s="34"/>
      <c r="YX27" s="34"/>
      <c r="YY27" s="35"/>
      <c r="YZ27" s="26"/>
      <c r="ZA27"/>
      <c r="ZB27"/>
      <c r="ZC27"/>
      <c r="ZD27"/>
      <c r="ZE27"/>
      <c r="ZF27" s="33"/>
      <c r="ZG27" s="34"/>
      <c r="ZH27" s="34"/>
      <c r="ZI27" s="35"/>
      <c r="ZJ27" s="26"/>
      <c r="ZK27"/>
      <c r="ZL27"/>
      <c r="ZM27"/>
      <c r="ZN27"/>
      <c r="ZO27"/>
      <c r="ZP27" s="33"/>
      <c r="ZQ27" s="34"/>
      <c r="ZR27" s="34"/>
      <c r="ZS27" s="35"/>
      <c r="ZT27" s="26"/>
      <c r="ZU27"/>
      <c r="ZV27"/>
      <c r="ZW27"/>
      <c r="ZX27"/>
      <c r="ZY27"/>
      <c r="ZZ27" s="33"/>
      <c r="AAA27" s="34"/>
      <c r="AAB27" s="34"/>
      <c r="AAC27" s="35"/>
      <c r="AAD27" s="26"/>
      <c r="AAE27"/>
      <c r="AAF27"/>
      <c r="AAG27"/>
      <c r="AAH27"/>
      <c r="AAI27"/>
      <c r="AAJ27" s="33"/>
      <c r="AAK27" s="34"/>
      <c r="AAL27" s="34"/>
      <c r="AAM27" s="35"/>
      <c r="AAN27" s="26"/>
      <c r="AAO27"/>
      <c r="AAP27"/>
      <c r="AAQ27"/>
      <c r="AAR27"/>
      <c r="AAS27"/>
      <c r="AAT27"/>
      <c r="AAU27" s="34">
        <f>+Tabla5789141516343536373839404142434445464748495051[[#This Row],[Recuento]]*Tabla5789141516343536373839404142434445464748495051[[#This Row],[Volúmen bruto]]</f>
        <v>0</v>
      </c>
      <c r="AAV27" s="34">
        <f>+Tabla5789141516343536373839404142434445464748495051[[#This Row],[Recuento]]*Tabla5789141516343536373839404142434445464748495051[[#This Row],[Área neta]]</f>
        <v>0</v>
      </c>
      <c r="AAW27" s="35"/>
      <c r="AAX27" s="26"/>
      <c r="AAY27"/>
      <c r="AAZ27"/>
      <c r="ABA27"/>
      <c r="ABB27"/>
      <c r="ABC27"/>
      <c r="ABD27" s="33"/>
      <c r="ABE27" s="34"/>
      <c r="ABF27" s="34"/>
      <c r="ABG27" s="35"/>
      <c r="ABH27" s="26"/>
      <c r="ABI27"/>
      <c r="ABJ27"/>
      <c r="ABK27"/>
      <c r="ABL27"/>
      <c r="ABM27"/>
      <c r="ABN27" s="33"/>
      <c r="ABO27" s="34"/>
      <c r="ABP27" s="34"/>
      <c r="ABQ27" s="35"/>
      <c r="ABR27" s="26"/>
      <c r="ABS27"/>
      <c r="ABT27"/>
      <c r="ABU27"/>
      <c r="ABV27"/>
      <c r="ABW27"/>
      <c r="ABX27" s="33"/>
      <c r="ABY27" s="34"/>
      <c r="ABZ27" s="34"/>
      <c r="ACA27" s="35"/>
      <c r="ACB27" s="26"/>
      <c r="ACC27"/>
      <c r="ACD27"/>
      <c r="ACE27"/>
      <c r="ACF27"/>
      <c r="ACG27"/>
      <c r="ACH27" s="33"/>
      <c r="ACI27" s="34"/>
      <c r="ACJ27" s="34"/>
      <c r="ACK27" s="35"/>
      <c r="ACL27" s="26"/>
      <c r="ACM27"/>
      <c r="ACN27"/>
      <c r="ACO27"/>
      <c r="ACP27"/>
      <c r="ACQ27"/>
      <c r="ACR27" s="33"/>
      <c r="ACS27" s="34"/>
      <c r="ACT27" s="34"/>
      <c r="ACU27" s="35"/>
      <c r="ACV27" s="26"/>
      <c r="ACW27" t="s">
        <v>1251</v>
      </c>
      <c r="ACY27" s="2"/>
      <c r="ADA27" s="38"/>
      <c r="ADB27" s="2">
        <f t="shared" si="1"/>
        <v>0</v>
      </c>
      <c r="ADD27" s="2" t="s">
        <v>1720</v>
      </c>
      <c r="ADE27" s="2">
        <v>1.3</v>
      </c>
      <c r="ADF27" s="2">
        <v>18</v>
      </c>
      <c r="ADG27" s="26">
        <f t="shared" si="19"/>
        <v>23.400000000000002</v>
      </c>
      <c r="ADH27"/>
      <c r="ADI27"/>
      <c r="ADJ27"/>
      <c r="ADK27"/>
      <c r="ADL27"/>
      <c r="ADM27"/>
      <c r="ADN27">
        <f ca="1">+Tabla578914151634353637383940414243444546474849505152535560[[#This Row],[G. Total]]*Tabla578914151634353637383940414243444546474849505152535560[[#This Row],[Recuento]]</f>
        <v>0</v>
      </c>
      <c r="ADO27" s="35"/>
      <c r="ADP27" s="26"/>
      <c r="ADQ27"/>
      <c r="ADR27"/>
      <c r="ADS27"/>
      <c r="ADT27"/>
      <c r="ADU27"/>
      <c r="ADV27" s="35"/>
      <c r="ADW27" s="35"/>
      <c r="ADX27"/>
      <c r="ADY27"/>
      <c r="ADZ27"/>
      <c r="AEA27"/>
      <c r="AEB27"/>
      <c r="AEC27">
        <f ca="1">+Tabla57891415163435363738394041424344454647484950515253556062[[#This Row],[Total]]*Tabla57891415163435363738394041424344454647484950515253556062[[#This Row],[Recuento]]</f>
        <v>0</v>
      </c>
      <c r="AED27" s="35"/>
      <c r="AEE27" s="26"/>
      <c r="AEF27"/>
      <c r="AEG27"/>
      <c r="AEH27"/>
      <c r="AEI27"/>
      <c r="AEJ27"/>
      <c r="AEK27" s="35"/>
      <c r="AEL27" s="35"/>
      <c r="AEM27" t="s">
        <v>1522</v>
      </c>
      <c r="AEN27" t="s">
        <v>1523</v>
      </c>
      <c r="AEO27" t="s">
        <v>453</v>
      </c>
      <c r="AEP27">
        <v>1.1200000000000001</v>
      </c>
      <c r="AEQ27">
        <v>1</v>
      </c>
      <c r="AER27">
        <f ca="1">+Tabla5789141516343536373839404142434445464748495051525355606264[[#This Row],[G. Total]]*Tabla5789141516343536373839404142434445464748495051525355606264[[#This Row],[Recuento]]</f>
        <v>1.1200000000000001</v>
      </c>
      <c r="AES27" s="35"/>
      <c r="AET27" s="26"/>
      <c r="AEU27"/>
      <c r="AEV27"/>
      <c r="AEW27"/>
      <c r="AEX27"/>
      <c r="AEY27"/>
      <c r="AEZ27" s="35"/>
      <c r="AFA27" s="26"/>
      <c r="AFB27"/>
      <c r="AFC27"/>
      <c r="AFD27"/>
      <c r="AFE27"/>
      <c r="AFF27"/>
      <c r="AFG27"/>
      <c r="AFH27"/>
      <c r="AFI27"/>
      <c r="AFJ27"/>
      <c r="AFK27"/>
      <c r="AFL27"/>
      <c r="AFM27">
        <f ca="1">+Tabla578914151634353637383940414243444546474849505152535560626467[[#This Row],[G. Total]]*Tabla578914151634353637383940414243444546474849505152535560626467[[#This Row],[Recuento]]</f>
        <v>0</v>
      </c>
      <c r="AFN27" s="35"/>
      <c r="AFO27" s="26"/>
      <c r="AFP27" s="2" t="s">
        <v>110</v>
      </c>
      <c r="AFQ27" s="2">
        <f>10*2</f>
        <v>20</v>
      </c>
      <c r="AFR27" s="2">
        <v>0.12</v>
      </c>
      <c r="AFS27" s="2">
        <f>+AFR27*AFQ27</f>
        <v>2.4</v>
      </c>
      <c r="AFT27" s="2">
        <v>2</v>
      </c>
      <c r="AFU27" s="2">
        <f>+AFT27*AFQ27</f>
        <v>40</v>
      </c>
      <c r="AFW27" s="2" t="s">
        <v>110</v>
      </c>
      <c r="AFX27" s="2">
        <v>2</v>
      </c>
      <c r="AFY27" s="2">
        <v>0.12</v>
      </c>
      <c r="AFZ27" s="2">
        <f>+AFY27*AFX27</f>
        <v>0.24</v>
      </c>
      <c r="AGA27" s="2">
        <v>2</v>
      </c>
      <c r="AGB27" s="2">
        <f>+AGA27*AFX27</f>
        <v>4</v>
      </c>
    </row>
    <row r="28" spans="1:860" ht="15" customHeight="1" x14ac:dyDescent="0.25">
      <c r="A28"/>
      <c r="B28"/>
      <c r="C28"/>
      <c r="D28"/>
      <c r="E28"/>
      <c r="F28"/>
      <c r="G28"/>
      <c r="H28">
        <f>+Tabla3[[#This Row],[Volúmen neto]]*A28</f>
        <v>0</v>
      </c>
      <c r="I28">
        <f>+Tabla3[[#This Row],[Longitud de eje]]*A28</f>
        <v>0</v>
      </c>
      <c r="J28"/>
      <c r="K28"/>
      <c r="L28"/>
      <c r="M28"/>
      <c r="N28"/>
      <c r="O28"/>
      <c r="P28"/>
      <c r="Q28"/>
      <c r="R28">
        <f>+Tabla5[[#This Row],[Recuento]]*Tabla5[[#This Row],[Volúmen bruto]]</f>
        <v>0</v>
      </c>
      <c r="S28">
        <f>+Tabla5[[#This Row],[Recuento]]*Tabla5[[#This Row],[Área neta]]</f>
        <v>0</v>
      </c>
      <c r="T28">
        <f>+Tabla5[[#This Row],[Longitud nominal]]*Tabla5[[#This Row],[Recuento]]</f>
        <v>0</v>
      </c>
      <c r="U28" s="26"/>
      <c r="V28"/>
      <c r="W28"/>
      <c r="X28"/>
      <c r="Y28"/>
      <c r="Z28"/>
      <c r="AA28"/>
      <c r="AB28"/>
      <c r="AC28"/>
      <c r="AD28"/>
      <c r="AE28"/>
      <c r="AF28"/>
      <c r="AG28" s="26">
        <f t="shared" si="4"/>
        <v>0</v>
      </c>
      <c r="AH28"/>
      <c r="AI28"/>
      <c r="AJ28"/>
      <c r="AK28"/>
      <c r="AL28"/>
      <c r="AM28"/>
      <c r="AN28"/>
      <c r="AO28"/>
      <c r="AP28"/>
      <c r="AQ28"/>
      <c r="AR28"/>
      <c r="AS28" s="26">
        <f t="shared" si="5"/>
        <v>0</v>
      </c>
      <c r="AT28"/>
      <c r="AU28"/>
      <c r="AV28"/>
      <c r="AW28"/>
      <c r="AX28"/>
      <c r="AY28"/>
      <c r="AZ28"/>
      <c r="BA28"/>
      <c r="BB28"/>
      <c r="BC28"/>
      <c r="BD28"/>
      <c r="BE28" s="26">
        <f t="shared" si="6"/>
        <v>0</v>
      </c>
      <c r="BF28">
        <v>9</v>
      </c>
      <c r="BG28" t="s">
        <v>1862</v>
      </c>
      <c r="BH28" t="s">
        <v>1524</v>
      </c>
      <c r="BI28" t="s">
        <v>1406</v>
      </c>
      <c r="BJ28">
        <v>1.0900000000000001</v>
      </c>
      <c r="BK28">
        <v>1.5</v>
      </c>
      <c r="BL28">
        <f>+Tabla3102[[#This Row],[En culmo]]*BF28</f>
        <v>13.5</v>
      </c>
      <c r="BM28"/>
      <c r="BN28">
        <v>1</v>
      </c>
      <c r="BO28"/>
      <c r="BP28"/>
      <c r="BQ28"/>
      <c r="BR28"/>
      <c r="BS28"/>
      <c r="BT28">
        <f>+Tabla31069[[#This Row],[Longitud de eje]]*BN28</f>
        <v>0</v>
      </c>
      <c r="BU28"/>
      <c r="BV28">
        <v>1</v>
      </c>
      <c r="BW28" t="s">
        <v>1862</v>
      </c>
      <c r="BX28" t="s">
        <v>1525</v>
      </c>
      <c r="BY28" t="s">
        <v>1406</v>
      </c>
      <c r="BZ28">
        <v>2.6</v>
      </c>
      <c r="CA28">
        <v>3</v>
      </c>
      <c r="CB28">
        <f>+Tabla31011[[#This Row],[En culmo]]*BV28</f>
        <v>3</v>
      </c>
      <c r="CD28">
        <v>4</v>
      </c>
      <c r="CE28" t="s">
        <v>1862</v>
      </c>
      <c r="CF28" t="s">
        <v>1525</v>
      </c>
      <c r="CG28" t="s">
        <v>1405</v>
      </c>
      <c r="CH28">
        <v>2.14</v>
      </c>
      <c r="CI28">
        <v>2.5</v>
      </c>
      <c r="CJ28">
        <f>+Tabla3101170[[#This Row],[En culmo]]*CD28</f>
        <v>10</v>
      </c>
      <c r="CK28"/>
      <c r="CR28">
        <f>+Tabla31011116[[#This Row],[En culmo]]*CT28</f>
        <v>0</v>
      </c>
      <c r="CT28">
        <v>2</v>
      </c>
      <c r="CU28" t="s">
        <v>1862</v>
      </c>
      <c r="CV28" t="s">
        <v>1383</v>
      </c>
      <c r="CW28" t="s">
        <v>1405</v>
      </c>
      <c r="CX28">
        <v>2.88</v>
      </c>
      <c r="CY28">
        <v>6</v>
      </c>
      <c r="CZ28">
        <f>+Tabla3101170117[[#This Row],[En culmo]]*CT28</f>
        <v>12</v>
      </c>
      <c r="DA28"/>
      <c r="DB28">
        <v>2</v>
      </c>
      <c r="DC28" t="s">
        <v>1862</v>
      </c>
      <c r="DD28" t="s">
        <v>1383</v>
      </c>
      <c r="DE28" t="s">
        <v>1723</v>
      </c>
      <c r="DF28">
        <v>1.19</v>
      </c>
      <c r="DG28">
        <f>+Tabla31011704[[#This Row],[Longitud de eje]]*DB28</f>
        <v>2.38</v>
      </c>
      <c r="DH28"/>
      <c r="DI28"/>
      <c r="DJ28"/>
      <c r="DK28"/>
      <c r="DL28"/>
      <c r="DM28"/>
      <c r="DN28">
        <f>+Tabla3101170411[[#This Row],[Longitud de eje]]*DI28</f>
        <v>0</v>
      </c>
      <c r="DO28"/>
      <c r="DP28"/>
      <c r="DQ28"/>
      <c r="DR28"/>
      <c r="DS28"/>
      <c r="DT28"/>
      <c r="DU28">
        <f>+Tabla3101170411120[[#This Row],[Longitud de eje]]*DP28</f>
        <v>0</v>
      </c>
      <c r="DV28"/>
      <c r="DW28"/>
      <c r="DX28"/>
      <c r="DY28"/>
      <c r="DZ28"/>
      <c r="EA28"/>
      <c r="EB28">
        <f>+Tabla3101170411120122[[#This Row],[Longitud de eje]]*DW28</f>
        <v>0</v>
      </c>
      <c r="EC28"/>
      <c r="ED28">
        <v>1</v>
      </c>
      <c r="EE28" t="s">
        <v>1862</v>
      </c>
      <c r="EF28" t="s">
        <v>1524</v>
      </c>
      <c r="EG28" t="s">
        <v>1406</v>
      </c>
      <c r="EH28">
        <v>5.3</v>
      </c>
      <c r="EI28">
        <v>5.5</v>
      </c>
      <c r="EJ28">
        <f>+Tabla3101112[[#This Row],[En culmo]]*ED28</f>
        <v>5.5</v>
      </c>
      <c r="EK28"/>
      <c r="EL28"/>
      <c r="EM28"/>
      <c r="EN28"/>
      <c r="EO28"/>
      <c r="EP28"/>
      <c r="EQ28"/>
      <c r="ER28">
        <f>+Tabla3101112123[[#This Row],[En culmo]]*EL28</f>
        <v>0</v>
      </c>
      <c r="ES28"/>
      <c r="ET28">
        <v>2</v>
      </c>
      <c r="EU28" t="s">
        <v>1862</v>
      </c>
      <c r="EV28" t="s">
        <v>1525</v>
      </c>
      <c r="EW28" t="s">
        <v>1406</v>
      </c>
      <c r="EX28">
        <v>4.3899999999999997</v>
      </c>
      <c r="EY28">
        <v>5</v>
      </c>
      <c r="EZ28">
        <f>+Tabla310111257[[#This Row],[En culmo]]*ET28</f>
        <v>10</v>
      </c>
      <c r="FA28"/>
      <c r="FB28"/>
      <c r="FC28"/>
      <c r="FD28"/>
      <c r="FE28"/>
      <c r="FF28"/>
      <c r="FG28">
        <v>4.5</v>
      </c>
      <c r="FH28">
        <f>+Tabla310111257124[[#This Row],[En culmo]]*FB28</f>
        <v>0</v>
      </c>
      <c r="FI28"/>
      <c r="FK28"/>
      <c r="FL28"/>
      <c r="FM28"/>
      <c r="FN28"/>
      <c r="FO28"/>
      <c r="FP28"/>
      <c r="FQ28"/>
      <c r="FS28"/>
      <c r="FT28"/>
      <c r="FU28"/>
      <c r="FV28"/>
      <c r="FW28"/>
      <c r="FX28"/>
      <c r="FY28"/>
      <c r="GA28"/>
      <c r="GB28"/>
      <c r="GC28"/>
      <c r="GD28"/>
      <c r="GE28"/>
      <c r="GF28"/>
      <c r="GG28"/>
      <c r="GI28"/>
      <c r="GJ28"/>
      <c r="GK28"/>
      <c r="GL28"/>
      <c r="GM28"/>
      <c r="GN28"/>
      <c r="GO28"/>
      <c r="GQ28" t="s">
        <v>1862</v>
      </c>
      <c r="GR28" t="s">
        <v>1383</v>
      </c>
      <c r="GS28" t="s">
        <v>1667</v>
      </c>
      <c r="GT28">
        <v>1.07</v>
      </c>
      <c r="GU28">
        <v>11.88</v>
      </c>
      <c r="GV28">
        <v>1</v>
      </c>
      <c r="GW28">
        <f>+Tabla578914[[#This Row],[Recuento]]*Tabla578914[[#This Row],[Volúmen bruto]]</f>
        <v>1.07</v>
      </c>
      <c r="GX28">
        <f>+Tabla578914[[#This Row],[Recuento]]*Tabla578914[[#This Row],[Área neta]]</f>
        <v>11.88</v>
      </c>
      <c r="GY28" s="35"/>
      <c r="HA28" t="s">
        <v>1863</v>
      </c>
      <c r="HB28" t="s">
        <v>1383</v>
      </c>
      <c r="HC28" t="s">
        <v>1628</v>
      </c>
      <c r="HD28">
        <v>7.0000000000000007E-2</v>
      </c>
      <c r="HE28">
        <v>11.25</v>
      </c>
      <c r="HF28">
        <v>1</v>
      </c>
      <c r="HG28">
        <f>+Tabla578914126[[#This Row],[Recuento]]*Tabla578914126[[#This Row],[Volúmen bruto]]</f>
        <v>7.0000000000000007E-2</v>
      </c>
      <c r="HH28">
        <f>+Tabla578914126[[#This Row],[Recuento]]*Tabla578914126[[#This Row],[Área neta]]</f>
        <v>11.25</v>
      </c>
      <c r="HI28" s="35"/>
      <c r="HK28"/>
      <c r="HL28"/>
      <c r="HM28"/>
      <c r="HN28"/>
      <c r="HO28"/>
      <c r="HP28"/>
      <c r="HQ28">
        <f>+Tabla578914126127[[#This Row],[Recuento]]*Tabla578914126127[[#This Row],[Volúmen bruto]]</f>
        <v>0</v>
      </c>
      <c r="HR28">
        <f>+Tabla578914126127[[#This Row],[Recuento]]*Tabla578914126127[[#This Row],[Área neta]]</f>
        <v>0</v>
      </c>
      <c r="HS28" s="35"/>
      <c r="HT28" s="26"/>
      <c r="HU28"/>
      <c r="HV28"/>
      <c r="HW28"/>
      <c r="HX28"/>
      <c r="HY28"/>
      <c r="HZ28"/>
      <c r="IA28"/>
      <c r="IB28"/>
      <c r="IC28" s="36"/>
      <c r="ID28" s="26"/>
      <c r="IE28"/>
      <c r="IF28"/>
      <c r="IG28"/>
      <c r="IH28"/>
      <c r="II28"/>
      <c r="IJ28"/>
      <c r="IK28"/>
      <c r="IL28"/>
      <c r="IM28" s="36"/>
      <c r="IN28" s="26"/>
      <c r="IO28"/>
      <c r="IP28"/>
      <c r="IQ28"/>
      <c r="IR28"/>
      <c r="IS28"/>
      <c r="IT28"/>
      <c r="IU28"/>
      <c r="IV28">
        <f>+Tabla520212223[[#This Row],[Recuento]]*Tabla520212223[[#This Row],[Área neta]]</f>
        <v>0</v>
      </c>
      <c r="IW28" s="26">
        <f t="shared" si="0"/>
        <v>0</v>
      </c>
      <c r="IY28"/>
      <c r="IZ28"/>
      <c r="JA28"/>
      <c r="JB28"/>
      <c r="JC28"/>
      <c r="JD28"/>
      <c r="JE28">
        <f>+Tabla520212224[[#This Row],[Recuento]]*Tabla520212224[[#This Row],[Volúmen bruto]]</f>
        <v>0</v>
      </c>
      <c r="JF28">
        <f>+Tabla520212224[[#This Row],[Recuento]]*Tabla520212224[[#This Row],[Área neta]]</f>
        <v>0</v>
      </c>
      <c r="JG28" s="26"/>
      <c r="JI28" t="s">
        <v>1862</v>
      </c>
      <c r="JJ28" t="s">
        <v>1525</v>
      </c>
      <c r="JK28" t="s">
        <v>98</v>
      </c>
      <c r="JL28">
        <v>0.01</v>
      </c>
      <c r="JM28">
        <v>5.5</v>
      </c>
      <c r="JN28">
        <v>2</v>
      </c>
      <c r="JO28">
        <f>+Tabla52021222425[[#This Row],[Recuento]]*Tabla52021222425[[#This Row],[Volúmen bruto]]</f>
        <v>0.02</v>
      </c>
      <c r="JP28">
        <f>+Tabla52021222425[[#This Row],[Recuento]]*Tabla52021222425[[#This Row],[Área neta]]</f>
        <v>11</v>
      </c>
      <c r="JQ28" s="26"/>
      <c r="JS28" t="s">
        <v>1862</v>
      </c>
      <c r="JT28" t="s">
        <v>1525</v>
      </c>
      <c r="JU28" t="s">
        <v>1677</v>
      </c>
      <c r="JV28">
        <v>0</v>
      </c>
      <c r="JW28">
        <v>1.65</v>
      </c>
      <c r="JX28">
        <v>1</v>
      </c>
      <c r="JY28">
        <f>+Tabla5202122242526[[#This Row],[Recuento]]*Tabla5202122242526[[#This Row],[Volúmen bruto]]</f>
        <v>0</v>
      </c>
      <c r="JZ28">
        <f>+Tabla5202122242526[[#This Row],[Recuento]]*Tabla5202122242526[[#This Row],[Área neta]]</f>
        <v>1.65</v>
      </c>
      <c r="KA28" s="26"/>
      <c r="KC28"/>
      <c r="KD28"/>
      <c r="KE28"/>
      <c r="KF28"/>
      <c r="KG28"/>
      <c r="KH28"/>
      <c r="KI28">
        <f>+Tabla5202122242526104[[#This Row],[Recuento]]*Tabla5202122242526104[[#This Row],[Volúmen bruto]]</f>
        <v>0</v>
      </c>
      <c r="KJ28">
        <f>+Tabla5202122242526104[[#This Row],[Recuento]]*Tabla5202122242526104[[#This Row],[Área neta]]</f>
        <v>0</v>
      </c>
      <c r="KK28" s="26"/>
      <c r="KM28" t="s">
        <v>1862</v>
      </c>
      <c r="KN28" t="s">
        <v>1525</v>
      </c>
      <c r="KO28" t="s">
        <v>97</v>
      </c>
      <c r="KP28">
        <v>0.09</v>
      </c>
      <c r="KQ28">
        <v>4.25</v>
      </c>
      <c r="KR28">
        <v>1</v>
      </c>
      <c r="KS28">
        <f>+Tabla5202122242526104110[[#This Row],[Recuento]]*Tabla5202122242526104110[[#This Row],[Volúmen bruto]]</f>
        <v>0.09</v>
      </c>
      <c r="KT28">
        <f>+Tabla5202122242526104110[[#This Row],[Recuento]]*Tabla5202122242526104110[[#This Row],[Área neta]]</f>
        <v>4.25</v>
      </c>
      <c r="KU28" s="26"/>
      <c r="KW28"/>
      <c r="KX28"/>
      <c r="KY28"/>
      <c r="KZ28"/>
      <c r="LA28"/>
      <c r="LB28"/>
      <c r="LC28">
        <f>+Tabla520212224252659[[#This Row],[Recuento]]*Tabla520212224252659[[#This Row],[Volúmen bruto]]</f>
        <v>0</v>
      </c>
      <c r="LD28">
        <f>+Tabla520212224252659[[#This Row],[Recuento]]*Tabla520212224252659[[#This Row],[Área neta]]</f>
        <v>0</v>
      </c>
      <c r="LE28" s="26"/>
      <c r="LG28"/>
      <c r="LH28"/>
      <c r="LI28"/>
      <c r="LJ28"/>
      <c r="LK28"/>
      <c r="LL28"/>
      <c r="LM28">
        <f>+Tabla520212224252659111[[#This Row],[Recuento]]*Tabla520212224252659111[[#This Row],[Volúmen bruto]]</f>
        <v>0</v>
      </c>
      <c r="LN28">
        <f>+Tabla520212224252659111[[#This Row],[Recuento]]*Tabla520212224252659111[[#This Row],[Área neta]]</f>
        <v>0</v>
      </c>
      <c r="LO28" s="26"/>
      <c r="LQ28"/>
      <c r="LR28"/>
      <c r="LS28"/>
      <c r="LT28"/>
      <c r="LU28"/>
      <c r="LV28"/>
      <c r="LW28">
        <f>+Tabla520212224252659111114[[#This Row],[Recuento]]*Tabla520212224252659111114[[#This Row],[Volúmen bruto]]</f>
        <v>0</v>
      </c>
      <c r="LX28">
        <f>+Tabla520212224252659111114[[#This Row],[Recuento]]*Tabla520212224252659111114[[#This Row],[Área neta]]</f>
        <v>0</v>
      </c>
      <c r="LY28" s="26"/>
      <c r="MA28" t="s">
        <v>1862</v>
      </c>
      <c r="MB28" t="s">
        <v>1524</v>
      </c>
      <c r="MC28" t="s">
        <v>98</v>
      </c>
      <c r="MD28">
        <v>0</v>
      </c>
      <c r="ME28">
        <v>3.02</v>
      </c>
      <c r="MF28">
        <v>1</v>
      </c>
      <c r="MG28">
        <f>+Tabla520212224252659111114128[[#This Row],[Recuento]]*Tabla520212224252659111114128[[#This Row],[Volúmen bruto]]</f>
        <v>0</v>
      </c>
      <c r="MH28">
        <f>+Tabla520212224252659111114128[[#This Row],[Recuento]]*Tabla520212224252659111114128[[#This Row],[Área neta]]</f>
        <v>3.02</v>
      </c>
      <c r="MI28" s="26"/>
      <c r="MK28"/>
      <c r="ML28"/>
      <c r="MM28"/>
      <c r="MN28"/>
      <c r="MO28"/>
      <c r="MP28"/>
      <c r="MQ28">
        <f>+Tabla520212224252627[[#This Row],[Recuento]]*Tabla520212224252627[[#This Row],[Volúmen bruto]]</f>
        <v>0</v>
      </c>
      <c r="MR28">
        <f>+Tabla520212224252627[[#This Row],[Recuento]]*Tabla520212224252627[[#This Row],[Área neta]]</f>
        <v>0</v>
      </c>
      <c r="MS28" s="26"/>
      <c r="MU28"/>
      <c r="MV28"/>
      <c r="MW28"/>
      <c r="MX28"/>
      <c r="MY28"/>
      <c r="MZ28"/>
      <c r="NA28">
        <f>+Tabla520212224252627129[[#This Row],[Recuento]]*Tabla520212224252627129[[#This Row],[Volúmen bruto]]</f>
        <v>0</v>
      </c>
      <c r="NB28">
        <f>+Tabla520212224252627129[[#This Row],[Recuento]]*Tabla520212224252627129[[#This Row],[Área neta]]</f>
        <v>0</v>
      </c>
      <c r="NC28" s="26"/>
      <c r="NE28"/>
      <c r="NF28"/>
      <c r="NG28"/>
      <c r="NH28"/>
      <c r="NI28"/>
      <c r="NJ28"/>
      <c r="NK28">
        <f>+Tabla520212224252627129125[[#This Row],[Recuento]]*Tabla520212224252627129125[[#This Row],[Volúmen bruto]]</f>
        <v>0</v>
      </c>
      <c r="NL28">
        <f>+Tabla520212224252627129125[[#This Row],[Recuento]]*Tabla520212224252627129125[[#This Row],[Área neta]]</f>
        <v>0</v>
      </c>
      <c r="NM28" s="26"/>
      <c r="NO28"/>
      <c r="NP28"/>
      <c r="NQ28"/>
      <c r="NR28"/>
      <c r="NS28"/>
      <c r="NT28"/>
      <c r="NU28">
        <f>+Tabla520212224252627129125130[[#This Row],[Recuento]]*Tabla520212224252627129125130[[#This Row],[Volúmen bruto]]</f>
        <v>0</v>
      </c>
      <c r="NV28">
        <f>+Tabla520212224252627129125130[[#This Row],[Recuento]]*Tabla520212224252627129125130[[#This Row],[Área neta]]</f>
        <v>0</v>
      </c>
      <c r="NW28" s="26"/>
      <c r="NY28"/>
      <c r="NZ28"/>
      <c r="OA28"/>
      <c r="OB28"/>
      <c r="OC28"/>
      <c r="OD28"/>
      <c r="OE28">
        <f>+Tabla520212224252627129125130131[[#This Row],[Recuento]]*Tabla520212224252627129125130131[[#This Row],[Volúmen bruto]]</f>
        <v>0</v>
      </c>
      <c r="OF28">
        <f>+Tabla520212224252627129125130131[[#This Row],[Recuento]]*Tabla520212224252627129125130131[[#This Row],[Área neta]]</f>
        <v>0</v>
      </c>
      <c r="OG28" s="26"/>
      <c r="OI28"/>
      <c r="OJ28"/>
      <c r="OK28"/>
      <c r="OL28"/>
      <c r="OM28"/>
      <c r="ON28"/>
      <c r="OO28">
        <f>+Tabla520212224252627129125130131132[[#This Row],[Recuento]]*Tabla520212224252627129125130131132[[#This Row],[Volúmen bruto]]</f>
        <v>0</v>
      </c>
      <c r="OP28">
        <f>+Tabla520212224252627129125130131132[[#This Row],[Recuento]]*Tabla520212224252627129125130131132[[#This Row],[Área neta]]</f>
        <v>0</v>
      </c>
      <c r="OQ28" s="26"/>
      <c r="OS28"/>
      <c r="OT28"/>
      <c r="OU28"/>
      <c r="OV28"/>
      <c r="OW28"/>
      <c r="OX28"/>
      <c r="OY28">
        <f>+Tabla52021222425262728[[#This Row],[Recuento]]*Tabla52021222425262728[[#This Row],[Volúmen bruto]]</f>
        <v>0</v>
      </c>
      <c r="OZ28">
        <f>+Tabla52021222425262728[[#This Row],[Recuento]]*Tabla52021222425262728[[#This Row],[Área neta]]</f>
        <v>0</v>
      </c>
      <c r="PA28" s="26"/>
      <c r="PC28" t="s">
        <v>1862</v>
      </c>
      <c r="PD28" t="s">
        <v>1525</v>
      </c>
      <c r="PE28" t="s">
        <v>97</v>
      </c>
      <c r="PF28">
        <v>0.02</v>
      </c>
      <c r="PG28">
        <v>1.08</v>
      </c>
      <c r="PH28">
        <v>1</v>
      </c>
      <c r="PI28">
        <f>+Tabla52021222425262728133[[#This Row],[Recuento]]*Tabla52021222425262728133[[#This Row],[Volúmen bruto]]</f>
        <v>0.02</v>
      </c>
      <c r="PJ28">
        <f>+Tabla52021222425262728133[[#This Row],[Recuento]]*Tabla52021222425262728133[[#This Row],[Área neta]]</f>
        <v>1.08</v>
      </c>
      <c r="PK28" s="26"/>
      <c r="PM28"/>
      <c r="PN28"/>
      <c r="PO28"/>
      <c r="PP28"/>
      <c r="PQ28"/>
      <c r="PR28"/>
      <c r="PS28">
        <f>+Tabla5202122242526272893[[#This Row],[Recuento]]*Tabla5202122242526272893[[#This Row],[Volúmen bruto]]</f>
        <v>0</v>
      </c>
      <c r="PT28">
        <f>+Tabla5202122242526272893[[#This Row],[Recuento]]*Tabla5202122242526272893[[#This Row],[Área neta]]</f>
        <v>0</v>
      </c>
      <c r="PU28" s="26"/>
      <c r="PW28" t="s">
        <v>1862</v>
      </c>
      <c r="PX28" t="s">
        <v>1525</v>
      </c>
      <c r="PY28" t="s">
        <v>97</v>
      </c>
      <c r="PZ28">
        <v>0.03</v>
      </c>
      <c r="QA28">
        <v>1.44</v>
      </c>
      <c r="QB28">
        <v>1</v>
      </c>
      <c r="QC28">
        <f>+Tabla520212224252627289349[[#This Row],[Recuento]]*Tabla520212224252627289349[[#This Row],[Volúmen bruto]]</f>
        <v>0.03</v>
      </c>
      <c r="QD28">
        <f>+Tabla520212224252627289349[[#This Row],[Recuento]]*Tabla520212224252627289349[[#This Row],[Área neta]]</f>
        <v>1.44</v>
      </c>
      <c r="QE28" s="26"/>
      <c r="QG28"/>
      <c r="QH28"/>
      <c r="QI28"/>
      <c r="QJ28"/>
      <c r="QK28"/>
      <c r="QL28"/>
      <c r="QM28">
        <f>+Tabla520212224252627289349134[[#This Row],[Recuento]]*Tabla520212224252627289349134[[#This Row],[Volúmen bruto]]</f>
        <v>0</v>
      </c>
      <c r="QN28">
        <f>+Tabla520212224252627289349134[[#This Row],[Recuento]]*Tabla520212224252627289349134[[#This Row],[Área neta]]</f>
        <v>0</v>
      </c>
      <c r="QO28" s="26"/>
      <c r="QQ28" t="s">
        <v>1862</v>
      </c>
      <c r="QR28" t="s">
        <v>1524</v>
      </c>
      <c r="QS28" t="s">
        <v>1726</v>
      </c>
      <c r="QT28">
        <v>0.09</v>
      </c>
      <c r="QU28">
        <v>0.44</v>
      </c>
      <c r="QV28">
        <v>1</v>
      </c>
      <c r="QW28">
        <v>1</v>
      </c>
      <c r="QX28">
        <f>+Tabla5202122242526272829[[#This Row],[Recuento]]*Tabla5202122242526272829[[#This Row],[Volúmen bruto]]</f>
        <v>0.09</v>
      </c>
      <c r="QY28">
        <f>+Tabla5202122242526272829[[#This Row],[Recuento]]*Tabla5202122242526272829[[#This Row],[Área neta]]</f>
        <v>0.44</v>
      </c>
      <c r="QZ28">
        <f>+Tabla5202122242526272829[[#This Row],[Recuento]]*Tabla5202122242526272829[[#This Row],[Longitud]]</f>
        <v>1</v>
      </c>
      <c r="RA28" s="26"/>
      <c r="RC28"/>
      <c r="RD28"/>
      <c r="RE28"/>
      <c r="RF28"/>
      <c r="RG28"/>
      <c r="RH28"/>
      <c r="RI28"/>
      <c r="RJ28"/>
      <c r="RK28" s="26"/>
      <c r="RM28"/>
      <c r="RN28"/>
      <c r="RO28"/>
      <c r="RP28"/>
      <c r="RQ28"/>
      <c r="RR28"/>
      <c r="RS28"/>
      <c r="RT28"/>
      <c r="RU28" s="26">
        <f t="shared" si="7"/>
        <v>0</v>
      </c>
      <c r="RW28"/>
      <c r="RX28"/>
      <c r="RY28"/>
      <c r="RZ28"/>
      <c r="SA28"/>
      <c r="SB28"/>
      <c r="SC28"/>
      <c r="SD28"/>
      <c r="SE28" s="26"/>
      <c r="SG28"/>
      <c r="SH28"/>
      <c r="SI28"/>
      <c r="SJ28"/>
      <c r="SK28"/>
      <c r="SL28"/>
      <c r="SM28">
        <f>+Tabla5202122242526272831323314[[#This Row],[Recuento]]*Tabla5202122242526272831323314[[#This Row],[Volúmen bruto]]</f>
        <v>0</v>
      </c>
      <c r="SN28">
        <f>+Tabla5202122242526272831323314[[#This Row],[Recuento]]*Tabla5202122242526272831323314[[#This Row],[Área neta]]</f>
        <v>0</v>
      </c>
      <c r="SO28" s="26"/>
      <c r="SQ28" t="s">
        <v>1862</v>
      </c>
      <c r="SR28" t="s">
        <v>1524</v>
      </c>
      <c r="SS28" t="s">
        <v>1627</v>
      </c>
      <c r="ST28">
        <v>0.22</v>
      </c>
      <c r="SU28">
        <v>1.08</v>
      </c>
      <c r="SV28">
        <v>1</v>
      </c>
      <c r="SW28" s="34">
        <f>+Tabla5789141516[[#This Row],[Recuento]]*Tabla5789141516[[#This Row],[Volúmen bruto]]</f>
        <v>0.22</v>
      </c>
      <c r="SX28" s="34">
        <f>+Tabla5789141516[[#This Row],[Recuento]]*Tabla5789141516[[#This Row],[Área neta]]</f>
        <v>1.08</v>
      </c>
      <c r="SY28" s="36"/>
      <c r="SZ28" s="26"/>
      <c r="TA28"/>
      <c r="TB28"/>
      <c r="TC28"/>
      <c r="TD28"/>
      <c r="TE28"/>
      <c r="TF28"/>
      <c r="TG28"/>
      <c r="TH28"/>
      <c r="TI28" s="36">
        <f t="shared" si="8"/>
        <v>0</v>
      </c>
      <c r="TJ28" s="26"/>
      <c r="TK28"/>
      <c r="TL28"/>
      <c r="TM28"/>
      <c r="TN28"/>
      <c r="TO28"/>
      <c r="TP28"/>
      <c r="TQ28" s="34">
        <f>+Tabla57891415163435[[#This Row],[Recuento]]*Tabla57891415163435[[#This Row],[Volúmen bruto]]</f>
        <v>0</v>
      </c>
      <c r="TR28" s="34">
        <f>+Tabla57891415163435[[#This Row],[Recuento]]*Tabla57891415163435[[#This Row],[Área neta]]</f>
        <v>0</v>
      </c>
      <c r="TS28" s="36">
        <f t="shared" si="9"/>
        <v>0</v>
      </c>
      <c r="TT28" s="26"/>
      <c r="TU28"/>
      <c r="TV28"/>
      <c r="TW28"/>
      <c r="TX28"/>
      <c r="TY28"/>
      <c r="TZ28"/>
      <c r="UA28"/>
      <c r="UB28"/>
      <c r="UC28" s="36">
        <f t="shared" si="10"/>
        <v>0</v>
      </c>
      <c r="UD28" s="26"/>
      <c r="UE28"/>
      <c r="UF28"/>
      <c r="UG28"/>
      <c r="UH28"/>
      <c r="UI28"/>
      <c r="UJ28"/>
      <c r="UK28"/>
      <c r="UL28"/>
      <c r="UM28" s="36">
        <f t="shared" si="11"/>
        <v>0</v>
      </c>
      <c r="UN28" s="26"/>
      <c r="UO28"/>
      <c r="UP28"/>
      <c r="UQ28"/>
      <c r="UR28"/>
      <c r="US28"/>
      <c r="UT28"/>
      <c r="UU28"/>
      <c r="UV28"/>
      <c r="UW28" s="36">
        <f t="shared" si="12"/>
        <v>0</v>
      </c>
      <c r="UX28" s="26"/>
      <c r="UY28"/>
      <c r="UZ28"/>
      <c r="VA28"/>
      <c r="VB28"/>
      <c r="VC28"/>
      <c r="VD28"/>
      <c r="VE28"/>
      <c r="VF28"/>
      <c r="VG28" s="36">
        <f t="shared" si="13"/>
        <v>0</v>
      </c>
      <c r="VH28" s="26"/>
      <c r="VI28"/>
      <c r="VJ28"/>
      <c r="VK28"/>
      <c r="VL28"/>
      <c r="VM28"/>
      <c r="VN28"/>
      <c r="VO28"/>
      <c r="VP28"/>
      <c r="VQ28" s="36">
        <f t="shared" si="14"/>
        <v>0</v>
      </c>
      <c r="VR28" s="26"/>
      <c r="VS28"/>
      <c r="VT28"/>
      <c r="VU28"/>
      <c r="VV28"/>
      <c r="VW28"/>
      <c r="VX28"/>
      <c r="VY28"/>
      <c r="VZ28"/>
      <c r="WA28" s="36">
        <f t="shared" si="15"/>
        <v>0</v>
      </c>
      <c r="WB28" s="26"/>
      <c r="WC28"/>
      <c r="WD28"/>
      <c r="WE28"/>
      <c r="WF28"/>
      <c r="WG28"/>
      <c r="WH28"/>
      <c r="WI28"/>
      <c r="WJ28"/>
      <c r="WK28" s="36">
        <f t="shared" si="16"/>
        <v>0</v>
      </c>
      <c r="WL28" s="26"/>
      <c r="WM28"/>
      <c r="WN28"/>
      <c r="WO28"/>
      <c r="WP28"/>
      <c r="WQ28"/>
      <c r="WR28"/>
      <c r="WS28"/>
      <c r="WT28"/>
      <c r="WU28" s="36">
        <f t="shared" si="17"/>
        <v>0</v>
      </c>
      <c r="WV28" s="26"/>
      <c r="WW28"/>
      <c r="WX28"/>
      <c r="WY28"/>
      <c r="WZ28"/>
      <c r="XA28"/>
      <c r="XB28"/>
      <c r="XC28"/>
      <c r="XD28"/>
      <c r="XE28" s="36">
        <f t="shared" si="18"/>
        <v>0</v>
      </c>
      <c r="XF28" s="26"/>
      <c r="XG28"/>
      <c r="XH28"/>
      <c r="XI28"/>
      <c r="XJ28"/>
      <c r="XK28"/>
      <c r="XL28"/>
      <c r="XM28" s="34">
        <f>+Tabla578914151634353637383940414243444536[[#This Row],[Recuento]]*Tabla578914151634353637383940414243444536[[#This Row],[Volúmen bruto]]</f>
        <v>0</v>
      </c>
      <c r="XN28" s="34">
        <f>+Tabla578914151634353637383940414243444536[[#This Row],[Recuento]]*Tabla578914151634353637383940414243444536[[#This Row],[Área neta]]</f>
        <v>0</v>
      </c>
      <c r="XO28" s="36"/>
      <c r="XP28" s="26"/>
      <c r="XQ28"/>
      <c r="XR28"/>
      <c r="XS28"/>
      <c r="XT28"/>
      <c r="XU28"/>
      <c r="XV28" s="33"/>
      <c r="XW28" s="34"/>
      <c r="XX28" s="34"/>
      <c r="XY28" s="35"/>
      <c r="XZ28" s="26"/>
      <c r="YA28"/>
      <c r="YB28"/>
      <c r="YC28"/>
      <c r="YD28"/>
      <c r="YE28"/>
      <c r="YF28" s="33"/>
      <c r="YG28" s="34"/>
      <c r="YH28" s="34"/>
      <c r="YI28" s="35"/>
      <c r="YJ28" s="35"/>
      <c r="YK28"/>
      <c r="YL28"/>
      <c r="YM28"/>
      <c r="YN28"/>
      <c r="YO28"/>
      <c r="YQ28"/>
      <c r="YR28"/>
      <c r="YS28"/>
      <c r="YT28"/>
      <c r="YU28"/>
      <c r="YV28" s="33"/>
      <c r="YW28" s="34"/>
      <c r="YX28" s="34"/>
      <c r="YY28" s="35"/>
      <c r="YZ28" s="26"/>
      <c r="ZA28"/>
      <c r="ZB28"/>
      <c r="ZC28"/>
      <c r="ZD28"/>
      <c r="ZE28"/>
      <c r="ZF28" s="33"/>
      <c r="ZG28" s="34"/>
      <c r="ZH28" s="34"/>
      <c r="ZI28" s="35"/>
      <c r="ZJ28" s="26"/>
      <c r="ZK28"/>
      <c r="ZL28"/>
      <c r="ZM28"/>
      <c r="ZN28"/>
      <c r="ZO28"/>
      <c r="ZP28" s="33"/>
      <c r="ZQ28" s="34"/>
      <c r="ZR28" s="34"/>
      <c r="ZS28" s="35"/>
      <c r="ZT28" s="26"/>
      <c r="ZU28"/>
      <c r="ZV28"/>
      <c r="ZW28"/>
      <c r="ZX28"/>
      <c r="ZY28"/>
      <c r="ZZ28" s="33"/>
      <c r="AAA28" s="34"/>
      <c r="AAB28" s="34"/>
      <c r="AAC28" s="35"/>
      <c r="AAD28" s="26"/>
      <c r="AAE28"/>
      <c r="AAF28"/>
      <c r="AAG28"/>
      <c r="AAH28"/>
      <c r="AAI28"/>
      <c r="AAJ28" s="33"/>
      <c r="AAK28" s="34"/>
      <c r="AAL28" s="34"/>
      <c r="AAM28" s="35"/>
      <c r="AAN28" s="26"/>
      <c r="AAO28"/>
      <c r="AAP28"/>
      <c r="AAQ28"/>
      <c r="AAR28"/>
      <c r="AAS28"/>
      <c r="AAT28"/>
      <c r="AAU28" s="34">
        <f>+Tabla5789141516343536373839404142434445464748495051[[#This Row],[Recuento]]*Tabla5789141516343536373839404142434445464748495051[[#This Row],[Volúmen bruto]]</f>
        <v>0</v>
      </c>
      <c r="AAV28" s="34">
        <f>+Tabla5789141516343536373839404142434445464748495051[[#This Row],[Recuento]]*Tabla5789141516343536373839404142434445464748495051[[#This Row],[Área neta]]</f>
        <v>0</v>
      </c>
      <c r="AAW28" s="35"/>
      <c r="AAX28" s="26"/>
      <c r="AAY28"/>
      <c r="AAZ28"/>
      <c r="ABA28"/>
      <c r="ABB28"/>
      <c r="ABC28"/>
      <c r="ABD28" s="33"/>
      <c r="ABE28" s="34"/>
      <c r="ABF28" s="34"/>
      <c r="ABG28" s="35"/>
      <c r="ABH28" s="26"/>
      <c r="ABI28"/>
      <c r="ABJ28"/>
      <c r="ABK28"/>
      <c r="ABL28"/>
      <c r="ABM28"/>
      <c r="ABN28" s="33"/>
      <c r="ABO28" s="34"/>
      <c r="ABP28" s="34"/>
      <c r="ABQ28" s="35"/>
      <c r="ABR28" s="26"/>
      <c r="ABS28"/>
      <c r="ABT28"/>
      <c r="ABU28"/>
      <c r="ABV28"/>
      <c r="ABW28"/>
      <c r="ABX28" s="33"/>
      <c r="ABY28" s="34"/>
      <c r="ABZ28" s="34"/>
      <c r="ACA28" s="35"/>
      <c r="ACB28" s="26"/>
      <c r="ACC28"/>
      <c r="ACD28"/>
      <c r="ACE28"/>
      <c r="ACF28"/>
      <c r="ACG28"/>
      <c r="ACH28" s="33"/>
      <c r="ACI28" s="34"/>
      <c r="ACJ28" s="34"/>
      <c r="ACK28" s="35"/>
      <c r="ACL28" s="26"/>
      <c r="ACM28"/>
      <c r="ACN28"/>
      <c r="ACO28"/>
      <c r="ACP28"/>
      <c r="ACQ28"/>
      <c r="ACR28" s="33"/>
      <c r="ACS28" s="34"/>
      <c r="ACT28" s="34"/>
      <c r="ACU28" s="35"/>
      <c r="ACV28" s="26"/>
      <c r="ACW28" t="s">
        <v>1252</v>
      </c>
      <c r="ACY28" s="2"/>
      <c r="ADA28" s="38"/>
      <c r="ADB28" s="2">
        <f t="shared" si="1"/>
        <v>0</v>
      </c>
      <c r="ADD28" s="2" t="s">
        <v>1720</v>
      </c>
      <c r="ADE28" s="2">
        <v>1.2</v>
      </c>
      <c r="ADF28" s="2">
        <v>6</v>
      </c>
      <c r="ADG28" s="26">
        <f t="shared" si="19"/>
        <v>7.1999999999999993</v>
      </c>
      <c r="ADH28"/>
      <c r="ADI28"/>
      <c r="ADJ28"/>
      <c r="ADK28"/>
      <c r="ADL28"/>
      <c r="ADM28"/>
      <c r="ADN28">
        <f ca="1">+Tabla578914151634353637383940414243444546474849505152535560[[#This Row],[G. Total]]*Tabla578914151634353637383940414243444546474849505152535560[[#This Row],[Recuento]]</f>
        <v>0</v>
      </c>
      <c r="ADO28" s="35"/>
      <c r="ADP28" s="26"/>
      <c r="ADQ28"/>
      <c r="ADR28"/>
      <c r="ADS28"/>
      <c r="ADT28"/>
      <c r="ADU28"/>
      <c r="ADV28" s="35"/>
      <c r="ADW28" s="35"/>
      <c r="ADX28"/>
      <c r="ADY28"/>
      <c r="ADZ28"/>
      <c r="AEA28"/>
      <c r="AEB28"/>
      <c r="AEC28">
        <f ca="1">+Tabla57891415163435363738394041424344454647484950515253556062[[#This Row],[Total]]*Tabla57891415163435363738394041424344454647484950515253556062[[#This Row],[Recuento]]</f>
        <v>0</v>
      </c>
      <c r="AED28" s="36"/>
      <c r="AEE28" s="26"/>
      <c r="AEF28"/>
      <c r="AEG28"/>
      <c r="AEH28"/>
      <c r="AEI28"/>
      <c r="AEJ28"/>
      <c r="AEK28" s="35"/>
      <c r="AEL28" s="35"/>
      <c r="AEM28" t="s">
        <v>1522</v>
      </c>
      <c r="AEN28" t="s">
        <v>1523</v>
      </c>
      <c r="AEO28" t="s">
        <v>453</v>
      </c>
      <c r="AEP28">
        <v>6.82</v>
      </c>
      <c r="AEQ28">
        <v>1</v>
      </c>
      <c r="AER28">
        <f ca="1">+Tabla5789141516343536373839404142434445464748495051525355606264[[#This Row],[G. Total]]*Tabla5789141516343536373839404142434445464748495051525355606264[[#This Row],[Recuento]]</f>
        <v>6.82</v>
      </c>
      <c r="AES28" s="35"/>
      <c r="AET28" s="26"/>
      <c r="AEU28"/>
      <c r="AEV28"/>
      <c r="AEW28"/>
      <c r="AEX28"/>
      <c r="AEY28"/>
      <c r="AEZ28" s="35"/>
      <c r="AFA28" s="26"/>
      <c r="AFB28"/>
      <c r="AFC28"/>
      <c r="AFD28"/>
      <c r="AFE28"/>
      <c r="AFF28"/>
      <c r="AFG28"/>
      <c r="AFH28"/>
      <c r="AFI28"/>
      <c r="AFJ28"/>
      <c r="AFK28"/>
      <c r="AFL28"/>
      <c r="AFM28">
        <f ca="1">+Tabla578914151634353637383940414243444546474849505152535560626467[[#This Row],[G. Total]]*Tabla578914151634353637383940414243444546474849505152535560626467[[#This Row],[Recuento]]</f>
        <v>0</v>
      </c>
      <c r="AFN28" s="35"/>
      <c r="AFO28" s="26"/>
      <c r="AFP28" s="2" t="s">
        <v>111</v>
      </c>
      <c r="AFW28" s="2" t="s">
        <v>111</v>
      </c>
    </row>
    <row r="29" spans="1:860" ht="15" customHeight="1" x14ac:dyDescent="0.25">
      <c r="A29"/>
      <c r="B29"/>
      <c r="C29"/>
      <c r="D29"/>
      <c r="E29"/>
      <c r="F29"/>
      <c r="G29"/>
      <c r="H29">
        <f>+Tabla3[[#This Row],[Volúmen neto]]*A29</f>
        <v>0</v>
      </c>
      <c r="I29"/>
      <c r="J29"/>
      <c r="K29"/>
      <c r="L29"/>
      <c r="M29"/>
      <c r="N29"/>
      <c r="O29"/>
      <c r="P29"/>
      <c r="Q29"/>
      <c r="R29">
        <f>+Tabla5[[#This Row],[Recuento]]*Tabla5[[#This Row],[Volúmen bruto]]</f>
        <v>0</v>
      </c>
      <c r="S29">
        <f>+Tabla5[[#This Row],[Recuento]]*Tabla5[[#This Row],[Área neta]]</f>
        <v>0</v>
      </c>
      <c r="T29">
        <f>+Tabla5[[#This Row],[Longitud nominal]]*Tabla5[[#This Row],[Recuento]]</f>
        <v>0</v>
      </c>
      <c r="U29" s="26"/>
      <c r="V29"/>
      <c r="W29"/>
      <c r="X29"/>
      <c r="Y29"/>
      <c r="Z29"/>
      <c r="AA29"/>
      <c r="AB29"/>
      <c r="AC29"/>
      <c r="AD29"/>
      <c r="AE29"/>
      <c r="AF29"/>
      <c r="AG29" s="26">
        <f t="shared" si="4"/>
        <v>0</v>
      </c>
      <c r="AH29"/>
      <c r="AI29"/>
      <c r="AJ29"/>
      <c r="AK29"/>
      <c r="AL29"/>
      <c r="AM29"/>
      <c r="AN29"/>
      <c r="AO29"/>
      <c r="AP29"/>
      <c r="AQ29"/>
      <c r="AR29"/>
      <c r="AS29" s="26">
        <f t="shared" si="5"/>
        <v>0</v>
      </c>
      <c r="AT29"/>
      <c r="AU29"/>
      <c r="AV29"/>
      <c r="AW29"/>
      <c r="AX29"/>
      <c r="AY29"/>
      <c r="AZ29"/>
      <c r="BA29"/>
      <c r="BB29"/>
      <c r="BC29"/>
      <c r="BD29"/>
      <c r="BE29" s="26">
        <f t="shared" si="6"/>
        <v>0</v>
      </c>
      <c r="BF29">
        <v>1</v>
      </c>
      <c r="BG29" t="s">
        <v>1862</v>
      </c>
      <c r="BH29" t="s">
        <v>1524</v>
      </c>
      <c r="BI29" t="s">
        <v>1406</v>
      </c>
      <c r="BJ29">
        <v>3.25</v>
      </c>
      <c r="BK29" s="37">
        <v>3.5</v>
      </c>
      <c r="BL29">
        <f>+Tabla3102[[#This Row],[En culmo]]*BF29</f>
        <v>3.5</v>
      </c>
      <c r="BM29"/>
      <c r="BN29">
        <v>1</v>
      </c>
      <c r="BO29"/>
      <c r="BP29"/>
      <c r="BQ29"/>
      <c r="BR29"/>
      <c r="BS29"/>
      <c r="BT29">
        <f>+Tabla31069[[#This Row],[Longitud de eje]]*BN29</f>
        <v>0</v>
      </c>
      <c r="BU29"/>
      <c r="BV29">
        <v>1</v>
      </c>
      <c r="BW29" t="s">
        <v>1862</v>
      </c>
      <c r="BX29" t="s">
        <v>1525</v>
      </c>
      <c r="BY29" t="s">
        <v>1406</v>
      </c>
      <c r="BZ29">
        <v>1</v>
      </c>
      <c r="CA29">
        <v>1.5</v>
      </c>
      <c r="CB29">
        <f>+Tabla31011[[#This Row],[En culmo]]*BV29</f>
        <v>1.5</v>
      </c>
      <c r="CD29">
        <v>10</v>
      </c>
      <c r="CE29" t="s">
        <v>1862</v>
      </c>
      <c r="CF29" t="s">
        <v>1525</v>
      </c>
      <c r="CG29" t="s">
        <v>1405</v>
      </c>
      <c r="CH29">
        <v>2.48</v>
      </c>
      <c r="CI29">
        <v>3</v>
      </c>
      <c r="CJ29">
        <f>+Tabla3101170[[#This Row],[En culmo]]*CD29</f>
        <v>30</v>
      </c>
      <c r="CK29"/>
      <c r="CR29">
        <f>+Tabla31011116[[#This Row],[En culmo]]*CT29</f>
        <v>0</v>
      </c>
      <c r="CT29">
        <v>2</v>
      </c>
      <c r="CU29" t="s">
        <v>1862</v>
      </c>
      <c r="CV29" t="s">
        <v>1383</v>
      </c>
      <c r="CW29" t="s">
        <v>1405</v>
      </c>
      <c r="CX29">
        <v>3.7</v>
      </c>
      <c r="CY29">
        <v>5</v>
      </c>
      <c r="CZ29">
        <f>+Tabla3101170117[[#This Row],[En culmo]]*CT29</f>
        <v>10</v>
      </c>
      <c r="DA29"/>
      <c r="DB29">
        <v>2</v>
      </c>
      <c r="DC29" t="s">
        <v>1862</v>
      </c>
      <c r="DD29" t="s">
        <v>1383</v>
      </c>
      <c r="DE29" t="s">
        <v>1723</v>
      </c>
      <c r="DF29">
        <v>0.38</v>
      </c>
      <c r="DG29">
        <f>+Tabla31011704[[#This Row],[Longitud de eje]]*DB29</f>
        <v>0.76</v>
      </c>
      <c r="DH29"/>
      <c r="DI29"/>
      <c r="DJ29"/>
      <c r="DK29"/>
      <c r="DL29"/>
      <c r="DM29"/>
      <c r="DN29">
        <f>+Tabla3101170411[[#This Row],[Longitud de eje]]*DI29</f>
        <v>0</v>
      </c>
      <c r="DO29"/>
      <c r="DP29"/>
      <c r="DQ29"/>
      <c r="DR29"/>
      <c r="DS29"/>
      <c r="DT29"/>
      <c r="DU29">
        <f>+Tabla3101170411120[[#This Row],[Longitud de eje]]*DP29</f>
        <v>0</v>
      </c>
      <c r="DV29"/>
      <c r="DW29"/>
      <c r="DX29"/>
      <c r="DY29"/>
      <c r="DZ29"/>
      <c r="EA29"/>
      <c r="EB29">
        <f>+Tabla3101170411120122[[#This Row],[Longitud de eje]]*DW29</f>
        <v>0</v>
      </c>
      <c r="EC29"/>
      <c r="ED29">
        <v>2</v>
      </c>
      <c r="EE29" t="s">
        <v>1862</v>
      </c>
      <c r="EF29" t="s">
        <v>1524</v>
      </c>
      <c r="EG29" t="s">
        <v>1406</v>
      </c>
      <c r="EH29">
        <v>1.74</v>
      </c>
      <c r="EI29">
        <v>2</v>
      </c>
      <c r="EJ29">
        <f>+Tabla3101112[[#This Row],[En culmo]]*ED29</f>
        <v>4</v>
      </c>
      <c r="EK29"/>
      <c r="EL29"/>
      <c r="EM29"/>
      <c r="EN29"/>
      <c r="EO29"/>
      <c r="EP29"/>
      <c r="EQ29"/>
      <c r="ER29">
        <f>+Tabla3101112123[[#This Row],[En culmo]]*EL29</f>
        <v>0</v>
      </c>
      <c r="ES29"/>
      <c r="ET29">
        <v>42</v>
      </c>
      <c r="EU29" t="s">
        <v>1862</v>
      </c>
      <c r="EV29" t="s">
        <v>1525</v>
      </c>
      <c r="EW29" t="s">
        <v>1406</v>
      </c>
      <c r="EX29">
        <v>2.2400000000000002</v>
      </c>
      <c r="EY29">
        <v>2.5</v>
      </c>
      <c r="EZ29">
        <f>+Tabla310111257[[#This Row],[En culmo]]*ET29</f>
        <v>105</v>
      </c>
      <c r="FA29"/>
      <c r="FB29"/>
      <c r="FC29"/>
      <c r="FD29"/>
      <c r="FE29"/>
      <c r="FF29"/>
      <c r="FG29">
        <v>2.5</v>
      </c>
      <c r="FH29">
        <f>+Tabla310111257124[[#This Row],[En culmo]]*FB29</f>
        <v>0</v>
      </c>
      <c r="FI29"/>
      <c r="FK29"/>
      <c r="FL29"/>
      <c r="FM29"/>
      <c r="FN29"/>
      <c r="FO29"/>
      <c r="FP29"/>
      <c r="FQ29"/>
      <c r="FS29"/>
      <c r="FT29"/>
      <c r="FU29"/>
      <c r="FV29"/>
      <c r="FW29"/>
      <c r="FX29"/>
      <c r="FY29"/>
      <c r="GA29"/>
      <c r="GB29"/>
      <c r="GC29"/>
      <c r="GD29"/>
      <c r="GE29"/>
      <c r="GF29"/>
      <c r="GG29"/>
      <c r="GI29"/>
      <c r="GJ29"/>
      <c r="GK29"/>
      <c r="GL29"/>
      <c r="GM29"/>
      <c r="GN29"/>
      <c r="GO29"/>
      <c r="GQ29" t="s">
        <v>1862</v>
      </c>
      <c r="GR29" t="s">
        <v>1383</v>
      </c>
      <c r="GS29" t="s">
        <v>1667</v>
      </c>
      <c r="GT29">
        <v>1.74</v>
      </c>
      <c r="GU29">
        <v>19.3</v>
      </c>
      <c r="GV29">
        <v>1</v>
      </c>
      <c r="GW29">
        <f>+Tabla578914[[#This Row],[Recuento]]*Tabla578914[[#This Row],[Volúmen bruto]]</f>
        <v>1.74</v>
      </c>
      <c r="GX29">
        <f>+Tabla578914[[#This Row],[Recuento]]*Tabla578914[[#This Row],[Área neta]]</f>
        <v>19.3</v>
      </c>
      <c r="GY29" s="36"/>
      <c r="HA29" t="s">
        <v>1863</v>
      </c>
      <c r="HB29" t="s">
        <v>1383</v>
      </c>
      <c r="HC29" t="s">
        <v>1628</v>
      </c>
      <c r="HD29">
        <v>0.01</v>
      </c>
      <c r="HE29">
        <v>1.5</v>
      </c>
      <c r="HF29">
        <v>1</v>
      </c>
      <c r="HG29">
        <f>+Tabla578914126[[#This Row],[Recuento]]*Tabla578914126[[#This Row],[Volúmen bruto]]</f>
        <v>0.01</v>
      </c>
      <c r="HH29">
        <f>+Tabla578914126[[#This Row],[Recuento]]*Tabla578914126[[#This Row],[Área neta]]</f>
        <v>1.5</v>
      </c>
      <c r="HI29" s="36"/>
      <c r="HK29"/>
      <c r="HL29"/>
      <c r="HM29"/>
      <c r="HN29"/>
      <c r="HO29"/>
      <c r="HP29"/>
      <c r="HQ29">
        <f>+Tabla578914126127[[#This Row],[Recuento]]*Tabla578914126127[[#This Row],[Volúmen bruto]]</f>
        <v>0</v>
      </c>
      <c r="HR29">
        <f>+Tabla578914126127[[#This Row],[Recuento]]*Tabla578914126127[[#This Row],[Área neta]]</f>
        <v>0</v>
      </c>
      <c r="HS29" s="36"/>
      <c r="HT29" s="26"/>
      <c r="HU29"/>
      <c r="HV29"/>
      <c r="HW29"/>
      <c r="HX29"/>
      <c r="HY29"/>
      <c r="HZ29"/>
      <c r="IA29"/>
      <c r="IB29"/>
      <c r="IC29" s="36"/>
      <c r="ID29" s="26"/>
      <c r="IE29"/>
      <c r="IF29"/>
      <c r="IG29"/>
      <c r="IH29"/>
      <c r="II29"/>
      <c r="IJ29"/>
      <c r="IK29"/>
      <c r="IL29"/>
      <c r="IM29" s="36"/>
      <c r="IN29" s="26"/>
      <c r="IO29"/>
      <c r="IP29"/>
      <c r="IQ29"/>
      <c r="IR29"/>
      <c r="IS29"/>
      <c r="IT29"/>
      <c r="IU29"/>
      <c r="IV29">
        <f>+Tabla520212223[[#This Row],[Recuento]]*Tabla520212223[[#This Row],[Área neta]]</f>
        <v>0</v>
      </c>
      <c r="IW29" s="26">
        <f t="shared" si="0"/>
        <v>0</v>
      </c>
      <c r="IY29"/>
      <c r="IZ29"/>
      <c r="JA29"/>
      <c r="JB29"/>
      <c r="JC29"/>
      <c r="JD29"/>
      <c r="JE29">
        <f>+Tabla520212224[[#This Row],[Recuento]]*Tabla520212224[[#This Row],[Volúmen bruto]]</f>
        <v>0</v>
      </c>
      <c r="JF29">
        <f>+Tabla520212224[[#This Row],[Recuento]]*Tabla520212224[[#This Row],[Área neta]]</f>
        <v>0</v>
      </c>
      <c r="JG29" s="26"/>
      <c r="JI29" t="s">
        <v>1862</v>
      </c>
      <c r="JJ29" t="s">
        <v>1525</v>
      </c>
      <c r="JK29" t="s">
        <v>98</v>
      </c>
      <c r="JL29">
        <v>0</v>
      </c>
      <c r="JM29">
        <v>0.22</v>
      </c>
      <c r="JN29">
        <v>1</v>
      </c>
      <c r="JO29">
        <f>+Tabla52021222425[[#This Row],[Recuento]]*Tabla52021222425[[#This Row],[Volúmen bruto]]</f>
        <v>0</v>
      </c>
      <c r="JP29">
        <f>+Tabla52021222425[[#This Row],[Recuento]]*Tabla52021222425[[#This Row],[Área neta]]</f>
        <v>0.22</v>
      </c>
      <c r="JQ29" s="26"/>
      <c r="JS29" t="s">
        <v>1862</v>
      </c>
      <c r="JT29" t="s">
        <v>1525</v>
      </c>
      <c r="JU29" t="s">
        <v>1677</v>
      </c>
      <c r="JV29">
        <v>0</v>
      </c>
      <c r="JW29">
        <v>0.68</v>
      </c>
      <c r="JX29">
        <v>1</v>
      </c>
      <c r="JY29">
        <f>+Tabla5202122242526[[#This Row],[Recuento]]*Tabla5202122242526[[#This Row],[Volúmen bruto]]</f>
        <v>0</v>
      </c>
      <c r="JZ29">
        <f>+Tabla5202122242526[[#This Row],[Recuento]]*Tabla5202122242526[[#This Row],[Área neta]]</f>
        <v>0.68</v>
      </c>
      <c r="KA29" s="26"/>
      <c r="KC29"/>
      <c r="KD29"/>
      <c r="KE29"/>
      <c r="KF29"/>
      <c r="KG29"/>
      <c r="KH29"/>
      <c r="KI29">
        <f>+Tabla5202122242526104[[#This Row],[Recuento]]*Tabla5202122242526104[[#This Row],[Volúmen bruto]]</f>
        <v>0</v>
      </c>
      <c r="KJ29">
        <f>+Tabla5202122242526104[[#This Row],[Recuento]]*Tabla5202122242526104[[#This Row],[Área neta]]</f>
        <v>0</v>
      </c>
      <c r="KK29" s="26"/>
      <c r="KM29" t="s">
        <v>1862</v>
      </c>
      <c r="KN29" t="s">
        <v>1525</v>
      </c>
      <c r="KO29" t="s">
        <v>97</v>
      </c>
      <c r="KP29">
        <v>0.1</v>
      </c>
      <c r="KQ29">
        <v>3.16</v>
      </c>
      <c r="KR29">
        <v>1</v>
      </c>
      <c r="KS29">
        <f>+Tabla5202122242526104110[[#This Row],[Recuento]]*Tabla5202122242526104110[[#This Row],[Volúmen bruto]]</f>
        <v>0.1</v>
      </c>
      <c r="KT29">
        <f>+Tabla5202122242526104110[[#This Row],[Recuento]]*Tabla5202122242526104110[[#This Row],[Área neta]]</f>
        <v>3.16</v>
      </c>
      <c r="KU29" s="26"/>
      <c r="KW29"/>
      <c r="KX29"/>
      <c r="KY29"/>
      <c r="KZ29"/>
      <c r="LA29"/>
      <c r="LB29"/>
      <c r="LC29">
        <f>+Tabla520212224252659[[#This Row],[Recuento]]*Tabla520212224252659[[#This Row],[Volúmen bruto]]</f>
        <v>0</v>
      </c>
      <c r="LD29">
        <f>+Tabla520212224252659[[#This Row],[Recuento]]*Tabla520212224252659[[#This Row],[Área neta]]</f>
        <v>0</v>
      </c>
      <c r="LE29" s="26"/>
      <c r="LG29"/>
      <c r="LH29"/>
      <c r="LI29"/>
      <c r="LJ29"/>
      <c r="LK29"/>
      <c r="LL29"/>
      <c r="LM29">
        <f>+Tabla520212224252659111[[#This Row],[Recuento]]*Tabla520212224252659111[[#This Row],[Volúmen bruto]]</f>
        <v>0</v>
      </c>
      <c r="LN29">
        <f>+Tabla520212224252659111[[#This Row],[Recuento]]*Tabla520212224252659111[[#This Row],[Área neta]]</f>
        <v>0</v>
      </c>
      <c r="LO29" s="26"/>
      <c r="LQ29"/>
      <c r="LR29"/>
      <c r="LS29"/>
      <c r="LT29"/>
      <c r="LU29"/>
      <c r="LV29"/>
      <c r="LW29">
        <f>+Tabla520212224252659111114[[#This Row],[Recuento]]*Tabla520212224252659111114[[#This Row],[Volúmen bruto]]</f>
        <v>0</v>
      </c>
      <c r="LX29">
        <f>+Tabla520212224252659111114[[#This Row],[Recuento]]*Tabla520212224252659111114[[#This Row],[Área neta]]</f>
        <v>0</v>
      </c>
      <c r="LY29" s="26"/>
      <c r="MA29" t="s">
        <v>1862</v>
      </c>
      <c r="MB29" t="s">
        <v>1524</v>
      </c>
      <c r="MC29" t="s">
        <v>98</v>
      </c>
      <c r="MD29">
        <v>0</v>
      </c>
      <c r="ME29">
        <v>1.35</v>
      </c>
      <c r="MF29">
        <v>1</v>
      </c>
      <c r="MG29">
        <f>+Tabla520212224252659111114128[[#This Row],[Recuento]]*Tabla520212224252659111114128[[#This Row],[Volúmen bruto]]</f>
        <v>0</v>
      </c>
      <c r="MH29">
        <f>+Tabla520212224252659111114128[[#This Row],[Recuento]]*Tabla520212224252659111114128[[#This Row],[Área neta]]</f>
        <v>1.35</v>
      </c>
      <c r="MI29" s="26"/>
      <c r="MK29"/>
      <c r="ML29"/>
      <c r="MM29"/>
      <c r="MN29"/>
      <c r="MO29"/>
      <c r="MP29"/>
      <c r="MQ29">
        <f>+Tabla520212224252627[[#This Row],[Recuento]]*Tabla520212224252627[[#This Row],[Volúmen bruto]]</f>
        <v>0</v>
      </c>
      <c r="MR29">
        <f>+Tabla520212224252627[[#This Row],[Recuento]]*Tabla520212224252627[[#This Row],[Área neta]]</f>
        <v>0</v>
      </c>
      <c r="MS29" s="26"/>
      <c r="MU29"/>
      <c r="MV29"/>
      <c r="MW29"/>
      <c r="MX29"/>
      <c r="MY29"/>
      <c r="MZ29"/>
      <c r="NA29">
        <f>+Tabla520212224252627129[[#This Row],[Recuento]]*Tabla520212224252627129[[#This Row],[Volúmen bruto]]</f>
        <v>0</v>
      </c>
      <c r="NB29">
        <f>+Tabla520212224252627129[[#This Row],[Recuento]]*Tabla520212224252627129[[#This Row],[Área neta]]</f>
        <v>0</v>
      </c>
      <c r="NC29" s="26"/>
      <c r="NE29"/>
      <c r="NF29"/>
      <c r="NG29"/>
      <c r="NH29"/>
      <c r="NI29"/>
      <c r="NJ29"/>
      <c r="NK29">
        <f>+Tabla520212224252627129125[[#This Row],[Recuento]]*Tabla520212224252627129125[[#This Row],[Volúmen bruto]]</f>
        <v>0</v>
      </c>
      <c r="NL29">
        <f>+Tabla520212224252627129125[[#This Row],[Recuento]]*Tabla520212224252627129125[[#This Row],[Área neta]]</f>
        <v>0</v>
      </c>
      <c r="NM29" s="26"/>
      <c r="NO29"/>
      <c r="NP29"/>
      <c r="NQ29"/>
      <c r="NR29"/>
      <c r="NS29"/>
      <c r="NT29"/>
      <c r="NU29">
        <f>+Tabla520212224252627129125130[[#This Row],[Recuento]]*Tabla520212224252627129125130[[#This Row],[Volúmen bruto]]</f>
        <v>0</v>
      </c>
      <c r="NV29">
        <f>+Tabla520212224252627129125130[[#This Row],[Recuento]]*Tabla520212224252627129125130[[#This Row],[Área neta]]</f>
        <v>0</v>
      </c>
      <c r="NW29" s="26"/>
      <c r="NY29"/>
      <c r="NZ29"/>
      <c r="OA29"/>
      <c r="OB29"/>
      <c r="OC29"/>
      <c r="OD29"/>
      <c r="OE29">
        <f>+Tabla520212224252627129125130131[[#This Row],[Recuento]]*Tabla520212224252627129125130131[[#This Row],[Volúmen bruto]]</f>
        <v>0</v>
      </c>
      <c r="OF29">
        <f>+Tabla520212224252627129125130131[[#This Row],[Recuento]]*Tabla520212224252627129125130131[[#This Row],[Área neta]]</f>
        <v>0</v>
      </c>
      <c r="OG29" s="26"/>
      <c r="OI29"/>
      <c r="OJ29"/>
      <c r="OK29"/>
      <c r="OL29"/>
      <c r="OM29"/>
      <c r="ON29"/>
      <c r="OO29">
        <f>+Tabla520212224252627129125130131132[[#This Row],[Recuento]]*Tabla520212224252627129125130131132[[#This Row],[Volúmen bruto]]</f>
        <v>0</v>
      </c>
      <c r="OP29">
        <f>+Tabla520212224252627129125130131132[[#This Row],[Recuento]]*Tabla520212224252627129125130131132[[#This Row],[Área neta]]</f>
        <v>0</v>
      </c>
      <c r="OQ29" s="26"/>
      <c r="OS29"/>
      <c r="OT29"/>
      <c r="OU29"/>
      <c r="OV29"/>
      <c r="OW29"/>
      <c r="OX29"/>
      <c r="OY29">
        <f>+Tabla52021222425262728[[#This Row],[Recuento]]*Tabla52021222425262728[[#This Row],[Volúmen bruto]]</f>
        <v>0</v>
      </c>
      <c r="OZ29">
        <f>+Tabla52021222425262728[[#This Row],[Recuento]]*Tabla52021222425262728[[#This Row],[Área neta]]</f>
        <v>0</v>
      </c>
      <c r="PA29" s="26"/>
      <c r="PC29" t="s">
        <v>1862</v>
      </c>
      <c r="PD29" t="s">
        <v>1525</v>
      </c>
      <c r="PE29" t="s">
        <v>97</v>
      </c>
      <c r="PF29">
        <v>0.01</v>
      </c>
      <c r="PG29">
        <v>0.69</v>
      </c>
      <c r="PH29">
        <v>1</v>
      </c>
      <c r="PI29">
        <f>+Tabla52021222425262728133[[#This Row],[Recuento]]*Tabla52021222425262728133[[#This Row],[Volúmen bruto]]</f>
        <v>0.01</v>
      </c>
      <c r="PJ29">
        <f>+Tabla52021222425262728133[[#This Row],[Recuento]]*Tabla52021222425262728133[[#This Row],[Área neta]]</f>
        <v>0.69</v>
      </c>
      <c r="PK29" s="26"/>
      <c r="PM29"/>
      <c r="PN29"/>
      <c r="PO29"/>
      <c r="PP29"/>
      <c r="PQ29"/>
      <c r="PR29"/>
      <c r="PS29">
        <f>+Tabla5202122242526272893[[#This Row],[Recuento]]*Tabla5202122242526272893[[#This Row],[Volúmen bruto]]</f>
        <v>0</v>
      </c>
      <c r="PT29">
        <f>+Tabla5202122242526272893[[#This Row],[Recuento]]*Tabla5202122242526272893[[#This Row],[Área neta]]</f>
        <v>0</v>
      </c>
      <c r="PU29" s="26"/>
      <c r="PW29" t="s">
        <v>1862</v>
      </c>
      <c r="PX29" t="s">
        <v>1525</v>
      </c>
      <c r="PY29" t="s">
        <v>97</v>
      </c>
      <c r="PZ29">
        <v>0.02</v>
      </c>
      <c r="QA29">
        <v>1.22</v>
      </c>
      <c r="QB29">
        <v>1</v>
      </c>
      <c r="QC29">
        <f>+Tabla520212224252627289349[[#This Row],[Recuento]]*Tabla520212224252627289349[[#This Row],[Volúmen bruto]]</f>
        <v>0.02</v>
      </c>
      <c r="QD29">
        <f>+Tabla520212224252627289349[[#This Row],[Recuento]]*Tabla520212224252627289349[[#This Row],[Área neta]]</f>
        <v>1.22</v>
      </c>
      <c r="QE29" s="415"/>
      <c r="QG29"/>
      <c r="QH29"/>
      <c r="QI29"/>
      <c r="QJ29"/>
      <c r="QK29"/>
      <c r="QL29"/>
      <c r="QM29">
        <f>+Tabla520212224252627289349134[[#This Row],[Recuento]]*Tabla520212224252627289349134[[#This Row],[Volúmen bruto]]</f>
        <v>0</v>
      </c>
      <c r="QN29">
        <f>+Tabla520212224252627289349134[[#This Row],[Recuento]]*Tabla520212224252627289349134[[#This Row],[Área neta]]</f>
        <v>0</v>
      </c>
      <c r="QO29" s="26"/>
      <c r="QQ29" t="s">
        <v>1862</v>
      </c>
      <c r="QR29" t="s">
        <v>1524</v>
      </c>
      <c r="QS29" t="s">
        <v>1726</v>
      </c>
      <c r="QT29">
        <v>0.91</v>
      </c>
      <c r="QU29">
        <v>4.55</v>
      </c>
      <c r="QV29">
        <v>1</v>
      </c>
      <c r="QW29">
        <v>1</v>
      </c>
      <c r="QX29">
        <f>+Tabla5202122242526272829[[#This Row],[Recuento]]*Tabla5202122242526272829[[#This Row],[Volúmen bruto]]</f>
        <v>0.91</v>
      </c>
      <c r="QY29">
        <f>+Tabla5202122242526272829[[#This Row],[Recuento]]*Tabla5202122242526272829[[#This Row],[Área neta]]</f>
        <v>4.55</v>
      </c>
      <c r="QZ29">
        <f>+Tabla5202122242526272829[[#This Row],[Recuento]]*Tabla5202122242526272829[[#This Row],[Longitud]]</f>
        <v>1</v>
      </c>
      <c r="RA29" s="26"/>
      <c r="RC29"/>
      <c r="RD29"/>
      <c r="RE29"/>
      <c r="RF29"/>
      <c r="RG29"/>
      <c r="RH29"/>
      <c r="RI29"/>
      <c r="RJ29"/>
      <c r="RK29" s="26"/>
      <c r="RM29"/>
      <c r="RN29"/>
      <c r="RO29"/>
      <c r="RP29"/>
      <c r="RQ29"/>
      <c r="RR29"/>
      <c r="RS29"/>
      <c r="RT29"/>
      <c r="RU29" s="26">
        <f t="shared" si="7"/>
        <v>0</v>
      </c>
      <c r="RW29"/>
      <c r="RX29"/>
      <c r="RY29"/>
      <c r="RZ29"/>
      <c r="SA29"/>
      <c r="SB29"/>
      <c r="SC29"/>
      <c r="SD29"/>
      <c r="SE29" s="26"/>
      <c r="SG29"/>
      <c r="SH29"/>
      <c r="SI29"/>
      <c r="SJ29"/>
      <c r="SK29"/>
      <c r="SL29"/>
      <c r="SM29">
        <f>+Tabla5202122242526272831323314[[#This Row],[Recuento]]*Tabla5202122242526272831323314[[#This Row],[Volúmen bruto]]</f>
        <v>0</v>
      </c>
      <c r="SN29">
        <f>+Tabla5202122242526272831323314[[#This Row],[Recuento]]*Tabla5202122242526272831323314[[#This Row],[Área neta]]</f>
        <v>0</v>
      </c>
      <c r="SO29" s="26"/>
      <c r="SQ29" t="s">
        <v>1862</v>
      </c>
      <c r="SR29" t="s">
        <v>1524</v>
      </c>
      <c r="SS29" t="s">
        <v>1627</v>
      </c>
      <c r="ST29">
        <v>0.08</v>
      </c>
      <c r="SU29">
        <v>0.41</v>
      </c>
      <c r="SV29">
        <v>1</v>
      </c>
      <c r="SW29" s="34">
        <f>+Tabla5789141516[[#This Row],[Recuento]]*Tabla5789141516[[#This Row],[Volúmen bruto]]</f>
        <v>0.08</v>
      </c>
      <c r="SX29" s="34">
        <f>+Tabla5789141516[[#This Row],[Recuento]]*Tabla5789141516[[#This Row],[Área neta]]</f>
        <v>0.41</v>
      </c>
      <c r="SY29" s="36"/>
      <c r="SZ29" s="26"/>
      <c r="TA29"/>
      <c r="TB29"/>
      <c r="TC29"/>
      <c r="TD29"/>
      <c r="TE29"/>
      <c r="TF29"/>
      <c r="TG29"/>
      <c r="TH29"/>
      <c r="TI29" s="36">
        <f t="shared" si="8"/>
        <v>0</v>
      </c>
      <c r="TJ29" s="26"/>
      <c r="TK29"/>
      <c r="TL29"/>
      <c r="TM29"/>
      <c r="TN29"/>
      <c r="TO29"/>
      <c r="TP29"/>
      <c r="TQ29" s="34">
        <f>+Tabla57891415163435[[#This Row],[Recuento]]*Tabla57891415163435[[#This Row],[Volúmen bruto]]</f>
        <v>0</v>
      </c>
      <c r="TR29" s="34">
        <f>+Tabla57891415163435[[#This Row],[Recuento]]*Tabla57891415163435[[#This Row],[Área neta]]</f>
        <v>0</v>
      </c>
      <c r="TS29" s="36">
        <f t="shared" si="9"/>
        <v>0</v>
      </c>
      <c r="TT29" s="26"/>
      <c r="TU29"/>
      <c r="TV29"/>
      <c r="TW29"/>
      <c r="TX29"/>
      <c r="TY29"/>
      <c r="TZ29"/>
      <c r="UA29"/>
      <c r="UB29"/>
      <c r="UC29" s="36">
        <f t="shared" si="10"/>
        <v>0</v>
      </c>
      <c r="UD29" s="26"/>
      <c r="UE29"/>
      <c r="UF29"/>
      <c r="UG29"/>
      <c r="UH29"/>
      <c r="UI29"/>
      <c r="UJ29"/>
      <c r="UK29"/>
      <c r="UL29"/>
      <c r="UM29" s="36">
        <f t="shared" si="11"/>
        <v>0</v>
      </c>
      <c r="UN29" s="26"/>
      <c r="UO29"/>
      <c r="UP29"/>
      <c r="UQ29"/>
      <c r="UR29"/>
      <c r="US29"/>
      <c r="UT29"/>
      <c r="UU29"/>
      <c r="UV29"/>
      <c r="UW29" s="36">
        <f t="shared" si="12"/>
        <v>0</v>
      </c>
      <c r="UX29" s="26"/>
      <c r="UY29"/>
      <c r="UZ29"/>
      <c r="VA29"/>
      <c r="VB29"/>
      <c r="VC29"/>
      <c r="VD29"/>
      <c r="VE29"/>
      <c r="VF29"/>
      <c r="VG29" s="36">
        <f t="shared" si="13"/>
        <v>0</v>
      </c>
      <c r="VH29" s="26"/>
      <c r="VI29"/>
      <c r="VJ29"/>
      <c r="VK29"/>
      <c r="VL29"/>
      <c r="VM29"/>
      <c r="VN29"/>
      <c r="VO29"/>
      <c r="VP29"/>
      <c r="VQ29" s="36">
        <f t="shared" si="14"/>
        <v>0</v>
      </c>
      <c r="VR29" s="26"/>
      <c r="VS29"/>
      <c r="VT29"/>
      <c r="VU29"/>
      <c r="VV29"/>
      <c r="VW29"/>
      <c r="VX29"/>
      <c r="VY29"/>
      <c r="VZ29"/>
      <c r="WA29" s="36">
        <f t="shared" si="15"/>
        <v>0</v>
      </c>
      <c r="WB29" s="26"/>
      <c r="WC29"/>
      <c r="WD29"/>
      <c r="WE29"/>
      <c r="WF29"/>
      <c r="WG29"/>
      <c r="WH29"/>
      <c r="WI29"/>
      <c r="WJ29"/>
      <c r="WK29" s="36">
        <f t="shared" si="16"/>
        <v>0</v>
      </c>
      <c r="WL29" s="26"/>
      <c r="WM29"/>
      <c r="WN29"/>
      <c r="WO29"/>
      <c r="WP29"/>
      <c r="WQ29"/>
      <c r="WR29"/>
      <c r="WS29"/>
      <c r="WT29"/>
      <c r="WU29" s="36">
        <f t="shared" si="17"/>
        <v>0</v>
      </c>
      <c r="WV29" s="26"/>
      <c r="WW29"/>
      <c r="WX29"/>
      <c r="WY29"/>
      <c r="WZ29"/>
      <c r="XA29"/>
      <c r="XB29"/>
      <c r="XC29"/>
      <c r="XD29"/>
      <c r="XE29" s="36">
        <f t="shared" si="18"/>
        <v>0</v>
      </c>
      <c r="XF29" s="26"/>
      <c r="XG29"/>
      <c r="XH29"/>
      <c r="XI29"/>
      <c r="XJ29"/>
      <c r="XK29"/>
      <c r="XL29"/>
      <c r="XM29" s="34">
        <f>+Tabla578914151634353637383940414243444536[[#This Row],[Recuento]]*Tabla578914151634353637383940414243444536[[#This Row],[Volúmen bruto]]</f>
        <v>0</v>
      </c>
      <c r="XN29" s="34">
        <f>+Tabla578914151634353637383940414243444536[[#This Row],[Recuento]]*Tabla578914151634353637383940414243444536[[#This Row],[Área neta]]</f>
        <v>0</v>
      </c>
      <c r="XO29" s="35"/>
      <c r="XP29" s="26"/>
      <c r="XQ29"/>
      <c r="XR29"/>
      <c r="XS29"/>
      <c r="XT29"/>
      <c r="XU29"/>
      <c r="XV29" s="33"/>
      <c r="XW29" s="34"/>
      <c r="XX29" s="34"/>
      <c r="XY29" s="35"/>
      <c r="XZ29" s="26"/>
      <c r="YA29"/>
      <c r="YB29"/>
      <c r="YC29"/>
      <c r="YD29"/>
      <c r="YE29"/>
      <c r="YF29" s="33"/>
      <c r="YG29" s="34"/>
      <c r="YH29" s="34"/>
      <c r="YI29" s="35"/>
      <c r="YJ29" s="35"/>
      <c r="YK29"/>
      <c r="YL29"/>
      <c r="YM29"/>
      <c r="YN29"/>
      <c r="YO29"/>
      <c r="YQ29"/>
      <c r="YR29"/>
      <c r="YS29"/>
      <c r="YT29"/>
      <c r="YU29"/>
      <c r="YV29" s="33"/>
      <c r="YW29" s="34"/>
      <c r="YX29" s="34"/>
      <c r="YY29" s="35"/>
      <c r="YZ29" s="26"/>
      <c r="ZA29"/>
      <c r="ZB29"/>
      <c r="ZC29"/>
      <c r="ZD29"/>
      <c r="ZE29"/>
      <c r="ZF29" s="33"/>
      <c r="ZG29" s="34"/>
      <c r="ZH29" s="34"/>
      <c r="ZI29" s="35"/>
      <c r="ZJ29" s="26"/>
      <c r="ZK29"/>
      <c r="ZL29"/>
      <c r="ZM29"/>
      <c r="ZN29"/>
      <c r="ZO29"/>
      <c r="ZP29" s="33"/>
      <c r="ZQ29" s="34"/>
      <c r="ZR29" s="34"/>
      <c r="ZS29" s="35"/>
      <c r="ZT29" s="26"/>
      <c r="ZU29"/>
      <c r="ZV29"/>
      <c r="ZW29"/>
      <c r="ZX29"/>
      <c r="ZY29"/>
      <c r="ZZ29" s="33"/>
      <c r="AAA29" s="34"/>
      <c r="AAB29" s="34"/>
      <c r="AAC29" s="35"/>
      <c r="AAD29" s="26"/>
      <c r="AAE29"/>
      <c r="AAF29"/>
      <c r="AAG29"/>
      <c r="AAH29"/>
      <c r="AAI29"/>
      <c r="AAJ29" s="33"/>
      <c r="AAK29" s="34"/>
      <c r="AAL29" s="34"/>
      <c r="AAM29" s="35"/>
      <c r="AAN29" s="26"/>
      <c r="AAO29"/>
      <c r="AAP29"/>
      <c r="AAQ29"/>
      <c r="AAR29"/>
      <c r="AAS29"/>
      <c r="AAT29"/>
      <c r="AAU29" s="34">
        <f>+Tabla5789141516343536373839404142434445464748495051[[#This Row],[Recuento]]*Tabla5789141516343536373839404142434445464748495051[[#This Row],[Volúmen bruto]]</f>
        <v>0</v>
      </c>
      <c r="AAV29" s="34">
        <f>+Tabla5789141516343536373839404142434445464748495051[[#This Row],[Recuento]]*Tabla5789141516343536373839404142434445464748495051[[#This Row],[Área neta]]</f>
        <v>0</v>
      </c>
      <c r="AAW29" s="35"/>
      <c r="AAX29" s="26"/>
      <c r="AAY29"/>
      <c r="AAZ29"/>
      <c r="ABA29"/>
      <c r="ABB29"/>
      <c r="ABC29"/>
      <c r="ABD29" s="33"/>
      <c r="ABE29" s="34"/>
      <c r="ABF29" s="34"/>
      <c r="ABG29" s="35"/>
      <c r="ABH29" s="26"/>
      <c r="ABI29"/>
      <c r="ABJ29"/>
      <c r="ABK29"/>
      <c r="ABL29"/>
      <c r="ABM29"/>
      <c r="ABN29" s="33"/>
      <c r="ABO29" s="34"/>
      <c r="ABP29" s="34"/>
      <c r="ABQ29" s="35"/>
      <c r="ABR29" s="26"/>
      <c r="ABS29"/>
      <c r="ABT29"/>
      <c r="ABU29"/>
      <c r="ABV29"/>
      <c r="ABW29"/>
      <c r="ABX29" s="33"/>
      <c r="ABY29" s="34"/>
      <c r="ABZ29" s="34"/>
      <c r="ACA29" s="35"/>
      <c r="ACB29" s="26"/>
      <c r="ACC29"/>
      <c r="ACD29"/>
      <c r="ACE29"/>
      <c r="ACF29"/>
      <c r="ACG29"/>
      <c r="ACH29" s="33"/>
      <c r="ACI29" s="34"/>
      <c r="ACJ29" s="34"/>
      <c r="ACK29" s="35"/>
      <c r="ACL29" s="26"/>
      <c r="ACM29"/>
      <c r="ACN29"/>
      <c r="ACO29"/>
      <c r="ACP29"/>
      <c r="ACQ29"/>
      <c r="ACR29" s="33"/>
      <c r="ACS29" s="34"/>
      <c r="ACT29" s="34"/>
      <c r="ACU29" s="35"/>
      <c r="ACV29" s="26"/>
      <c r="ACW29" t="s">
        <v>1253</v>
      </c>
      <c r="ACY29" s="2"/>
      <c r="ADA29" s="38"/>
      <c r="ADB29" s="2">
        <f t="shared" si="1"/>
        <v>0</v>
      </c>
      <c r="ADD29" s="2" t="s">
        <v>1720</v>
      </c>
      <c r="ADE29" s="2">
        <v>1.68</v>
      </c>
      <c r="ADF29" s="2">
        <v>4</v>
      </c>
      <c r="ADG29" s="26">
        <f t="shared" si="19"/>
        <v>6.72</v>
      </c>
      <c r="ADI29"/>
      <c r="ADJ29"/>
      <c r="ADK29"/>
      <c r="ADL29"/>
      <c r="ADM29"/>
      <c r="ADN29">
        <f ca="1">+Tabla578914151634353637383940414243444546474849505152535560[[#This Row],[G. Total]]*Tabla578914151634353637383940414243444546474849505152535560[[#This Row],[Recuento]]</f>
        <v>0</v>
      </c>
      <c r="ADO29" s="35"/>
      <c r="ADP29" s="26"/>
      <c r="ADQ29"/>
      <c r="ADR29"/>
      <c r="ADS29"/>
      <c r="ADT29"/>
      <c r="ADU29"/>
      <c r="ADV29" s="35"/>
      <c r="ADW29" s="35"/>
      <c r="ADX29"/>
      <c r="ADY29"/>
      <c r="ADZ29"/>
      <c r="AEA29"/>
      <c r="AEB29"/>
      <c r="AEC29">
        <f ca="1">+Tabla57891415163435363738394041424344454647484950515253556062[[#This Row],[Total]]*Tabla57891415163435363738394041424344454647484950515253556062[[#This Row],[Recuento]]</f>
        <v>0</v>
      </c>
      <c r="AED29" s="35"/>
      <c r="AEE29" s="26"/>
      <c r="AEF29"/>
      <c r="AEG29"/>
      <c r="AEH29"/>
      <c r="AEI29"/>
      <c r="AEJ29"/>
      <c r="AEK29" s="35"/>
      <c r="AEL29" s="35"/>
      <c r="AEM29" t="s">
        <v>1522</v>
      </c>
      <c r="AEN29" t="s">
        <v>1523</v>
      </c>
      <c r="AEO29" t="s">
        <v>453</v>
      </c>
      <c r="AEP29">
        <v>1.61</v>
      </c>
      <c r="AEQ29">
        <v>1</v>
      </c>
      <c r="AER29">
        <f ca="1">+Tabla5789141516343536373839404142434445464748495051525355606264[[#This Row],[G. Total]]*Tabla5789141516343536373839404142434445464748495051525355606264[[#This Row],[Recuento]]</f>
        <v>1.61</v>
      </c>
      <c r="AES29" s="36"/>
      <c r="AET29" s="26"/>
      <c r="AEU29"/>
      <c r="AEV29"/>
      <c r="AEW29"/>
      <c r="AEX29"/>
      <c r="AEY29"/>
      <c r="AEZ29" s="35"/>
      <c r="AFA29" s="26"/>
      <c r="AFB29"/>
      <c r="AFC29"/>
      <c r="AFD29"/>
      <c r="AFE29"/>
      <c r="AFF29"/>
      <c r="AFG29"/>
      <c r="AFH29"/>
      <c r="AFI29"/>
      <c r="AFJ29"/>
      <c r="AFK29"/>
      <c r="AFL29"/>
      <c r="AFM29">
        <f ca="1">+Tabla578914151634353637383940414243444546474849505152535560626467[[#This Row],[G. Total]]*Tabla578914151634353637383940414243444546474849505152535560626467[[#This Row],[Recuento]]</f>
        <v>0</v>
      </c>
      <c r="AFN29" s="35"/>
      <c r="AFO29" s="26"/>
      <c r="AFP29" s="2" t="s">
        <v>111</v>
      </c>
      <c r="AFQ29" s="2">
        <f>5*2</f>
        <v>10</v>
      </c>
      <c r="AFR29" s="2">
        <f>0.12*3</f>
        <v>0.36</v>
      </c>
      <c r="AFS29" s="2">
        <f>+AFR29*AFQ29</f>
        <v>3.5999999999999996</v>
      </c>
      <c r="AFT29" s="2">
        <v>2</v>
      </c>
      <c r="AFU29" s="2">
        <f>+AFT29*AFQ29</f>
        <v>20</v>
      </c>
      <c r="AFW29" s="2" t="s">
        <v>111</v>
      </c>
      <c r="AFX29" s="2">
        <v>4</v>
      </c>
      <c r="AFY29" s="2">
        <f>0.12*3</f>
        <v>0.36</v>
      </c>
      <c r="AFZ29" s="2">
        <f>+AFY29*AFX29</f>
        <v>1.44</v>
      </c>
      <c r="AGA29" s="2">
        <v>2</v>
      </c>
      <c r="AGB29" s="2">
        <f>+AGA29*AFX29</f>
        <v>8</v>
      </c>
    </row>
    <row r="30" spans="1:860" ht="15" customHeigh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>
        <f>+Tabla5[[#This Row],[Recuento]]*Tabla5[[#This Row],[Volúmen bruto]]</f>
        <v>0</v>
      </c>
      <c r="S30">
        <f>+Tabla5[[#This Row],[Recuento]]*Tabla5[[#This Row],[Área neta]]</f>
        <v>0</v>
      </c>
      <c r="T30">
        <f>+Tabla5[[#This Row],[Longitud nominal]]*Tabla5[[#This Row],[Recuento]]</f>
        <v>0</v>
      </c>
      <c r="U30" s="26"/>
      <c r="V30"/>
      <c r="W30"/>
      <c r="X30"/>
      <c r="Y30"/>
      <c r="Z30"/>
      <c r="AA30"/>
      <c r="AB30"/>
      <c r="AC30"/>
      <c r="AD30"/>
      <c r="AE30"/>
      <c r="AF30"/>
      <c r="AG30" s="26">
        <f t="shared" si="4"/>
        <v>0</v>
      </c>
      <c r="AH30"/>
      <c r="AI30"/>
      <c r="AJ30"/>
      <c r="AK30"/>
      <c r="AL30"/>
      <c r="AM30"/>
      <c r="AN30"/>
      <c r="AO30"/>
      <c r="AP30"/>
      <c r="AQ30"/>
      <c r="AR30"/>
      <c r="AS30" s="26">
        <f t="shared" si="5"/>
        <v>0</v>
      </c>
      <c r="AT30"/>
      <c r="AU30"/>
      <c r="AV30"/>
      <c r="AW30"/>
      <c r="AX30"/>
      <c r="AY30"/>
      <c r="AZ30"/>
      <c r="BA30"/>
      <c r="BB30"/>
      <c r="BC30"/>
      <c r="BD30"/>
      <c r="BE30" s="26">
        <f t="shared" si="6"/>
        <v>0</v>
      </c>
      <c r="BF30">
        <v>1</v>
      </c>
      <c r="BG30" t="s">
        <v>1862</v>
      </c>
      <c r="BH30" t="s">
        <v>1524</v>
      </c>
      <c r="BI30" t="s">
        <v>1406</v>
      </c>
      <c r="BJ30">
        <v>1.69</v>
      </c>
      <c r="BK30" s="37">
        <v>2</v>
      </c>
      <c r="BL30">
        <f>+Tabla3102[[#This Row],[En culmo]]*BF30</f>
        <v>2</v>
      </c>
      <c r="BM30"/>
      <c r="BN30">
        <v>1</v>
      </c>
      <c r="BO30"/>
      <c r="BP30"/>
      <c r="BQ30"/>
      <c r="BR30"/>
      <c r="BS30"/>
      <c r="BT30">
        <f>+Tabla31069[[#This Row],[Longitud de eje]]*BN30</f>
        <v>0</v>
      </c>
      <c r="BU30"/>
      <c r="BV30">
        <v>2</v>
      </c>
      <c r="BW30" t="s">
        <v>1862</v>
      </c>
      <c r="BX30" t="s">
        <v>1525</v>
      </c>
      <c r="BY30" t="s">
        <v>1406</v>
      </c>
      <c r="BZ30">
        <v>1.4</v>
      </c>
      <c r="CA30">
        <v>2</v>
      </c>
      <c r="CB30">
        <f>+Tabla31011[[#This Row],[En culmo]]*BV30</f>
        <v>4</v>
      </c>
      <c r="CD30">
        <v>1</v>
      </c>
      <c r="CE30" t="s">
        <v>1862</v>
      </c>
      <c r="CF30" t="s">
        <v>1525</v>
      </c>
      <c r="CG30" t="s">
        <v>1405</v>
      </c>
      <c r="CH30">
        <v>1.93</v>
      </c>
      <c r="CI30">
        <v>2.5</v>
      </c>
      <c r="CJ30">
        <f>+Tabla3101170[[#This Row],[En culmo]]*CD30</f>
        <v>2.5</v>
      </c>
      <c r="CK30"/>
      <c r="CR30">
        <f>+Tabla31011116[[#This Row],[Longitud de eje]]*CT30</f>
        <v>0</v>
      </c>
      <c r="CT30">
        <v>2</v>
      </c>
      <c r="CU30" t="s">
        <v>1862</v>
      </c>
      <c r="CV30" t="s">
        <v>1383</v>
      </c>
      <c r="CW30" t="s">
        <v>1405</v>
      </c>
      <c r="CX30">
        <v>4.6100000000000003</v>
      </c>
      <c r="CY30">
        <v>4</v>
      </c>
      <c r="CZ30">
        <f>+Tabla3101170117[[#This Row],[En culmo]]*CT30</f>
        <v>8</v>
      </c>
      <c r="DA30"/>
      <c r="DB30">
        <v>2</v>
      </c>
      <c r="DC30" t="s">
        <v>1862</v>
      </c>
      <c r="DD30" t="s">
        <v>1383</v>
      </c>
      <c r="DE30" t="s">
        <v>1723</v>
      </c>
      <c r="DF30">
        <v>1.28</v>
      </c>
      <c r="DG30">
        <f>+Tabla31011704[[#This Row],[Longitud de eje]]*DB30</f>
        <v>2.56</v>
      </c>
      <c r="DH30"/>
      <c r="DI30"/>
      <c r="DJ30"/>
      <c r="DK30"/>
      <c r="DL30"/>
      <c r="DM30"/>
      <c r="DN30">
        <f>+Tabla3101170411[[#This Row],[Longitud de eje]]*DI30</f>
        <v>0</v>
      </c>
      <c r="DO30"/>
      <c r="DP30"/>
      <c r="DQ30"/>
      <c r="DR30"/>
      <c r="DS30"/>
      <c r="DT30"/>
      <c r="DU30">
        <f>+Tabla3101170411120[[#This Row],[Longitud de eje]]*DP30</f>
        <v>0</v>
      </c>
      <c r="DV30"/>
      <c r="DW30"/>
      <c r="DX30"/>
      <c r="DY30"/>
      <c r="DZ30"/>
      <c r="EA30"/>
      <c r="EB30">
        <f>+Tabla3101170411120122[[#This Row],[Longitud de eje]]*DW30</f>
        <v>0</v>
      </c>
      <c r="EC30"/>
      <c r="ED30">
        <v>19</v>
      </c>
      <c r="EE30" t="s">
        <v>1862</v>
      </c>
      <c r="EF30" t="s">
        <v>1524</v>
      </c>
      <c r="EG30" t="s">
        <v>1406</v>
      </c>
      <c r="EH30">
        <v>2.04</v>
      </c>
      <c r="EI30">
        <v>2.5</v>
      </c>
      <c r="EJ30">
        <f>+Tabla3101112[[#This Row],[En culmo]]*ED30</f>
        <v>47.5</v>
      </c>
      <c r="EK30"/>
      <c r="EL30"/>
      <c r="EM30"/>
      <c r="EN30"/>
      <c r="EO30"/>
      <c r="EP30"/>
      <c r="EQ30"/>
      <c r="ER30">
        <f>+Tabla3101112123[[#This Row],[En culmo]]*EL30</f>
        <v>0</v>
      </c>
      <c r="ES30"/>
      <c r="ET30">
        <v>3</v>
      </c>
      <c r="EU30" t="s">
        <v>1862</v>
      </c>
      <c r="EV30" t="s">
        <v>1525</v>
      </c>
      <c r="EW30" t="s">
        <v>1406</v>
      </c>
      <c r="EX30">
        <v>0.74</v>
      </c>
      <c r="EY30">
        <v>1.5</v>
      </c>
      <c r="EZ30">
        <f>+Tabla310111257[[#This Row],[En culmo]]*ET30</f>
        <v>4.5</v>
      </c>
      <c r="FA30"/>
      <c r="FB30"/>
      <c r="FC30"/>
      <c r="FD30"/>
      <c r="FE30"/>
      <c r="FF30"/>
      <c r="FG30">
        <v>3.5</v>
      </c>
      <c r="FH30">
        <f>+Tabla310111257124[[#This Row],[En culmo]]*FB30</f>
        <v>0</v>
      </c>
      <c r="FI30"/>
      <c r="FK30"/>
      <c r="FL30"/>
      <c r="FM30"/>
      <c r="FN30"/>
      <c r="FO30"/>
      <c r="FP30"/>
      <c r="FQ30"/>
      <c r="FS30"/>
      <c r="FT30"/>
      <c r="FU30"/>
      <c r="FV30"/>
      <c r="FW30"/>
      <c r="FX30"/>
      <c r="FY30"/>
      <c r="GA30"/>
      <c r="GB30"/>
      <c r="GC30"/>
      <c r="GD30"/>
      <c r="GE30"/>
      <c r="GF30"/>
      <c r="GG30"/>
      <c r="GI30"/>
      <c r="GJ30"/>
      <c r="GK30"/>
      <c r="GL30"/>
      <c r="GM30"/>
      <c r="GN30"/>
      <c r="GO30"/>
      <c r="GQ30" t="s">
        <v>1862</v>
      </c>
      <c r="GR30" t="s">
        <v>1383</v>
      </c>
      <c r="GS30" t="s">
        <v>1667</v>
      </c>
      <c r="GT30">
        <v>1.01</v>
      </c>
      <c r="GU30">
        <v>11.05</v>
      </c>
      <c r="GV30">
        <v>1</v>
      </c>
      <c r="GW30">
        <f>+Tabla578914[[#This Row],[Recuento]]*Tabla578914[[#This Row],[Volúmen bruto]]</f>
        <v>1.01</v>
      </c>
      <c r="GX30">
        <f>+Tabla578914[[#This Row],[Recuento]]*Tabla578914[[#This Row],[Área neta]]</f>
        <v>11.05</v>
      </c>
      <c r="GY30" s="36"/>
      <c r="HA30" t="s">
        <v>1863</v>
      </c>
      <c r="HB30" t="s">
        <v>1383</v>
      </c>
      <c r="HC30" t="s">
        <v>1628</v>
      </c>
      <c r="HD30">
        <v>0.05</v>
      </c>
      <c r="HE30">
        <v>8.23</v>
      </c>
      <c r="HF30">
        <v>1</v>
      </c>
      <c r="HG30">
        <f>+Tabla578914126[[#This Row],[Recuento]]*Tabla578914126[[#This Row],[Volúmen bruto]]</f>
        <v>0.05</v>
      </c>
      <c r="HH30">
        <f>+Tabla578914126[[#This Row],[Recuento]]*Tabla578914126[[#This Row],[Área neta]]</f>
        <v>8.23</v>
      </c>
      <c r="HI30" s="36"/>
      <c r="HK30"/>
      <c r="HL30"/>
      <c r="HM30"/>
      <c r="HN30"/>
      <c r="HO30"/>
      <c r="HP30"/>
      <c r="HQ30">
        <f>+Tabla578914126127[[#This Row],[Recuento]]*Tabla578914126127[[#This Row],[Volúmen bruto]]</f>
        <v>0</v>
      </c>
      <c r="HR30">
        <f>+Tabla578914126127[[#This Row],[Recuento]]*Tabla578914126127[[#This Row],[Área neta]]</f>
        <v>0</v>
      </c>
      <c r="HS30" s="36"/>
      <c r="HT30" s="26"/>
      <c r="HU30"/>
      <c r="HV30"/>
      <c r="HW30"/>
      <c r="HX30"/>
      <c r="HY30"/>
      <c r="HZ30"/>
      <c r="IA30"/>
      <c r="IB30"/>
      <c r="IC30" s="36"/>
      <c r="ID30" s="26"/>
      <c r="IE30"/>
      <c r="IF30"/>
      <c r="IG30"/>
      <c r="IH30"/>
      <c r="II30"/>
      <c r="IJ30"/>
      <c r="IK30"/>
      <c r="IL30"/>
      <c r="IM30" s="36"/>
      <c r="IN30" s="26"/>
      <c r="IO30"/>
      <c r="IP30"/>
      <c r="IQ30"/>
      <c r="IR30"/>
      <c r="IS30"/>
      <c r="IT30"/>
      <c r="IU30"/>
      <c r="IV30">
        <f>+Tabla520212223[[#This Row],[Recuento]]*Tabla520212223[[#This Row],[Área neta]]</f>
        <v>0</v>
      </c>
      <c r="IW30" s="26">
        <f t="shared" si="0"/>
        <v>0</v>
      </c>
      <c r="IY30"/>
      <c r="IZ30"/>
      <c r="JA30"/>
      <c r="JB30"/>
      <c r="JC30"/>
      <c r="JD30">
        <v>1</v>
      </c>
      <c r="JE30">
        <f>+Tabla520212224[[#This Row],[Recuento]]*Tabla520212224[[#This Row],[Volúmen bruto]]</f>
        <v>0</v>
      </c>
      <c r="JF30">
        <f>+Tabla520212224[[#This Row],[Recuento]]*Tabla520212224[[#This Row],[Área neta]]</f>
        <v>0</v>
      </c>
      <c r="JG30" s="26"/>
      <c r="JI30" t="s">
        <v>1862</v>
      </c>
      <c r="JJ30" t="s">
        <v>1524</v>
      </c>
      <c r="JK30" t="s">
        <v>1677</v>
      </c>
      <c r="JL30">
        <v>0</v>
      </c>
      <c r="JM30">
        <v>0</v>
      </c>
      <c r="JN30">
        <v>3</v>
      </c>
      <c r="JO30">
        <f>+Tabla52021222425[[#This Row],[Recuento]]*Tabla52021222425[[#This Row],[Volúmen bruto]]</f>
        <v>0</v>
      </c>
      <c r="JP30">
        <f>+Tabla52021222425[[#This Row],[Recuento]]*Tabla52021222425[[#This Row],[Área neta]]</f>
        <v>0</v>
      </c>
      <c r="JQ30" s="26">
        <f>+SUM(JP30:JP37)</f>
        <v>45.12</v>
      </c>
      <c r="JS30" t="s">
        <v>1862</v>
      </c>
      <c r="JT30" t="s">
        <v>1524</v>
      </c>
      <c r="JU30" t="s">
        <v>1679</v>
      </c>
      <c r="JV30">
        <v>0</v>
      </c>
      <c r="JW30">
        <v>0.89</v>
      </c>
      <c r="JX30">
        <v>1</v>
      </c>
      <c r="JY30">
        <f>+Tabla5202122242526[[#This Row],[Recuento]]*Tabla5202122242526[[#This Row],[Volúmen bruto]]</f>
        <v>0</v>
      </c>
      <c r="JZ30">
        <f>+Tabla5202122242526[[#This Row],[Recuento]]*Tabla5202122242526[[#This Row],[Área neta]]</f>
        <v>0.89</v>
      </c>
      <c r="KA30" s="26">
        <f>+SUM(JZ30:JZ37)</f>
        <v>10.64</v>
      </c>
      <c r="KC30"/>
      <c r="KD30"/>
      <c r="KE30"/>
      <c r="KF30"/>
      <c r="KG30"/>
      <c r="KH30"/>
      <c r="KI30">
        <f>+Tabla5202122242526104[[#This Row],[Recuento]]*Tabla5202122242526104[[#This Row],[Volúmen bruto]]</f>
        <v>0</v>
      </c>
      <c r="KJ30">
        <f>+Tabla5202122242526104[[#This Row],[Recuento]]*Tabla5202122242526104[[#This Row],[Área neta]]</f>
        <v>0</v>
      </c>
      <c r="KK30" s="26"/>
      <c r="KM30" t="s">
        <v>1862</v>
      </c>
      <c r="KN30" t="s">
        <v>1525</v>
      </c>
      <c r="KO30" t="s">
        <v>97</v>
      </c>
      <c r="KP30">
        <v>0.09</v>
      </c>
      <c r="KQ30">
        <v>2.66</v>
      </c>
      <c r="KR30">
        <v>1</v>
      </c>
      <c r="KS30">
        <f>+Tabla5202122242526104110[[#This Row],[Recuento]]*Tabla5202122242526104110[[#This Row],[Volúmen bruto]]</f>
        <v>0.09</v>
      </c>
      <c r="KT30">
        <f>+Tabla5202122242526104110[[#This Row],[Recuento]]*Tabla5202122242526104110[[#This Row],[Área neta]]</f>
        <v>2.66</v>
      </c>
      <c r="KU30" s="26"/>
      <c r="KW30"/>
      <c r="KX30"/>
      <c r="KY30"/>
      <c r="KZ30"/>
      <c r="LA30"/>
      <c r="LB30"/>
      <c r="LC30">
        <f>+Tabla520212224252659[[#This Row],[Recuento]]*Tabla520212224252659[[#This Row],[Volúmen bruto]]</f>
        <v>0</v>
      </c>
      <c r="LD30">
        <f>+Tabla520212224252659[[#This Row],[Recuento]]*Tabla520212224252659[[#This Row],[Área neta]]</f>
        <v>0</v>
      </c>
      <c r="LE30" s="26"/>
      <c r="LG30"/>
      <c r="LH30"/>
      <c r="LI30"/>
      <c r="LJ30"/>
      <c r="LK30"/>
      <c r="LL30"/>
      <c r="LM30">
        <f>+Tabla520212224252659111[[#This Row],[Recuento]]*Tabla520212224252659111[[#This Row],[Volúmen bruto]]</f>
        <v>0</v>
      </c>
      <c r="LN30">
        <f>+Tabla520212224252659111[[#This Row],[Recuento]]*Tabla520212224252659111[[#This Row],[Área neta]]</f>
        <v>0</v>
      </c>
      <c r="LO30" s="26"/>
      <c r="LQ30"/>
      <c r="LR30"/>
      <c r="LS30"/>
      <c r="LT30"/>
      <c r="LU30"/>
      <c r="LV30"/>
      <c r="LW30">
        <f>+Tabla520212224252659111114[[#This Row],[Recuento]]*Tabla520212224252659111114[[#This Row],[Volúmen bruto]]</f>
        <v>0</v>
      </c>
      <c r="LX30">
        <f>+Tabla520212224252659111114[[#This Row],[Recuento]]*Tabla520212224252659111114[[#This Row],[Área neta]]</f>
        <v>0</v>
      </c>
      <c r="LY30" s="26"/>
      <c r="MA30" t="s">
        <v>1862</v>
      </c>
      <c r="MB30" t="s">
        <v>1524</v>
      </c>
      <c r="MC30" t="s">
        <v>98</v>
      </c>
      <c r="MD30">
        <v>0</v>
      </c>
      <c r="ME30">
        <v>1.23</v>
      </c>
      <c r="MF30">
        <v>1</v>
      </c>
      <c r="MG30">
        <f>+Tabla520212224252659111114128[[#This Row],[Recuento]]*Tabla520212224252659111114128[[#This Row],[Volúmen bruto]]</f>
        <v>0</v>
      </c>
      <c r="MH30">
        <f>+Tabla520212224252659111114128[[#This Row],[Recuento]]*Tabla520212224252659111114128[[#This Row],[Área neta]]</f>
        <v>1.23</v>
      </c>
      <c r="MI30" s="26"/>
      <c r="MK30"/>
      <c r="ML30"/>
      <c r="MM30"/>
      <c r="MN30"/>
      <c r="MO30"/>
      <c r="MP30"/>
      <c r="MQ30">
        <f>+Tabla520212224252627[[#This Row],[Recuento]]*Tabla520212224252627[[#This Row],[Volúmen bruto]]</f>
        <v>0</v>
      </c>
      <c r="MR30">
        <f>+Tabla520212224252627[[#This Row],[Recuento]]*Tabla520212224252627[[#This Row],[Área neta]]</f>
        <v>0</v>
      </c>
      <c r="MS30" s="26"/>
      <c r="MU30"/>
      <c r="MV30"/>
      <c r="MW30"/>
      <c r="MX30"/>
      <c r="MY30"/>
      <c r="MZ30"/>
      <c r="NA30">
        <f>+Tabla520212224252627129[[#This Row],[Recuento]]*Tabla520212224252627129[[#This Row],[Volúmen bruto]]</f>
        <v>0</v>
      </c>
      <c r="NB30">
        <f>+Tabla520212224252627129[[#This Row],[Recuento]]*Tabla520212224252627129[[#This Row],[Área neta]]</f>
        <v>0</v>
      </c>
      <c r="NC30" s="26"/>
      <c r="NE30"/>
      <c r="NF30"/>
      <c r="NG30"/>
      <c r="NH30"/>
      <c r="NI30"/>
      <c r="NJ30"/>
      <c r="NK30">
        <f>+Tabla520212224252627129125[[#This Row],[Recuento]]*Tabla520212224252627129125[[#This Row],[Volúmen bruto]]</f>
        <v>0</v>
      </c>
      <c r="NL30">
        <f>+Tabla520212224252627129125[[#This Row],[Recuento]]*Tabla520212224252627129125[[#This Row],[Área neta]]</f>
        <v>0</v>
      </c>
      <c r="NM30" s="26"/>
      <c r="NO30"/>
      <c r="NP30"/>
      <c r="NQ30"/>
      <c r="NR30"/>
      <c r="NS30"/>
      <c r="NT30"/>
      <c r="NU30">
        <f>+Tabla520212224252627129125130[[#This Row],[Recuento]]*Tabla520212224252627129125130[[#This Row],[Volúmen bruto]]</f>
        <v>0</v>
      </c>
      <c r="NV30">
        <f>+Tabla520212224252627129125130[[#This Row],[Recuento]]*Tabla520212224252627129125130[[#This Row],[Área neta]]</f>
        <v>0</v>
      </c>
      <c r="NW30" s="26"/>
      <c r="NY30"/>
      <c r="NZ30"/>
      <c r="OA30"/>
      <c r="OB30"/>
      <c r="OC30"/>
      <c r="OD30"/>
      <c r="OE30">
        <f>+Tabla520212224252627129125130131[[#This Row],[Recuento]]*Tabla520212224252627129125130131[[#This Row],[Volúmen bruto]]</f>
        <v>0</v>
      </c>
      <c r="OF30">
        <f>+Tabla520212224252627129125130131[[#This Row],[Recuento]]*Tabla520212224252627129125130131[[#This Row],[Área neta]]</f>
        <v>0</v>
      </c>
      <c r="OG30" s="26"/>
      <c r="OI30"/>
      <c r="OJ30"/>
      <c r="OK30"/>
      <c r="OL30"/>
      <c r="OM30"/>
      <c r="ON30"/>
      <c r="OO30">
        <f>+Tabla520212224252627129125130131132[[#This Row],[Recuento]]*Tabla520212224252627129125130131132[[#This Row],[Volúmen bruto]]</f>
        <v>0</v>
      </c>
      <c r="OP30">
        <f>+Tabla520212224252627129125130131132[[#This Row],[Recuento]]*Tabla520212224252627129125130131132[[#This Row],[Área neta]]</f>
        <v>0</v>
      </c>
      <c r="OQ30" s="26"/>
      <c r="OS30"/>
      <c r="OT30"/>
      <c r="OU30"/>
      <c r="OV30"/>
      <c r="OW30"/>
      <c r="OX30"/>
      <c r="OY30">
        <f>+Tabla52021222425262728[[#This Row],[Recuento]]*Tabla52021222425262728[[#This Row],[Volúmen bruto]]</f>
        <v>0</v>
      </c>
      <c r="OZ30">
        <f>+Tabla52021222425262728[[#This Row],[Recuento]]*Tabla52021222425262728[[#This Row],[Área neta]]</f>
        <v>0</v>
      </c>
      <c r="PA30" s="26"/>
      <c r="PC30" t="s">
        <v>1862</v>
      </c>
      <c r="PD30" t="s">
        <v>1525</v>
      </c>
      <c r="PE30" t="s">
        <v>97</v>
      </c>
      <c r="PF30">
        <v>0.08</v>
      </c>
      <c r="PG30">
        <v>3.99</v>
      </c>
      <c r="PH30">
        <v>1</v>
      </c>
      <c r="PI30">
        <f>+Tabla52021222425262728133[[#This Row],[Recuento]]*Tabla52021222425262728133[[#This Row],[Volúmen bruto]]</f>
        <v>0.08</v>
      </c>
      <c r="PJ30">
        <f>+Tabla52021222425262728133[[#This Row],[Recuento]]*Tabla52021222425262728133[[#This Row],[Área neta]]</f>
        <v>3.99</v>
      </c>
      <c r="PK30" s="26"/>
      <c r="PM30"/>
      <c r="PN30"/>
      <c r="PO30"/>
      <c r="PP30"/>
      <c r="PQ30"/>
      <c r="PR30"/>
      <c r="PS30">
        <f>+Tabla5202122242526272893[[#This Row],[Recuento]]*Tabla5202122242526272893[[#This Row],[Volúmen bruto]]</f>
        <v>0</v>
      </c>
      <c r="PT30">
        <f>+Tabla5202122242526272893[[#This Row],[Recuento]]*Tabla5202122242526272893[[#This Row],[Área neta]]</f>
        <v>0</v>
      </c>
      <c r="PU30" s="26"/>
      <c r="PW30" t="s">
        <v>1862</v>
      </c>
      <c r="PX30" t="s">
        <v>1525</v>
      </c>
      <c r="PY30" t="s">
        <v>97</v>
      </c>
      <c r="PZ30">
        <v>0.02</v>
      </c>
      <c r="QA30">
        <v>0.97</v>
      </c>
      <c r="QB30">
        <v>1</v>
      </c>
      <c r="QC30">
        <f>+Tabla520212224252627289349[[#This Row],[Recuento]]*Tabla520212224252627289349[[#This Row],[Volúmen bruto]]</f>
        <v>0.02</v>
      </c>
      <c r="QD30">
        <f>+Tabla520212224252627289349[[#This Row],[Recuento]]*Tabla520212224252627289349[[#This Row],[Área neta]]</f>
        <v>0.97</v>
      </c>
      <c r="QE30" s="26"/>
      <c r="QG30"/>
      <c r="QH30"/>
      <c r="QI30"/>
      <c r="QJ30"/>
      <c r="QK30"/>
      <c r="QL30"/>
      <c r="QM30">
        <f>+Tabla520212224252627289349134[[#This Row],[Recuento]]*Tabla520212224252627289349134[[#This Row],[Volúmen bruto]]</f>
        <v>0</v>
      </c>
      <c r="QN30">
        <f>+Tabla520212224252627289349134[[#This Row],[Recuento]]*Tabla520212224252627289349134[[#This Row],[Área neta]]</f>
        <v>0</v>
      </c>
      <c r="QO30" s="26"/>
      <c r="QQ30" t="s">
        <v>1862</v>
      </c>
      <c r="QR30" t="s">
        <v>1524</v>
      </c>
      <c r="QS30" t="s">
        <v>1726</v>
      </c>
      <c r="QT30">
        <v>0.81</v>
      </c>
      <c r="QU30">
        <v>4.07</v>
      </c>
      <c r="QV30">
        <v>1</v>
      </c>
      <c r="QW30">
        <v>1</v>
      </c>
      <c r="QX30">
        <f>+Tabla5202122242526272829[[#This Row],[Recuento]]*Tabla5202122242526272829[[#This Row],[Volúmen bruto]]</f>
        <v>0.81</v>
      </c>
      <c r="QY30">
        <f>+Tabla5202122242526272829[[#This Row],[Recuento]]*Tabla5202122242526272829[[#This Row],[Área neta]]</f>
        <v>4.07</v>
      </c>
      <c r="QZ30">
        <f>+Tabla5202122242526272829[[#This Row],[Recuento]]*Tabla5202122242526272829[[#This Row],[Longitud]]</f>
        <v>1</v>
      </c>
      <c r="RA30" s="26"/>
      <c r="RC30"/>
      <c r="RD30"/>
      <c r="RE30"/>
      <c r="RF30"/>
      <c r="RG30"/>
      <c r="RH30"/>
      <c r="RI30"/>
      <c r="RJ30"/>
      <c r="RK30" s="26"/>
      <c r="RM30"/>
      <c r="RN30"/>
      <c r="RO30"/>
      <c r="RP30"/>
      <c r="RQ30"/>
      <c r="RR30"/>
      <c r="RS30"/>
      <c r="RT30"/>
      <c r="RU30" s="26">
        <f t="shared" si="7"/>
        <v>0</v>
      </c>
      <c r="RW30"/>
      <c r="RX30"/>
      <c r="RY30"/>
      <c r="RZ30"/>
      <c r="SA30"/>
      <c r="SB30"/>
      <c r="SC30"/>
      <c r="SD30"/>
      <c r="SE30" s="26"/>
      <c r="SG30"/>
      <c r="SH30"/>
      <c r="SI30"/>
      <c r="SJ30"/>
      <c r="SK30"/>
      <c r="SL30"/>
      <c r="SM30">
        <f>+Tabla5202122242526272831323314[[#This Row],[Recuento]]*Tabla5202122242526272831323314[[#This Row],[Volúmen bruto]]</f>
        <v>0</v>
      </c>
      <c r="SN30">
        <f>+Tabla5202122242526272831323314[[#This Row],[Recuento]]*Tabla5202122242526272831323314[[#This Row],[Área neta]]</f>
        <v>0</v>
      </c>
      <c r="SO30" s="26"/>
      <c r="SQ30" t="s">
        <v>1862</v>
      </c>
      <c r="SR30" t="s">
        <v>1524</v>
      </c>
      <c r="SS30" t="s">
        <v>1627</v>
      </c>
      <c r="ST30">
        <v>7.0000000000000007E-2</v>
      </c>
      <c r="SU30">
        <v>0.37</v>
      </c>
      <c r="SV30">
        <v>2</v>
      </c>
      <c r="SW30" s="34">
        <f>+Tabla5789141516[[#This Row],[Recuento]]*Tabla5789141516[[#This Row],[Volúmen bruto]]</f>
        <v>0.14000000000000001</v>
      </c>
      <c r="SX30" s="34">
        <f>+Tabla5789141516[[#This Row],[Recuento]]*Tabla5789141516[[#This Row],[Área neta]]</f>
        <v>0.74</v>
      </c>
      <c r="SY30" s="36"/>
      <c r="SZ30" s="26"/>
      <c r="TA30"/>
      <c r="TB30"/>
      <c r="TC30"/>
      <c r="TD30"/>
      <c r="TE30"/>
      <c r="TF30"/>
      <c r="TG30"/>
      <c r="TH30"/>
      <c r="TI30" s="36">
        <f t="shared" si="8"/>
        <v>0</v>
      </c>
      <c r="TJ30" s="26"/>
      <c r="TK30"/>
      <c r="TL30"/>
      <c r="TM30"/>
      <c r="TN30"/>
      <c r="TO30"/>
      <c r="TP30"/>
      <c r="TQ30"/>
      <c r="TR30"/>
      <c r="TS30" s="36">
        <f t="shared" si="9"/>
        <v>0</v>
      </c>
      <c r="TT30" s="26"/>
      <c r="TU30"/>
      <c r="TV30"/>
      <c r="TW30"/>
      <c r="TX30"/>
      <c r="TY30"/>
      <c r="TZ30"/>
      <c r="UA30"/>
      <c r="UB30"/>
      <c r="UC30" s="36">
        <f t="shared" si="10"/>
        <v>0</v>
      </c>
      <c r="UD30" s="26"/>
      <c r="UE30"/>
      <c r="UF30"/>
      <c r="UG30"/>
      <c r="UH30"/>
      <c r="UI30"/>
      <c r="UJ30"/>
      <c r="UK30"/>
      <c r="UL30"/>
      <c r="UM30" s="36">
        <f t="shared" si="11"/>
        <v>0</v>
      </c>
      <c r="UN30" s="26"/>
      <c r="UO30"/>
      <c r="UP30"/>
      <c r="UQ30"/>
      <c r="UR30"/>
      <c r="US30"/>
      <c r="UT30"/>
      <c r="UU30"/>
      <c r="UV30"/>
      <c r="UW30" s="36">
        <f t="shared" si="12"/>
        <v>0</v>
      </c>
      <c r="UX30" s="26"/>
      <c r="UY30"/>
      <c r="UZ30"/>
      <c r="VA30"/>
      <c r="VB30"/>
      <c r="VC30"/>
      <c r="VD30"/>
      <c r="VE30"/>
      <c r="VF30"/>
      <c r="VG30" s="36">
        <f t="shared" si="13"/>
        <v>0</v>
      </c>
      <c r="VH30" s="26"/>
      <c r="VI30"/>
      <c r="VJ30"/>
      <c r="VK30"/>
      <c r="VL30"/>
      <c r="VM30"/>
      <c r="VN30"/>
      <c r="VO30"/>
      <c r="VP30"/>
      <c r="VQ30" s="36">
        <f t="shared" si="14"/>
        <v>0</v>
      </c>
      <c r="VR30" s="26"/>
      <c r="VS30"/>
      <c r="VT30"/>
      <c r="VU30"/>
      <c r="VV30"/>
      <c r="VW30"/>
      <c r="VX30"/>
      <c r="VY30"/>
      <c r="VZ30"/>
      <c r="WA30" s="36">
        <f t="shared" si="15"/>
        <v>0</v>
      </c>
      <c r="WB30" s="26"/>
      <c r="WC30"/>
      <c r="WD30"/>
      <c r="WE30"/>
      <c r="WF30"/>
      <c r="WG30"/>
      <c r="WH30"/>
      <c r="WI30"/>
      <c r="WJ30"/>
      <c r="WK30" s="36">
        <f t="shared" si="16"/>
        <v>0</v>
      </c>
      <c r="WL30" s="26"/>
      <c r="WM30"/>
      <c r="WN30"/>
      <c r="WO30"/>
      <c r="WP30"/>
      <c r="WQ30"/>
      <c r="WR30"/>
      <c r="WS30"/>
      <c r="WT30"/>
      <c r="WU30" s="36">
        <f t="shared" si="17"/>
        <v>0</v>
      </c>
      <c r="WV30" s="26"/>
      <c r="WW30"/>
      <c r="WX30"/>
      <c r="WY30"/>
      <c r="WZ30"/>
      <c r="XA30"/>
      <c r="XB30"/>
      <c r="XC30"/>
      <c r="XD30"/>
      <c r="XE30" s="36">
        <f t="shared" si="18"/>
        <v>0</v>
      </c>
      <c r="XF30" s="26"/>
      <c r="XG30"/>
      <c r="XH30"/>
      <c r="XI30"/>
      <c r="XJ30"/>
      <c r="XK30"/>
      <c r="XL30"/>
      <c r="XM30" s="34">
        <f>+Tabla578914151634353637383940414243444536[[#This Row],[Recuento]]*Tabla578914151634353637383940414243444536[[#This Row],[Volúmen bruto]]</f>
        <v>0</v>
      </c>
      <c r="XN30" s="34">
        <f>+Tabla578914151634353637383940414243444536[[#This Row],[Recuento]]*Tabla578914151634353637383940414243444536[[#This Row],[Área neta]]</f>
        <v>0</v>
      </c>
      <c r="XO30" s="35"/>
      <c r="XP30" s="26"/>
      <c r="XQ30"/>
      <c r="XR30"/>
      <c r="XS30"/>
      <c r="XT30"/>
      <c r="XU30"/>
      <c r="XV30" s="33"/>
      <c r="XW30" s="34"/>
      <c r="XX30" s="34"/>
      <c r="XY30" s="35"/>
      <c r="XZ30" s="26"/>
      <c r="YA30"/>
      <c r="YB30"/>
      <c r="YC30"/>
      <c r="YD30"/>
      <c r="YE30"/>
      <c r="YF30" s="33"/>
      <c r="YG30" s="34"/>
      <c r="YH30" s="34"/>
      <c r="YI30" s="35"/>
      <c r="YJ30" s="35"/>
      <c r="YK30"/>
      <c r="YL30"/>
      <c r="YM30"/>
      <c r="YN30"/>
      <c r="YO30"/>
      <c r="YQ30"/>
      <c r="YR30"/>
      <c r="YS30"/>
      <c r="YT30"/>
      <c r="YU30"/>
      <c r="YV30" s="33"/>
      <c r="YW30" s="34"/>
      <c r="YX30" s="34"/>
      <c r="YY30" s="35"/>
      <c r="YZ30" s="26"/>
      <c r="ZA30"/>
      <c r="ZB30"/>
      <c r="ZC30"/>
      <c r="ZD30"/>
      <c r="ZE30"/>
      <c r="ZF30" s="33"/>
      <c r="ZG30" s="34"/>
      <c r="ZH30" s="34"/>
      <c r="ZI30" s="35"/>
      <c r="ZJ30" s="26"/>
      <c r="ZK30"/>
      <c r="ZL30"/>
      <c r="ZM30"/>
      <c r="ZN30"/>
      <c r="ZO30"/>
      <c r="ZP30" s="33"/>
      <c r="ZQ30" s="34"/>
      <c r="ZR30" s="34"/>
      <c r="ZS30" s="35"/>
      <c r="ZT30" s="26"/>
      <c r="ZU30"/>
      <c r="ZV30"/>
      <c r="ZW30"/>
      <c r="ZX30"/>
      <c r="ZY30"/>
      <c r="ZZ30" s="33"/>
      <c r="AAA30" s="34"/>
      <c r="AAB30" s="34"/>
      <c r="AAC30" s="35"/>
      <c r="AAD30" s="26"/>
      <c r="AAE30"/>
      <c r="AAF30"/>
      <c r="AAG30"/>
      <c r="AAH30"/>
      <c r="AAI30"/>
      <c r="AAJ30" s="33"/>
      <c r="AAK30" s="34"/>
      <c r="AAL30" s="34"/>
      <c r="AAM30" s="35"/>
      <c r="AAN30" s="26"/>
      <c r="AAO30"/>
      <c r="AAP30"/>
      <c r="AAQ30"/>
      <c r="AAR30"/>
      <c r="AAS30"/>
      <c r="AAT30"/>
      <c r="AAU30" s="34">
        <f>+Tabla5789141516343536373839404142434445464748495051[[#This Row],[Recuento]]*Tabla5789141516343536373839404142434445464748495051[[#This Row],[Volúmen bruto]]</f>
        <v>0</v>
      </c>
      <c r="AAV30" s="34">
        <f>+Tabla5789141516343536373839404142434445464748495051[[#This Row],[Recuento]]*Tabla5789141516343536373839404142434445464748495051[[#This Row],[Área neta]]</f>
        <v>0</v>
      </c>
      <c r="AAW30" s="36">
        <f t="shared" ref="AAW30:AAW38" si="20">+SUM(AAR30:AAR31)</f>
        <v>0</v>
      </c>
      <c r="AAX30" s="26"/>
      <c r="AAY30"/>
      <c r="AAZ30"/>
      <c r="ABA30"/>
      <c r="ABB30"/>
      <c r="ABC30"/>
      <c r="ABD30" s="33"/>
      <c r="ABE30" s="34"/>
      <c r="ABF30" s="34"/>
      <c r="ABG30" s="35"/>
      <c r="ABH30" s="26"/>
      <c r="ABI30"/>
      <c r="ABJ30"/>
      <c r="ABK30"/>
      <c r="ABL30"/>
      <c r="ABM30"/>
      <c r="ABN30" s="33"/>
      <c r="ABO30" s="34"/>
      <c r="ABP30" s="34"/>
      <c r="ABQ30" s="35"/>
      <c r="ABR30" s="26"/>
      <c r="ABS30"/>
      <c r="ABT30"/>
      <c r="ABU30"/>
      <c r="ABV30"/>
      <c r="ABW30"/>
      <c r="ABX30" s="33"/>
      <c r="ABY30" s="34"/>
      <c r="ABZ30" s="34"/>
      <c r="ACA30" s="35"/>
      <c r="ACB30" s="26"/>
      <c r="ACC30"/>
      <c r="ACD30"/>
      <c r="ACE30"/>
      <c r="ACF30"/>
      <c r="ACG30"/>
      <c r="ACH30" s="33"/>
      <c r="ACI30" s="34"/>
      <c r="ACJ30" s="34"/>
      <c r="ACK30" s="35"/>
      <c r="ACL30" s="26"/>
      <c r="ACM30"/>
      <c r="ACN30"/>
      <c r="ACO30"/>
      <c r="ACP30"/>
      <c r="ACQ30"/>
      <c r="ACR30" s="33"/>
      <c r="ACS30" s="34"/>
      <c r="ACT30" s="34"/>
      <c r="ACU30" s="35"/>
      <c r="ACV30" s="26"/>
      <c r="ACW30" t="s">
        <v>1254</v>
      </c>
      <c r="ACY30" s="2"/>
      <c r="ADA30" s="38"/>
      <c r="ADB30" s="2">
        <f t="shared" si="1"/>
        <v>0</v>
      </c>
      <c r="ADD30" s="2" t="s">
        <v>1720</v>
      </c>
      <c r="ADE30" s="2">
        <v>1.1499999999999999</v>
      </c>
      <c r="ADF30" s="2">
        <v>7</v>
      </c>
      <c r="ADG30" s="26">
        <f t="shared" si="19"/>
        <v>8.0499999999999989</v>
      </c>
      <c r="ADI30"/>
      <c r="ADJ30"/>
      <c r="ADK30"/>
      <c r="ADL30"/>
      <c r="ADM30"/>
      <c r="ADN30">
        <f ca="1">+Tabla578914151634353637383940414243444546474849505152535560[[#This Row],[G. Total]]*Tabla578914151634353637383940414243444546474849505152535560[[#This Row],[Recuento]]</f>
        <v>0</v>
      </c>
      <c r="ADO30" s="35"/>
      <c r="ADP30" s="26"/>
      <c r="ADQ30"/>
      <c r="ADR30"/>
      <c r="ADS30"/>
      <c r="ADT30"/>
      <c r="ADU30"/>
      <c r="ADV30" s="35"/>
      <c r="ADW30" s="35"/>
      <c r="ADX30"/>
      <c r="ADY30"/>
      <c r="ADZ30"/>
      <c r="AEA30"/>
      <c r="AEB30"/>
      <c r="AEC30">
        <f ca="1">+Tabla57891415163435363738394041424344454647484950515253556062[[#This Row],[Total]]*Tabla57891415163435363738394041424344454647484950515253556062[[#This Row],[Recuento]]</f>
        <v>0</v>
      </c>
      <c r="AED30" s="35"/>
      <c r="AEE30" s="26"/>
      <c r="AEF30"/>
      <c r="AEG30"/>
      <c r="AEH30"/>
      <c r="AEI30"/>
      <c r="AEJ30"/>
      <c r="AEK30" s="35"/>
      <c r="AEL30" s="35"/>
      <c r="AEM30" t="s">
        <v>1522</v>
      </c>
      <c r="AEN30" t="s">
        <v>1523</v>
      </c>
      <c r="AEO30" t="s">
        <v>453</v>
      </c>
      <c r="AEP30">
        <v>0.32</v>
      </c>
      <c r="AEQ30">
        <v>1</v>
      </c>
      <c r="AER30">
        <f ca="1">+Tabla5789141516343536373839404142434445464748495051525355606264[[#This Row],[G. Total]]*Tabla5789141516343536373839404142434445464748495051525355606264[[#This Row],[Recuento]]</f>
        <v>0.32</v>
      </c>
      <c r="AES30" s="35"/>
      <c r="AET30" s="26"/>
      <c r="AEU30"/>
      <c r="AEV30"/>
      <c r="AEW30"/>
      <c r="AEX30"/>
      <c r="AEY30"/>
      <c r="AEZ30" s="35"/>
      <c r="AFA30" s="26"/>
      <c r="AFB30"/>
      <c r="AFC30"/>
      <c r="AFD30"/>
      <c r="AFE30"/>
      <c r="AFF30"/>
      <c r="AFG30"/>
      <c r="AFH30"/>
      <c r="AFI30"/>
      <c r="AFJ30"/>
      <c r="AFK30"/>
      <c r="AFL30"/>
      <c r="AFM30">
        <f ca="1">+Tabla578914151634353637383940414243444546474849505152535560626467[[#This Row],[G. Total]]*Tabla578914151634353637383940414243444546474849505152535560626467[[#This Row],[Recuento]]</f>
        <v>0</v>
      </c>
      <c r="AFN30" s="35"/>
      <c r="AFO30" s="26"/>
      <c r="AFP30" s="2" t="s">
        <v>112</v>
      </c>
      <c r="AFW30" s="2" t="s">
        <v>112</v>
      </c>
    </row>
    <row r="31" spans="1:860" ht="15" customHeigh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>
        <f>+Tabla5[[#This Row],[Recuento]]*Tabla5[[#This Row],[Volúmen bruto]]</f>
        <v>0</v>
      </c>
      <c r="S31">
        <f>+Tabla5[[#This Row],[Recuento]]*Tabla5[[#This Row],[Área neta]]</f>
        <v>0</v>
      </c>
      <c r="T31">
        <f>+Tabla5[[#This Row],[Longitud nominal]]*Tabla5[[#This Row],[Recuento]]</f>
        <v>0</v>
      </c>
      <c r="U31" s="26"/>
      <c r="V31"/>
      <c r="W31"/>
      <c r="X31"/>
      <c r="Y31"/>
      <c r="Z31"/>
      <c r="AA31"/>
      <c r="AB31"/>
      <c r="AC31"/>
      <c r="AD31"/>
      <c r="AE31"/>
      <c r="AF31"/>
      <c r="AG31" s="26">
        <f t="shared" si="4"/>
        <v>0</v>
      </c>
      <c r="AH31"/>
      <c r="AI31"/>
      <c r="AJ31"/>
      <c r="AK31"/>
      <c r="AL31"/>
      <c r="AM31"/>
      <c r="AN31"/>
      <c r="AO31"/>
      <c r="AP31"/>
      <c r="AQ31"/>
      <c r="AR31"/>
      <c r="AS31" s="26">
        <f t="shared" si="5"/>
        <v>0</v>
      </c>
      <c r="AT31"/>
      <c r="AU31"/>
      <c r="AV31"/>
      <c r="AW31"/>
      <c r="AX31"/>
      <c r="AY31"/>
      <c r="AZ31"/>
      <c r="BA31"/>
      <c r="BB31"/>
      <c r="BC31"/>
      <c r="BD31"/>
      <c r="BE31" s="26">
        <f t="shared" si="6"/>
        <v>0</v>
      </c>
      <c r="BF31">
        <v>2</v>
      </c>
      <c r="BG31" t="s">
        <v>1862</v>
      </c>
      <c r="BH31" t="s">
        <v>1524</v>
      </c>
      <c r="BI31" t="s">
        <v>1406</v>
      </c>
      <c r="BJ31">
        <v>1.8</v>
      </c>
      <c r="BK31" s="37">
        <v>2</v>
      </c>
      <c r="BL31">
        <f>+Tabla3102[[#This Row],[En culmo]]*BF31</f>
        <v>4</v>
      </c>
      <c r="BM31"/>
      <c r="BN31">
        <v>1</v>
      </c>
      <c r="BO31"/>
      <c r="BP31"/>
      <c r="BQ31"/>
      <c r="BR31"/>
      <c r="BS31"/>
      <c r="BT31">
        <f>+Tabla31069[[#This Row],[Longitud de eje]]*BN31</f>
        <v>0</v>
      </c>
      <c r="BU31"/>
      <c r="BV31">
        <v>3</v>
      </c>
      <c r="BW31" t="s">
        <v>1862</v>
      </c>
      <c r="BX31" t="s">
        <v>1525</v>
      </c>
      <c r="BY31" t="s">
        <v>1406</v>
      </c>
      <c r="BZ31">
        <v>5.13</v>
      </c>
      <c r="CA31">
        <v>5.5</v>
      </c>
      <c r="CB31">
        <f>+Tabla31011[[#This Row],[En culmo]]*BV31</f>
        <v>16.5</v>
      </c>
      <c r="CD31">
        <v>1</v>
      </c>
      <c r="CE31" t="s">
        <v>1862</v>
      </c>
      <c r="CF31" t="s">
        <v>1525</v>
      </c>
      <c r="CG31" t="s">
        <v>1405</v>
      </c>
      <c r="CH31">
        <v>0.76</v>
      </c>
      <c r="CI31">
        <v>1</v>
      </c>
      <c r="CJ31">
        <f>+Tabla3101170[[#This Row],[En culmo]]*CD31</f>
        <v>1</v>
      </c>
      <c r="CK31"/>
      <c r="CR31">
        <f>+Tabla31011116[[#This Row],[Longitud de eje]]*CT31</f>
        <v>0</v>
      </c>
      <c r="CT31">
        <v>2</v>
      </c>
      <c r="CU31" t="s">
        <v>1862</v>
      </c>
      <c r="CV31" t="s">
        <v>1383</v>
      </c>
      <c r="CW31" t="s">
        <v>1405</v>
      </c>
      <c r="CX31">
        <v>5.52</v>
      </c>
      <c r="CY31">
        <v>3.5</v>
      </c>
      <c r="CZ31">
        <f>+Tabla3101170117[[#This Row],[En culmo]]*CT31</f>
        <v>7</v>
      </c>
      <c r="DA31"/>
      <c r="DB31">
        <v>6</v>
      </c>
      <c r="DC31" t="s">
        <v>1862</v>
      </c>
      <c r="DD31" t="s">
        <v>1383</v>
      </c>
      <c r="DE31" t="s">
        <v>1723</v>
      </c>
      <c r="DF31">
        <v>1.1200000000000001</v>
      </c>
      <c r="DG31">
        <f>+Tabla31011704[[#This Row],[Longitud de eje]]*DB31</f>
        <v>6.7200000000000006</v>
      </c>
      <c r="DH31"/>
      <c r="DI31"/>
      <c r="DJ31"/>
      <c r="DK31"/>
      <c r="DL31"/>
      <c r="DM31"/>
      <c r="DN31">
        <f>+Tabla3101170411[[#This Row],[Longitud de eje]]*DI31</f>
        <v>0</v>
      </c>
      <c r="DO31"/>
      <c r="DP31"/>
      <c r="DQ31"/>
      <c r="DR31"/>
      <c r="DS31"/>
      <c r="DT31"/>
      <c r="DU31">
        <f>+Tabla3101170411120[[#This Row],[Longitud de eje]]*DP31</f>
        <v>0</v>
      </c>
      <c r="DV31"/>
      <c r="DW31"/>
      <c r="DX31"/>
      <c r="DY31"/>
      <c r="DZ31"/>
      <c r="EA31"/>
      <c r="EB31">
        <f>+Tabla3101170411120122[[#This Row],[Longitud de eje]]*DW31</f>
        <v>0</v>
      </c>
      <c r="EC31"/>
      <c r="ED31">
        <v>4</v>
      </c>
      <c r="EE31" t="s">
        <v>1862</v>
      </c>
      <c r="EF31" t="s">
        <v>1524</v>
      </c>
      <c r="EG31" t="s">
        <v>1406</v>
      </c>
      <c r="EH31">
        <v>1.59</v>
      </c>
      <c r="EI31">
        <v>2</v>
      </c>
      <c r="EJ31">
        <f>+Tabla3101112[[#This Row],[En culmo]]*ED31</f>
        <v>8</v>
      </c>
      <c r="EK31"/>
      <c r="EL31"/>
      <c r="EM31"/>
      <c r="EN31"/>
      <c r="EO31"/>
      <c r="EP31"/>
      <c r="EQ31"/>
      <c r="ER31">
        <f>+Tabla3101112123[[#This Row],[En culmo]]*EL31</f>
        <v>0</v>
      </c>
      <c r="ES31"/>
      <c r="ET31">
        <v>1</v>
      </c>
      <c r="EU31" t="s">
        <v>1862</v>
      </c>
      <c r="EV31" t="s">
        <v>1525</v>
      </c>
      <c r="EW31" t="s">
        <v>1406</v>
      </c>
      <c r="EX31">
        <v>3.2</v>
      </c>
      <c r="EY31">
        <v>3.5</v>
      </c>
      <c r="EZ31">
        <f>+Tabla310111257[[#This Row],[En culmo]]*ET31</f>
        <v>3.5</v>
      </c>
      <c r="FA31"/>
      <c r="FB31"/>
      <c r="FC31"/>
      <c r="FD31"/>
      <c r="FE31"/>
      <c r="FF31"/>
      <c r="FG31">
        <v>3</v>
      </c>
      <c r="FH31">
        <f>+Tabla310111257124[[#This Row],[En culmo]]*FB31</f>
        <v>0</v>
      </c>
      <c r="FI31"/>
      <c r="FK31"/>
      <c r="FL31"/>
      <c r="FM31"/>
      <c r="FN31"/>
      <c r="FO31"/>
      <c r="FP31"/>
      <c r="FQ31"/>
      <c r="FS31"/>
      <c r="FT31"/>
      <c r="FU31"/>
      <c r="FV31"/>
      <c r="FW31"/>
      <c r="FX31"/>
      <c r="FY31"/>
      <c r="GA31"/>
      <c r="GB31"/>
      <c r="GC31"/>
      <c r="GD31"/>
      <c r="GE31"/>
      <c r="GF31"/>
      <c r="GG31"/>
      <c r="GI31"/>
      <c r="GJ31"/>
      <c r="GK31"/>
      <c r="GL31"/>
      <c r="GM31"/>
      <c r="GN31"/>
      <c r="GO31"/>
      <c r="GQ31" t="s">
        <v>1862</v>
      </c>
      <c r="GR31" t="s">
        <v>1383</v>
      </c>
      <c r="GS31" t="s">
        <v>1667</v>
      </c>
      <c r="GT31">
        <v>2.29</v>
      </c>
      <c r="GU31">
        <v>25.42</v>
      </c>
      <c r="GV31">
        <v>1</v>
      </c>
      <c r="GW31">
        <f>+Tabla578914[[#This Row],[Recuento]]*Tabla578914[[#This Row],[Volúmen bruto]]</f>
        <v>2.29</v>
      </c>
      <c r="GX31">
        <f>+Tabla578914[[#This Row],[Recuento]]*Tabla578914[[#This Row],[Área neta]]</f>
        <v>25.42</v>
      </c>
      <c r="GY31" s="36"/>
      <c r="HA31" t="s">
        <v>1863</v>
      </c>
      <c r="HB31" t="s">
        <v>1383</v>
      </c>
      <c r="HC31" t="s">
        <v>97</v>
      </c>
      <c r="HD31">
        <v>7.0000000000000007E-2</v>
      </c>
      <c r="HE31">
        <v>11.25</v>
      </c>
      <c r="HF31">
        <v>1</v>
      </c>
      <c r="HG31">
        <f>+Tabla578914126[[#This Row],[Recuento]]*Tabla578914126[[#This Row],[Volúmen bruto]]</f>
        <v>7.0000000000000007E-2</v>
      </c>
      <c r="HH31">
        <f>+Tabla578914126[[#This Row],[Recuento]]*Tabla578914126[[#This Row],[Área neta]]</f>
        <v>11.25</v>
      </c>
      <c r="HI31" s="36"/>
      <c r="HK31"/>
      <c r="HL31"/>
      <c r="HM31"/>
      <c r="HN31"/>
      <c r="HO31"/>
      <c r="HP31"/>
      <c r="HQ31">
        <f>+Tabla578914126127[[#This Row],[Recuento]]*Tabla578914126127[[#This Row],[Volúmen bruto]]</f>
        <v>0</v>
      </c>
      <c r="HR31">
        <f>+Tabla578914126127[[#This Row],[Recuento]]*Tabla578914126127[[#This Row],[Área neta]]</f>
        <v>0</v>
      </c>
      <c r="HS31" s="36"/>
      <c r="HT31" s="26"/>
      <c r="HU31"/>
      <c r="HV31"/>
      <c r="HW31"/>
      <c r="HX31"/>
      <c r="HY31"/>
      <c r="HZ31"/>
      <c r="IA31"/>
      <c r="IB31"/>
      <c r="IC31" s="36"/>
      <c r="ID31" s="26"/>
      <c r="IE31"/>
      <c r="IF31"/>
      <c r="IG31"/>
      <c r="IH31"/>
      <c r="II31"/>
      <c r="IJ31"/>
      <c r="IK31"/>
      <c r="IL31"/>
      <c r="IM31" s="36"/>
      <c r="IN31" s="26"/>
      <c r="IO31"/>
      <c r="IP31"/>
      <c r="IQ31"/>
      <c r="IR31"/>
      <c r="IS31"/>
      <c r="IT31"/>
      <c r="IU31"/>
      <c r="IV31">
        <f>+Tabla520212223[[#This Row],[Recuento]]*Tabla520212223[[#This Row],[Área neta]]</f>
        <v>0</v>
      </c>
      <c r="IW31" s="26">
        <f t="shared" si="0"/>
        <v>0</v>
      </c>
      <c r="IY31"/>
      <c r="IZ31"/>
      <c r="JA31"/>
      <c r="JB31"/>
      <c r="JC31"/>
      <c r="JD31">
        <v>1</v>
      </c>
      <c r="JE31">
        <f>+Tabla520212224[[#This Row],[Recuento]]*Tabla520212224[[#This Row],[Volúmen bruto]]</f>
        <v>0</v>
      </c>
      <c r="JF31">
        <f>+Tabla520212224[[#This Row],[Recuento]]*Tabla520212224[[#This Row],[Área neta]]</f>
        <v>0</v>
      </c>
      <c r="JG31" s="26"/>
      <c r="JI31" t="s">
        <v>1862</v>
      </c>
      <c r="JJ31" t="s">
        <v>1524</v>
      </c>
      <c r="JK31" t="s">
        <v>1677</v>
      </c>
      <c r="JL31">
        <v>0</v>
      </c>
      <c r="JM31">
        <v>0.02</v>
      </c>
      <c r="JN31">
        <v>1</v>
      </c>
      <c r="JO31">
        <f>+Tabla52021222425[[#This Row],[Recuento]]*Tabla52021222425[[#This Row],[Volúmen bruto]]</f>
        <v>0</v>
      </c>
      <c r="JP31">
        <f>+Tabla52021222425[[#This Row],[Recuento]]*Tabla52021222425[[#This Row],[Área neta]]</f>
        <v>0.02</v>
      </c>
      <c r="JQ31" s="26"/>
      <c r="JS31" t="s">
        <v>1862</v>
      </c>
      <c r="JT31" t="s">
        <v>1524</v>
      </c>
      <c r="JU31" t="s">
        <v>1679</v>
      </c>
      <c r="JV31">
        <v>0</v>
      </c>
      <c r="JW31">
        <v>1.23</v>
      </c>
      <c r="JX31">
        <v>1</v>
      </c>
      <c r="JY31">
        <f>+Tabla5202122242526[[#This Row],[Recuento]]*Tabla5202122242526[[#This Row],[Volúmen bruto]]</f>
        <v>0</v>
      </c>
      <c r="JZ31">
        <f>+Tabla5202122242526[[#This Row],[Recuento]]*Tabla5202122242526[[#This Row],[Área neta]]</f>
        <v>1.23</v>
      </c>
      <c r="KA31" s="26"/>
      <c r="KC31"/>
      <c r="KD31"/>
      <c r="KE31"/>
      <c r="KF31"/>
      <c r="KG31"/>
      <c r="KH31"/>
      <c r="KI31">
        <f>+Tabla5202122242526104[[#This Row],[Recuento]]*Tabla5202122242526104[[#This Row],[Volúmen bruto]]</f>
        <v>0</v>
      </c>
      <c r="KJ31">
        <f>+Tabla5202122242526104[[#This Row],[Recuento]]*Tabla5202122242526104[[#This Row],[Área neta]]</f>
        <v>0</v>
      </c>
      <c r="KK31" s="26"/>
      <c r="KM31" t="s">
        <v>1862</v>
      </c>
      <c r="KN31" t="s">
        <v>1525</v>
      </c>
      <c r="KO31" t="s">
        <v>97</v>
      </c>
      <c r="KP31">
        <v>0.01</v>
      </c>
      <c r="KQ31">
        <v>0.69</v>
      </c>
      <c r="KR31">
        <v>2</v>
      </c>
      <c r="KS31">
        <f>+Tabla5202122242526104110[[#This Row],[Recuento]]*Tabla5202122242526104110[[#This Row],[Volúmen bruto]]</f>
        <v>0.02</v>
      </c>
      <c r="KT31">
        <f>+Tabla5202122242526104110[[#This Row],[Recuento]]*Tabla5202122242526104110[[#This Row],[Área neta]]</f>
        <v>1.38</v>
      </c>
      <c r="KU31" s="26"/>
      <c r="KW31"/>
      <c r="KX31"/>
      <c r="KY31"/>
      <c r="KZ31"/>
      <c r="LA31"/>
      <c r="LB31"/>
      <c r="LC31">
        <f>+Tabla520212224252659[[#This Row],[Recuento]]*Tabla520212224252659[[#This Row],[Volúmen bruto]]</f>
        <v>0</v>
      </c>
      <c r="LD31">
        <f>+Tabla520212224252659[[#This Row],[Recuento]]*Tabla520212224252659[[#This Row],[Área neta]]</f>
        <v>0</v>
      </c>
      <c r="LE31" s="26"/>
      <c r="LG31"/>
      <c r="LH31"/>
      <c r="LI31"/>
      <c r="LJ31"/>
      <c r="LK31"/>
      <c r="LL31"/>
      <c r="LM31">
        <f>+Tabla520212224252659111[[#This Row],[Recuento]]*Tabla520212224252659111[[#This Row],[Volúmen bruto]]</f>
        <v>0</v>
      </c>
      <c r="LN31">
        <f>+Tabla520212224252659111[[#This Row],[Recuento]]*Tabla520212224252659111[[#This Row],[Área neta]]</f>
        <v>0</v>
      </c>
      <c r="LO31" s="26"/>
      <c r="LQ31"/>
      <c r="LR31"/>
      <c r="LS31"/>
      <c r="LT31"/>
      <c r="LU31"/>
      <c r="LV31"/>
      <c r="LW31">
        <f>+Tabla520212224252659111114[[#This Row],[Recuento]]*Tabla520212224252659111114[[#This Row],[Volúmen bruto]]</f>
        <v>0</v>
      </c>
      <c r="LX31">
        <f>+Tabla520212224252659111114[[#This Row],[Recuento]]*Tabla520212224252659111114[[#This Row],[Área neta]]</f>
        <v>0</v>
      </c>
      <c r="LY31" s="26"/>
      <c r="MA31" t="s">
        <v>1862</v>
      </c>
      <c r="MB31" t="s">
        <v>1525</v>
      </c>
      <c r="MC31" t="s">
        <v>98</v>
      </c>
      <c r="MD31">
        <v>0.01</v>
      </c>
      <c r="ME31">
        <v>4.24</v>
      </c>
      <c r="MF31">
        <v>4</v>
      </c>
      <c r="MG31">
        <f>+Tabla520212224252659111114128[[#This Row],[Recuento]]*Tabla520212224252659111114128[[#This Row],[Volúmen bruto]]</f>
        <v>0.04</v>
      </c>
      <c r="MH31">
        <f>+Tabla520212224252659111114128[[#This Row],[Recuento]]*Tabla520212224252659111114128[[#This Row],[Área neta]]</f>
        <v>16.96</v>
      </c>
      <c r="MI31" s="26"/>
      <c r="MK31"/>
      <c r="ML31"/>
      <c r="MM31"/>
      <c r="MN31"/>
      <c r="MO31"/>
      <c r="MP31"/>
      <c r="MQ31">
        <f>+Tabla520212224252627[[#This Row],[Recuento]]*Tabla520212224252627[[#This Row],[Volúmen bruto]]</f>
        <v>0</v>
      </c>
      <c r="MR31">
        <f>+Tabla520212224252627[[#This Row],[Recuento]]*Tabla520212224252627[[#This Row],[Área neta]]</f>
        <v>0</v>
      </c>
      <c r="MS31" s="26"/>
      <c r="MU31"/>
      <c r="MV31"/>
      <c r="MW31"/>
      <c r="MX31"/>
      <c r="MY31"/>
      <c r="MZ31"/>
      <c r="NA31">
        <f>+Tabla520212224252627129[[#This Row],[Recuento]]*Tabla520212224252627129[[#This Row],[Volúmen bruto]]</f>
        <v>0</v>
      </c>
      <c r="NB31">
        <f>+Tabla520212224252627129[[#This Row],[Recuento]]*Tabla520212224252627129[[#This Row],[Área neta]]</f>
        <v>0</v>
      </c>
      <c r="NC31" s="26"/>
      <c r="NE31"/>
      <c r="NF31"/>
      <c r="NG31"/>
      <c r="NH31"/>
      <c r="NI31"/>
      <c r="NJ31"/>
      <c r="NK31">
        <f>+Tabla520212224252627129125[[#This Row],[Recuento]]*Tabla520212224252627129125[[#This Row],[Volúmen bruto]]</f>
        <v>0</v>
      </c>
      <c r="NL31">
        <f>+Tabla520212224252627129125[[#This Row],[Recuento]]*Tabla520212224252627129125[[#This Row],[Área neta]]</f>
        <v>0</v>
      </c>
      <c r="NM31" s="26"/>
      <c r="NO31"/>
      <c r="NP31"/>
      <c r="NQ31"/>
      <c r="NR31"/>
      <c r="NS31"/>
      <c r="NT31"/>
      <c r="NU31">
        <f>+Tabla520212224252627129125130[[#This Row],[Recuento]]*Tabla520212224252627129125130[[#This Row],[Volúmen bruto]]</f>
        <v>0</v>
      </c>
      <c r="NV31">
        <f>+Tabla520212224252627129125130[[#This Row],[Recuento]]*Tabla520212224252627129125130[[#This Row],[Área neta]]</f>
        <v>0</v>
      </c>
      <c r="NW31" s="26"/>
      <c r="NY31"/>
      <c r="NZ31"/>
      <c r="OA31"/>
      <c r="OB31"/>
      <c r="OC31"/>
      <c r="OD31"/>
      <c r="OE31">
        <f>+Tabla520212224252627129125130131[[#This Row],[Recuento]]*Tabla520212224252627129125130131[[#This Row],[Volúmen bruto]]</f>
        <v>0</v>
      </c>
      <c r="OF31">
        <f>+Tabla520212224252627129125130131[[#This Row],[Recuento]]*Tabla520212224252627129125130131[[#This Row],[Área neta]]</f>
        <v>0</v>
      </c>
      <c r="OG31" s="26"/>
      <c r="OI31"/>
      <c r="OJ31"/>
      <c r="OK31"/>
      <c r="OL31"/>
      <c r="OM31"/>
      <c r="ON31"/>
      <c r="OO31">
        <f>+Tabla520212224252627129125130131132[[#This Row],[Recuento]]*Tabla520212224252627129125130131132[[#This Row],[Volúmen bruto]]</f>
        <v>0</v>
      </c>
      <c r="OP31">
        <f>+Tabla520212224252627129125130131132[[#This Row],[Recuento]]*Tabla520212224252627129125130131132[[#This Row],[Área neta]]</f>
        <v>0</v>
      </c>
      <c r="OQ31" s="26"/>
      <c r="OS31"/>
      <c r="OT31"/>
      <c r="OU31"/>
      <c r="OV31"/>
      <c r="OW31"/>
      <c r="OX31"/>
      <c r="OY31">
        <f>+Tabla52021222425262728[[#This Row],[Recuento]]*Tabla52021222425262728[[#This Row],[Volúmen bruto]]</f>
        <v>0</v>
      </c>
      <c r="OZ31">
        <f>+Tabla52021222425262728[[#This Row],[Recuento]]*Tabla52021222425262728[[#This Row],[Área neta]]</f>
        <v>0</v>
      </c>
      <c r="PA31" s="26"/>
      <c r="PC31" t="s">
        <v>1862</v>
      </c>
      <c r="PD31" t="s">
        <v>1525</v>
      </c>
      <c r="PE31" t="s">
        <v>97</v>
      </c>
      <c r="PF31">
        <v>0.06</v>
      </c>
      <c r="PG31">
        <v>2.93</v>
      </c>
      <c r="PH31">
        <v>1</v>
      </c>
      <c r="PI31">
        <f>+Tabla52021222425262728133[[#This Row],[Recuento]]*Tabla52021222425262728133[[#This Row],[Volúmen bruto]]</f>
        <v>0.06</v>
      </c>
      <c r="PJ31">
        <f>+Tabla52021222425262728133[[#This Row],[Recuento]]*Tabla52021222425262728133[[#This Row],[Área neta]]</f>
        <v>2.93</v>
      </c>
      <c r="PK31" s="26"/>
      <c r="PM31"/>
      <c r="PN31"/>
      <c r="PO31"/>
      <c r="PP31"/>
      <c r="PQ31"/>
      <c r="PR31"/>
      <c r="PS31">
        <f>+Tabla5202122242526272893[[#This Row],[Recuento]]*Tabla5202122242526272893[[#This Row],[Volúmen bruto]]</f>
        <v>0</v>
      </c>
      <c r="PT31">
        <f>+Tabla5202122242526272893[[#This Row],[Recuento]]*Tabla5202122242526272893[[#This Row],[Área neta]]</f>
        <v>0</v>
      </c>
      <c r="PU31" s="26"/>
      <c r="PW31" t="s">
        <v>1862</v>
      </c>
      <c r="PX31" t="s">
        <v>1525</v>
      </c>
      <c r="PY31" t="s">
        <v>97</v>
      </c>
      <c r="PZ31">
        <v>0.02</v>
      </c>
      <c r="QA31">
        <v>0.81</v>
      </c>
      <c r="QB31">
        <v>1</v>
      </c>
      <c r="QC31">
        <f>+Tabla520212224252627289349[[#This Row],[Recuento]]*Tabla520212224252627289349[[#This Row],[Volúmen bruto]]</f>
        <v>0.02</v>
      </c>
      <c r="QD31">
        <f>+Tabla520212224252627289349[[#This Row],[Recuento]]*Tabla520212224252627289349[[#This Row],[Área neta]]</f>
        <v>0.81</v>
      </c>
      <c r="QE31" s="26"/>
      <c r="QG31"/>
      <c r="QH31"/>
      <c r="QI31"/>
      <c r="QJ31"/>
      <c r="QK31"/>
      <c r="QL31"/>
      <c r="QM31">
        <f>+Tabla520212224252627289349134[[#This Row],[Recuento]]*Tabla520212224252627289349134[[#This Row],[Volúmen bruto]]</f>
        <v>0</v>
      </c>
      <c r="QN31">
        <f>+Tabla520212224252627289349134[[#This Row],[Recuento]]*Tabla520212224252627289349134[[#This Row],[Área neta]]</f>
        <v>0</v>
      </c>
      <c r="QO31" s="26"/>
      <c r="QQ31" t="s">
        <v>1862</v>
      </c>
      <c r="QR31" t="s">
        <v>1524</v>
      </c>
      <c r="QS31" t="s">
        <v>1726</v>
      </c>
      <c r="QT31">
        <v>0.02</v>
      </c>
      <c r="QU31">
        <v>0.12</v>
      </c>
      <c r="QV31">
        <v>1</v>
      </c>
      <c r="QW31">
        <v>1</v>
      </c>
      <c r="QX31">
        <f>+Tabla5202122242526272829[[#This Row],[Recuento]]*Tabla5202122242526272829[[#This Row],[Volúmen bruto]]</f>
        <v>0.02</v>
      </c>
      <c r="QY31">
        <f>+Tabla5202122242526272829[[#This Row],[Recuento]]*Tabla5202122242526272829[[#This Row],[Área neta]]</f>
        <v>0.12</v>
      </c>
      <c r="QZ31">
        <f>+Tabla5202122242526272829[[#This Row],[Recuento]]*Tabla5202122242526272829[[#This Row],[Longitud]]</f>
        <v>1</v>
      </c>
      <c r="RA31" s="26"/>
      <c r="RC31"/>
      <c r="RD31"/>
      <c r="RE31"/>
      <c r="RF31"/>
      <c r="RG31"/>
      <c r="RH31"/>
      <c r="RI31"/>
      <c r="RJ31"/>
      <c r="RK31" s="26"/>
      <c r="RM31"/>
      <c r="RN31"/>
      <c r="RO31"/>
      <c r="RP31"/>
      <c r="RQ31"/>
      <c r="RR31"/>
      <c r="RS31"/>
      <c r="RT31"/>
      <c r="RU31" s="26">
        <f t="shared" si="7"/>
        <v>0</v>
      </c>
      <c r="RW31"/>
      <c r="RX31"/>
      <c r="RY31"/>
      <c r="RZ31"/>
      <c r="SA31"/>
      <c r="SB31"/>
      <c r="SC31"/>
      <c r="SD31"/>
      <c r="SE31" s="26"/>
      <c r="SG31"/>
      <c r="SH31"/>
      <c r="SI31"/>
      <c r="SJ31"/>
      <c r="SK31"/>
      <c r="SL31"/>
      <c r="SM31">
        <f>+Tabla5202122242526272831323314[[#This Row],[Recuento]]*Tabla5202122242526272831323314[[#This Row],[Volúmen bruto]]</f>
        <v>0</v>
      </c>
      <c r="SN31">
        <f>+Tabla5202122242526272831323314[[#This Row],[Recuento]]*Tabla5202122242526272831323314[[#This Row],[Área neta]]</f>
        <v>0</v>
      </c>
      <c r="SO31" s="26"/>
      <c r="SQ31" t="s">
        <v>1862</v>
      </c>
      <c r="SR31" t="s">
        <v>1524</v>
      </c>
      <c r="SS31" t="s">
        <v>1627</v>
      </c>
      <c r="ST31">
        <v>0.49</v>
      </c>
      <c r="SU31">
        <v>2.44</v>
      </c>
      <c r="SV31">
        <v>1</v>
      </c>
      <c r="SW31" s="34">
        <f>+Tabla5789141516[[#This Row],[Recuento]]*Tabla5789141516[[#This Row],[Volúmen bruto]]</f>
        <v>0.49</v>
      </c>
      <c r="SX31" s="34">
        <f>+Tabla5789141516[[#This Row],[Recuento]]*Tabla5789141516[[#This Row],[Área neta]]</f>
        <v>2.44</v>
      </c>
      <c r="SY31" s="36"/>
      <c r="SZ31" s="26"/>
      <c r="TA31"/>
      <c r="TB31"/>
      <c r="TC31"/>
      <c r="TD31"/>
      <c r="TE31"/>
      <c r="TF31"/>
      <c r="TG31"/>
      <c r="TH31"/>
      <c r="TI31" s="36">
        <f t="shared" si="8"/>
        <v>0</v>
      </c>
      <c r="TJ31" s="26"/>
      <c r="TK31"/>
      <c r="TL31"/>
      <c r="TM31"/>
      <c r="TN31"/>
      <c r="TO31"/>
      <c r="TP31"/>
      <c r="TQ31"/>
      <c r="TR31"/>
      <c r="TS31" s="36">
        <f t="shared" si="9"/>
        <v>0</v>
      </c>
      <c r="TT31" s="26"/>
      <c r="TU31"/>
      <c r="TV31"/>
      <c r="TW31"/>
      <c r="TX31"/>
      <c r="TY31"/>
      <c r="TZ31"/>
      <c r="UA31"/>
      <c r="UB31"/>
      <c r="UC31" s="36">
        <f t="shared" si="10"/>
        <v>0</v>
      </c>
      <c r="UD31" s="26"/>
      <c r="UE31"/>
      <c r="UF31"/>
      <c r="UG31"/>
      <c r="UH31"/>
      <c r="UI31"/>
      <c r="UJ31"/>
      <c r="UK31"/>
      <c r="UL31"/>
      <c r="UM31" s="36">
        <f t="shared" si="11"/>
        <v>0</v>
      </c>
      <c r="UN31" s="26"/>
      <c r="UO31"/>
      <c r="UP31"/>
      <c r="UQ31"/>
      <c r="UR31"/>
      <c r="US31"/>
      <c r="UT31"/>
      <c r="UU31"/>
      <c r="UV31"/>
      <c r="UW31" s="36">
        <f t="shared" si="12"/>
        <v>0</v>
      </c>
      <c r="UX31" s="26"/>
      <c r="UY31"/>
      <c r="UZ31"/>
      <c r="VA31"/>
      <c r="VB31"/>
      <c r="VC31"/>
      <c r="VD31"/>
      <c r="VE31"/>
      <c r="VF31"/>
      <c r="VG31" s="36">
        <f t="shared" si="13"/>
        <v>0</v>
      </c>
      <c r="VH31" s="26"/>
      <c r="VI31"/>
      <c r="VJ31"/>
      <c r="VK31"/>
      <c r="VL31"/>
      <c r="VM31"/>
      <c r="VN31"/>
      <c r="VO31"/>
      <c r="VP31"/>
      <c r="VQ31" s="36">
        <f t="shared" si="14"/>
        <v>0</v>
      </c>
      <c r="VR31" s="26"/>
      <c r="VS31"/>
      <c r="VT31"/>
      <c r="VU31"/>
      <c r="VV31"/>
      <c r="VW31"/>
      <c r="VX31"/>
      <c r="VY31"/>
      <c r="VZ31"/>
      <c r="WA31" s="36">
        <f t="shared" si="15"/>
        <v>0</v>
      </c>
      <c r="WB31" s="26"/>
      <c r="WC31"/>
      <c r="WD31"/>
      <c r="WE31"/>
      <c r="WF31"/>
      <c r="WG31"/>
      <c r="WH31"/>
      <c r="WI31"/>
      <c r="WJ31"/>
      <c r="WK31" s="36">
        <f t="shared" si="16"/>
        <v>0</v>
      </c>
      <c r="WL31" s="26"/>
      <c r="WM31"/>
      <c r="WN31"/>
      <c r="WO31"/>
      <c r="WP31"/>
      <c r="WQ31"/>
      <c r="WR31"/>
      <c r="WS31"/>
      <c r="WT31"/>
      <c r="WU31" s="36">
        <f t="shared" si="17"/>
        <v>0</v>
      </c>
      <c r="WV31" s="26"/>
      <c r="WW31"/>
      <c r="WX31"/>
      <c r="WY31"/>
      <c r="WZ31"/>
      <c r="XA31"/>
      <c r="XB31"/>
      <c r="XC31"/>
      <c r="XD31"/>
      <c r="XE31" s="36">
        <f t="shared" si="18"/>
        <v>0</v>
      </c>
      <c r="XF31" s="26"/>
      <c r="XG31"/>
      <c r="XH31"/>
      <c r="XI31"/>
      <c r="XJ31"/>
      <c r="XK31"/>
      <c r="XL31"/>
      <c r="XM31" s="34">
        <f>+Tabla578914151634353637383940414243444536[[#This Row],[Recuento]]*Tabla578914151634353637383940414243444536[[#This Row],[Volúmen bruto]]</f>
        <v>0</v>
      </c>
      <c r="XN31" s="34">
        <f>+Tabla578914151634353637383940414243444536[[#This Row],[Recuento]]*Tabla578914151634353637383940414243444536[[#This Row],[Área neta]]</f>
        <v>0</v>
      </c>
      <c r="XO31" s="35"/>
      <c r="XP31" s="26"/>
      <c r="XQ31"/>
      <c r="XR31"/>
      <c r="XS31"/>
      <c r="XT31"/>
      <c r="XU31"/>
      <c r="XV31" s="33"/>
      <c r="XW31" s="34"/>
      <c r="XX31" s="34"/>
      <c r="XY31" s="35"/>
      <c r="XZ31" s="26"/>
      <c r="YA31"/>
      <c r="YB31"/>
      <c r="YC31"/>
      <c r="YD31"/>
      <c r="YE31"/>
      <c r="YF31" s="33"/>
      <c r="YG31" s="34"/>
      <c r="YH31" s="34"/>
      <c r="YI31" s="35"/>
      <c r="YJ31" s="35"/>
      <c r="YK31"/>
      <c r="YL31"/>
      <c r="YM31"/>
      <c r="YN31"/>
      <c r="YO31"/>
      <c r="YQ31"/>
      <c r="YR31"/>
      <c r="YS31"/>
      <c r="YT31"/>
      <c r="YU31"/>
      <c r="YV31" s="33"/>
      <c r="YW31" s="34"/>
      <c r="YX31" s="34"/>
      <c r="YY31" s="35"/>
      <c r="YZ31" s="26"/>
      <c r="ZA31"/>
      <c r="ZB31"/>
      <c r="ZC31"/>
      <c r="ZD31"/>
      <c r="ZE31"/>
      <c r="ZF31" s="33"/>
      <c r="ZG31" s="34"/>
      <c r="ZH31" s="34"/>
      <c r="ZI31" s="35"/>
      <c r="ZJ31" s="26"/>
      <c r="ZK31"/>
      <c r="ZL31"/>
      <c r="ZM31"/>
      <c r="ZN31"/>
      <c r="ZO31"/>
      <c r="ZP31" s="33"/>
      <c r="ZQ31" s="34"/>
      <c r="ZR31" s="34"/>
      <c r="ZS31" s="35"/>
      <c r="ZT31" s="26"/>
      <c r="ZU31"/>
      <c r="ZV31"/>
      <c r="ZW31"/>
      <c r="ZX31"/>
      <c r="ZY31"/>
      <c r="ZZ31" s="33"/>
      <c r="AAA31" s="34"/>
      <c r="AAB31" s="34"/>
      <c r="AAC31" s="35"/>
      <c r="AAD31" s="26"/>
      <c r="AAE31"/>
      <c r="AAF31"/>
      <c r="AAG31"/>
      <c r="AAH31"/>
      <c r="AAI31"/>
      <c r="AAJ31" s="33"/>
      <c r="AAK31" s="34"/>
      <c r="AAL31" s="34"/>
      <c r="AAM31" s="35"/>
      <c r="AAN31" s="26"/>
      <c r="AAO31"/>
      <c r="AAP31"/>
      <c r="AAQ31"/>
      <c r="AAR31"/>
      <c r="AAS31"/>
      <c r="AAT31"/>
      <c r="AAU31" s="34">
        <f>+Tabla5789141516343536373839404142434445464748495051[[#This Row],[Recuento]]*Tabla5789141516343536373839404142434445464748495051[[#This Row],[Volúmen bruto]]</f>
        <v>0</v>
      </c>
      <c r="AAV31" s="34">
        <f>+Tabla5789141516343536373839404142434445464748495051[[#This Row],[Recuento]]*Tabla5789141516343536373839404142434445464748495051[[#This Row],[Área neta]]</f>
        <v>0</v>
      </c>
      <c r="AAW31" s="36">
        <f t="shared" si="20"/>
        <v>0</v>
      </c>
      <c r="AAX31" s="26"/>
      <c r="AAY31"/>
      <c r="AAZ31"/>
      <c r="ABA31"/>
      <c r="ABB31"/>
      <c r="ABC31"/>
      <c r="ABD31" s="33"/>
      <c r="ABE31" s="34"/>
      <c r="ABF31" s="34"/>
      <c r="ABG31" s="35"/>
      <c r="ABH31" s="26"/>
      <c r="ABI31"/>
      <c r="ABJ31"/>
      <c r="ABK31"/>
      <c r="ABL31"/>
      <c r="ABM31"/>
      <c r="ABN31" s="33"/>
      <c r="ABO31" s="34"/>
      <c r="ABP31" s="34"/>
      <c r="ABQ31" s="35"/>
      <c r="ABR31" s="26"/>
      <c r="ABS31"/>
      <c r="ABT31"/>
      <c r="ABU31"/>
      <c r="ABV31"/>
      <c r="ABW31"/>
      <c r="ABX31" s="33"/>
      <c r="ABY31" s="34"/>
      <c r="ABZ31" s="34"/>
      <c r="ACA31" s="35"/>
      <c r="ACB31" s="26"/>
      <c r="ACC31"/>
      <c r="ACD31"/>
      <c r="ACE31"/>
      <c r="ACF31"/>
      <c r="ACG31"/>
      <c r="ACH31" s="33"/>
      <c r="ACI31" s="34"/>
      <c r="ACJ31" s="34"/>
      <c r="ACK31" s="35"/>
      <c r="ACL31" s="26"/>
      <c r="ACM31"/>
      <c r="ACN31"/>
      <c r="ACO31"/>
      <c r="ACP31"/>
      <c r="ACQ31"/>
      <c r="ACR31" s="33"/>
      <c r="ACS31" s="34"/>
      <c r="ACT31" s="34"/>
      <c r="ACU31" s="35"/>
      <c r="ACV31" s="26"/>
      <c r="ACW31" t="s">
        <v>1255</v>
      </c>
      <c r="ACY31" s="2"/>
      <c r="ADA31" s="38"/>
      <c r="ADB31" s="2">
        <f t="shared" si="1"/>
        <v>0</v>
      </c>
      <c r="ADD31" s="2" t="s">
        <v>1720</v>
      </c>
      <c r="ADE31" s="2">
        <v>3</v>
      </c>
      <c r="ADF31" s="2">
        <v>4</v>
      </c>
      <c r="ADG31" s="26">
        <f t="shared" si="19"/>
        <v>12</v>
      </c>
      <c r="ADI31"/>
      <c r="ADJ31"/>
      <c r="ADK31"/>
      <c r="ADL31"/>
      <c r="ADM31"/>
      <c r="ADN31">
        <f ca="1">+Tabla578914151634353637383940414243444546474849505152535560[[#This Row],[G. Total]]*Tabla578914151634353637383940414243444546474849505152535560[[#This Row],[Recuento]]</f>
        <v>0</v>
      </c>
      <c r="ADO31" s="35"/>
      <c r="ADP31" s="26"/>
      <c r="ADQ31"/>
      <c r="ADR31"/>
      <c r="ADS31"/>
      <c r="ADT31"/>
      <c r="ADU31"/>
      <c r="ADV31" s="35"/>
      <c r="ADW31" s="35"/>
      <c r="ADX31"/>
      <c r="ADY31"/>
      <c r="ADZ31"/>
      <c r="AEA31"/>
      <c r="AEB31"/>
      <c r="AEC31">
        <f ca="1">+Tabla57891415163435363738394041424344454647484950515253556062[[#This Row],[Total]]*Tabla57891415163435363738394041424344454647484950515253556062[[#This Row],[Recuento]]</f>
        <v>0</v>
      </c>
      <c r="AED31" s="35"/>
      <c r="AEE31" s="26"/>
      <c r="AEF31"/>
      <c r="AEG31"/>
      <c r="AEH31"/>
      <c r="AEI31"/>
      <c r="AEJ31"/>
      <c r="AEK31" s="35"/>
      <c r="AEL31" s="35"/>
      <c r="AEM31" t="s">
        <v>1522</v>
      </c>
      <c r="AEN31" t="s">
        <v>1524</v>
      </c>
      <c r="AEO31" t="s">
        <v>381</v>
      </c>
      <c r="AEP31">
        <v>0.68</v>
      </c>
      <c r="AEQ31">
        <v>1</v>
      </c>
      <c r="AER31">
        <f ca="1">+Tabla5789141516343536373839404142434445464748495051525355606264[[#This Row],[G. Total]]*Tabla5789141516343536373839404142434445464748495051525355606264[[#This Row],[Recuento]]</f>
        <v>0.68</v>
      </c>
      <c r="AES31" s="35">
        <f ca="1">+SUM(AES31:AES76)</f>
        <v>36.01</v>
      </c>
      <c r="AET31" s="26"/>
      <c r="AEU31"/>
      <c r="AEV31"/>
      <c r="AEW31"/>
      <c r="AEX31"/>
      <c r="AEY31"/>
      <c r="AEZ31" s="35"/>
      <c r="AFA31" s="26"/>
      <c r="AFB31"/>
      <c r="AFC31"/>
      <c r="AFD31"/>
      <c r="AFE31"/>
      <c r="AFF31"/>
      <c r="AFG31"/>
      <c r="AFH31"/>
      <c r="AFI31"/>
      <c r="AFJ31"/>
      <c r="AFK31"/>
      <c r="AFL31"/>
      <c r="AFM31">
        <f ca="1">+Tabla578914151634353637383940414243444546474849505152535560626467[[#This Row],[G. Total]]*Tabla578914151634353637383940414243444546474849505152535560626467[[#This Row],[Recuento]]</f>
        <v>0</v>
      </c>
      <c r="AFN31" s="35"/>
      <c r="AFO31" s="26"/>
      <c r="AFP31" s="2" t="s">
        <v>112</v>
      </c>
      <c r="AFQ31" s="2">
        <f>9*2</f>
        <v>18</v>
      </c>
      <c r="AFR31" s="2">
        <f>0.12*2</f>
        <v>0.24</v>
      </c>
      <c r="AFS31" s="2">
        <f>+AFR31*AFQ31</f>
        <v>4.32</v>
      </c>
      <c r="AFT31" s="2">
        <v>2</v>
      </c>
      <c r="AFU31" s="2">
        <f>+AFT31*AFQ31</f>
        <v>36</v>
      </c>
      <c r="AFW31" s="2" t="s">
        <v>112</v>
      </c>
      <c r="AFX31" s="2">
        <v>4</v>
      </c>
      <c r="AFY31" s="2">
        <f>0.12*2</f>
        <v>0.24</v>
      </c>
      <c r="AFZ31" s="2">
        <f>+AFY31*AFX31</f>
        <v>0.96</v>
      </c>
      <c r="AGA31" s="2">
        <v>2</v>
      </c>
      <c r="AGB31" s="2">
        <f>+AGA31*AFX31</f>
        <v>8</v>
      </c>
    </row>
    <row r="32" spans="1:860" ht="1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>
        <f>+Tabla5[[#This Row],[Recuento]]*Tabla5[[#This Row],[Volúmen bruto]]</f>
        <v>0</v>
      </c>
      <c r="S32">
        <f>+Tabla5[[#This Row],[Recuento]]*Tabla5[[#This Row],[Área neta]]</f>
        <v>0</v>
      </c>
      <c r="T32">
        <f>+Tabla5[[#This Row],[Longitud nominal]]*Tabla5[[#This Row],[Recuento]]</f>
        <v>0</v>
      </c>
      <c r="U32" s="26"/>
      <c r="V32"/>
      <c r="W32"/>
      <c r="X32"/>
      <c r="Y32"/>
      <c r="Z32"/>
      <c r="AA32"/>
      <c r="AB32"/>
      <c r="AC32"/>
      <c r="AD32"/>
      <c r="AE32"/>
      <c r="AF32"/>
      <c r="AG32" s="26">
        <f t="shared" si="4"/>
        <v>0</v>
      </c>
      <c r="AH32"/>
      <c r="AI32"/>
      <c r="AJ32"/>
      <c r="AK32"/>
      <c r="AL32"/>
      <c r="AM32"/>
      <c r="AN32"/>
      <c r="AO32"/>
      <c r="AP32"/>
      <c r="AQ32"/>
      <c r="AR32"/>
      <c r="AS32" s="26">
        <f t="shared" si="5"/>
        <v>0</v>
      </c>
      <c r="AT32"/>
      <c r="AU32"/>
      <c r="AV32"/>
      <c r="AW32"/>
      <c r="AX32"/>
      <c r="AY32"/>
      <c r="AZ32"/>
      <c r="BA32"/>
      <c r="BB32"/>
      <c r="BC32"/>
      <c r="BD32"/>
      <c r="BE32" s="26">
        <f t="shared" si="6"/>
        <v>0</v>
      </c>
      <c r="BF32">
        <v>2</v>
      </c>
      <c r="BG32" t="s">
        <v>1862</v>
      </c>
      <c r="BH32" t="s">
        <v>1524</v>
      </c>
      <c r="BI32" t="s">
        <v>1406</v>
      </c>
      <c r="BJ32">
        <v>1.33</v>
      </c>
      <c r="BK32" s="37">
        <v>1.5</v>
      </c>
      <c r="BL32">
        <f>+Tabla3102[[#This Row],[En culmo]]*BF32</f>
        <v>3</v>
      </c>
      <c r="BM32"/>
      <c r="BN32">
        <v>1</v>
      </c>
      <c r="BO32"/>
      <c r="BP32"/>
      <c r="BQ32"/>
      <c r="BR32"/>
      <c r="BS32"/>
      <c r="BT32">
        <f>+Tabla31069[[#This Row],[Longitud de eje]]*BN32</f>
        <v>0</v>
      </c>
      <c r="BU32"/>
      <c r="BV32">
        <v>2</v>
      </c>
      <c r="BW32" t="s">
        <v>1862</v>
      </c>
      <c r="BX32" t="s">
        <v>1525</v>
      </c>
      <c r="BY32" t="s">
        <v>1406</v>
      </c>
      <c r="BZ32">
        <v>5.0999999999999996</v>
      </c>
      <c r="CA32">
        <v>5.5</v>
      </c>
      <c r="CB32">
        <f>+Tabla31011[[#This Row],[En culmo]]*BV32</f>
        <v>11</v>
      </c>
      <c r="CD32">
        <v>1</v>
      </c>
      <c r="CE32" t="s">
        <v>1862</v>
      </c>
      <c r="CF32" t="s">
        <v>1525</v>
      </c>
      <c r="CG32" t="s">
        <v>1405</v>
      </c>
      <c r="CH32">
        <v>0.95</v>
      </c>
      <c r="CI32">
        <v>1.5</v>
      </c>
      <c r="CJ32">
        <f>+Tabla3101170[[#This Row],[En culmo]]*CD32</f>
        <v>1.5</v>
      </c>
      <c r="CK32"/>
      <c r="CR32">
        <f>+Tabla31011116[[#This Row],[Longitud de eje]]*CT32</f>
        <v>0</v>
      </c>
      <c r="CT32">
        <v>4</v>
      </c>
      <c r="CU32" t="s">
        <v>1862</v>
      </c>
      <c r="CV32" t="s">
        <v>1383</v>
      </c>
      <c r="CW32" t="s">
        <v>1405</v>
      </c>
      <c r="CX32">
        <v>2.89</v>
      </c>
      <c r="CY32">
        <v>6</v>
      </c>
      <c r="CZ32">
        <f>+Tabla3101170117[[#This Row],[En culmo]]*CT32</f>
        <v>24</v>
      </c>
      <c r="DA32"/>
      <c r="DB32">
        <v>2</v>
      </c>
      <c r="DC32" t="s">
        <v>1862</v>
      </c>
      <c r="DD32" t="s">
        <v>1383</v>
      </c>
      <c r="DE32" t="s">
        <v>1723</v>
      </c>
      <c r="DF32">
        <v>0.64</v>
      </c>
      <c r="DG32">
        <f>+Tabla31011704[[#This Row],[Longitud de eje]]*DB32</f>
        <v>1.28</v>
      </c>
      <c r="DH32"/>
      <c r="DI32"/>
      <c r="DJ32"/>
      <c r="DK32"/>
      <c r="DL32"/>
      <c r="DM32"/>
      <c r="DN32">
        <f>+Tabla3101170411[[#This Row],[Longitud de eje]]*DI32</f>
        <v>0</v>
      </c>
      <c r="DO32"/>
      <c r="DP32"/>
      <c r="DQ32"/>
      <c r="DR32"/>
      <c r="DS32"/>
      <c r="DT32"/>
      <c r="DU32">
        <f>+Tabla3101170411120[[#This Row],[Longitud de eje]]*DP32</f>
        <v>0</v>
      </c>
      <c r="DV32"/>
      <c r="DW32"/>
      <c r="DX32"/>
      <c r="DY32"/>
      <c r="DZ32"/>
      <c r="EA32"/>
      <c r="EB32">
        <f>+Tabla3101170411120122[[#This Row],[Longitud de eje]]*DW32</f>
        <v>0</v>
      </c>
      <c r="EC32"/>
      <c r="ED32">
        <v>3</v>
      </c>
      <c r="EE32" t="s">
        <v>1862</v>
      </c>
      <c r="EF32" t="s">
        <v>1524</v>
      </c>
      <c r="EG32" t="s">
        <v>1406</v>
      </c>
      <c r="EH32">
        <v>1.04</v>
      </c>
      <c r="EI32">
        <v>1.5</v>
      </c>
      <c r="EJ32">
        <f>+Tabla3101112[[#This Row],[En culmo]]*ED32</f>
        <v>4.5</v>
      </c>
      <c r="EK32"/>
      <c r="EL32"/>
      <c r="EM32"/>
      <c r="EN32"/>
      <c r="EO32"/>
      <c r="EP32"/>
      <c r="EQ32"/>
      <c r="ER32">
        <f>+Tabla3101112123[[#This Row],[En culmo]]*EL32</f>
        <v>0</v>
      </c>
      <c r="ES32"/>
      <c r="ET32">
        <v>1</v>
      </c>
      <c r="EU32" t="s">
        <v>1862</v>
      </c>
      <c r="EV32" t="s">
        <v>1525</v>
      </c>
      <c r="EW32" t="s">
        <v>1406</v>
      </c>
      <c r="EX32">
        <v>2.48</v>
      </c>
      <c r="EY32">
        <v>3</v>
      </c>
      <c r="EZ32">
        <f>+Tabla310111257[[#This Row],[En culmo]]*ET32</f>
        <v>3</v>
      </c>
      <c r="FA32"/>
      <c r="FB32"/>
      <c r="FC32"/>
      <c r="FD32"/>
      <c r="FE32"/>
      <c r="FF32"/>
      <c r="FG32">
        <v>3</v>
      </c>
      <c r="FH32">
        <f>+Tabla310111257124[[#This Row],[En culmo]]*FB32</f>
        <v>0</v>
      </c>
      <c r="FI32"/>
      <c r="FK32"/>
      <c r="FL32"/>
      <c r="FM32"/>
      <c r="FN32"/>
      <c r="FO32"/>
      <c r="FP32"/>
      <c r="FQ32"/>
      <c r="FS32"/>
      <c r="FT32"/>
      <c r="FU32"/>
      <c r="FV32"/>
      <c r="FW32"/>
      <c r="FX32"/>
      <c r="FY32"/>
      <c r="GA32"/>
      <c r="GB32"/>
      <c r="GC32"/>
      <c r="GD32"/>
      <c r="GE32"/>
      <c r="GF32"/>
      <c r="GG32"/>
      <c r="GI32"/>
      <c r="GJ32"/>
      <c r="GK32"/>
      <c r="GL32"/>
      <c r="GM32"/>
      <c r="GN32"/>
      <c r="GO32"/>
      <c r="GQ32"/>
      <c r="GR32"/>
      <c r="GS32"/>
      <c r="GT32"/>
      <c r="GU32"/>
      <c r="GV32">
        <v>1</v>
      </c>
      <c r="GW32">
        <f>+Tabla578914[[#This Row],[Recuento]]*Tabla578914[[#This Row],[Volúmen bruto]]</f>
        <v>0</v>
      </c>
      <c r="GX32">
        <f>+Tabla578914[[#This Row],[Recuento]]*Tabla578914[[#This Row],[Área neta]]</f>
        <v>0</v>
      </c>
      <c r="GY32" s="36"/>
      <c r="HA32" t="s">
        <v>1863</v>
      </c>
      <c r="HB32" t="s">
        <v>1383</v>
      </c>
      <c r="HC32" t="s">
        <v>97</v>
      </c>
      <c r="HD32">
        <v>0.01</v>
      </c>
      <c r="HE32">
        <v>1.5</v>
      </c>
      <c r="HF32">
        <v>1</v>
      </c>
      <c r="HG32">
        <f>+Tabla578914126[[#This Row],[Recuento]]*Tabla578914126[[#This Row],[Volúmen bruto]]</f>
        <v>0.01</v>
      </c>
      <c r="HH32">
        <f>+Tabla578914126[[#This Row],[Recuento]]*Tabla578914126[[#This Row],[Área neta]]</f>
        <v>1.5</v>
      </c>
      <c r="HI32" s="36"/>
      <c r="HK32"/>
      <c r="HL32"/>
      <c r="HM32"/>
      <c r="HN32"/>
      <c r="HO32"/>
      <c r="HP32">
        <v>1</v>
      </c>
      <c r="HQ32">
        <f>+Tabla578914126127[[#This Row],[Recuento]]*Tabla578914126127[[#This Row],[Volúmen bruto]]</f>
        <v>0</v>
      </c>
      <c r="HR32">
        <f>+Tabla578914126127[[#This Row],[Recuento]]*Tabla578914126127[[#This Row],[Área neta]]</f>
        <v>0</v>
      </c>
      <c r="HS32" s="36"/>
      <c r="HT32" s="26"/>
      <c r="HU32"/>
      <c r="HV32"/>
      <c r="HW32"/>
      <c r="HX32"/>
      <c r="HY32"/>
      <c r="HZ32"/>
      <c r="IA32"/>
      <c r="IB32"/>
      <c r="IC32" s="36"/>
      <c r="ID32" s="26"/>
      <c r="IE32"/>
      <c r="IF32"/>
      <c r="IG32"/>
      <c r="IH32"/>
      <c r="II32"/>
      <c r="IJ32"/>
      <c r="IK32"/>
      <c r="IL32"/>
      <c r="IM32" s="36"/>
      <c r="IN32" s="26"/>
      <c r="IO32"/>
      <c r="IP32"/>
      <c r="IQ32"/>
      <c r="IR32"/>
      <c r="IS32"/>
      <c r="IT32"/>
      <c r="IU32"/>
      <c r="IV32">
        <f>+Tabla520212223[[#This Row],[Recuento]]*Tabla520212223[[#This Row],[Área neta]]</f>
        <v>0</v>
      </c>
      <c r="IW32" s="26">
        <f t="shared" si="0"/>
        <v>0</v>
      </c>
      <c r="IY32"/>
      <c r="IZ32"/>
      <c r="JA32"/>
      <c r="JB32"/>
      <c r="JC32"/>
      <c r="JD32">
        <v>2</v>
      </c>
      <c r="JE32">
        <f>+Tabla520212224[[#This Row],[Recuento]]*Tabla520212224[[#This Row],[Volúmen bruto]]</f>
        <v>0</v>
      </c>
      <c r="JF32">
        <f>+Tabla520212224[[#This Row],[Recuento]]*Tabla520212224[[#This Row],[Área neta]]</f>
        <v>0</v>
      </c>
      <c r="JG32" s="26"/>
      <c r="JI32" t="s">
        <v>1862</v>
      </c>
      <c r="JJ32" t="s">
        <v>1524</v>
      </c>
      <c r="JK32" t="s">
        <v>1677</v>
      </c>
      <c r="JL32">
        <v>0</v>
      </c>
      <c r="JM32">
        <v>2.2999999999999998</v>
      </c>
      <c r="JN32">
        <v>1</v>
      </c>
      <c r="JO32">
        <f>+Tabla52021222425[[#This Row],[Recuento]]*Tabla52021222425[[#This Row],[Volúmen bruto]]</f>
        <v>0</v>
      </c>
      <c r="JP32">
        <f>+Tabla52021222425[[#This Row],[Recuento]]*Tabla52021222425[[#This Row],[Área neta]]</f>
        <v>2.2999999999999998</v>
      </c>
      <c r="JQ32" s="26"/>
      <c r="JS32" t="s">
        <v>1862</v>
      </c>
      <c r="JT32" t="s">
        <v>1524</v>
      </c>
      <c r="JU32" t="s">
        <v>1679</v>
      </c>
      <c r="JV32">
        <v>0</v>
      </c>
      <c r="JW32">
        <v>0.41</v>
      </c>
      <c r="JX32">
        <v>1</v>
      </c>
      <c r="JY32">
        <f>+Tabla5202122242526[[#This Row],[Recuento]]*Tabla5202122242526[[#This Row],[Volúmen bruto]]</f>
        <v>0</v>
      </c>
      <c r="JZ32">
        <f>+Tabla5202122242526[[#This Row],[Recuento]]*Tabla5202122242526[[#This Row],[Área neta]]</f>
        <v>0.41</v>
      </c>
      <c r="KA32" s="26"/>
      <c r="KC32"/>
      <c r="KD32"/>
      <c r="KE32"/>
      <c r="KF32"/>
      <c r="KG32"/>
      <c r="KH32"/>
      <c r="KI32">
        <f>+Tabla5202122242526104[[#This Row],[Recuento]]*Tabla5202122242526104[[#This Row],[Volúmen bruto]]</f>
        <v>0</v>
      </c>
      <c r="KJ32">
        <f>+Tabla5202122242526104[[#This Row],[Recuento]]*Tabla5202122242526104[[#This Row],[Área neta]]</f>
        <v>0</v>
      </c>
      <c r="KK32" s="26"/>
      <c r="KM32" t="s">
        <v>1862</v>
      </c>
      <c r="KN32" t="s">
        <v>1525</v>
      </c>
      <c r="KO32" t="s">
        <v>97</v>
      </c>
      <c r="KP32">
        <v>0.15</v>
      </c>
      <c r="KQ32">
        <v>4.93</v>
      </c>
      <c r="KR32">
        <v>1</v>
      </c>
      <c r="KS32">
        <f>+Tabla5202122242526104110[[#This Row],[Recuento]]*Tabla5202122242526104110[[#This Row],[Volúmen bruto]]</f>
        <v>0.15</v>
      </c>
      <c r="KT32">
        <f>+Tabla5202122242526104110[[#This Row],[Recuento]]*Tabla5202122242526104110[[#This Row],[Área neta]]</f>
        <v>4.93</v>
      </c>
      <c r="KU32" s="26"/>
      <c r="KW32"/>
      <c r="KX32"/>
      <c r="KY32"/>
      <c r="KZ32"/>
      <c r="LA32"/>
      <c r="LB32"/>
      <c r="LC32">
        <f>+Tabla520212224252659[[#This Row],[Recuento]]*Tabla520212224252659[[#This Row],[Volúmen bruto]]</f>
        <v>0</v>
      </c>
      <c r="LD32">
        <f>+Tabla520212224252659[[#This Row],[Recuento]]*Tabla520212224252659[[#This Row],[Área neta]]</f>
        <v>0</v>
      </c>
      <c r="LE32" s="26"/>
      <c r="LG32"/>
      <c r="LH32"/>
      <c r="LI32"/>
      <c r="LJ32"/>
      <c r="LK32"/>
      <c r="LL32"/>
      <c r="LM32">
        <f>+Tabla520212224252659111[[#This Row],[Recuento]]*Tabla520212224252659111[[#This Row],[Volúmen bruto]]</f>
        <v>0</v>
      </c>
      <c r="LN32">
        <f>+Tabla520212224252659111[[#This Row],[Recuento]]*Tabla520212224252659111[[#This Row],[Área neta]]</f>
        <v>0</v>
      </c>
      <c r="LO32" s="26"/>
      <c r="LQ32"/>
      <c r="LR32"/>
      <c r="LS32"/>
      <c r="LT32"/>
      <c r="LU32"/>
      <c r="LV32"/>
      <c r="LW32">
        <f>+Tabla520212224252659111114[[#This Row],[Recuento]]*Tabla520212224252659111114[[#This Row],[Volúmen bruto]]</f>
        <v>0</v>
      </c>
      <c r="LX32">
        <f>+Tabla520212224252659111114[[#This Row],[Recuento]]*Tabla520212224252659111114[[#This Row],[Área neta]]</f>
        <v>0</v>
      </c>
      <c r="LY32" s="26"/>
      <c r="MA32" t="s">
        <v>1862</v>
      </c>
      <c r="MB32" t="s">
        <v>1525</v>
      </c>
      <c r="MC32" t="s">
        <v>98</v>
      </c>
      <c r="MD32">
        <v>0.01</v>
      </c>
      <c r="ME32">
        <v>6.24</v>
      </c>
      <c r="MF32">
        <v>4</v>
      </c>
      <c r="MG32">
        <f>+Tabla520212224252659111114128[[#This Row],[Recuento]]*Tabla520212224252659111114128[[#This Row],[Volúmen bruto]]</f>
        <v>0.04</v>
      </c>
      <c r="MH32">
        <f>+Tabla520212224252659111114128[[#This Row],[Recuento]]*Tabla520212224252659111114128[[#This Row],[Área neta]]</f>
        <v>24.96</v>
      </c>
      <c r="MI32" s="26"/>
      <c r="MK32"/>
      <c r="ML32"/>
      <c r="MM32"/>
      <c r="MN32"/>
      <c r="MO32"/>
      <c r="MP32"/>
      <c r="MQ32">
        <f>+Tabla520212224252627[[#This Row],[Recuento]]*Tabla520212224252627[[#This Row],[Volúmen bruto]]</f>
        <v>0</v>
      </c>
      <c r="MR32">
        <f>+Tabla520212224252627[[#This Row],[Recuento]]*Tabla520212224252627[[#This Row],[Área neta]]</f>
        <v>0</v>
      </c>
      <c r="MS32" s="26"/>
      <c r="MU32"/>
      <c r="MV32"/>
      <c r="MW32"/>
      <c r="MX32"/>
      <c r="MY32"/>
      <c r="MZ32"/>
      <c r="NA32">
        <f>+Tabla520212224252627129[[#This Row],[Recuento]]*Tabla520212224252627129[[#This Row],[Volúmen bruto]]</f>
        <v>0</v>
      </c>
      <c r="NB32">
        <f>+Tabla520212224252627129[[#This Row],[Recuento]]*Tabla520212224252627129[[#This Row],[Área neta]]</f>
        <v>0</v>
      </c>
      <c r="NC32" s="26"/>
      <c r="NE32"/>
      <c r="NF32"/>
      <c r="NG32"/>
      <c r="NH32"/>
      <c r="NI32"/>
      <c r="NJ32"/>
      <c r="NK32">
        <f>+Tabla520212224252627129125[[#This Row],[Recuento]]*Tabla520212224252627129125[[#This Row],[Volúmen bruto]]</f>
        <v>0</v>
      </c>
      <c r="NL32">
        <f>+Tabla520212224252627129125[[#This Row],[Recuento]]*Tabla520212224252627129125[[#This Row],[Área neta]]</f>
        <v>0</v>
      </c>
      <c r="NM32" s="26"/>
      <c r="NO32"/>
      <c r="NP32"/>
      <c r="NQ32"/>
      <c r="NR32"/>
      <c r="NS32"/>
      <c r="NT32"/>
      <c r="NU32">
        <f>+Tabla520212224252627129125130[[#This Row],[Recuento]]*Tabla520212224252627129125130[[#This Row],[Volúmen bruto]]</f>
        <v>0</v>
      </c>
      <c r="NV32">
        <f>+Tabla520212224252627129125130[[#This Row],[Recuento]]*Tabla520212224252627129125130[[#This Row],[Área neta]]</f>
        <v>0</v>
      </c>
      <c r="NW32" s="26"/>
      <c r="NY32"/>
      <c r="NZ32"/>
      <c r="OA32"/>
      <c r="OB32"/>
      <c r="OC32"/>
      <c r="OD32"/>
      <c r="OE32">
        <f>+Tabla520212224252627129125130131[[#This Row],[Recuento]]*Tabla520212224252627129125130131[[#This Row],[Volúmen bruto]]</f>
        <v>0</v>
      </c>
      <c r="OF32">
        <f>+Tabla520212224252627129125130131[[#This Row],[Recuento]]*Tabla520212224252627129125130131[[#This Row],[Área neta]]</f>
        <v>0</v>
      </c>
      <c r="OG32" s="26"/>
      <c r="OI32"/>
      <c r="OJ32"/>
      <c r="OK32"/>
      <c r="OL32"/>
      <c r="OM32"/>
      <c r="ON32"/>
      <c r="OO32">
        <f>+Tabla520212224252627129125130131132[[#This Row],[Recuento]]*Tabla520212224252627129125130131132[[#This Row],[Volúmen bruto]]</f>
        <v>0</v>
      </c>
      <c r="OP32">
        <f>+Tabla520212224252627129125130131132[[#This Row],[Recuento]]*Tabla520212224252627129125130131132[[#This Row],[Área neta]]</f>
        <v>0</v>
      </c>
      <c r="OQ32" s="26"/>
      <c r="OS32"/>
      <c r="OT32"/>
      <c r="OU32"/>
      <c r="OV32"/>
      <c r="OW32"/>
      <c r="OX32"/>
      <c r="OY32">
        <f>+Tabla52021222425262728[[#This Row],[Recuento]]*Tabla52021222425262728[[#This Row],[Volúmen bruto]]</f>
        <v>0</v>
      </c>
      <c r="OZ32">
        <f>+Tabla52021222425262728[[#This Row],[Recuento]]*Tabla52021222425262728[[#This Row],[Área neta]]</f>
        <v>0</v>
      </c>
      <c r="PA32" s="26"/>
      <c r="PC32" t="s">
        <v>1862</v>
      </c>
      <c r="PD32" t="s">
        <v>1525</v>
      </c>
      <c r="PE32" t="s">
        <v>97</v>
      </c>
      <c r="PF32">
        <v>0.1</v>
      </c>
      <c r="PG32">
        <v>3.97</v>
      </c>
      <c r="PH32">
        <v>1</v>
      </c>
      <c r="PI32">
        <f>+Tabla52021222425262728133[[#This Row],[Recuento]]*Tabla52021222425262728133[[#This Row],[Volúmen bruto]]</f>
        <v>0.1</v>
      </c>
      <c r="PJ32">
        <f>+Tabla52021222425262728133[[#This Row],[Recuento]]*Tabla52021222425262728133[[#This Row],[Área neta]]</f>
        <v>3.97</v>
      </c>
      <c r="PK32" s="26"/>
      <c r="PM32"/>
      <c r="PN32"/>
      <c r="PO32"/>
      <c r="PP32"/>
      <c r="PQ32"/>
      <c r="PR32"/>
      <c r="PS32">
        <f>+Tabla5202122242526272893[[#This Row],[Recuento]]*Tabla5202122242526272893[[#This Row],[Volúmen bruto]]</f>
        <v>0</v>
      </c>
      <c r="PT32">
        <f>+Tabla5202122242526272893[[#This Row],[Recuento]]*Tabla5202122242526272893[[#This Row],[Área neta]]</f>
        <v>0</v>
      </c>
      <c r="PU32" s="26"/>
      <c r="PW32" t="s">
        <v>1862</v>
      </c>
      <c r="PX32" t="s">
        <v>1525</v>
      </c>
      <c r="PY32" t="s">
        <v>98</v>
      </c>
      <c r="PZ32">
        <v>0</v>
      </c>
      <c r="QA32">
        <v>2.4</v>
      </c>
      <c r="QB32">
        <v>1</v>
      </c>
      <c r="QC32">
        <f>+Tabla520212224252627289349[[#This Row],[Recuento]]*Tabla520212224252627289349[[#This Row],[Volúmen bruto]]</f>
        <v>0</v>
      </c>
      <c r="QD32">
        <f>+Tabla520212224252627289349[[#This Row],[Recuento]]*Tabla520212224252627289349[[#This Row],[Área neta]]</f>
        <v>2.4</v>
      </c>
      <c r="QE32" s="26">
        <f>+SUM(QD32:QD37)</f>
        <v>11.28</v>
      </c>
      <c r="QG32"/>
      <c r="QH32"/>
      <c r="QI32"/>
      <c r="QJ32"/>
      <c r="QK32"/>
      <c r="QL32"/>
      <c r="QM32">
        <f>+Tabla520212224252627289349134[[#This Row],[Recuento]]*Tabla520212224252627289349134[[#This Row],[Volúmen bruto]]</f>
        <v>0</v>
      </c>
      <c r="QN32">
        <f>+Tabla520212224252627289349134[[#This Row],[Recuento]]*Tabla520212224252627289349134[[#This Row],[Área neta]]</f>
        <v>0</v>
      </c>
      <c r="QO32" s="26"/>
      <c r="QQ32" t="s">
        <v>1862</v>
      </c>
      <c r="QR32" t="s">
        <v>1525</v>
      </c>
      <c r="QS32" t="s">
        <v>1726</v>
      </c>
      <c r="QT32">
        <v>0.04</v>
      </c>
      <c r="QU32">
        <v>0.21</v>
      </c>
      <c r="QV32">
        <v>1</v>
      </c>
      <c r="QW32">
        <v>1</v>
      </c>
      <c r="QX32">
        <f>+Tabla5202122242526272829[[#This Row],[Recuento]]*Tabla5202122242526272829[[#This Row],[Volúmen bruto]]</f>
        <v>0.04</v>
      </c>
      <c r="QY32">
        <f>+Tabla5202122242526272829[[#This Row],[Recuento]]*Tabla5202122242526272829[[#This Row],[Área neta]]</f>
        <v>0.21</v>
      </c>
      <c r="QZ32">
        <f>+Tabla5202122242526272829[[#This Row],[Recuento]]*Tabla5202122242526272829[[#This Row],[Longitud]]</f>
        <v>1</v>
      </c>
      <c r="RA32" s="26"/>
      <c r="RC32"/>
      <c r="RD32"/>
      <c r="RE32"/>
      <c r="RF32"/>
      <c r="RG32"/>
      <c r="RH32"/>
      <c r="RI32"/>
      <c r="RJ32"/>
      <c r="RK32" s="26"/>
      <c r="RM32"/>
      <c r="RN32"/>
      <c r="RO32"/>
      <c r="RP32"/>
      <c r="RQ32"/>
      <c r="RR32"/>
      <c r="RS32"/>
      <c r="RT32"/>
      <c r="RU32" s="26">
        <f t="shared" si="7"/>
        <v>0</v>
      </c>
      <c r="RW32"/>
      <c r="RX32"/>
      <c r="RY32"/>
      <c r="RZ32"/>
      <c r="SA32"/>
      <c r="SB32"/>
      <c r="SC32"/>
      <c r="SD32"/>
      <c r="SE32" s="26"/>
      <c r="SG32"/>
      <c r="SH32"/>
      <c r="SI32"/>
      <c r="SJ32"/>
      <c r="SK32"/>
      <c r="SL32"/>
      <c r="SM32">
        <f>+Tabla5202122242526272831323314[[#This Row],[Recuento]]*Tabla5202122242526272831323314[[#This Row],[Volúmen bruto]]</f>
        <v>0</v>
      </c>
      <c r="SN32">
        <f>+Tabla5202122242526272831323314[[#This Row],[Recuento]]*Tabla5202122242526272831323314[[#This Row],[Área neta]]</f>
        <v>0</v>
      </c>
      <c r="SO32" s="26"/>
      <c r="SQ32" t="s">
        <v>1862</v>
      </c>
      <c r="SR32" t="s">
        <v>1524</v>
      </c>
      <c r="SS32" t="s">
        <v>1627</v>
      </c>
      <c r="ST32">
        <v>0.09</v>
      </c>
      <c r="SU32">
        <v>0.45</v>
      </c>
      <c r="SV32">
        <v>1</v>
      </c>
      <c r="SW32" s="34">
        <f>+Tabla5789141516[[#This Row],[Recuento]]*Tabla5789141516[[#This Row],[Volúmen bruto]]</f>
        <v>0.09</v>
      </c>
      <c r="SX32" s="34">
        <f>+Tabla5789141516[[#This Row],[Recuento]]*Tabla5789141516[[#This Row],[Área neta]]</f>
        <v>0.45</v>
      </c>
      <c r="SY32" s="36"/>
      <c r="SZ32" s="26"/>
      <c r="TA32"/>
      <c r="TB32"/>
      <c r="TC32"/>
      <c r="TD32"/>
      <c r="TE32"/>
      <c r="TF32"/>
      <c r="TG32"/>
      <c r="TH32"/>
      <c r="TI32" s="36">
        <f t="shared" si="8"/>
        <v>0</v>
      </c>
      <c r="TJ32" s="26"/>
      <c r="TK32"/>
      <c r="TL32"/>
      <c r="TM32"/>
      <c r="TN32"/>
      <c r="TO32"/>
      <c r="TP32"/>
      <c r="TQ32"/>
      <c r="TR32"/>
      <c r="TS32" s="36">
        <f t="shared" si="9"/>
        <v>0</v>
      </c>
      <c r="TT32" s="26"/>
      <c r="TU32"/>
      <c r="TV32"/>
      <c r="TW32"/>
      <c r="TX32"/>
      <c r="TY32"/>
      <c r="TZ32"/>
      <c r="UA32"/>
      <c r="UB32"/>
      <c r="UC32" s="36">
        <f t="shared" si="10"/>
        <v>0</v>
      </c>
      <c r="UD32" s="26"/>
      <c r="UE32"/>
      <c r="UF32"/>
      <c r="UG32"/>
      <c r="UH32"/>
      <c r="UI32"/>
      <c r="UJ32"/>
      <c r="UK32"/>
      <c r="UL32"/>
      <c r="UM32" s="36">
        <f t="shared" si="11"/>
        <v>0</v>
      </c>
      <c r="UN32" s="26"/>
      <c r="UO32"/>
      <c r="UP32"/>
      <c r="UQ32"/>
      <c r="UR32"/>
      <c r="US32"/>
      <c r="UT32"/>
      <c r="UU32"/>
      <c r="UV32"/>
      <c r="UW32" s="36">
        <f t="shared" si="12"/>
        <v>0</v>
      </c>
      <c r="UX32" s="26"/>
      <c r="UY32"/>
      <c r="UZ32"/>
      <c r="VA32"/>
      <c r="VB32"/>
      <c r="VC32"/>
      <c r="VD32"/>
      <c r="VE32"/>
      <c r="VF32"/>
      <c r="VG32" s="36">
        <f t="shared" si="13"/>
        <v>0</v>
      </c>
      <c r="VH32" s="26"/>
      <c r="VI32"/>
      <c r="VJ32"/>
      <c r="VK32"/>
      <c r="VL32"/>
      <c r="VM32"/>
      <c r="VN32"/>
      <c r="VO32"/>
      <c r="VP32"/>
      <c r="VQ32" s="36">
        <f t="shared" si="14"/>
        <v>0</v>
      </c>
      <c r="VR32" s="26"/>
      <c r="VS32"/>
      <c r="VT32"/>
      <c r="VU32"/>
      <c r="VV32"/>
      <c r="VW32"/>
      <c r="VX32"/>
      <c r="VY32"/>
      <c r="VZ32"/>
      <c r="WA32" s="36">
        <f t="shared" si="15"/>
        <v>0</v>
      </c>
      <c r="WB32" s="26"/>
      <c r="WC32"/>
      <c r="WD32"/>
      <c r="WE32"/>
      <c r="WF32"/>
      <c r="WG32"/>
      <c r="WH32"/>
      <c r="WI32"/>
      <c r="WJ32"/>
      <c r="WK32" s="36">
        <f t="shared" si="16"/>
        <v>0</v>
      </c>
      <c r="WL32" s="26"/>
      <c r="WM32"/>
      <c r="WN32"/>
      <c r="WO32"/>
      <c r="WP32"/>
      <c r="WQ32"/>
      <c r="WR32"/>
      <c r="WS32"/>
      <c r="WT32"/>
      <c r="WU32" s="36">
        <f t="shared" si="17"/>
        <v>0</v>
      </c>
      <c r="WV32" s="26"/>
      <c r="WW32"/>
      <c r="WX32"/>
      <c r="WY32"/>
      <c r="WZ32"/>
      <c r="XA32"/>
      <c r="XB32"/>
      <c r="XC32"/>
      <c r="XD32"/>
      <c r="XE32" s="36">
        <f t="shared" si="18"/>
        <v>0</v>
      </c>
      <c r="XF32" s="26"/>
      <c r="XG32"/>
      <c r="XH32"/>
      <c r="XI32"/>
      <c r="XJ32"/>
      <c r="XK32"/>
      <c r="XL32"/>
      <c r="XM32" s="34">
        <f>+Tabla578914151634353637383940414243444536[[#This Row],[Recuento]]*Tabla578914151634353637383940414243444536[[#This Row],[Volúmen bruto]]</f>
        <v>0</v>
      </c>
      <c r="XN32" s="34">
        <f>+Tabla578914151634353637383940414243444536[[#This Row],[Recuento]]*Tabla578914151634353637383940414243444536[[#This Row],[Área neta]]</f>
        <v>0</v>
      </c>
      <c r="XO32" s="35"/>
      <c r="XP32" s="26"/>
      <c r="XQ32"/>
      <c r="XR32"/>
      <c r="XS32"/>
      <c r="XT32"/>
      <c r="XU32"/>
      <c r="XV32" s="33"/>
      <c r="XW32" s="34"/>
      <c r="XX32" s="34"/>
      <c r="XY32" s="35"/>
      <c r="XZ32" s="26"/>
      <c r="YA32"/>
      <c r="YB32"/>
      <c r="YC32"/>
      <c r="YD32"/>
      <c r="YE32"/>
      <c r="YF32" s="33"/>
      <c r="YG32" s="34"/>
      <c r="YH32" s="34"/>
      <c r="YI32" s="35"/>
      <c r="YJ32" s="35"/>
      <c r="YK32"/>
      <c r="YL32"/>
      <c r="YM32"/>
      <c r="YN32"/>
      <c r="YO32"/>
      <c r="YQ32"/>
      <c r="YR32"/>
      <c r="YS32"/>
      <c r="YT32"/>
      <c r="YU32"/>
      <c r="YV32" s="33"/>
      <c r="YW32" s="34"/>
      <c r="YX32" s="34"/>
      <c r="YY32" s="35"/>
      <c r="YZ32" s="26"/>
      <c r="ZA32"/>
      <c r="ZB32"/>
      <c r="ZC32"/>
      <c r="ZD32"/>
      <c r="ZE32"/>
      <c r="ZF32" s="33"/>
      <c r="ZG32" s="34"/>
      <c r="ZH32" s="34"/>
      <c r="ZI32" s="35"/>
      <c r="ZJ32" s="26"/>
      <c r="ZK32"/>
      <c r="ZL32"/>
      <c r="ZM32"/>
      <c r="ZN32"/>
      <c r="ZO32"/>
      <c r="ZP32" s="33"/>
      <c r="ZQ32" s="34"/>
      <c r="ZR32" s="34"/>
      <c r="ZS32" s="35"/>
      <c r="ZT32" s="26"/>
      <c r="ZU32"/>
      <c r="ZV32"/>
      <c r="ZW32"/>
      <c r="ZX32"/>
      <c r="ZY32"/>
      <c r="ZZ32" s="33"/>
      <c r="AAA32" s="34"/>
      <c r="AAB32" s="34"/>
      <c r="AAC32" s="35"/>
      <c r="AAD32" s="26"/>
      <c r="AAE32"/>
      <c r="AAF32"/>
      <c r="AAG32"/>
      <c r="AAH32"/>
      <c r="AAI32"/>
      <c r="AAJ32" s="33"/>
      <c r="AAK32" s="34"/>
      <c r="AAL32" s="34"/>
      <c r="AAM32" s="35"/>
      <c r="AAN32" s="26"/>
      <c r="AAO32"/>
      <c r="AAP32"/>
      <c r="AAU32" s="34">
        <f>+Tabla5789141516343536373839404142434445464748495051[[#This Row],[Recuento]]*Tabla5789141516343536373839404142434445464748495051[[#This Row],[Volúmen bruto]]</f>
        <v>0</v>
      </c>
      <c r="AAV32" s="34">
        <f>+Tabla5789141516343536373839404142434445464748495051[[#This Row],[Recuento]]*Tabla5789141516343536373839404142434445464748495051[[#This Row],[Área neta]]</f>
        <v>0</v>
      </c>
      <c r="AAW32" s="36">
        <f t="shared" si="20"/>
        <v>0</v>
      </c>
      <c r="AAX32" s="26"/>
      <c r="AAY32"/>
      <c r="AAZ32"/>
      <c r="ABA32"/>
      <c r="ABB32"/>
      <c r="ABC32"/>
      <c r="ABD32" s="33"/>
      <c r="ABE32" s="34"/>
      <c r="ABF32" s="34"/>
      <c r="ABG32" s="35"/>
      <c r="ABH32" s="26"/>
      <c r="ABI32"/>
      <c r="ABJ32"/>
      <c r="ABK32"/>
      <c r="ABL32"/>
      <c r="ABM32"/>
      <c r="ABN32" s="33"/>
      <c r="ABO32" s="34"/>
      <c r="ABP32" s="34"/>
      <c r="ABQ32" s="35"/>
      <c r="ABR32" s="26"/>
      <c r="ABS32"/>
      <c r="ABT32"/>
      <c r="ABU32"/>
      <c r="ABV32"/>
      <c r="ABW32"/>
      <c r="ABX32" s="33"/>
      <c r="ABY32" s="34"/>
      <c r="ABZ32" s="34"/>
      <c r="ACA32" s="35"/>
      <c r="ACB32" s="26"/>
      <c r="ACC32"/>
      <c r="ACD32"/>
      <c r="ACE32"/>
      <c r="ACF32"/>
      <c r="ACG32"/>
      <c r="ACH32" s="33"/>
      <c r="ACI32" s="34"/>
      <c r="ACJ32" s="34"/>
      <c r="ACK32" s="35"/>
      <c r="ACL32" s="26"/>
      <c r="ACM32"/>
      <c r="ACN32"/>
      <c r="ACO32"/>
      <c r="ACP32"/>
      <c r="ACQ32"/>
      <c r="ACR32" s="33"/>
      <c r="ACS32" s="34"/>
      <c r="ACT32" s="34"/>
      <c r="ACU32" s="35"/>
      <c r="ACV32" s="26"/>
      <c r="ADC32" s="2">
        <f>+(ADA32*ACZ32)*ADB32</f>
        <v>0</v>
      </c>
      <c r="ADD32" s="2" t="s">
        <v>1720</v>
      </c>
      <c r="ADE32" s="2">
        <v>0.19</v>
      </c>
      <c r="ADF32" s="2">
        <v>1</v>
      </c>
      <c r="ADG32" s="26">
        <f t="shared" si="19"/>
        <v>0.19</v>
      </c>
      <c r="ADJ32"/>
      <c r="ADK32"/>
      <c r="ADL32"/>
      <c r="ADM32"/>
      <c r="ADN32"/>
      <c r="ADO32">
        <f>+Tabla578914151634353637383940414243444546474849505152535560[[#This Row],[G. Total]]*Tabla578914151634353637383940414243444546474849505152535560[[#This Row],[Recuento]]</f>
        <v>0</v>
      </c>
      <c r="ADP32" s="35"/>
      <c r="ADQ32" s="26"/>
      <c r="ADR32"/>
      <c r="ADS32"/>
      <c r="ADT32"/>
      <c r="ADU32"/>
      <c r="ADV32"/>
      <c r="ADW32" s="35"/>
      <c r="ADX32" s="35"/>
      <c r="ADY32"/>
      <c r="ADZ32"/>
      <c r="AEA32"/>
      <c r="AEB32"/>
      <c r="AEC32"/>
      <c r="AED32"/>
      <c r="AEE32" s="35"/>
      <c r="AEF32" s="26"/>
      <c r="AEG32"/>
      <c r="AEH32"/>
      <c r="AEI32"/>
      <c r="AEJ32"/>
      <c r="AEK32"/>
      <c r="AEL32" s="35"/>
      <c r="AEM32" s="35"/>
      <c r="AEN32" t="s">
        <v>1522</v>
      </c>
      <c r="AEO32" t="s">
        <v>1524</v>
      </c>
      <c r="AEP32" t="s">
        <v>381</v>
      </c>
      <c r="AEQ32">
        <v>0.63</v>
      </c>
      <c r="AER32">
        <v>1</v>
      </c>
      <c r="AES32">
        <f>+Tabla5789141516343536373839404142434445464748495051525355606264[[#This Row],[G. Total]]*Tabla5789141516343536373839404142434445464748495051525355606264[[#This Row],[Recuento]]</f>
        <v>0.63</v>
      </c>
      <c r="AET32" s="36"/>
      <c r="AEU32" s="26"/>
      <c r="AEV32"/>
      <c r="AEW32"/>
      <c r="AEX32"/>
      <c r="AEY32"/>
      <c r="AEZ32"/>
      <c r="AFA32" s="35"/>
      <c r="AFB32" s="26"/>
      <c r="AFC32"/>
      <c r="AFD32"/>
      <c r="AFE32"/>
      <c r="AFF32"/>
      <c r="AFG32"/>
      <c r="AFH32"/>
      <c r="AFI32"/>
      <c r="AFJ32"/>
      <c r="AFK32"/>
      <c r="AFL32"/>
      <c r="AFM32"/>
      <c r="AFN32">
        <f>+Tabla578914151634353637383940414243444546474849505152535560626467[[#This Row],[G. Total]]*Tabla578914151634353637383940414243444546474849505152535560626467[[#This Row],[Recuento]]</f>
        <v>0</v>
      </c>
      <c r="AFO32" s="35"/>
      <c r="AFP32" s="26"/>
      <c r="AFQ32" s="2" t="s">
        <v>113</v>
      </c>
      <c r="AFX32" s="2" t="s">
        <v>113</v>
      </c>
    </row>
    <row r="33" spans="1:861" ht="1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>
        <f>+Tabla5[[#This Row],[Recuento]]*Tabla5[[#This Row],[Volúmen bruto]]</f>
        <v>0</v>
      </c>
      <c r="S33">
        <f>+Tabla5[[#This Row],[Recuento]]*Tabla5[[#This Row],[Área neta]]</f>
        <v>0</v>
      </c>
      <c r="T33">
        <f>+Tabla5[[#This Row],[Longitud nominal]]*Tabla5[[#This Row],[Recuento]]</f>
        <v>0</v>
      </c>
      <c r="U33" s="26"/>
      <c r="V33"/>
      <c r="W33"/>
      <c r="X33"/>
      <c r="Y33"/>
      <c r="Z33"/>
      <c r="AA33"/>
      <c r="AB33"/>
      <c r="AC33"/>
      <c r="AD33"/>
      <c r="AE33"/>
      <c r="AF33"/>
      <c r="AG33" s="26">
        <f t="shared" si="4"/>
        <v>0</v>
      </c>
      <c r="AH33"/>
      <c r="AI33"/>
      <c r="AJ33"/>
      <c r="AK33"/>
      <c r="AL33"/>
      <c r="AM33"/>
      <c r="AN33"/>
      <c r="AO33"/>
      <c r="AP33"/>
      <c r="AQ33"/>
      <c r="AR33"/>
      <c r="AS33" s="26">
        <f t="shared" si="5"/>
        <v>0</v>
      </c>
      <c r="AT33"/>
      <c r="AU33"/>
      <c r="AV33"/>
      <c r="AW33"/>
      <c r="AX33"/>
      <c r="AY33"/>
      <c r="AZ33"/>
      <c r="BA33"/>
      <c r="BB33"/>
      <c r="BC33"/>
      <c r="BD33"/>
      <c r="BE33" s="26">
        <f t="shared" si="6"/>
        <v>0</v>
      </c>
      <c r="BF33">
        <v>2</v>
      </c>
      <c r="BG33" t="s">
        <v>1862</v>
      </c>
      <c r="BH33" t="s">
        <v>1524</v>
      </c>
      <c r="BI33" t="s">
        <v>1406</v>
      </c>
      <c r="BJ33">
        <v>1.54</v>
      </c>
      <c r="BK33" s="37">
        <v>2</v>
      </c>
      <c r="BL33">
        <f>+Tabla3102[[#This Row],[En culmo]]*BF33</f>
        <v>4</v>
      </c>
      <c r="BM33"/>
      <c r="BN33">
        <v>1</v>
      </c>
      <c r="BO33"/>
      <c r="BP33"/>
      <c r="BQ33"/>
      <c r="BR33"/>
      <c r="BS33"/>
      <c r="BT33">
        <f>+Tabla31069[[#This Row],[Longitud de eje]]*BN33</f>
        <v>0</v>
      </c>
      <c r="BU33"/>
      <c r="BV33">
        <v>9</v>
      </c>
      <c r="BW33" t="s">
        <v>1862</v>
      </c>
      <c r="BX33" t="s">
        <v>1525</v>
      </c>
      <c r="BY33" t="s">
        <v>1406</v>
      </c>
      <c r="BZ33">
        <v>3.9</v>
      </c>
      <c r="CA33">
        <v>4.5</v>
      </c>
      <c r="CB33">
        <f>+Tabla31011[[#This Row],[En culmo]]*BV33</f>
        <v>40.5</v>
      </c>
      <c r="CD33">
        <v>11</v>
      </c>
      <c r="CE33" t="s">
        <v>1862</v>
      </c>
      <c r="CF33" t="s">
        <v>1525</v>
      </c>
      <c r="CG33" t="s">
        <v>1405</v>
      </c>
      <c r="CH33">
        <v>0.45</v>
      </c>
      <c r="CI33">
        <v>1</v>
      </c>
      <c r="CJ33">
        <f>+Tabla3101170[[#This Row],[En culmo]]*CD33</f>
        <v>11</v>
      </c>
      <c r="CK33"/>
      <c r="CR33">
        <f>+Tabla31011116[[#This Row],[Longitud de eje]]*CT33</f>
        <v>0</v>
      </c>
      <c r="CT33">
        <v>4</v>
      </c>
      <c r="CU33" t="s">
        <v>1862</v>
      </c>
      <c r="CV33" t="s">
        <v>1383</v>
      </c>
      <c r="CW33" t="s">
        <v>1405</v>
      </c>
      <c r="CX33">
        <v>3.69</v>
      </c>
      <c r="CY33">
        <v>5</v>
      </c>
      <c r="CZ33">
        <f>+Tabla3101170117[[#This Row],[En culmo]]*CT33</f>
        <v>20</v>
      </c>
      <c r="DA33"/>
      <c r="DB33">
        <v>2</v>
      </c>
      <c r="DC33" t="s">
        <v>1862</v>
      </c>
      <c r="DD33" t="s">
        <v>1383</v>
      </c>
      <c r="DE33" t="s">
        <v>1723</v>
      </c>
      <c r="DF33">
        <v>0.82</v>
      </c>
      <c r="DG33">
        <f>+Tabla31011704[[#This Row],[Longitud de eje]]*DB33</f>
        <v>1.64</v>
      </c>
      <c r="DH33"/>
      <c r="DI33"/>
      <c r="DJ33"/>
      <c r="DK33"/>
      <c r="DL33"/>
      <c r="DM33"/>
      <c r="DN33">
        <f>+Tabla3101170411[[#This Row],[Longitud de eje]]*DI33</f>
        <v>0</v>
      </c>
      <c r="DO33"/>
      <c r="DP33"/>
      <c r="DQ33"/>
      <c r="DR33"/>
      <c r="DS33"/>
      <c r="DT33"/>
      <c r="DU33">
        <f>+Tabla3101170411120[[#This Row],[Longitud de eje]]*DP33</f>
        <v>0</v>
      </c>
      <c r="DV33"/>
      <c r="DW33"/>
      <c r="DX33"/>
      <c r="DY33"/>
      <c r="DZ33"/>
      <c r="EA33"/>
      <c r="EB33">
        <f>+Tabla3101170411120122[[#This Row],[Longitud de eje]]*DW33</f>
        <v>0</v>
      </c>
      <c r="EC33"/>
      <c r="ED33">
        <v>2</v>
      </c>
      <c r="EE33" t="s">
        <v>1862</v>
      </c>
      <c r="EF33" t="s">
        <v>1524</v>
      </c>
      <c r="EG33" t="s">
        <v>1406</v>
      </c>
      <c r="EH33">
        <v>0.74</v>
      </c>
      <c r="EI33">
        <v>1</v>
      </c>
      <c r="EJ33">
        <f>+Tabla3101112[[#This Row],[En culmo]]*ED33</f>
        <v>2</v>
      </c>
      <c r="EK33"/>
      <c r="EL33"/>
      <c r="EM33"/>
      <c r="EN33"/>
      <c r="EO33"/>
      <c r="EP33"/>
      <c r="EQ33"/>
      <c r="ER33">
        <f>+Tabla3101112123[[#This Row],[En culmo]]*EL33</f>
        <v>0</v>
      </c>
      <c r="ES33"/>
      <c r="ET33">
        <v>6</v>
      </c>
      <c r="EU33" t="s">
        <v>1862</v>
      </c>
      <c r="EV33" t="s">
        <v>1525</v>
      </c>
      <c r="EW33" t="s">
        <v>1406</v>
      </c>
      <c r="EX33">
        <v>2.65</v>
      </c>
      <c r="EY33">
        <v>3</v>
      </c>
      <c r="EZ33">
        <f>+Tabla310111257[[#This Row],[En culmo]]*ET33</f>
        <v>18</v>
      </c>
      <c r="FA33"/>
      <c r="FB33"/>
      <c r="FC33"/>
      <c r="FD33"/>
      <c r="FE33"/>
      <c r="FF33"/>
      <c r="FG33">
        <v>1</v>
      </c>
      <c r="FH33">
        <f>+Tabla310111257124[[#This Row],[En culmo]]*FB33</f>
        <v>0</v>
      </c>
      <c r="FI33"/>
      <c r="FK33"/>
      <c r="FL33"/>
      <c r="FM33"/>
      <c r="FN33"/>
      <c r="FO33"/>
      <c r="FP33"/>
      <c r="FQ33"/>
      <c r="FS33"/>
      <c r="FT33"/>
      <c r="FU33"/>
      <c r="FV33"/>
      <c r="FW33"/>
      <c r="FX33"/>
      <c r="FY33"/>
      <c r="GA33"/>
      <c r="GB33"/>
      <c r="GC33"/>
      <c r="GD33"/>
      <c r="GE33"/>
      <c r="GF33"/>
      <c r="GG33"/>
      <c r="GI33"/>
      <c r="GJ33"/>
      <c r="GK33"/>
      <c r="GL33"/>
      <c r="GM33"/>
      <c r="GN33"/>
      <c r="GO33"/>
      <c r="GQ33"/>
      <c r="GR33"/>
      <c r="GS33"/>
      <c r="GT33"/>
      <c r="GU33"/>
      <c r="GV33" s="2">
        <v>1</v>
      </c>
      <c r="GW33" s="2">
        <f>+Tabla578914[[#This Row],[Recuento]]*Tabla578914[[#This Row],[Volúmen bruto]]</f>
        <v>0</v>
      </c>
      <c r="GX33" s="2">
        <f>+Tabla578914[[#This Row],[Recuento]]*Tabla578914[[#This Row],[Área neta]]</f>
        <v>0</v>
      </c>
      <c r="GY33" s="36">
        <f>+SUM(GT33:GT34)</f>
        <v>0</v>
      </c>
      <c r="HA33" t="s">
        <v>1863</v>
      </c>
      <c r="HB33" t="s">
        <v>1383</v>
      </c>
      <c r="HC33" t="s">
        <v>97</v>
      </c>
      <c r="HD33">
        <v>0.05</v>
      </c>
      <c r="HE33">
        <v>8.23</v>
      </c>
      <c r="HF33">
        <v>1</v>
      </c>
      <c r="HG33" s="2">
        <f>+Tabla578914126[[#This Row],[Recuento]]*Tabla578914126[[#This Row],[Volúmen bruto]]</f>
        <v>0.05</v>
      </c>
      <c r="HH33" s="2">
        <f>+Tabla578914126[[#This Row],[Recuento]]*Tabla578914126[[#This Row],[Área neta]]</f>
        <v>8.23</v>
      </c>
      <c r="HI33" s="36">
        <f>+SUM(HD33:HD34)</f>
        <v>6.0000000000000005E-2</v>
      </c>
      <c r="HK33"/>
      <c r="HL33"/>
      <c r="HM33"/>
      <c r="HN33"/>
      <c r="HO33"/>
      <c r="HP33" s="2">
        <v>1</v>
      </c>
      <c r="HQ33" s="2">
        <f>+Tabla578914126127[[#This Row],[Recuento]]*Tabla578914126127[[#This Row],[Volúmen bruto]]</f>
        <v>0</v>
      </c>
      <c r="HR33" s="2">
        <f>+Tabla578914126127[[#This Row],[Recuento]]*Tabla578914126127[[#This Row],[Área neta]]</f>
        <v>0</v>
      </c>
      <c r="HS33" s="36">
        <f>+SUM(HN33:HN34)</f>
        <v>0</v>
      </c>
      <c r="HT33" s="26"/>
      <c r="HU33"/>
      <c r="HV33"/>
      <c r="HW33"/>
      <c r="HX33"/>
      <c r="HY33"/>
      <c r="HZ33"/>
      <c r="IA33"/>
      <c r="IB33"/>
      <c r="IC33" s="35"/>
      <c r="ID33" s="26"/>
      <c r="IE33"/>
      <c r="IF33"/>
      <c r="IG33"/>
      <c r="IH33"/>
      <c r="II33"/>
      <c r="IJ33"/>
      <c r="IK33"/>
      <c r="IL33"/>
      <c r="IM33" s="35"/>
      <c r="IN33" s="26"/>
      <c r="IO33"/>
      <c r="IP33"/>
      <c r="IQ33"/>
      <c r="IR33"/>
      <c r="IS33"/>
      <c r="IT33"/>
      <c r="IU33" s="37"/>
      <c r="IV33" s="37">
        <f>+Tabla520212223[[#This Row],[Recuento]]*Tabla520212223[[#This Row],[Área neta]]</f>
        <v>0</v>
      </c>
      <c r="IW33" s="26">
        <f t="shared" si="0"/>
        <v>0</v>
      </c>
      <c r="IY33"/>
      <c r="IZ33"/>
      <c r="JA33"/>
      <c r="JB33"/>
      <c r="JC33"/>
      <c r="JD33">
        <v>1</v>
      </c>
      <c r="JE33">
        <f>+Tabla520212224[[#This Row],[Recuento]]*Tabla520212224[[#This Row],[Volúmen bruto]]</f>
        <v>0</v>
      </c>
      <c r="JF33">
        <f>+Tabla520212224[[#This Row],[Recuento]]*Tabla520212224[[#This Row],[Área neta]]</f>
        <v>0</v>
      </c>
      <c r="JG33" s="26"/>
      <c r="JI33" t="s">
        <v>1862</v>
      </c>
      <c r="JJ33" t="s">
        <v>1524</v>
      </c>
      <c r="JK33" t="s">
        <v>1677</v>
      </c>
      <c r="JL33">
        <v>0</v>
      </c>
      <c r="JM33">
        <v>1.81</v>
      </c>
      <c r="JN33">
        <v>1</v>
      </c>
      <c r="JO33">
        <f>+Tabla52021222425[[#This Row],[Recuento]]*Tabla52021222425[[#This Row],[Volúmen bruto]]</f>
        <v>0</v>
      </c>
      <c r="JP33">
        <f>+Tabla52021222425[[#This Row],[Recuento]]*Tabla52021222425[[#This Row],[Área neta]]</f>
        <v>1.81</v>
      </c>
      <c r="JQ33" s="26"/>
      <c r="JS33" t="s">
        <v>1862</v>
      </c>
      <c r="JT33" t="s">
        <v>1524</v>
      </c>
      <c r="JU33" t="s">
        <v>1679</v>
      </c>
      <c r="JV33">
        <v>0</v>
      </c>
      <c r="JW33">
        <v>0.41</v>
      </c>
      <c r="JX33">
        <v>1</v>
      </c>
      <c r="JY33">
        <f>+Tabla5202122242526[[#This Row],[Recuento]]*Tabla5202122242526[[#This Row],[Volúmen bruto]]</f>
        <v>0</v>
      </c>
      <c r="JZ33">
        <f>+Tabla5202122242526[[#This Row],[Recuento]]*Tabla5202122242526[[#This Row],[Área neta]]</f>
        <v>0.41</v>
      </c>
      <c r="KA33" s="415"/>
      <c r="KC33"/>
      <c r="KD33"/>
      <c r="KE33"/>
      <c r="KF33"/>
      <c r="KG33"/>
      <c r="KH33"/>
      <c r="KI33">
        <f>+Tabla5202122242526104[[#This Row],[Recuento]]*Tabla5202122242526104[[#This Row],[Volúmen bruto]]</f>
        <v>0</v>
      </c>
      <c r="KJ33">
        <f>+Tabla5202122242526104[[#This Row],[Recuento]]*Tabla5202122242526104[[#This Row],[Área neta]]</f>
        <v>0</v>
      </c>
      <c r="KK33" s="26"/>
      <c r="KM33" t="s">
        <v>1862</v>
      </c>
      <c r="KN33" t="s">
        <v>1525</v>
      </c>
      <c r="KO33" t="s">
        <v>97</v>
      </c>
      <c r="KP33">
        <v>0.17</v>
      </c>
      <c r="KQ33">
        <v>6.73</v>
      </c>
      <c r="KR33">
        <v>1</v>
      </c>
      <c r="KS33">
        <f>+Tabla5202122242526104110[[#This Row],[Recuento]]*Tabla5202122242526104110[[#This Row],[Volúmen bruto]]</f>
        <v>0.17</v>
      </c>
      <c r="KT33">
        <f>+Tabla5202122242526104110[[#This Row],[Recuento]]*Tabla5202122242526104110[[#This Row],[Área neta]]</f>
        <v>6.73</v>
      </c>
      <c r="KU33" s="26"/>
      <c r="KW33"/>
      <c r="KX33"/>
      <c r="KY33"/>
      <c r="KZ33"/>
      <c r="LA33"/>
      <c r="LB33"/>
      <c r="LC33">
        <f>+Tabla520212224252659[[#This Row],[Recuento]]*Tabla520212224252659[[#This Row],[Volúmen bruto]]</f>
        <v>0</v>
      </c>
      <c r="LD33">
        <f>+Tabla520212224252659[[#This Row],[Recuento]]*Tabla520212224252659[[#This Row],[Área neta]]</f>
        <v>0</v>
      </c>
      <c r="LE33" s="26"/>
      <c r="LG33"/>
      <c r="LH33"/>
      <c r="LI33"/>
      <c r="LJ33"/>
      <c r="LK33"/>
      <c r="LL33"/>
      <c r="LM33">
        <f>+Tabla520212224252659111[[#This Row],[Recuento]]*Tabla520212224252659111[[#This Row],[Volúmen bruto]]</f>
        <v>0</v>
      </c>
      <c r="LN33">
        <f>+Tabla520212224252659111[[#This Row],[Recuento]]*Tabla520212224252659111[[#This Row],[Área neta]]</f>
        <v>0</v>
      </c>
      <c r="LO33" s="26"/>
      <c r="LQ33"/>
      <c r="LR33"/>
      <c r="LS33"/>
      <c r="LT33"/>
      <c r="LU33"/>
      <c r="LV33"/>
      <c r="LW33">
        <f>+Tabla520212224252659111114[[#This Row],[Recuento]]*Tabla520212224252659111114[[#This Row],[Volúmen bruto]]</f>
        <v>0</v>
      </c>
      <c r="LX33">
        <f>+Tabla520212224252659111114[[#This Row],[Recuento]]*Tabla520212224252659111114[[#This Row],[Área neta]]</f>
        <v>0</v>
      </c>
      <c r="LY33" s="26"/>
      <c r="MA33" t="s">
        <v>1862</v>
      </c>
      <c r="MB33" t="s">
        <v>1525</v>
      </c>
      <c r="MC33" t="s">
        <v>98</v>
      </c>
      <c r="MD33">
        <v>0.01</v>
      </c>
      <c r="ME33">
        <v>6.58</v>
      </c>
      <c r="MF33">
        <v>2</v>
      </c>
      <c r="MG33">
        <f>+Tabla520212224252659111114128[[#This Row],[Recuento]]*Tabla520212224252659111114128[[#This Row],[Volúmen bruto]]</f>
        <v>0.02</v>
      </c>
      <c r="MH33">
        <f>+Tabla520212224252659111114128[[#This Row],[Recuento]]*Tabla520212224252659111114128[[#This Row],[Área neta]]</f>
        <v>13.16</v>
      </c>
      <c r="MI33" s="26"/>
      <c r="MK33"/>
      <c r="ML33"/>
      <c r="MM33"/>
      <c r="MN33"/>
      <c r="MO33"/>
      <c r="MP33"/>
      <c r="MQ33">
        <f>+Tabla520212224252627[[#This Row],[Recuento]]*Tabla520212224252627[[#This Row],[Volúmen bruto]]</f>
        <v>0</v>
      </c>
      <c r="MR33">
        <f>+Tabla520212224252627[[#This Row],[Recuento]]*Tabla520212224252627[[#This Row],[Área neta]]</f>
        <v>0</v>
      </c>
      <c r="MS33" s="26"/>
      <c r="MU33"/>
      <c r="MV33"/>
      <c r="MW33"/>
      <c r="MX33"/>
      <c r="MY33"/>
      <c r="MZ33"/>
      <c r="NA33">
        <f>+Tabla520212224252627129[[#This Row],[Recuento]]*Tabla520212224252627129[[#This Row],[Volúmen bruto]]</f>
        <v>0</v>
      </c>
      <c r="NB33">
        <f>+Tabla520212224252627129[[#This Row],[Recuento]]*Tabla520212224252627129[[#This Row],[Área neta]]</f>
        <v>0</v>
      </c>
      <c r="NC33" s="26"/>
      <c r="NE33"/>
      <c r="NF33"/>
      <c r="NG33"/>
      <c r="NH33"/>
      <c r="NI33"/>
      <c r="NJ33"/>
      <c r="NK33">
        <f>+Tabla520212224252627129125[[#This Row],[Recuento]]*Tabla520212224252627129125[[#This Row],[Volúmen bruto]]</f>
        <v>0</v>
      </c>
      <c r="NL33">
        <f>+Tabla520212224252627129125[[#This Row],[Recuento]]*Tabla520212224252627129125[[#This Row],[Área neta]]</f>
        <v>0</v>
      </c>
      <c r="NM33" s="26"/>
      <c r="NO33"/>
      <c r="NP33"/>
      <c r="NQ33"/>
      <c r="NR33"/>
      <c r="NS33"/>
      <c r="NT33"/>
      <c r="NU33">
        <f>+Tabla520212224252627129125130[[#This Row],[Recuento]]*Tabla520212224252627129125130[[#This Row],[Volúmen bruto]]</f>
        <v>0</v>
      </c>
      <c r="NV33">
        <f>+Tabla520212224252627129125130[[#This Row],[Recuento]]*Tabla520212224252627129125130[[#This Row],[Área neta]]</f>
        <v>0</v>
      </c>
      <c r="NW33" s="26"/>
      <c r="NY33"/>
      <c r="NZ33"/>
      <c r="OA33"/>
      <c r="OB33"/>
      <c r="OC33"/>
      <c r="OD33"/>
      <c r="OE33">
        <f>+Tabla520212224252627129125130131[[#This Row],[Recuento]]*Tabla520212224252627129125130131[[#This Row],[Volúmen bruto]]</f>
        <v>0</v>
      </c>
      <c r="OF33">
        <f>+Tabla520212224252627129125130131[[#This Row],[Recuento]]*Tabla520212224252627129125130131[[#This Row],[Área neta]]</f>
        <v>0</v>
      </c>
      <c r="OG33" s="26"/>
      <c r="OI33"/>
      <c r="OJ33"/>
      <c r="OK33"/>
      <c r="OL33"/>
      <c r="OM33"/>
      <c r="ON33"/>
      <c r="OO33">
        <f>+Tabla520212224252627129125130131132[[#This Row],[Recuento]]*Tabla520212224252627129125130131132[[#This Row],[Volúmen bruto]]</f>
        <v>0</v>
      </c>
      <c r="OP33">
        <f>+Tabla520212224252627129125130131132[[#This Row],[Recuento]]*Tabla520212224252627129125130131132[[#This Row],[Área neta]]</f>
        <v>0</v>
      </c>
      <c r="OQ33" s="26"/>
      <c r="OS33"/>
      <c r="OT33"/>
      <c r="OU33"/>
      <c r="OV33"/>
      <c r="OW33"/>
      <c r="OX33"/>
      <c r="OY33">
        <f>+Tabla52021222425262728[[#This Row],[Recuento]]*Tabla52021222425262728[[#This Row],[Volúmen bruto]]</f>
        <v>0</v>
      </c>
      <c r="OZ33">
        <f>+Tabla52021222425262728[[#This Row],[Recuento]]*Tabla52021222425262728[[#This Row],[Área neta]]</f>
        <v>0</v>
      </c>
      <c r="PA33" s="26"/>
      <c r="PC33" t="s">
        <v>1862</v>
      </c>
      <c r="PD33" t="s">
        <v>1525</v>
      </c>
      <c r="PE33" t="s">
        <v>97</v>
      </c>
      <c r="PF33">
        <v>0.08</v>
      </c>
      <c r="PG33">
        <v>2.94</v>
      </c>
      <c r="PH33">
        <v>1</v>
      </c>
      <c r="PI33">
        <f>+Tabla52021222425262728133[[#This Row],[Recuento]]*Tabla52021222425262728133[[#This Row],[Volúmen bruto]]</f>
        <v>0.08</v>
      </c>
      <c r="PJ33">
        <f>+Tabla52021222425262728133[[#This Row],[Recuento]]*Tabla52021222425262728133[[#This Row],[Área neta]]</f>
        <v>2.94</v>
      </c>
      <c r="PK33" s="415"/>
      <c r="PM33"/>
      <c r="PN33"/>
      <c r="PO33"/>
      <c r="PP33"/>
      <c r="PQ33"/>
      <c r="PR33"/>
      <c r="PS33">
        <f>+Tabla5202122242526272893[[#This Row],[Recuento]]*Tabla5202122242526272893[[#This Row],[Volúmen bruto]]</f>
        <v>0</v>
      </c>
      <c r="PT33">
        <f>+Tabla5202122242526272893[[#This Row],[Recuento]]*Tabla5202122242526272893[[#This Row],[Área neta]]</f>
        <v>0</v>
      </c>
      <c r="PU33" s="26"/>
      <c r="PW33" t="s">
        <v>1862</v>
      </c>
      <c r="PX33" t="s">
        <v>1525</v>
      </c>
      <c r="PY33" t="s">
        <v>98</v>
      </c>
      <c r="PZ33">
        <v>0</v>
      </c>
      <c r="QA33">
        <v>1.54</v>
      </c>
      <c r="QB33">
        <v>1</v>
      </c>
      <c r="QC33">
        <f>+Tabla520212224252627289349[[#This Row],[Recuento]]*Tabla520212224252627289349[[#This Row],[Volúmen bruto]]</f>
        <v>0</v>
      </c>
      <c r="QD33">
        <f>+Tabla520212224252627289349[[#This Row],[Recuento]]*Tabla520212224252627289349[[#This Row],[Área neta]]</f>
        <v>1.54</v>
      </c>
      <c r="QE33" s="26"/>
      <c r="QG33"/>
      <c r="QH33"/>
      <c r="QI33"/>
      <c r="QJ33"/>
      <c r="QK33"/>
      <c r="QL33"/>
      <c r="QM33">
        <f>+Tabla520212224252627289349134[[#This Row],[Recuento]]*Tabla520212224252627289349134[[#This Row],[Volúmen bruto]]</f>
        <v>0</v>
      </c>
      <c r="QN33">
        <f>+Tabla520212224252627289349134[[#This Row],[Recuento]]*Tabla520212224252627289349134[[#This Row],[Área neta]]</f>
        <v>0</v>
      </c>
      <c r="QO33" s="26"/>
      <c r="QQ33" t="s">
        <v>1862</v>
      </c>
      <c r="QR33" t="s">
        <v>1525</v>
      </c>
      <c r="QS33" t="s">
        <v>1726</v>
      </c>
      <c r="QT33">
        <v>0.25</v>
      </c>
      <c r="QU33">
        <v>1.25</v>
      </c>
      <c r="QV33">
        <v>1</v>
      </c>
      <c r="QW33">
        <v>1</v>
      </c>
      <c r="QX33">
        <f>+Tabla5202122242526272829[[#This Row],[Recuento]]*Tabla5202122242526272829[[#This Row],[Volúmen bruto]]</f>
        <v>0.25</v>
      </c>
      <c r="QY33">
        <f>+Tabla5202122242526272829[[#This Row],[Recuento]]*Tabla5202122242526272829[[#This Row],[Área neta]]</f>
        <v>1.25</v>
      </c>
      <c r="QZ33">
        <f>+Tabla5202122242526272829[[#This Row],[Recuento]]*Tabla5202122242526272829[[#This Row],[Longitud]]</f>
        <v>1</v>
      </c>
      <c r="RA33" s="26"/>
      <c r="RC33"/>
      <c r="RD33"/>
      <c r="RE33"/>
      <c r="RF33"/>
      <c r="RG33"/>
      <c r="RH33"/>
      <c r="RI33"/>
      <c r="RJ33"/>
      <c r="RK33" s="26"/>
      <c r="RM33"/>
      <c r="RN33"/>
      <c r="RO33"/>
      <c r="RP33"/>
      <c r="RQ33"/>
      <c r="RR33"/>
      <c r="RS33"/>
      <c r="RT33"/>
      <c r="RU33" s="26">
        <f t="shared" si="7"/>
        <v>0</v>
      </c>
      <c r="RW33"/>
      <c r="RX33"/>
      <c r="RY33"/>
      <c r="RZ33"/>
      <c r="SA33"/>
      <c r="SB33"/>
      <c r="SC33"/>
      <c r="SD33"/>
      <c r="SE33" s="26"/>
      <c r="SG33"/>
      <c r="SH33"/>
      <c r="SI33"/>
      <c r="SJ33"/>
      <c r="SK33"/>
      <c r="SL33"/>
      <c r="SM33">
        <f>+Tabla5202122242526272831323314[[#This Row],[Recuento]]*Tabla5202122242526272831323314[[#This Row],[Volúmen bruto]]</f>
        <v>0</v>
      </c>
      <c r="SN33">
        <f>+Tabla5202122242526272831323314[[#This Row],[Recuento]]*Tabla5202122242526272831323314[[#This Row],[Área neta]]</f>
        <v>0</v>
      </c>
      <c r="SO33" s="26"/>
      <c r="SQ33" t="s">
        <v>1862</v>
      </c>
      <c r="SR33" t="s">
        <v>1524</v>
      </c>
      <c r="SS33" t="s">
        <v>1627</v>
      </c>
      <c r="ST33">
        <v>1.19</v>
      </c>
      <c r="SU33">
        <v>5.97</v>
      </c>
      <c r="SV33">
        <v>1</v>
      </c>
      <c r="SW33" s="34">
        <f>+Tabla5789141516[[#This Row],[Recuento]]*Tabla5789141516[[#This Row],[Volúmen bruto]]</f>
        <v>1.19</v>
      </c>
      <c r="SX33" s="34">
        <f>+Tabla5789141516[[#This Row],[Recuento]]*Tabla5789141516[[#This Row],[Área neta]]</f>
        <v>5.97</v>
      </c>
      <c r="SY33" s="36"/>
      <c r="SZ33" s="26"/>
      <c r="TA33"/>
      <c r="TB33"/>
      <c r="TC33"/>
      <c r="TD33"/>
      <c r="TE33"/>
      <c r="TF33"/>
      <c r="TG33"/>
      <c r="TH33"/>
      <c r="TI33" s="36">
        <f t="shared" si="8"/>
        <v>0</v>
      </c>
      <c r="TJ33" s="26"/>
      <c r="TK33"/>
      <c r="TL33"/>
      <c r="TM33"/>
      <c r="TN33"/>
      <c r="TO33"/>
      <c r="TP33"/>
      <c r="TQ33"/>
      <c r="TR33"/>
      <c r="TS33" s="36">
        <f t="shared" si="9"/>
        <v>0</v>
      </c>
      <c r="TT33" s="26"/>
      <c r="TU33"/>
      <c r="TV33"/>
      <c r="TW33"/>
      <c r="TX33"/>
      <c r="TY33"/>
      <c r="TZ33"/>
      <c r="UA33"/>
      <c r="UB33"/>
      <c r="UC33" s="36">
        <f t="shared" si="10"/>
        <v>0</v>
      </c>
      <c r="UD33" s="26"/>
      <c r="UE33"/>
      <c r="UF33"/>
      <c r="UG33"/>
      <c r="UH33"/>
      <c r="UI33"/>
      <c r="UJ33"/>
      <c r="UK33"/>
      <c r="UL33"/>
      <c r="UM33" s="36">
        <f t="shared" si="11"/>
        <v>0</v>
      </c>
      <c r="UN33" s="26"/>
      <c r="UO33"/>
      <c r="UP33"/>
      <c r="UQ33"/>
      <c r="UR33"/>
      <c r="US33"/>
      <c r="UT33"/>
      <c r="UU33"/>
      <c r="UV33"/>
      <c r="UW33" s="36">
        <f t="shared" si="12"/>
        <v>0</v>
      </c>
      <c r="UX33" s="26"/>
      <c r="UY33"/>
      <c r="UZ33"/>
      <c r="VA33"/>
      <c r="VB33"/>
      <c r="VC33"/>
      <c r="VD33"/>
      <c r="VE33"/>
      <c r="VF33"/>
      <c r="VG33" s="36">
        <f t="shared" si="13"/>
        <v>0</v>
      </c>
      <c r="VH33" s="26"/>
      <c r="VI33"/>
      <c r="VJ33"/>
      <c r="VK33"/>
      <c r="VL33"/>
      <c r="VM33"/>
      <c r="VN33"/>
      <c r="VO33"/>
      <c r="VP33"/>
      <c r="VQ33" s="36">
        <f t="shared" si="14"/>
        <v>0</v>
      </c>
      <c r="VR33" s="26"/>
      <c r="VS33"/>
      <c r="VT33"/>
      <c r="VU33"/>
      <c r="VV33"/>
      <c r="VW33"/>
      <c r="VX33"/>
      <c r="VY33"/>
      <c r="VZ33"/>
      <c r="WA33" s="36">
        <f t="shared" si="15"/>
        <v>0</v>
      </c>
      <c r="WB33" s="26"/>
      <c r="WC33"/>
      <c r="WD33"/>
      <c r="WE33"/>
      <c r="WF33"/>
      <c r="WG33"/>
      <c r="WH33"/>
      <c r="WI33"/>
      <c r="WJ33"/>
      <c r="WK33" s="36">
        <f t="shared" si="16"/>
        <v>0</v>
      </c>
      <c r="WL33" s="26"/>
      <c r="WM33"/>
      <c r="WN33"/>
      <c r="WO33"/>
      <c r="WP33"/>
      <c r="WQ33"/>
      <c r="WR33"/>
      <c r="WS33"/>
      <c r="WT33"/>
      <c r="WU33" s="36">
        <f t="shared" si="17"/>
        <v>0</v>
      </c>
      <c r="WV33" s="26"/>
      <c r="WW33"/>
      <c r="WX33"/>
      <c r="WY33"/>
      <c r="WZ33"/>
      <c r="XA33"/>
      <c r="XB33"/>
      <c r="XC33"/>
      <c r="XD33"/>
      <c r="XE33" s="36">
        <f t="shared" si="18"/>
        <v>0</v>
      </c>
      <c r="XF33" s="26"/>
      <c r="XG33"/>
      <c r="XH33"/>
      <c r="XI33"/>
      <c r="XJ33"/>
      <c r="XK33"/>
      <c r="XL33"/>
      <c r="XM33" s="34">
        <f>+Tabla578914151634353637383940414243444536[[#This Row],[Recuento]]*Tabla578914151634353637383940414243444536[[#This Row],[Volúmen bruto]]</f>
        <v>0</v>
      </c>
      <c r="XN33" s="34">
        <f>+Tabla578914151634353637383940414243444536[[#This Row],[Recuento]]*Tabla578914151634353637383940414243444536[[#This Row],[Área neta]]</f>
        <v>0</v>
      </c>
      <c r="XO33" s="35"/>
      <c r="XP33" s="26"/>
      <c r="XQ33"/>
      <c r="XR33"/>
      <c r="XS33"/>
      <c r="XT33"/>
      <c r="XU33"/>
      <c r="XV33" s="33"/>
      <c r="XW33" s="34"/>
      <c r="XX33" s="34"/>
      <c r="XY33" s="35"/>
      <c r="XZ33" s="26"/>
      <c r="YA33"/>
      <c r="YB33"/>
      <c r="YC33"/>
      <c r="YD33"/>
      <c r="YE33"/>
      <c r="YF33" s="33"/>
      <c r="YG33" s="34"/>
      <c r="YH33" s="34"/>
      <c r="YI33" s="35"/>
      <c r="YJ33" s="35"/>
      <c r="YK33"/>
      <c r="YL33"/>
      <c r="YM33"/>
      <c r="YN33"/>
      <c r="YO33"/>
      <c r="YQ33"/>
      <c r="YR33"/>
      <c r="YS33"/>
      <c r="YT33"/>
      <c r="YU33"/>
      <c r="YV33" s="33"/>
      <c r="YW33" s="34"/>
      <c r="YX33" s="34"/>
      <c r="YY33" s="35"/>
      <c r="YZ33" s="26"/>
      <c r="ZA33"/>
      <c r="ZB33"/>
      <c r="ZC33"/>
      <c r="ZD33"/>
      <c r="ZE33"/>
      <c r="ZF33" s="33"/>
      <c r="ZG33" s="34"/>
      <c r="ZH33" s="34"/>
      <c r="ZI33" s="35"/>
      <c r="ZJ33" s="26"/>
      <c r="ZK33"/>
      <c r="ZL33"/>
      <c r="ZM33"/>
      <c r="ZN33"/>
      <c r="ZO33"/>
      <c r="ZP33" s="33"/>
      <c r="ZQ33" s="34"/>
      <c r="ZR33" s="34"/>
      <c r="ZS33" s="35"/>
      <c r="ZT33" s="26"/>
      <c r="ZU33"/>
      <c r="ZV33"/>
      <c r="ZW33"/>
      <c r="ZX33"/>
      <c r="ZY33"/>
      <c r="ZZ33" s="33"/>
      <c r="AAA33" s="34"/>
      <c r="AAB33" s="34"/>
      <c r="AAC33" s="35"/>
      <c r="AAD33" s="26"/>
      <c r="AAE33"/>
      <c r="AAF33"/>
      <c r="AAG33"/>
      <c r="AAH33"/>
      <c r="AAI33"/>
      <c r="AAJ33" s="33"/>
      <c r="AAK33" s="34"/>
      <c r="AAL33" s="34"/>
      <c r="AAM33" s="35"/>
      <c r="AAN33" s="26"/>
      <c r="AAO33"/>
      <c r="AAP33"/>
      <c r="AAW33" s="36">
        <f t="shared" si="20"/>
        <v>0</v>
      </c>
      <c r="AAX33" s="26"/>
      <c r="AAY33"/>
      <c r="AAZ33"/>
      <c r="ABA33"/>
      <c r="ABB33"/>
      <c r="ABC33"/>
      <c r="ABD33" s="33"/>
      <c r="ABE33" s="34"/>
      <c r="ABF33" s="34"/>
      <c r="ABG33" s="35"/>
      <c r="ABH33" s="26"/>
      <c r="ABI33"/>
      <c r="ABJ33"/>
      <c r="ABK33"/>
      <c r="ABL33"/>
      <c r="ABM33"/>
      <c r="ABN33" s="33"/>
      <c r="ABO33" s="34"/>
      <c r="ABP33" s="34"/>
      <c r="ABQ33" s="35"/>
      <c r="ABR33" s="26"/>
      <c r="ABS33"/>
      <c r="ABT33"/>
      <c r="ABU33"/>
      <c r="ABV33"/>
      <c r="ABW33"/>
      <c r="ABX33" s="33"/>
      <c r="ABY33" s="34"/>
      <c r="ABZ33" s="34"/>
      <c r="ACA33" s="35"/>
      <c r="ACB33" s="26"/>
      <c r="ACC33"/>
      <c r="ACD33"/>
      <c r="ACE33"/>
      <c r="ACF33"/>
      <c r="ACG33"/>
      <c r="ACH33" s="33"/>
      <c r="ACI33" s="34"/>
      <c r="ACJ33" s="34"/>
      <c r="ACK33" s="35"/>
      <c r="ACL33" s="26"/>
      <c r="ACM33"/>
      <c r="ACN33"/>
      <c r="ACO33"/>
      <c r="ACP33"/>
      <c r="ACQ33"/>
      <c r="ACR33" s="33"/>
      <c r="ACS33" s="34"/>
      <c r="ACT33" s="34"/>
      <c r="ACU33" s="35"/>
      <c r="ACV33" s="26"/>
      <c r="ADC33" s="2">
        <f>+(ADA33*ACZ33)*ADB33</f>
        <v>0</v>
      </c>
      <c r="ADD33" t="s">
        <v>1720</v>
      </c>
      <c r="ADE33">
        <v>0.25</v>
      </c>
      <c r="ADF33">
        <v>1</v>
      </c>
      <c r="ADG33" s="26">
        <f t="shared" si="19"/>
        <v>0.25</v>
      </c>
      <c r="ADJ33"/>
      <c r="ADK33"/>
      <c r="ADL33"/>
      <c r="ADM33"/>
      <c r="ADN33"/>
      <c r="ADO33">
        <f>+Tabla578914151634353637383940414243444546474849505152535560[[#This Row],[G. Total]]*Tabla578914151634353637383940414243444546474849505152535560[[#This Row],[Recuento]]</f>
        <v>0</v>
      </c>
      <c r="ADP33" s="35">
        <f>+SUM(ADO33:ADO43)</f>
        <v>0</v>
      </c>
      <c r="ADQ33" s="26"/>
      <c r="ADR33"/>
      <c r="ADS33"/>
      <c r="ADT33"/>
      <c r="ADU33"/>
      <c r="ADV33"/>
      <c r="ADW33" s="35"/>
      <c r="ADX33" s="35"/>
      <c r="ADY33"/>
      <c r="ADZ33"/>
      <c r="AEA33"/>
      <c r="AEB33"/>
      <c r="AEC33"/>
      <c r="AED33"/>
      <c r="AEE33" s="35"/>
      <c r="AEF33" s="26"/>
      <c r="AEG33"/>
      <c r="AEH33"/>
      <c r="AEI33"/>
      <c r="AEJ33"/>
      <c r="AEK33"/>
      <c r="AEL33" s="35"/>
      <c r="AEM33" s="35"/>
      <c r="AEN33" t="s">
        <v>1522</v>
      </c>
      <c r="AEO33" t="s">
        <v>1524</v>
      </c>
      <c r="AEP33" t="s">
        <v>381</v>
      </c>
      <c r="AEQ33">
        <v>1.74</v>
      </c>
      <c r="AER33">
        <v>1</v>
      </c>
      <c r="AES33">
        <f>+Tabla5789141516343536373839404142434445464748495051525355606264[[#This Row],[G. Total]]*Tabla5789141516343536373839404142434445464748495051525355606264[[#This Row],[Recuento]]</f>
        <v>1.74</v>
      </c>
      <c r="AET33" s="35"/>
      <c r="AEU33" s="26"/>
      <c r="AEV33"/>
      <c r="AEW33"/>
      <c r="AEX33"/>
      <c r="AEY33"/>
      <c r="AEZ33"/>
      <c r="AFA33" s="35"/>
      <c r="AFB33" s="26"/>
      <c r="AFC33"/>
      <c r="AFD33"/>
      <c r="AFE33"/>
      <c r="AFF33"/>
      <c r="AFG33"/>
      <c r="AFH33"/>
      <c r="AFI33"/>
      <c r="AFJ33"/>
      <c r="AFK33"/>
      <c r="AFL33"/>
      <c r="AFM33"/>
      <c r="AFN33">
        <f>+Tabla578914151634353637383940414243444546474849505152535560626467[[#This Row],[G. Total]]*Tabla578914151634353637383940414243444546474849505152535560626467[[#This Row],[Recuento]]</f>
        <v>0</v>
      </c>
      <c r="AFO33" s="35"/>
      <c r="AFP33" s="26"/>
      <c r="AFQ33" s="2" t="s">
        <v>113</v>
      </c>
      <c r="AFR33" s="2">
        <f>6*2</f>
        <v>12</v>
      </c>
      <c r="AFS33" s="2">
        <f>0.12*4</f>
        <v>0.48</v>
      </c>
      <c r="AFT33" s="2">
        <f>+AFS33*AFR33</f>
        <v>5.76</v>
      </c>
      <c r="AFU33" s="2">
        <v>2</v>
      </c>
      <c r="AFV33" s="2">
        <f>+AFU33*AFR33</f>
        <v>24</v>
      </c>
      <c r="AFX33" s="2" t="s">
        <v>113</v>
      </c>
      <c r="AFY33" s="2">
        <v>24</v>
      </c>
      <c r="AFZ33" s="2">
        <f>0.12*4</f>
        <v>0.48</v>
      </c>
      <c r="AGA33" s="2">
        <f>+AFZ33*AFY33</f>
        <v>11.52</v>
      </c>
      <c r="AGB33" s="2">
        <v>2</v>
      </c>
      <c r="AGC33" s="2">
        <f>+AGB33*AFY33</f>
        <v>48</v>
      </c>
    </row>
    <row r="34" spans="1:861" ht="1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>
        <f>+Tabla5[[#This Row],[Recuento]]*Tabla5[[#This Row],[Volúmen bruto]]</f>
        <v>0</v>
      </c>
      <c r="S34">
        <f>+Tabla5[[#This Row],[Recuento]]*Tabla5[[#This Row],[Área neta]]</f>
        <v>0</v>
      </c>
      <c r="T34">
        <f>+Tabla5[[#This Row],[Longitud nominal]]*Tabla5[[#This Row],[Recuento]]</f>
        <v>0</v>
      </c>
      <c r="U34" s="26"/>
      <c r="V34"/>
      <c r="W34"/>
      <c r="X34"/>
      <c r="Y34"/>
      <c r="Z34"/>
      <c r="AA34"/>
      <c r="AB34"/>
      <c r="AC34"/>
      <c r="AD34"/>
      <c r="AE34"/>
      <c r="AF34"/>
      <c r="AG34" s="26">
        <f t="shared" si="4"/>
        <v>0</v>
      </c>
      <c r="AH34"/>
      <c r="AI34"/>
      <c r="AJ34"/>
      <c r="AK34"/>
      <c r="AL34"/>
      <c r="AM34"/>
      <c r="AN34"/>
      <c r="AO34"/>
      <c r="AP34"/>
      <c r="AQ34"/>
      <c r="AR34"/>
      <c r="AS34" s="26">
        <f t="shared" si="5"/>
        <v>0</v>
      </c>
      <c r="AT34"/>
      <c r="AU34"/>
      <c r="AV34"/>
      <c r="AW34"/>
      <c r="AX34"/>
      <c r="AY34"/>
      <c r="AZ34"/>
      <c r="BA34"/>
      <c r="BB34"/>
      <c r="BC34"/>
      <c r="BD34"/>
      <c r="BE34" s="26">
        <f t="shared" si="6"/>
        <v>0</v>
      </c>
      <c r="BF34">
        <v>9</v>
      </c>
      <c r="BG34" t="s">
        <v>1862</v>
      </c>
      <c r="BH34" t="s">
        <v>1524</v>
      </c>
      <c r="BI34" t="s">
        <v>1406</v>
      </c>
      <c r="BJ34">
        <v>0.9</v>
      </c>
      <c r="BK34" s="37">
        <v>1.5</v>
      </c>
      <c r="BL34">
        <f>+Tabla3102[[#This Row],[En culmo]]*BF34</f>
        <v>13.5</v>
      </c>
      <c r="BM34"/>
      <c r="BN34">
        <v>1</v>
      </c>
      <c r="BO34"/>
      <c r="BP34"/>
      <c r="BQ34"/>
      <c r="BR34"/>
      <c r="BS34"/>
      <c r="BT34">
        <f>+Tabla31069[[#This Row],[Longitud de eje]]*BN34</f>
        <v>0</v>
      </c>
      <c r="BU34"/>
      <c r="BV34">
        <v>2</v>
      </c>
      <c r="BW34" t="s">
        <v>1863</v>
      </c>
      <c r="BX34" t="s">
        <v>1525</v>
      </c>
      <c r="BY34" t="s">
        <v>1406</v>
      </c>
      <c r="BZ34">
        <v>0.6</v>
      </c>
      <c r="CA34">
        <v>1</v>
      </c>
      <c r="CB34">
        <f>+Tabla31011[[#This Row],[En culmo]]*BV34</f>
        <v>2</v>
      </c>
      <c r="CD34">
        <v>2</v>
      </c>
      <c r="CE34" t="s">
        <v>1862</v>
      </c>
      <c r="CF34" t="s">
        <v>1525</v>
      </c>
      <c r="CG34" t="s">
        <v>1405</v>
      </c>
      <c r="CH34">
        <v>3.75</v>
      </c>
      <c r="CI34">
        <v>4</v>
      </c>
      <c r="CJ34">
        <f>+Tabla3101170[[#This Row],[En culmo]]*CD34</f>
        <v>8</v>
      </c>
      <c r="CK34"/>
      <c r="CR34">
        <f>+Tabla31011116[[#This Row],[Longitud de eje]]*CT34</f>
        <v>0</v>
      </c>
      <c r="CT34">
        <v>4</v>
      </c>
      <c r="CU34" t="s">
        <v>1862</v>
      </c>
      <c r="CV34" t="s">
        <v>1383</v>
      </c>
      <c r="CW34" t="s">
        <v>1405</v>
      </c>
      <c r="CX34">
        <v>4.5999999999999996</v>
      </c>
      <c r="CY34">
        <v>4</v>
      </c>
      <c r="CZ34">
        <f>+Tabla3101170117[[#This Row],[En culmo]]*CT34</f>
        <v>16</v>
      </c>
      <c r="DA34"/>
      <c r="DB34">
        <v>2</v>
      </c>
      <c r="DC34" t="s">
        <v>1862</v>
      </c>
      <c r="DD34" t="s">
        <v>1383</v>
      </c>
      <c r="DE34" t="s">
        <v>1723</v>
      </c>
      <c r="DF34">
        <v>1.02</v>
      </c>
      <c r="DG34">
        <f>+Tabla31011704[[#This Row],[Longitud de eje]]*DB34</f>
        <v>2.04</v>
      </c>
      <c r="DH34"/>
      <c r="DI34"/>
      <c r="DJ34"/>
      <c r="DK34"/>
      <c r="DL34"/>
      <c r="DM34"/>
      <c r="DN34">
        <f>+Tabla3101170411[[#This Row],[Longitud de eje]]*DI34</f>
        <v>0</v>
      </c>
      <c r="DO34"/>
      <c r="DP34"/>
      <c r="DQ34"/>
      <c r="DR34"/>
      <c r="DS34"/>
      <c r="DT34"/>
      <c r="DU34">
        <f>+Tabla3101170411120[[#This Row],[Longitud de eje]]*DP34</f>
        <v>0</v>
      </c>
      <c r="DV34"/>
      <c r="DW34"/>
      <c r="DX34"/>
      <c r="DY34"/>
      <c r="DZ34"/>
      <c r="EA34"/>
      <c r="EB34">
        <f>+Tabla3101170411120122[[#This Row],[Longitud de eje]]*DW34</f>
        <v>0</v>
      </c>
      <c r="EC34"/>
      <c r="ED34">
        <v>3</v>
      </c>
      <c r="EE34" t="s">
        <v>1862</v>
      </c>
      <c r="EF34" t="s">
        <v>1524</v>
      </c>
      <c r="EG34" t="s">
        <v>1406</v>
      </c>
      <c r="EH34">
        <v>1.1399999999999999</v>
      </c>
      <c r="EI34">
        <v>1.5</v>
      </c>
      <c r="EJ34">
        <f>+Tabla3101112[[#This Row],[En culmo]]*ED34</f>
        <v>4.5</v>
      </c>
      <c r="EK34"/>
      <c r="EL34"/>
      <c r="EM34"/>
      <c r="EN34"/>
      <c r="EO34"/>
      <c r="EP34"/>
      <c r="EQ34"/>
      <c r="ER34">
        <f>+Tabla3101112123[[#This Row],[En culmo]]*EL34</f>
        <v>0</v>
      </c>
      <c r="ES34"/>
      <c r="ET34">
        <v>1</v>
      </c>
      <c r="EU34" t="s">
        <v>1862</v>
      </c>
      <c r="EV34" t="s">
        <v>1525</v>
      </c>
      <c r="EW34" t="s">
        <v>1406</v>
      </c>
      <c r="EX34">
        <v>2.7</v>
      </c>
      <c r="EY34">
        <v>3</v>
      </c>
      <c r="EZ34">
        <f>+Tabla310111257[[#This Row],[En culmo]]*ET34</f>
        <v>3</v>
      </c>
      <c r="FA34"/>
      <c r="FB34"/>
      <c r="FC34"/>
      <c r="FD34"/>
      <c r="FE34"/>
      <c r="FF34"/>
      <c r="FG34">
        <v>3</v>
      </c>
      <c r="FH34">
        <f>+Tabla310111257124[[#This Row],[En culmo]]*FB34</f>
        <v>0</v>
      </c>
      <c r="FI34"/>
      <c r="FK34"/>
      <c r="FL34"/>
      <c r="FM34"/>
      <c r="FN34"/>
      <c r="FO34"/>
      <c r="FP34"/>
      <c r="FQ34"/>
      <c r="FS34"/>
      <c r="FT34"/>
      <c r="FU34"/>
      <c r="FV34"/>
      <c r="FW34"/>
      <c r="FX34"/>
      <c r="FY34"/>
      <c r="GA34"/>
      <c r="GB34"/>
      <c r="GC34"/>
      <c r="GD34"/>
      <c r="GE34"/>
      <c r="GF34"/>
      <c r="GG34"/>
      <c r="GI34"/>
      <c r="GJ34"/>
      <c r="GK34"/>
      <c r="GL34"/>
      <c r="GM34"/>
      <c r="GN34"/>
      <c r="GO34"/>
      <c r="GQ34"/>
      <c r="GR34"/>
      <c r="GS34"/>
      <c r="GT34"/>
      <c r="GU34"/>
      <c r="GV34">
        <v>1</v>
      </c>
      <c r="GW34">
        <f>+Tabla578914[[#This Row],[Recuento]]*Tabla578914[[#This Row],[Volúmen bruto]]</f>
        <v>0</v>
      </c>
      <c r="GX34">
        <f>+Tabla578914[[#This Row],[Recuento]]*Tabla578914[[#This Row],[Área neta]]</f>
        <v>0</v>
      </c>
      <c r="GY34" s="36"/>
      <c r="HA34" t="s">
        <v>1863</v>
      </c>
      <c r="HB34" t="s">
        <v>1383</v>
      </c>
      <c r="HC34" t="s">
        <v>98</v>
      </c>
      <c r="HD34">
        <v>0.01</v>
      </c>
      <c r="HE34">
        <v>11.25</v>
      </c>
      <c r="HF34">
        <v>1</v>
      </c>
      <c r="HG34">
        <f>+Tabla578914126[[#This Row],[Recuento]]*Tabla578914126[[#This Row],[Volúmen bruto]]</f>
        <v>0.01</v>
      </c>
      <c r="HH34">
        <f>+Tabla578914126[[#This Row],[Recuento]]*Tabla578914126[[#This Row],[Área neta]]</f>
        <v>11.25</v>
      </c>
      <c r="HI34" s="36"/>
      <c r="HK34"/>
      <c r="HL34"/>
      <c r="HM34"/>
      <c r="HN34"/>
      <c r="HO34"/>
      <c r="HP34">
        <v>1</v>
      </c>
      <c r="HQ34">
        <f>+Tabla578914126127[[#This Row],[Recuento]]*Tabla578914126127[[#This Row],[Volúmen bruto]]</f>
        <v>0</v>
      </c>
      <c r="HR34">
        <f>+Tabla578914126127[[#This Row],[Recuento]]*Tabla578914126127[[#This Row],[Área neta]]</f>
        <v>0</v>
      </c>
      <c r="HS34" s="36"/>
      <c r="HT34" s="26"/>
      <c r="HU34"/>
      <c r="HV34"/>
      <c r="HW34"/>
      <c r="HX34"/>
      <c r="HY34"/>
      <c r="HZ34"/>
      <c r="IA34"/>
      <c r="IB34"/>
      <c r="IC34" s="36"/>
      <c r="ID34" s="26"/>
      <c r="IE34"/>
      <c r="IF34"/>
      <c r="IG34"/>
      <c r="IH34"/>
      <c r="II34"/>
      <c r="IJ34"/>
      <c r="IK34"/>
      <c r="IL34"/>
      <c r="IM34" s="36"/>
      <c r="IN34" s="26"/>
      <c r="IO34"/>
      <c r="IP34"/>
      <c r="IQ34"/>
      <c r="IR34"/>
      <c r="IS34"/>
      <c r="IT34"/>
      <c r="IU34" s="37"/>
      <c r="IV34" s="37">
        <f>+Tabla520212223[[#This Row],[Recuento]]*Tabla520212223[[#This Row],[Área neta]]</f>
        <v>0</v>
      </c>
      <c r="IW34" s="26">
        <f t="shared" si="0"/>
        <v>0</v>
      </c>
      <c r="IY34"/>
      <c r="IZ34"/>
      <c r="JA34"/>
      <c r="JB34"/>
      <c r="JC34"/>
      <c r="JD34">
        <v>1</v>
      </c>
      <c r="JE34">
        <f>+Tabla520212224[[#This Row],[Recuento]]*Tabla520212224[[#This Row],[Volúmen bruto]]</f>
        <v>0</v>
      </c>
      <c r="JF34">
        <f>+Tabla520212224[[#This Row],[Recuento]]*Tabla520212224[[#This Row],[Área neta]]</f>
        <v>0</v>
      </c>
      <c r="JG34" s="26"/>
      <c r="JI34" t="s">
        <v>1862</v>
      </c>
      <c r="JJ34" t="s">
        <v>1525</v>
      </c>
      <c r="JK34" t="s">
        <v>1677</v>
      </c>
      <c r="JL34">
        <v>0.01</v>
      </c>
      <c r="JM34">
        <v>7.77</v>
      </c>
      <c r="JN34">
        <v>1</v>
      </c>
      <c r="JO34">
        <f>+Tabla52021222425[[#This Row],[Recuento]]*Tabla52021222425[[#This Row],[Volúmen bruto]]</f>
        <v>0.01</v>
      </c>
      <c r="JP34">
        <f>+Tabla52021222425[[#This Row],[Recuento]]*Tabla52021222425[[#This Row],[Área neta]]</f>
        <v>7.77</v>
      </c>
      <c r="JQ34" s="26"/>
      <c r="JS34" t="s">
        <v>1862</v>
      </c>
      <c r="JT34" t="s">
        <v>1525</v>
      </c>
      <c r="JU34" t="s">
        <v>1679</v>
      </c>
      <c r="JV34">
        <v>0</v>
      </c>
      <c r="JW34">
        <v>3.04</v>
      </c>
      <c r="JX34">
        <v>1</v>
      </c>
      <c r="JY34">
        <f>+Tabla5202122242526[[#This Row],[Recuento]]*Tabla5202122242526[[#This Row],[Volúmen bruto]]</f>
        <v>0</v>
      </c>
      <c r="JZ34">
        <f>+Tabla5202122242526[[#This Row],[Recuento]]*Tabla5202122242526[[#This Row],[Área neta]]</f>
        <v>3.04</v>
      </c>
      <c r="KA34" s="26"/>
      <c r="KC34"/>
      <c r="KD34"/>
      <c r="KE34"/>
      <c r="KF34"/>
      <c r="KG34"/>
      <c r="KH34"/>
      <c r="KI34">
        <f>+Tabla5202122242526104[[#This Row],[Recuento]]*Tabla5202122242526104[[#This Row],[Volúmen bruto]]</f>
        <v>0</v>
      </c>
      <c r="KJ34">
        <f>+Tabla5202122242526104[[#This Row],[Recuento]]*Tabla5202122242526104[[#This Row],[Área neta]]</f>
        <v>0</v>
      </c>
      <c r="KK34" s="26"/>
      <c r="KM34" t="s">
        <v>1862</v>
      </c>
      <c r="KN34" t="s">
        <v>1524</v>
      </c>
      <c r="KO34" t="s">
        <v>98</v>
      </c>
      <c r="KP34">
        <v>0</v>
      </c>
      <c r="KQ34">
        <v>1.03</v>
      </c>
      <c r="KR34">
        <v>1</v>
      </c>
      <c r="KS34">
        <f>+Tabla5202122242526104110[[#This Row],[Recuento]]*Tabla5202122242526104110[[#This Row],[Volúmen bruto]]</f>
        <v>0</v>
      </c>
      <c r="KT34">
        <f>+Tabla5202122242526104110[[#This Row],[Recuento]]*Tabla5202122242526104110[[#This Row],[Área neta]]</f>
        <v>1.03</v>
      </c>
      <c r="KU34" s="26">
        <f>+SUM(KT34:KT41)</f>
        <v>23.53</v>
      </c>
      <c r="KW34"/>
      <c r="KX34"/>
      <c r="KY34"/>
      <c r="KZ34"/>
      <c r="LA34"/>
      <c r="LB34"/>
      <c r="LC34">
        <f>+Tabla520212224252659[[#This Row],[Recuento]]*Tabla520212224252659[[#This Row],[Volúmen bruto]]</f>
        <v>0</v>
      </c>
      <c r="LD34">
        <f>+Tabla520212224252659[[#This Row],[Recuento]]*Tabla520212224252659[[#This Row],[Área neta]]</f>
        <v>0</v>
      </c>
      <c r="LE34" s="26"/>
      <c r="LG34"/>
      <c r="LH34"/>
      <c r="LI34"/>
      <c r="LJ34"/>
      <c r="LK34"/>
      <c r="LL34"/>
      <c r="LM34">
        <f>+Tabla520212224252659111[[#This Row],[Recuento]]*Tabla520212224252659111[[#This Row],[Volúmen bruto]]</f>
        <v>0</v>
      </c>
      <c r="LN34">
        <f>+Tabla520212224252659111[[#This Row],[Recuento]]*Tabla520212224252659111[[#This Row],[Área neta]]</f>
        <v>0</v>
      </c>
      <c r="LO34" s="26"/>
      <c r="LQ34"/>
      <c r="LR34"/>
      <c r="LS34"/>
      <c r="LT34"/>
      <c r="LU34"/>
      <c r="LV34"/>
      <c r="LW34">
        <f>+Tabla520212224252659111114[[#This Row],[Recuento]]*Tabla520212224252659111114[[#This Row],[Volúmen bruto]]</f>
        <v>0</v>
      </c>
      <c r="LX34">
        <f>+Tabla520212224252659111114[[#This Row],[Recuento]]*Tabla520212224252659111114[[#This Row],[Área neta]]</f>
        <v>0</v>
      </c>
      <c r="LY34" s="26"/>
      <c r="MA34" t="s">
        <v>1862</v>
      </c>
      <c r="MB34" t="s">
        <v>1525</v>
      </c>
      <c r="MC34" t="s">
        <v>98</v>
      </c>
      <c r="MD34">
        <v>0.01</v>
      </c>
      <c r="ME34">
        <v>6.19</v>
      </c>
      <c r="MF34">
        <v>2</v>
      </c>
      <c r="MG34">
        <f>+Tabla520212224252659111114128[[#This Row],[Recuento]]*Tabla520212224252659111114128[[#This Row],[Volúmen bruto]]</f>
        <v>0.02</v>
      </c>
      <c r="MH34">
        <f>+Tabla520212224252659111114128[[#This Row],[Recuento]]*Tabla520212224252659111114128[[#This Row],[Área neta]]</f>
        <v>12.38</v>
      </c>
      <c r="MI34" s="26"/>
      <c r="MK34"/>
      <c r="ML34"/>
      <c r="MM34"/>
      <c r="MN34"/>
      <c r="MO34"/>
      <c r="MP34"/>
      <c r="MQ34">
        <f>+Tabla520212224252627[[#This Row],[Recuento]]*Tabla520212224252627[[#This Row],[Volúmen bruto]]</f>
        <v>0</v>
      </c>
      <c r="MR34">
        <f>+Tabla520212224252627[[#This Row],[Recuento]]*Tabla520212224252627[[#This Row],[Área neta]]</f>
        <v>0</v>
      </c>
      <c r="MS34" s="26"/>
      <c r="MU34"/>
      <c r="MV34"/>
      <c r="MW34"/>
      <c r="MX34"/>
      <c r="MY34"/>
      <c r="MZ34"/>
      <c r="NA34">
        <f>+Tabla520212224252627129[[#This Row],[Recuento]]*Tabla520212224252627129[[#This Row],[Volúmen bruto]]</f>
        <v>0</v>
      </c>
      <c r="NB34">
        <f>+Tabla520212224252627129[[#This Row],[Recuento]]*Tabla520212224252627129[[#This Row],[Área neta]]</f>
        <v>0</v>
      </c>
      <c r="NC34" s="26"/>
      <c r="NE34"/>
      <c r="NF34"/>
      <c r="NG34"/>
      <c r="NH34"/>
      <c r="NI34"/>
      <c r="NJ34"/>
      <c r="NK34">
        <f>+Tabla520212224252627129125[[#This Row],[Recuento]]*Tabla520212224252627129125[[#This Row],[Volúmen bruto]]</f>
        <v>0</v>
      </c>
      <c r="NL34">
        <f>+Tabla520212224252627129125[[#This Row],[Recuento]]*Tabla520212224252627129125[[#This Row],[Área neta]]</f>
        <v>0</v>
      </c>
      <c r="NM34" s="26"/>
      <c r="NO34"/>
      <c r="NP34"/>
      <c r="NQ34"/>
      <c r="NR34"/>
      <c r="NS34"/>
      <c r="NT34"/>
      <c r="NU34">
        <f>+Tabla520212224252627129125130[[#This Row],[Recuento]]*Tabla520212224252627129125130[[#This Row],[Volúmen bruto]]</f>
        <v>0</v>
      </c>
      <c r="NV34">
        <f>+Tabla520212224252627129125130[[#This Row],[Recuento]]*Tabla520212224252627129125130[[#This Row],[Área neta]]</f>
        <v>0</v>
      </c>
      <c r="NW34" s="26"/>
      <c r="NY34"/>
      <c r="NZ34"/>
      <c r="OA34"/>
      <c r="OB34"/>
      <c r="OC34"/>
      <c r="OD34"/>
      <c r="OE34">
        <f>+Tabla520212224252627129125130131[[#This Row],[Recuento]]*Tabla520212224252627129125130131[[#This Row],[Volúmen bruto]]</f>
        <v>0</v>
      </c>
      <c r="OF34">
        <f>+Tabla520212224252627129125130131[[#This Row],[Recuento]]*Tabla520212224252627129125130131[[#This Row],[Área neta]]</f>
        <v>0</v>
      </c>
      <c r="OG34" s="26"/>
      <c r="OI34"/>
      <c r="OJ34"/>
      <c r="OK34"/>
      <c r="OL34"/>
      <c r="OM34"/>
      <c r="ON34"/>
      <c r="OO34">
        <f>+Tabla520212224252627129125130131132[[#This Row],[Recuento]]*Tabla520212224252627129125130131132[[#This Row],[Volúmen bruto]]</f>
        <v>0</v>
      </c>
      <c r="OP34">
        <f>+Tabla520212224252627129125130131132[[#This Row],[Recuento]]*Tabla520212224252627129125130131132[[#This Row],[Área neta]]</f>
        <v>0</v>
      </c>
      <c r="OQ34" s="26"/>
      <c r="OS34"/>
      <c r="OT34"/>
      <c r="OU34"/>
      <c r="OV34"/>
      <c r="OW34"/>
      <c r="OX34"/>
      <c r="OY34">
        <f>+Tabla52021222425262728[[#This Row],[Recuento]]*Tabla52021222425262728[[#This Row],[Volúmen bruto]]</f>
        <v>0</v>
      </c>
      <c r="OZ34">
        <f>+Tabla52021222425262728[[#This Row],[Recuento]]*Tabla52021222425262728[[#This Row],[Área neta]]</f>
        <v>0</v>
      </c>
      <c r="PA34" s="26"/>
      <c r="PC34" t="s">
        <v>1862</v>
      </c>
      <c r="PD34" t="s">
        <v>1525</v>
      </c>
      <c r="PE34" t="s">
        <v>97</v>
      </c>
      <c r="PF34">
        <v>0.04</v>
      </c>
      <c r="PG34">
        <v>1.76</v>
      </c>
      <c r="PH34">
        <v>1</v>
      </c>
      <c r="PI34">
        <f>+Tabla52021222425262728133[[#This Row],[Recuento]]*Tabla52021222425262728133[[#This Row],[Volúmen bruto]]</f>
        <v>0.04</v>
      </c>
      <c r="PJ34">
        <f>+Tabla52021222425262728133[[#This Row],[Recuento]]*Tabla52021222425262728133[[#This Row],[Área neta]]</f>
        <v>1.76</v>
      </c>
      <c r="PK34" s="26"/>
      <c r="PM34"/>
      <c r="PN34"/>
      <c r="PO34"/>
      <c r="PP34"/>
      <c r="PQ34"/>
      <c r="PR34"/>
      <c r="PS34">
        <f>+Tabla5202122242526272893[[#This Row],[Recuento]]*Tabla5202122242526272893[[#This Row],[Volúmen bruto]]</f>
        <v>0</v>
      </c>
      <c r="PT34">
        <f>+Tabla5202122242526272893[[#This Row],[Recuento]]*Tabla5202122242526272893[[#This Row],[Área neta]]</f>
        <v>0</v>
      </c>
      <c r="PU34" s="26"/>
      <c r="PW34" t="s">
        <v>1862</v>
      </c>
      <c r="PX34" t="s">
        <v>1525</v>
      </c>
      <c r="PY34" t="s">
        <v>98</v>
      </c>
      <c r="PZ34">
        <v>0</v>
      </c>
      <c r="QA34">
        <v>3.8</v>
      </c>
      <c r="QB34">
        <v>1</v>
      </c>
      <c r="QC34">
        <f>+Tabla520212224252627289349[[#This Row],[Recuento]]*Tabla520212224252627289349[[#This Row],[Volúmen bruto]]</f>
        <v>0</v>
      </c>
      <c r="QD34">
        <f>+Tabla520212224252627289349[[#This Row],[Recuento]]*Tabla520212224252627289349[[#This Row],[Área neta]]</f>
        <v>3.8</v>
      </c>
      <c r="QE34" s="26"/>
      <c r="QG34"/>
      <c r="QH34"/>
      <c r="QI34"/>
      <c r="QJ34"/>
      <c r="QK34"/>
      <c r="QL34"/>
      <c r="QM34">
        <f>+Tabla520212224252627289349134[[#This Row],[Recuento]]*Tabla520212224252627289349134[[#This Row],[Volúmen bruto]]</f>
        <v>0</v>
      </c>
      <c r="QN34">
        <f>+Tabla520212224252627289349134[[#This Row],[Recuento]]*Tabla520212224252627289349134[[#This Row],[Área neta]]</f>
        <v>0</v>
      </c>
      <c r="QO34" s="26"/>
      <c r="QQ34" t="s">
        <v>1863</v>
      </c>
      <c r="QR34" t="s">
        <v>1524</v>
      </c>
      <c r="QS34" t="s">
        <v>1726</v>
      </c>
      <c r="QT34">
        <v>0.12</v>
      </c>
      <c r="QU34">
        <v>0.62</v>
      </c>
      <c r="QV34">
        <v>2</v>
      </c>
      <c r="QW34">
        <v>1</v>
      </c>
      <c r="QX34">
        <f>+Tabla5202122242526272829[[#This Row],[Recuento]]*Tabla5202122242526272829[[#This Row],[Volúmen bruto]]</f>
        <v>0.12</v>
      </c>
      <c r="QY34">
        <f>+Tabla5202122242526272829[[#This Row],[Recuento]]*Tabla5202122242526272829[[#This Row],[Área neta]]</f>
        <v>0.62</v>
      </c>
      <c r="QZ34">
        <f>+Tabla5202122242526272829[[#This Row],[Recuento]]*Tabla5202122242526272829[[#This Row],[Longitud]]</f>
        <v>2</v>
      </c>
      <c r="RA34" s="26">
        <f>+SUM(QY34:QY63)</f>
        <v>36.5</v>
      </c>
      <c r="RC34"/>
      <c r="RD34"/>
      <c r="RE34"/>
      <c r="RF34"/>
      <c r="RG34"/>
      <c r="RH34"/>
      <c r="RI34"/>
      <c r="RJ34"/>
      <c r="RK34" s="26"/>
      <c r="RM34"/>
      <c r="RN34"/>
      <c r="RO34"/>
      <c r="RP34"/>
      <c r="RQ34"/>
      <c r="RR34"/>
      <c r="RS34"/>
      <c r="RT34"/>
      <c r="RU34" s="26">
        <f t="shared" si="7"/>
        <v>0</v>
      </c>
      <c r="RW34"/>
      <c r="RX34"/>
      <c r="RY34"/>
      <c r="RZ34"/>
      <c r="SA34"/>
      <c r="SB34"/>
      <c r="SC34"/>
      <c r="SD34"/>
      <c r="SE34" s="26"/>
      <c r="SG34"/>
      <c r="SH34"/>
      <c r="SI34"/>
      <c r="SJ34"/>
      <c r="SK34"/>
      <c r="SL34"/>
      <c r="SM34">
        <f>+Tabla5202122242526272831323314[[#This Row],[Recuento]]*Tabla5202122242526272831323314[[#This Row],[Volúmen bruto]]</f>
        <v>0</v>
      </c>
      <c r="SN34">
        <f>+Tabla5202122242526272831323314[[#This Row],[Recuento]]*Tabla5202122242526272831323314[[#This Row],[Área neta]]</f>
        <v>0</v>
      </c>
      <c r="SO34" s="26"/>
      <c r="SQ34" t="s">
        <v>1862</v>
      </c>
      <c r="SR34" t="s">
        <v>1524</v>
      </c>
      <c r="SS34" t="s">
        <v>1627</v>
      </c>
      <c r="ST34">
        <v>1.1499999999999999</v>
      </c>
      <c r="SU34">
        <v>5.75</v>
      </c>
      <c r="SV34">
        <v>1</v>
      </c>
      <c r="SW34" s="34">
        <f>+Tabla5789141516[[#This Row],[Recuento]]*Tabla5789141516[[#This Row],[Volúmen bruto]]</f>
        <v>1.1499999999999999</v>
      </c>
      <c r="SX34" s="34">
        <f>+Tabla5789141516[[#This Row],[Recuento]]*Tabla5789141516[[#This Row],[Área neta]]</f>
        <v>5.75</v>
      </c>
      <c r="SY34" s="36"/>
      <c r="SZ34" s="26"/>
      <c r="TA34"/>
      <c r="TB34"/>
      <c r="TC34"/>
      <c r="TD34"/>
      <c r="TE34"/>
      <c r="TF34"/>
      <c r="TG34"/>
      <c r="TH34"/>
      <c r="TI34" s="36">
        <f t="shared" si="8"/>
        <v>0</v>
      </c>
      <c r="TJ34" s="26"/>
      <c r="TK34"/>
      <c r="TL34"/>
      <c r="TM34"/>
      <c r="TN34"/>
      <c r="TO34"/>
      <c r="TP34"/>
      <c r="TQ34"/>
      <c r="TR34"/>
      <c r="TS34" s="36">
        <f t="shared" si="9"/>
        <v>0</v>
      </c>
      <c r="TT34" s="26"/>
      <c r="TU34"/>
      <c r="TV34"/>
      <c r="TW34"/>
      <c r="TX34"/>
      <c r="TY34"/>
      <c r="TZ34"/>
      <c r="UA34"/>
      <c r="UB34"/>
      <c r="UC34" s="36">
        <f t="shared" si="10"/>
        <v>0</v>
      </c>
      <c r="UD34" s="26"/>
      <c r="UE34"/>
      <c r="UF34"/>
      <c r="UG34"/>
      <c r="UH34"/>
      <c r="UI34"/>
      <c r="UJ34"/>
      <c r="UK34"/>
      <c r="UL34"/>
      <c r="UM34" s="36">
        <f t="shared" si="11"/>
        <v>0</v>
      </c>
      <c r="UN34" s="26"/>
      <c r="UO34"/>
      <c r="UP34"/>
      <c r="UQ34"/>
      <c r="UR34"/>
      <c r="US34"/>
      <c r="UT34"/>
      <c r="UU34"/>
      <c r="UV34"/>
      <c r="UW34" s="36">
        <f t="shared" si="12"/>
        <v>0</v>
      </c>
      <c r="UX34" s="26"/>
      <c r="UY34"/>
      <c r="UZ34"/>
      <c r="VA34"/>
      <c r="VB34"/>
      <c r="VC34"/>
      <c r="VD34"/>
      <c r="VE34"/>
      <c r="VF34"/>
      <c r="VG34" s="36">
        <f t="shared" si="13"/>
        <v>0</v>
      </c>
      <c r="VH34" s="26"/>
      <c r="VI34"/>
      <c r="VJ34"/>
      <c r="VK34"/>
      <c r="VL34"/>
      <c r="VM34"/>
      <c r="VN34"/>
      <c r="VO34"/>
      <c r="VP34"/>
      <c r="VQ34" s="36">
        <f t="shared" si="14"/>
        <v>0</v>
      </c>
      <c r="VR34" s="26"/>
      <c r="VS34"/>
      <c r="VT34"/>
      <c r="VU34"/>
      <c r="VV34"/>
      <c r="VW34"/>
      <c r="VX34"/>
      <c r="VY34"/>
      <c r="VZ34"/>
      <c r="WA34" s="36">
        <f t="shared" si="15"/>
        <v>0</v>
      </c>
      <c r="WB34" s="26"/>
      <c r="WC34"/>
      <c r="WD34"/>
      <c r="WE34"/>
      <c r="WF34"/>
      <c r="WG34"/>
      <c r="WH34"/>
      <c r="WI34"/>
      <c r="WJ34"/>
      <c r="WK34" s="36">
        <f t="shared" si="16"/>
        <v>0</v>
      </c>
      <c r="WL34" s="26"/>
      <c r="WM34"/>
      <c r="WN34"/>
      <c r="WO34"/>
      <c r="WP34"/>
      <c r="WQ34"/>
      <c r="WR34"/>
      <c r="WS34"/>
      <c r="WT34"/>
      <c r="WU34" s="36">
        <f t="shared" si="17"/>
        <v>0</v>
      </c>
      <c r="WV34" s="26"/>
      <c r="WW34"/>
      <c r="WX34"/>
      <c r="WY34"/>
      <c r="WZ34"/>
      <c r="XA34"/>
      <c r="XB34"/>
      <c r="XC34"/>
      <c r="XD34"/>
      <c r="XE34" s="36">
        <f t="shared" si="18"/>
        <v>0</v>
      </c>
      <c r="XF34" s="26"/>
      <c r="XG34"/>
      <c r="XH34"/>
      <c r="XI34"/>
      <c r="XJ34"/>
      <c r="XK34"/>
      <c r="XL34"/>
      <c r="XM34" s="34">
        <f>+Tabla578914151634353637383940414243444536[[#This Row],[Recuento]]*Tabla578914151634353637383940414243444536[[#This Row],[Volúmen bruto]]</f>
        <v>0</v>
      </c>
      <c r="XN34" s="34">
        <f>+Tabla578914151634353637383940414243444536[[#This Row],[Recuento]]*Tabla578914151634353637383940414243444536[[#This Row],[Área neta]]</f>
        <v>0</v>
      </c>
      <c r="XO34" s="35"/>
      <c r="XP34" s="26"/>
      <c r="XQ34"/>
      <c r="XR34"/>
      <c r="XS34"/>
      <c r="XT34"/>
      <c r="XU34"/>
      <c r="XV34" s="33"/>
      <c r="XW34" s="34"/>
      <c r="XX34" s="34"/>
      <c r="XY34" s="35"/>
      <c r="XZ34" s="26"/>
      <c r="YA34"/>
      <c r="YB34"/>
      <c r="YC34"/>
      <c r="YD34"/>
      <c r="YE34"/>
      <c r="YF34" s="33"/>
      <c r="YG34" s="34"/>
      <c r="YH34" s="34"/>
      <c r="YI34" s="35"/>
      <c r="YJ34" s="35"/>
      <c r="YK34"/>
      <c r="YL34"/>
      <c r="YM34"/>
      <c r="YN34"/>
      <c r="YO34"/>
      <c r="YQ34"/>
      <c r="YR34"/>
      <c r="YS34"/>
      <c r="YT34"/>
      <c r="YU34"/>
      <c r="YV34" s="33"/>
      <c r="YW34" s="34"/>
      <c r="YX34" s="34"/>
      <c r="YY34" s="35"/>
      <c r="YZ34" s="26"/>
      <c r="ZA34"/>
      <c r="ZB34"/>
      <c r="ZC34"/>
      <c r="ZD34"/>
      <c r="ZE34"/>
      <c r="ZF34" s="33"/>
      <c r="ZG34" s="34"/>
      <c r="ZH34" s="34"/>
      <c r="ZI34" s="35"/>
      <c r="ZJ34" s="26"/>
      <c r="ZK34"/>
      <c r="ZL34"/>
      <c r="ZM34"/>
      <c r="ZN34"/>
      <c r="ZO34"/>
      <c r="ZP34" s="33"/>
      <c r="ZQ34" s="34"/>
      <c r="ZR34" s="34"/>
      <c r="ZS34" s="35"/>
      <c r="ZT34" s="26"/>
      <c r="ZU34"/>
      <c r="ZV34"/>
      <c r="ZW34"/>
      <c r="ZX34"/>
      <c r="ZY34"/>
      <c r="ZZ34" s="33"/>
      <c r="AAA34" s="34"/>
      <c r="AAB34" s="34"/>
      <c r="AAC34" s="35"/>
      <c r="AAD34" s="26"/>
      <c r="AAE34"/>
      <c r="AAF34"/>
      <c r="AAG34"/>
      <c r="AAH34"/>
      <c r="AAI34"/>
      <c r="AAJ34" s="33"/>
      <c r="AAK34" s="34"/>
      <c r="AAL34" s="34"/>
      <c r="AAM34" s="35"/>
      <c r="AAN34" s="26"/>
      <c r="AAO34"/>
      <c r="AAP34"/>
      <c r="AAW34" s="36">
        <f t="shared" si="20"/>
        <v>0</v>
      </c>
      <c r="AAX34" s="26"/>
      <c r="AAY34"/>
      <c r="AAZ34"/>
      <c r="ABA34"/>
      <c r="ABB34"/>
      <c r="ABC34"/>
      <c r="ABD34" s="33"/>
      <c r="ABE34" s="34"/>
      <c r="ABF34" s="34"/>
      <c r="ABG34" s="35"/>
      <c r="ABH34" s="26"/>
      <c r="ABI34"/>
      <c r="ABJ34"/>
      <c r="ABK34"/>
      <c r="ABL34"/>
      <c r="ABM34"/>
      <c r="ABN34" s="33"/>
      <c r="ABO34" s="34"/>
      <c r="ABP34" s="34"/>
      <c r="ABQ34" s="35"/>
      <c r="ABR34" s="26"/>
      <c r="ABS34"/>
      <c r="ABT34"/>
      <c r="ABU34"/>
      <c r="ABV34"/>
      <c r="ABW34"/>
      <c r="ABX34" s="33"/>
      <c r="ABY34" s="34"/>
      <c r="ABZ34" s="34"/>
      <c r="ACA34" s="35"/>
      <c r="ACB34" s="26"/>
      <c r="ACC34"/>
      <c r="ACD34"/>
      <c r="ACE34"/>
      <c r="ACF34"/>
      <c r="ACG34"/>
      <c r="ACH34" s="33"/>
      <c r="ACI34" s="34"/>
      <c r="ACJ34" s="34"/>
      <c r="ACK34" s="35"/>
      <c r="ACL34" s="26"/>
      <c r="ACM34"/>
      <c r="ACN34"/>
      <c r="ACO34"/>
      <c r="ACP34"/>
      <c r="ACQ34"/>
      <c r="ACR34" s="33"/>
      <c r="ACS34" s="34"/>
      <c r="ACT34" s="34"/>
      <c r="ACU34" s="35"/>
      <c r="ACV34" s="26"/>
      <c r="ACW34" s="146" t="s">
        <v>1931</v>
      </c>
      <c r="ACX34" s="29"/>
      <c r="ACY34" s="146"/>
      <c r="ACZ34" s="146"/>
      <c r="ADA34" s="29" t="s">
        <v>40</v>
      </c>
      <c r="ADB34" s="29">
        <f>SUM(ADB36:ADB156)</f>
        <v>32.055000000000007</v>
      </c>
      <c r="ADC34" s="2" t="e">
        <f>+(ADA34*ACZ34)*ADB34</f>
        <v>#VALUE!</v>
      </c>
      <c r="ADD34"/>
      <c r="ADE34"/>
      <c r="ADF34"/>
      <c r="ADG34" s="26">
        <f t="shared" si="19"/>
        <v>0</v>
      </c>
      <c r="ADJ34"/>
      <c r="ADK34"/>
      <c r="ADL34"/>
      <c r="ADM34"/>
      <c r="ADN34"/>
      <c r="ADO34">
        <f>+Tabla578914151634353637383940414243444546474849505152535560[[#This Row],[G. Total]]*Tabla578914151634353637383940414243444546474849505152535560[[#This Row],[Recuento]]</f>
        <v>0</v>
      </c>
      <c r="ADP34" s="35"/>
      <c r="ADQ34" s="26"/>
      <c r="ADR34"/>
      <c r="ADS34"/>
      <c r="ADT34"/>
      <c r="ADU34"/>
      <c r="ADV34"/>
      <c r="ADW34" s="35"/>
      <c r="ADX34" s="35"/>
      <c r="ADY34"/>
      <c r="ADZ34"/>
      <c r="AEA34"/>
      <c r="AEB34"/>
      <c r="AEC34"/>
      <c r="AED34"/>
      <c r="AEE34" s="35"/>
      <c r="AEF34" s="26"/>
      <c r="AEG34"/>
      <c r="AEH34"/>
      <c r="AEI34"/>
      <c r="AEJ34"/>
      <c r="AEK34"/>
      <c r="AEL34" s="35"/>
      <c r="AEM34" s="35"/>
      <c r="AEN34" t="s">
        <v>1522</v>
      </c>
      <c r="AEO34" t="s">
        <v>1524</v>
      </c>
      <c r="AEP34" t="s">
        <v>381</v>
      </c>
      <c r="AEQ34">
        <v>0.23</v>
      </c>
      <c r="AER34">
        <v>1</v>
      </c>
      <c r="AES34">
        <f>+Tabla5789141516343536373839404142434445464748495051525355606264[[#This Row],[G. Total]]*Tabla5789141516343536373839404142434445464748495051525355606264[[#This Row],[Recuento]]</f>
        <v>0.23</v>
      </c>
      <c r="AET34" s="35"/>
      <c r="AEU34" s="26"/>
      <c r="AEV34"/>
      <c r="AEW34"/>
      <c r="AEX34"/>
      <c r="AEY34"/>
      <c r="AEZ34"/>
      <c r="AFA34" s="35"/>
      <c r="AFB34" s="26"/>
      <c r="AFC34"/>
      <c r="AFD34"/>
      <c r="AFE34"/>
      <c r="AFF34"/>
      <c r="AFG34"/>
      <c r="AFH34"/>
      <c r="AFI34"/>
      <c r="AFJ34"/>
      <c r="AFK34"/>
      <c r="AFL34"/>
      <c r="AFM34"/>
      <c r="AFN34">
        <f>+Tabla578914151634353637383940414243444546474849505152535560626467[[#This Row],[G. Total]]*Tabla578914151634353637383940414243444546474849505152535560626467[[#This Row],[Recuento]]</f>
        <v>0</v>
      </c>
      <c r="AFO34" s="35"/>
      <c r="AFP34" s="26"/>
      <c r="AFQ34" s="2" t="s">
        <v>114</v>
      </c>
      <c r="AFX34" s="2" t="s">
        <v>114</v>
      </c>
    </row>
    <row r="35" spans="1:861" ht="1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>
        <f>+Tabla5[[#This Row],[Recuento]]*Tabla5[[#This Row],[Volúmen bruto]]</f>
        <v>0</v>
      </c>
      <c r="S35">
        <f>+Tabla5[[#This Row],[Recuento]]*Tabla5[[#This Row],[Área neta]]</f>
        <v>0</v>
      </c>
      <c r="T35">
        <f>+Tabla5[[#This Row],[Longitud nominal]]*Tabla5[[#This Row],[Recuento]]</f>
        <v>0</v>
      </c>
      <c r="U35" s="26"/>
      <c r="V35"/>
      <c r="W35"/>
      <c r="X35"/>
      <c r="Y35"/>
      <c r="Z35"/>
      <c r="AA35"/>
      <c r="AB35"/>
      <c r="AC35"/>
      <c r="AD35"/>
      <c r="AE35"/>
      <c r="AF35"/>
      <c r="AG35" s="26">
        <f t="shared" si="4"/>
        <v>0</v>
      </c>
      <c r="AH35"/>
      <c r="AI35"/>
      <c r="AJ35"/>
      <c r="AK35"/>
      <c r="AL35"/>
      <c r="AM35"/>
      <c r="AN35"/>
      <c r="AO35"/>
      <c r="AP35"/>
      <c r="AQ35"/>
      <c r="AR35"/>
      <c r="AS35" s="26">
        <f t="shared" si="5"/>
        <v>0</v>
      </c>
      <c r="AT35"/>
      <c r="AU35"/>
      <c r="AV35"/>
      <c r="AW35"/>
      <c r="AX35"/>
      <c r="AY35"/>
      <c r="AZ35"/>
      <c r="BA35"/>
      <c r="BB35"/>
      <c r="BC35"/>
      <c r="BD35"/>
      <c r="BE35" s="26">
        <f t="shared" si="6"/>
        <v>0</v>
      </c>
      <c r="BF35">
        <v>3</v>
      </c>
      <c r="BG35" t="s">
        <v>1862</v>
      </c>
      <c r="BH35" t="s">
        <v>1524</v>
      </c>
      <c r="BI35" t="s">
        <v>1406</v>
      </c>
      <c r="BJ35">
        <v>1.3</v>
      </c>
      <c r="BK35" s="37">
        <v>1.5</v>
      </c>
      <c r="BL35">
        <f>+Tabla3102[[#This Row],[En culmo]]*BF35</f>
        <v>4.5</v>
      </c>
      <c r="BM35"/>
      <c r="BN35">
        <v>1</v>
      </c>
      <c r="BO35"/>
      <c r="BP35"/>
      <c r="BQ35"/>
      <c r="BR35"/>
      <c r="BS35"/>
      <c r="BT35">
        <f>+Tabla31069[[#This Row],[Longitud de eje]]*BN35</f>
        <v>0</v>
      </c>
      <c r="BU35"/>
      <c r="BV35">
        <v>1</v>
      </c>
      <c r="BW35" t="s">
        <v>1863</v>
      </c>
      <c r="BX35" t="s">
        <v>1525</v>
      </c>
      <c r="BY35" t="s">
        <v>1406</v>
      </c>
      <c r="BZ35">
        <v>1.4</v>
      </c>
      <c r="CA35">
        <v>2</v>
      </c>
      <c r="CB35">
        <f>+Tabla31011[[#This Row],[En culmo]]*BV35</f>
        <v>2</v>
      </c>
      <c r="CD35">
        <v>1</v>
      </c>
      <c r="CE35" t="s">
        <v>1862</v>
      </c>
      <c r="CF35" t="s">
        <v>1525</v>
      </c>
      <c r="CG35" t="s">
        <v>1405</v>
      </c>
      <c r="CH35">
        <v>1.75</v>
      </c>
      <c r="CI35">
        <v>2</v>
      </c>
      <c r="CJ35">
        <f>+Tabla3101170[[#This Row],[En culmo]]*CD35</f>
        <v>2</v>
      </c>
      <c r="CK35"/>
      <c r="CR35">
        <f>+Tabla31011116[[#This Row],[Longitud de eje]]*CT35</f>
        <v>0</v>
      </c>
      <c r="CT35">
        <v>4</v>
      </c>
      <c r="CU35" t="s">
        <v>1862</v>
      </c>
      <c r="CV35" t="s">
        <v>1383</v>
      </c>
      <c r="CW35" t="s">
        <v>1405</v>
      </c>
      <c r="CX35">
        <v>5.4</v>
      </c>
      <c r="CY35">
        <v>3.5</v>
      </c>
      <c r="CZ35">
        <f>+Tabla3101170117[[#This Row],[En culmo]]*CT35</f>
        <v>14</v>
      </c>
      <c r="DA35"/>
      <c r="DB35"/>
      <c r="DC35"/>
      <c r="DD35"/>
      <c r="DE35"/>
      <c r="DF35"/>
      <c r="DG35">
        <f>+Tabla31011704[[#This Row],[Longitud de eje]]*DB35</f>
        <v>0</v>
      </c>
      <c r="DH35"/>
      <c r="DI35"/>
      <c r="DJ35"/>
      <c r="DK35"/>
      <c r="DL35"/>
      <c r="DM35"/>
      <c r="DN35">
        <f>+Tabla3101170411[[#This Row],[Longitud de eje]]*DI35</f>
        <v>0</v>
      </c>
      <c r="DO35"/>
      <c r="DP35"/>
      <c r="DQ35"/>
      <c r="DR35"/>
      <c r="DS35"/>
      <c r="DT35"/>
      <c r="DU35">
        <f>+Tabla3101170411120[[#This Row],[Longitud de eje]]*DP35</f>
        <v>0</v>
      </c>
      <c r="DV35"/>
      <c r="DW35"/>
      <c r="DX35"/>
      <c r="DY35"/>
      <c r="DZ35"/>
      <c r="EA35"/>
      <c r="EB35">
        <f>+Tabla3101170411120122[[#This Row],[Longitud de eje]]*DW35</f>
        <v>0</v>
      </c>
      <c r="EC35"/>
      <c r="ED35">
        <v>8</v>
      </c>
      <c r="EE35" t="s">
        <v>1862</v>
      </c>
      <c r="EF35" t="s">
        <v>1524</v>
      </c>
      <c r="EG35" t="s">
        <v>1406</v>
      </c>
      <c r="EH35">
        <v>0.69</v>
      </c>
      <c r="EI35">
        <v>1</v>
      </c>
      <c r="EJ35">
        <f>+Tabla3101112[[#This Row],[En culmo]]*ED35</f>
        <v>8</v>
      </c>
      <c r="EK35"/>
      <c r="EL35"/>
      <c r="EM35"/>
      <c r="EN35"/>
      <c r="EO35"/>
      <c r="EP35"/>
      <c r="EQ35"/>
      <c r="ER35">
        <f>+Tabla3101112123[[#This Row],[En culmo]]*EL35</f>
        <v>0</v>
      </c>
      <c r="ES35"/>
      <c r="ET35">
        <v>1</v>
      </c>
      <c r="EU35" t="s">
        <v>1862</v>
      </c>
      <c r="EV35" t="s">
        <v>1525</v>
      </c>
      <c r="EW35" t="s">
        <v>1406</v>
      </c>
      <c r="EX35">
        <v>2.42</v>
      </c>
      <c r="EY35">
        <v>3</v>
      </c>
      <c r="EZ35">
        <f>+Tabla310111257[[#This Row],[En culmo]]*ET35</f>
        <v>3</v>
      </c>
      <c r="FA35"/>
      <c r="FB35"/>
      <c r="FC35"/>
      <c r="FD35"/>
      <c r="FE35"/>
      <c r="FF35"/>
      <c r="FG35">
        <v>2.5</v>
      </c>
      <c r="FH35">
        <f>+Tabla310111257124[[#This Row],[En culmo]]*FB35</f>
        <v>0</v>
      </c>
      <c r="FI35"/>
      <c r="FK35"/>
      <c r="FL35"/>
      <c r="FM35"/>
      <c r="FN35"/>
      <c r="FO35"/>
      <c r="FP35"/>
      <c r="FQ35"/>
      <c r="FS35"/>
      <c r="FT35"/>
      <c r="FU35"/>
      <c r="FV35"/>
      <c r="FW35"/>
      <c r="FX35"/>
      <c r="FY35"/>
      <c r="GA35"/>
      <c r="GB35"/>
      <c r="GC35"/>
      <c r="GD35"/>
      <c r="GE35"/>
      <c r="GF35"/>
      <c r="GG35"/>
      <c r="GI35"/>
      <c r="GJ35"/>
      <c r="GK35"/>
      <c r="GL35"/>
      <c r="GM35"/>
      <c r="GN35"/>
      <c r="GO35"/>
      <c r="GQ35"/>
      <c r="GR35"/>
      <c r="GS35"/>
      <c r="GT35"/>
      <c r="GU35"/>
      <c r="GV35">
        <v>1</v>
      </c>
      <c r="GW35">
        <f>+Tabla578914[[#This Row],[Recuento]]*Tabla578914[[#This Row],[Volúmen bruto]]</f>
        <v>0</v>
      </c>
      <c r="GX35">
        <f>+Tabla578914[[#This Row],[Recuento]]*Tabla578914[[#This Row],[Área neta]]</f>
        <v>0</v>
      </c>
      <c r="GY35" s="36"/>
      <c r="HA35" t="s">
        <v>1863</v>
      </c>
      <c r="HB35" t="s">
        <v>1383</v>
      </c>
      <c r="HC35" t="s">
        <v>98</v>
      </c>
      <c r="HD35">
        <v>0</v>
      </c>
      <c r="HE35">
        <v>1.5</v>
      </c>
      <c r="HF35">
        <v>1</v>
      </c>
      <c r="HG35">
        <f>+Tabla578914126[[#This Row],[Recuento]]*Tabla578914126[[#This Row],[Volúmen bruto]]</f>
        <v>0</v>
      </c>
      <c r="HH35">
        <f>+Tabla578914126[[#This Row],[Recuento]]*Tabla578914126[[#This Row],[Área neta]]</f>
        <v>1.5</v>
      </c>
      <c r="HI35" s="36"/>
      <c r="HK35"/>
      <c r="HL35"/>
      <c r="HM35"/>
      <c r="HN35"/>
      <c r="HO35"/>
      <c r="HP35">
        <v>1</v>
      </c>
      <c r="HQ35">
        <f>+Tabla578914126127[[#This Row],[Recuento]]*Tabla578914126127[[#This Row],[Volúmen bruto]]</f>
        <v>0</v>
      </c>
      <c r="HR35">
        <f>+Tabla578914126127[[#This Row],[Recuento]]*Tabla578914126127[[#This Row],[Área neta]]</f>
        <v>0</v>
      </c>
      <c r="HS35" s="36"/>
      <c r="HT35" s="26"/>
      <c r="HU35"/>
      <c r="HV35"/>
      <c r="HW35"/>
      <c r="HX35"/>
      <c r="HY35"/>
      <c r="HZ35"/>
      <c r="IA35"/>
      <c r="IB35"/>
      <c r="IC35" s="36"/>
      <c r="ID35" s="26"/>
      <c r="IE35"/>
      <c r="IF35"/>
      <c r="IG35"/>
      <c r="IH35"/>
      <c r="II35"/>
      <c r="IJ35"/>
      <c r="IK35"/>
      <c r="IL35"/>
      <c r="IM35" s="36"/>
      <c r="IN35" s="26"/>
      <c r="IO35"/>
      <c r="IP35"/>
      <c r="IQ35"/>
      <c r="IR35"/>
      <c r="IS35"/>
      <c r="IT35"/>
      <c r="IU35" s="37"/>
      <c r="IV35" s="37">
        <f>+Tabla520212223[[#This Row],[Recuento]]*Tabla520212223[[#This Row],[Área neta]]</f>
        <v>0</v>
      </c>
      <c r="IW35" s="26">
        <f t="shared" si="0"/>
        <v>0</v>
      </c>
      <c r="IY35"/>
      <c r="IZ35"/>
      <c r="JA35"/>
      <c r="JB35"/>
      <c r="JC35"/>
      <c r="JD35">
        <v>1</v>
      </c>
      <c r="JE35">
        <f>+Tabla520212224[[#This Row],[Recuento]]*Tabla520212224[[#This Row],[Volúmen bruto]]</f>
        <v>0</v>
      </c>
      <c r="JF35">
        <f>+Tabla520212224[[#This Row],[Recuento]]*Tabla520212224[[#This Row],[Área neta]]</f>
        <v>0</v>
      </c>
      <c r="JG35" s="26"/>
      <c r="JI35" t="s">
        <v>1862</v>
      </c>
      <c r="JJ35" t="s">
        <v>1525</v>
      </c>
      <c r="JK35" t="s">
        <v>1677</v>
      </c>
      <c r="JL35">
        <v>0.01</v>
      </c>
      <c r="JM35">
        <v>11</v>
      </c>
      <c r="JN35">
        <v>2</v>
      </c>
      <c r="JO35">
        <f>+Tabla52021222425[[#This Row],[Recuento]]*Tabla52021222425[[#This Row],[Volúmen bruto]]</f>
        <v>0.02</v>
      </c>
      <c r="JP35">
        <f>+Tabla52021222425[[#This Row],[Recuento]]*Tabla52021222425[[#This Row],[Área neta]]</f>
        <v>22</v>
      </c>
      <c r="JQ35" s="26"/>
      <c r="JS35" t="s">
        <v>1862</v>
      </c>
      <c r="JT35" t="s">
        <v>1525</v>
      </c>
      <c r="JU35" t="s">
        <v>1679</v>
      </c>
      <c r="JV35">
        <v>0</v>
      </c>
      <c r="JW35">
        <v>2.33</v>
      </c>
      <c r="JX35">
        <v>1</v>
      </c>
      <c r="JY35">
        <f>+Tabla5202122242526[[#This Row],[Recuento]]*Tabla5202122242526[[#This Row],[Volúmen bruto]]</f>
        <v>0</v>
      </c>
      <c r="JZ35">
        <f>+Tabla5202122242526[[#This Row],[Recuento]]*Tabla5202122242526[[#This Row],[Área neta]]</f>
        <v>2.33</v>
      </c>
      <c r="KA35" s="26"/>
      <c r="KC35"/>
      <c r="KD35"/>
      <c r="KE35"/>
      <c r="KF35"/>
      <c r="KG35"/>
      <c r="KH35"/>
      <c r="KI35">
        <f>+Tabla5202122242526104[[#This Row],[Recuento]]*Tabla5202122242526104[[#This Row],[Volúmen bruto]]</f>
        <v>0</v>
      </c>
      <c r="KJ35">
        <f>+Tabla5202122242526104[[#This Row],[Recuento]]*Tabla5202122242526104[[#This Row],[Área neta]]</f>
        <v>0</v>
      </c>
      <c r="KK35" s="26"/>
      <c r="KM35" t="s">
        <v>1862</v>
      </c>
      <c r="KN35" t="s">
        <v>1524</v>
      </c>
      <c r="KO35" t="s">
        <v>98</v>
      </c>
      <c r="KP35">
        <v>0</v>
      </c>
      <c r="KQ35">
        <v>2.11</v>
      </c>
      <c r="KR35">
        <v>1</v>
      </c>
      <c r="KS35">
        <f>+Tabla5202122242526104110[[#This Row],[Recuento]]*Tabla5202122242526104110[[#This Row],[Volúmen bruto]]</f>
        <v>0</v>
      </c>
      <c r="KT35">
        <f>+Tabla5202122242526104110[[#This Row],[Recuento]]*Tabla5202122242526104110[[#This Row],[Área neta]]</f>
        <v>2.11</v>
      </c>
      <c r="KU35" s="26"/>
      <c r="KW35"/>
      <c r="KX35"/>
      <c r="KY35"/>
      <c r="KZ35"/>
      <c r="LA35"/>
      <c r="LB35"/>
      <c r="LC35">
        <f>+Tabla520212224252659[[#This Row],[Recuento]]*Tabla520212224252659[[#This Row],[Volúmen bruto]]</f>
        <v>0</v>
      </c>
      <c r="LD35">
        <f>+Tabla520212224252659[[#This Row],[Recuento]]*Tabla520212224252659[[#This Row],[Área neta]]</f>
        <v>0</v>
      </c>
      <c r="LE35" s="26"/>
      <c r="LG35"/>
      <c r="LH35"/>
      <c r="LI35"/>
      <c r="LJ35"/>
      <c r="LK35"/>
      <c r="LL35"/>
      <c r="LM35">
        <f>+Tabla520212224252659111[[#This Row],[Recuento]]*Tabla520212224252659111[[#This Row],[Volúmen bruto]]</f>
        <v>0</v>
      </c>
      <c r="LN35">
        <f>+Tabla520212224252659111[[#This Row],[Recuento]]*Tabla520212224252659111[[#This Row],[Área neta]]</f>
        <v>0</v>
      </c>
      <c r="LO35" s="26"/>
      <c r="LQ35"/>
      <c r="LR35"/>
      <c r="LS35"/>
      <c r="LT35"/>
      <c r="LU35"/>
      <c r="LV35"/>
      <c r="LW35">
        <f>+Tabla520212224252659111114[[#This Row],[Recuento]]*Tabla520212224252659111114[[#This Row],[Volúmen bruto]]</f>
        <v>0</v>
      </c>
      <c r="LX35">
        <f>+Tabla520212224252659111114[[#This Row],[Recuento]]*Tabla520212224252659111114[[#This Row],[Área neta]]</f>
        <v>0</v>
      </c>
      <c r="LY35" s="26"/>
      <c r="MA35" t="s">
        <v>1863</v>
      </c>
      <c r="MB35" t="s">
        <v>1524</v>
      </c>
      <c r="MC35" t="s">
        <v>1628</v>
      </c>
      <c r="MD35">
        <v>0.14000000000000001</v>
      </c>
      <c r="ME35">
        <v>4.6500000000000004</v>
      </c>
      <c r="MF35">
        <v>1</v>
      </c>
      <c r="MG35">
        <f>+Tabla520212224252659111114128[[#This Row],[Recuento]]*Tabla520212224252659111114128[[#This Row],[Volúmen bruto]]</f>
        <v>0.14000000000000001</v>
      </c>
      <c r="MH35">
        <f>+Tabla520212224252659111114128[[#This Row],[Recuento]]*Tabla520212224252659111114128[[#This Row],[Área neta]]</f>
        <v>4.6500000000000004</v>
      </c>
      <c r="MI35" s="26">
        <f>+SUM(MH35:MH38)</f>
        <v>29.09</v>
      </c>
      <c r="MK35"/>
      <c r="ML35"/>
      <c r="MM35"/>
      <c r="MN35"/>
      <c r="MO35"/>
      <c r="MP35"/>
      <c r="MQ35">
        <f>+Tabla520212224252627[[#This Row],[Recuento]]*Tabla520212224252627[[#This Row],[Volúmen bruto]]</f>
        <v>0</v>
      </c>
      <c r="MR35">
        <f>+Tabla520212224252627[[#This Row],[Recuento]]*Tabla520212224252627[[#This Row],[Área neta]]</f>
        <v>0</v>
      </c>
      <c r="MS35" s="26"/>
      <c r="MU35"/>
      <c r="MV35"/>
      <c r="MW35"/>
      <c r="MX35"/>
      <c r="MY35"/>
      <c r="MZ35"/>
      <c r="NA35">
        <f>+Tabla520212224252627129[[#This Row],[Recuento]]*Tabla520212224252627129[[#This Row],[Volúmen bruto]]</f>
        <v>0</v>
      </c>
      <c r="NB35">
        <f>+Tabla520212224252627129[[#This Row],[Recuento]]*Tabla520212224252627129[[#This Row],[Área neta]]</f>
        <v>0</v>
      </c>
      <c r="NC35" s="26"/>
      <c r="NE35"/>
      <c r="NF35"/>
      <c r="NG35"/>
      <c r="NH35"/>
      <c r="NI35"/>
      <c r="NJ35"/>
      <c r="NK35">
        <f>+Tabla520212224252627129125[[#This Row],[Recuento]]*Tabla520212224252627129125[[#This Row],[Volúmen bruto]]</f>
        <v>0</v>
      </c>
      <c r="NL35">
        <f>+Tabla520212224252627129125[[#This Row],[Recuento]]*Tabla520212224252627129125[[#This Row],[Área neta]]</f>
        <v>0</v>
      </c>
      <c r="NM35" s="26"/>
      <c r="NO35"/>
      <c r="NP35"/>
      <c r="NQ35"/>
      <c r="NR35"/>
      <c r="NS35"/>
      <c r="NT35"/>
      <c r="NU35">
        <f>+Tabla520212224252627129125130[[#This Row],[Recuento]]*Tabla520212224252627129125130[[#This Row],[Volúmen bruto]]</f>
        <v>0</v>
      </c>
      <c r="NV35">
        <f>+Tabla520212224252627129125130[[#This Row],[Recuento]]*Tabla520212224252627129125130[[#This Row],[Área neta]]</f>
        <v>0</v>
      </c>
      <c r="NW35" s="26"/>
      <c r="NY35"/>
      <c r="NZ35"/>
      <c r="OA35"/>
      <c r="OB35"/>
      <c r="OC35"/>
      <c r="OD35"/>
      <c r="OE35">
        <f>+Tabla520212224252627129125130131[[#This Row],[Recuento]]*Tabla520212224252627129125130131[[#This Row],[Volúmen bruto]]</f>
        <v>0</v>
      </c>
      <c r="OF35">
        <f>+Tabla520212224252627129125130131[[#This Row],[Recuento]]*Tabla520212224252627129125130131[[#This Row],[Área neta]]</f>
        <v>0</v>
      </c>
      <c r="OG35" s="26"/>
      <c r="OI35"/>
      <c r="OJ35"/>
      <c r="OK35"/>
      <c r="OL35"/>
      <c r="OM35"/>
      <c r="ON35"/>
      <c r="OO35">
        <f>+Tabla520212224252627129125130131132[[#This Row],[Recuento]]*Tabla520212224252627129125130131132[[#This Row],[Volúmen bruto]]</f>
        <v>0</v>
      </c>
      <c r="OP35">
        <f>+Tabla520212224252627129125130131132[[#This Row],[Recuento]]*Tabla520212224252627129125130131132[[#This Row],[Área neta]]</f>
        <v>0</v>
      </c>
      <c r="OQ35" s="26"/>
      <c r="OS35"/>
      <c r="OT35"/>
      <c r="OU35"/>
      <c r="OV35"/>
      <c r="OW35"/>
      <c r="OX35"/>
      <c r="OY35">
        <f>+Tabla52021222425262728[[#This Row],[Recuento]]*Tabla52021222425262728[[#This Row],[Volúmen bruto]]</f>
        <v>0</v>
      </c>
      <c r="OZ35">
        <f>+Tabla52021222425262728[[#This Row],[Recuento]]*Tabla52021222425262728[[#This Row],[Área neta]]</f>
        <v>0</v>
      </c>
      <c r="PA35" s="26"/>
      <c r="PC35" t="s">
        <v>1862</v>
      </c>
      <c r="PD35" t="s">
        <v>1525</v>
      </c>
      <c r="PE35" t="s">
        <v>97</v>
      </c>
      <c r="PF35">
        <v>0.02</v>
      </c>
      <c r="PG35">
        <v>0.97</v>
      </c>
      <c r="PH35">
        <v>1</v>
      </c>
      <c r="PI35">
        <f>+Tabla52021222425262728133[[#This Row],[Recuento]]*Tabla52021222425262728133[[#This Row],[Volúmen bruto]]</f>
        <v>0.02</v>
      </c>
      <c r="PJ35">
        <f>+Tabla52021222425262728133[[#This Row],[Recuento]]*Tabla52021222425262728133[[#This Row],[Área neta]]</f>
        <v>0.97</v>
      </c>
      <c r="PK35" s="26"/>
      <c r="PM35"/>
      <c r="PN35"/>
      <c r="PO35"/>
      <c r="PP35"/>
      <c r="PQ35"/>
      <c r="PR35"/>
      <c r="PS35">
        <f>+Tabla5202122242526272893[[#This Row],[Recuento]]*Tabla5202122242526272893[[#This Row],[Volúmen bruto]]</f>
        <v>0</v>
      </c>
      <c r="PT35">
        <f>+Tabla5202122242526272893[[#This Row],[Recuento]]*Tabla5202122242526272893[[#This Row],[Área neta]]</f>
        <v>0</v>
      </c>
      <c r="PU35" s="26"/>
      <c r="PW35" t="s">
        <v>1862</v>
      </c>
      <c r="PX35" t="s">
        <v>1525</v>
      </c>
      <c r="PY35" t="s">
        <v>98</v>
      </c>
      <c r="PZ35">
        <v>0</v>
      </c>
      <c r="QA35">
        <v>1.1100000000000001</v>
      </c>
      <c r="QB35">
        <v>1</v>
      </c>
      <c r="QC35">
        <f>+Tabla520212224252627289349[[#This Row],[Recuento]]*Tabla520212224252627289349[[#This Row],[Volúmen bruto]]</f>
        <v>0</v>
      </c>
      <c r="QD35">
        <f>+Tabla520212224252627289349[[#This Row],[Recuento]]*Tabla520212224252627289349[[#This Row],[Área neta]]</f>
        <v>1.1100000000000001</v>
      </c>
      <c r="QE35" s="26"/>
      <c r="QG35"/>
      <c r="QH35"/>
      <c r="QI35"/>
      <c r="QJ35"/>
      <c r="QK35"/>
      <c r="QL35"/>
      <c r="QM35">
        <f>+Tabla520212224252627289349134[[#This Row],[Recuento]]*Tabla520212224252627289349134[[#This Row],[Volúmen bruto]]</f>
        <v>0</v>
      </c>
      <c r="QN35">
        <f>+Tabla520212224252627289349134[[#This Row],[Recuento]]*Tabla520212224252627289349134[[#This Row],[Área neta]]</f>
        <v>0</v>
      </c>
      <c r="QO35" s="26"/>
      <c r="QQ35" t="s">
        <v>1863</v>
      </c>
      <c r="QR35" t="s">
        <v>1524</v>
      </c>
      <c r="QS35" t="s">
        <v>1726</v>
      </c>
      <c r="QT35">
        <v>0.26</v>
      </c>
      <c r="QU35">
        <v>1.29</v>
      </c>
      <c r="QV35">
        <v>1</v>
      </c>
      <c r="QW35">
        <v>1</v>
      </c>
      <c r="QX35">
        <f>+Tabla5202122242526272829[[#This Row],[Recuento]]*Tabla5202122242526272829[[#This Row],[Volúmen bruto]]</f>
        <v>0.26</v>
      </c>
      <c r="QY35">
        <f>+Tabla5202122242526272829[[#This Row],[Recuento]]*Tabla5202122242526272829[[#This Row],[Área neta]]</f>
        <v>1.29</v>
      </c>
      <c r="QZ35">
        <f>+Tabla5202122242526272829[[#This Row],[Recuento]]*Tabla5202122242526272829[[#This Row],[Longitud]]</f>
        <v>1</v>
      </c>
      <c r="RA35" s="26"/>
      <c r="RC35"/>
      <c r="RD35"/>
      <c r="RE35"/>
      <c r="RF35"/>
      <c r="RG35"/>
      <c r="RH35"/>
      <c r="RI35"/>
      <c r="RJ35"/>
      <c r="RK35" s="26"/>
      <c r="RM35"/>
      <c r="RN35"/>
      <c r="RO35"/>
      <c r="RP35"/>
      <c r="RQ35"/>
      <c r="RR35"/>
      <c r="RS35"/>
      <c r="RT35"/>
      <c r="RU35" s="26">
        <f t="shared" si="7"/>
        <v>0</v>
      </c>
      <c r="RW35"/>
      <c r="RX35"/>
      <c r="RY35"/>
      <c r="RZ35"/>
      <c r="SA35"/>
      <c r="SB35"/>
      <c r="SC35"/>
      <c r="SD35"/>
      <c r="SE35" s="26"/>
      <c r="SG35"/>
      <c r="SH35"/>
      <c r="SI35"/>
      <c r="SJ35"/>
      <c r="SK35"/>
      <c r="SL35"/>
      <c r="SM35">
        <f>+Tabla5202122242526272831323314[[#This Row],[Recuento]]*Tabla5202122242526272831323314[[#This Row],[Volúmen bruto]]</f>
        <v>0</v>
      </c>
      <c r="SN35">
        <f>+Tabla5202122242526272831323314[[#This Row],[Recuento]]*Tabla5202122242526272831323314[[#This Row],[Área neta]]</f>
        <v>0</v>
      </c>
      <c r="SO35" s="26"/>
      <c r="SQ35" t="s">
        <v>1862</v>
      </c>
      <c r="SR35" t="s">
        <v>1524</v>
      </c>
      <c r="SS35" t="s">
        <v>1627</v>
      </c>
      <c r="ST35">
        <v>2.12</v>
      </c>
      <c r="SU35">
        <v>10.6</v>
      </c>
      <c r="SV35">
        <v>1</v>
      </c>
      <c r="SW35" s="34">
        <f>+Tabla5789141516[[#This Row],[Recuento]]*Tabla5789141516[[#This Row],[Volúmen bruto]]</f>
        <v>2.12</v>
      </c>
      <c r="SX35" s="34">
        <f>+Tabla5789141516[[#This Row],[Recuento]]*Tabla5789141516[[#This Row],[Área neta]]</f>
        <v>10.6</v>
      </c>
      <c r="SY35" s="36"/>
      <c r="SZ35" s="26"/>
      <c r="TA35"/>
      <c r="TB35"/>
      <c r="TC35"/>
      <c r="TD35"/>
      <c r="TE35"/>
      <c r="TF35"/>
      <c r="TG35"/>
      <c r="TH35"/>
      <c r="TI35" s="36">
        <f t="shared" si="8"/>
        <v>0</v>
      </c>
      <c r="TJ35" s="26"/>
      <c r="TK35"/>
      <c r="TL35"/>
      <c r="TM35"/>
      <c r="TN35"/>
      <c r="TO35"/>
      <c r="TP35"/>
      <c r="TQ35"/>
      <c r="TR35"/>
      <c r="TS35" s="36">
        <f t="shared" si="9"/>
        <v>0</v>
      </c>
      <c r="TT35" s="26"/>
      <c r="TU35"/>
      <c r="TV35"/>
      <c r="TW35"/>
      <c r="TX35"/>
      <c r="TY35"/>
      <c r="TZ35"/>
      <c r="UA35"/>
      <c r="UB35"/>
      <c r="UC35" s="36">
        <f t="shared" si="10"/>
        <v>0</v>
      </c>
      <c r="UD35" s="26"/>
      <c r="UE35"/>
      <c r="UF35"/>
      <c r="UG35"/>
      <c r="UH35"/>
      <c r="UI35"/>
      <c r="UJ35"/>
      <c r="UK35"/>
      <c r="UL35"/>
      <c r="UM35" s="36">
        <f t="shared" si="11"/>
        <v>0</v>
      </c>
      <c r="UN35" s="26"/>
      <c r="UO35"/>
      <c r="UP35"/>
      <c r="UQ35"/>
      <c r="UR35"/>
      <c r="US35"/>
      <c r="UT35"/>
      <c r="UU35"/>
      <c r="UV35"/>
      <c r="UW35" s="36">
        <f t="shared" si="12"/>
        <v>0</v>
      </c>
      <c r="UX35" s="26"/>
      <c r="UY35"/>
      <c r="UZ35"/>
      <c r="VA35"/>
      <c r="VB35"/>
      <c r="VC35"/>
      <c r="VD35"/>
      <c r="VE35"/>
      <c r="VF35"/>
      <c r="VG35" s="36">
        <f t="shared" si="13"/>
        <v>0</v>
      </c>
      <c r="VH35" s="26"/>
      <c r="VI35"/>
      <c r="VJ35"/>
      <c r="VK35"/>
      <c r="VL35"/>
      <c r="VM35"/>
      <c r="VN35"/>
      <c r="VO35"/>
      <c r="VP35"/>
      <c r="VQ35" s="36">
        <f t="shared" si="14"/>
        <v>0</v>
      </c>
      <c r="VR35" s="26"/>
      <c r="VS35"/>
      <c r="VT35"/>
      <c r="VU35"/>
      <c r="VV35"/>
      <c r="VW35"/>
      <c r="VX35"/>
      <c r="VY35"/>
      <c r="VZ35"/>
      <c r="WA35" s="36">
        <f t="shared" si="15"/>
        <v>0</v>
      </c>
      <c r="WB35" s="26"/>
      <c r="WC35"/>
      <c r="WD35"/>
      <c r="WE35"/>
      <c r="WF35"/>
      <c r="WG35"/>
      <c r="WH35"/>
      <c r="WI35"/>
      <c r="WJ35"/>
      <c r="WK35" s="36">
        <f t="shared" si="16"/>
        <v>0</v>
      </c>
      <c r="WL35" s="26"/>
      <c r="WM35"/>
      <c r="WN35"/>
      <c r="WO35"/>
      <c r="WP35"/>
      <c r="WQ35"/>
      <c r="WR35"/>
      <c r="WS35"/>
      <c r="WT35"/>
      <c r="WU35" s="36">
        <f t="shared" si="17"/>
        <v>0</v>
      </c>
      <c r="WV35" s="26"/>
      <c r="WW35"/>
      <c r="WX35"/>
      <c r="WY35"/>
      <c r="WZ35"/>
      <c r="XA35"/>
      <c r="XB35"/>
      <c r="XC35"/>
      <c r="XD35"/>
      <c r="XE35" s="36">
        <f t="shared" si="18"/>
        <v>0</v>
      </c>
      <c r="XF35" s="26"/>
      <c r="XG35"/>
      <c r="XH35"/>
      <c r="XI35"/>
      <c r="XJ35"/>
      <c r="XK35"/>
      <c r="XL35"/>
      <c r="XM35" s="34">
        <f>+Tabla578914151634353637383940414243444536[[#This Row],[Recuento]]*Tabla578914151634353637383940414243444536[[#This Row],[Volúmen bruto]]</f>
        <v>0</v>
      </c>
      <c r="XN35" s="34">
        <f>+Tabla578914151634353637383940414243444536[[#This Row],[Recuento]]*Tabla578914151634353637383940414243444536[[#This Row],[Área neta]]</f>
        <v>0</v>
      </c>
      <c r="XO35" s="35"/>
      <c r="XP35" s="26"/>
      <c r="XQ35"/>
      <c r="XR35"/>
      <c r="XS35"/>
      <c r="XT35"/>
      <c r="XU35"/>
      <c r="XV35" s="33"/>
      <c r="XW35" s="34"/>
      <c r="XX35" s="34"/>
      <c r="XY35" s="35"/>
      <c r="XZ35" s="26"/>
      <c r="YA35"/>
      <c r="YB35"/>
      <c r="YC35"/>
      <c r="YD35"/>
      <c r="YE35"/>
      <c r="YF35" s="33"/>
      <c r="YG35" s="34"/>
      <c r="YH35" s="34"/>
      <c r="YI35" s="35"/>
      <c r="YJ35" s="35"/>
      <c r="YK35"/>
      <c r="YL35"/>
      <c r="YM35"/>
      <c r="YN35"/>
      <c r="YO35"/>
      <c r="YQ35"/>
      <c r="YR35"/>
      <c r="YS35"/>
      <c r="YT35"/>
      <c r="YU35"/>
      <c r="YV35" s="33"/>
      <c r="YW35" s="34"/>
      <c r="YX35" s="34"/>
      <c r="YY35" s="35"/>
      <c r="YZ35" s="26"/>
      <c r="ZA35"/>
      <c r="ZB35"/>
      <c r="ZC35"/>
      <c r="ZD35"/>
      <c r="ZE35"/>
      <c r="ZF35" s="33"/>
      <c r="ZG35" s="34"/>
      <c r="ZH35" s="34"/>
      <c r="ZI35" s="35"/>
      <c r="ZJ35" s="26"/>
      <c r="ZK35"/>
      <c r="ZL35"/>
      <c r="ZM35"/>
      <c r="ZN35"/>
      <c r="ZO35"/>
      <c r="ZP35" s="33"/>
      <c r="ZQ35" s="34"/>
      <c r="ZR35" s="34"/>
      <c r="ZS35" s="35"/>
      <c r="ZT35" s="26"/>
      <c r="ZU35"/>
      <c r="ZV35"/>
      <c r="ZW35"/>
      <c r="ZX35"/>
      <c r="ZY35"/>
      <c r="ZZ35" s="33"/>
      <c r="AAA35" s="34"/>
      <c r="AAB35" s="34"/>
      <c r="AAC35" s="35"/>
      <c r="AAD35" s="26"/>
      <c r="AAE35"/>
      <c r="AAF35"/>
      <c r="AAG35"/>
      <c r="AAH35"/>
      <c r="AAI35"/>
      <c r="AAJ35" s="33"/>
      <c r="AAK35" s="34"/>
      <c r="AAL35" s="34"/>
      <c r="AAM35" s="35"/>
      <c r="AAN35" s="26"/>
      <c r="AAO35"/>
      <c r="AAP35"/>
      <c r="AAW35" s="36">
        <f t="shared" si="20"/>
        <v>0</v>
      </c>
      <c r="AAX35" s="26"/>
      <c r="AAY35"/>
      <c r="AAZ35"/>
      <c r="ABA35"/>
      <c r="ABB35"/>
      <c r="ABC35"/>
      <c r="ABD35" s="33"/>
      <c r="ABE35" s="34"/>
      <c r="ABF35" s="34"/>
      <c r="ABG35" s="35"/>
      <c r="ABH35" s="26"/>
      <c r="ABI35"/>
      <c r="ABJ35"/>
      <c r="ABK35"/>
      <c r="ABL35"/>
      <c r="ABM35"/>
      <c r="ABN35" s="33"/>
      <c r="ABO35" s="34"/>
      <c r="ABP35" s="34"/>
      <c r="ABQ35" s="35"/>
      <c r="ABR35" s="26"/>
      <c r="ABS35"/>
      <c r="ABT35"/>
      <c r="ABU35"/>
      <c r="ABV35"/>
      <c r="ABW35"/>
      <c r="ABX35" s="33"/>
      <c r="ABY35" s="34"/>
      <c r="ABZ35" s="34"/>
      <c r="ACA35" s="35"/>
      <c r="ACB35" s="26"/>
      <c r="ACC35"/>
      <c r="ACD35"/>
      <c r="ACE35"/>
      <c r="ACF35"/>
      <c r="ACG35"/>
      <c r="ACH35" s="33"/>
      <c r="ACI35" s="34"/>
      <c r="ACJ35" s="34"/>
      <c r="ACK35" s="35"/>
      <c r="ACL35" s="26"/>
      <c r="ACM35"/>
      <c r="ACN35"/>
      <c r="ACO35"/>
      <c r="ACP35"/>
      <c r="ACQ35"/>
      <c r="ACR35" s="33"/>
      <c r="ACS35" s="34"/>
      <c r="ACT35" s="34"/>
      <c r="ACU35" s="35"/>
      <c r="ACV35" s="26"/>
      <c r="ACW35" s="1" t="s">
        <v>86</v>
      </c>
      <c r="ACX35" s="1" t="s">
        <v>1930</v>
      </c>
      <c r="ACY35" s="1" t="s">
        <v>87</v>
      </c>
      <c r="ACZ35" s="1" t="s">
        <v>1705</v>
      </c>
      <c r="ADA35" s="1" t="s">
        <v>79</v>
      </c>
      <c r="ADB35" s="1" t="s">
        <v>85</v>
      </c>
      <c r="ADC35" s="2" t="e">
        <f>+(ADA35*ACZ35)*ADB35</f>
        <v>#VALUE!</v>
      </c>
      <c r="ADD35"/>
      <c r="ADE35"/>
      <c r="ADF35"/>
      <c r="ADG35" s="26">
        <f t="shared" si="19"/>
        <v>0</v>
      </c>
      <c r="ADJ35"/>
      <c r="ADK35"/>
      <c r="ADL35"/>
      <c r="ADM35"/>
      <c r="ADN35"/>
      <c r="ADO35">
        <f>+Tabla578914151634353637383940414243444546474849505152535560[[#This Row],[G. Total]]*Tabla578914151634353637383940414243444546474849505152535560[[#This Row],[Recuento]]</f>
        <v>0</v>
      </c>
      <c r="ADP35" s="35"/>
      <c r="ADQ35" s="26"/>
      <c r="ADR35"/>
      <c r="ADS35"/>
      <c r="ADT35"/>
      <c r="ADU35"/>
      <c r="ADV35"/>
      <c r="ADW35" s="35"/>
      <c r="ADX35" s="35"/>
      <c r="ADY35"/>
      <c r="ADZ35"/>
      <c r="AEA35"/>
      <c r="AEB35"/>
      <c r="AEC35"/>
      <c r="AED35"/>
      <c r="AEE35" s="35"/>
      <c r="AEF35" s="26"/>
      <c r="AEG35"/>
      <c r="AEH35"/>
      <c r="AEI35"/>
      <c r="AEJ35"/>
      <c r="AEK35"/>
      <c r="AEL35" s="35"/>
      <c r="AEM35" s="35"/>
      <c r="AEN35" t="s">
        <v>1522</v>
      </c>
      <c r="AEO35" t="s">
        <v>1524</v>
      </c>
      <c r="AEP35" t="s">
        <v>381</v>
      </c>
      <c r="AEQ35">
        <v>2.5299999999999998</v>
      </c>
      <c r="AER35">
        <v>1</v>
      </c>
      <c r="AES35">
        <f>+Tabla5789141516343536373839404142434445464748495051525355606264[[#This Row],[G. Total]]*Tabla5789141516343536373839404142434445464748495051525355606264[[#This Row],[Recuento]]</f>
        <v>2.5299999999999998</v>
      </c>
      <c r="AET35" s="35"/>
      <c r="AEU35" s="26"/>
      <c r="AEV35"/>
      <c r="AEW35"/>
      <c r="AEX35"/>
      <c r="AEY35"/>
      <c r="AEZ35"/>
      <c r="AFA35" s="35"/>
      <c r="AFB35" s="26"/>
      <c r="AFC35"/>
      <c r="AFD35"/>
      <c r="AFE35"/>
      <c r="AFF35"/>
      <c r="AFG35"/>
      <c r="AFH35"/>
      <c r="AFI35"/>
      <c r="AFJ35"/>
      <c r="AFK35"/>
      <c r="AFL35"/>
      <c r="AFM35"/>
      <c r="AFN35">
        <f>+Tabla578914151634353637383940414243444546474849505152535560626467[[#This Row],[G. Total]]*Tabla578914151634353637383940414243444546474849505152535560626467[[#This Row],[Recuento]]</f>
        <v>0</v>
      </c>
      <c r="AFO35" s="35"/>
      <c r="AFP35" s="26"/>
      <c r="AFQ35" s="2" t="s">
        <v>114</v>
      </c>
      <c r="AFR35" s="2">
        <f>22*2</f>
        <v>44</v>
      </c>
      <c r="AFS35" s="2">
        <f>0.12*3</f>
        <v>0.36</v>
      </c>
      <c r="AFT35" s="2">
        <f>+AFS35*AFR35</f>
        <v>15.84</v>
      </c>
      <c r="AFU35" s="2">
        <v>2</v>
      </c>
      <c r="AFV35" s="2">
        <f>+AFU35*AFR35</f>
        <v>88</v>
      </c>
      <c r="AFX35" s="2" t="s">
        <v>114</v>
      </c>
      <c r="AFY35" s="2">
        <v>10</v>
      </c>
      <c r="AFZ35" s="2">
        <f>0.12*3</f>
        <v>0.36</v>
      </c>
      <c r="AGA35" s="2">
        <f>+AFZ35*AFY35</f>
        <v>3.5999999999999996</v>
      </c>
      <c r="AGB35" s="2">
        <v>2</v>
      </c>
      <c r="AGC35" s="2">
        <f>+AGB35*AFY35</f>
        <v>20</v>
      </c>
    </row>
    <row r="36" spans="1:861" ht="15" customHeigh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>
        <f>+Tabla5[[#This Row],[Recuento]]*Tabla5[[#This Row],[Volúmen bruto]]</f>
        <v>0</v>
      </c>
      <c r="S36">
        <f>+Tabla5[[#This Row],[Recuento]]*Tabla5[[#This Row],[Área neta]]</f>
        <v>0</v>
      </c>
      <c r="T36">
        <f>+Tabla5[[#This Row],[Longitud nominal]]*Tabla5[[#This Row],[Recuento]]</f>
        <v>0</v>
      </c>
      <c r="U36" s="26"/>
      <c r="V36"/>
      <c r="W36"/>
      <c r="X36"/>
      <c r="Y36"/>
      <c r="Z36"/>
      <c r="AA36"/>
      <c r="AB36"/>
      <c r="AC36"/>
      <c r="AD36"/>
      <c r="AE36"/>
      <c r="AF36"/>
      <c r="AG36" s="26">
        <f t="shared" si="4"/>
        <v>0</v>
      </c>
      <c r="AH36"/>
      <c r="AI36"/>
      <c r="AJ36"/>
      <c r="AK36"/>
      <c r="AL36"/>
      <c r="AM36"/>
      <c r="AN36"/>
      <c r="AO36"/>
      <c r="AP36"/>
      <c r="AQ36"/>
      <c r="AR36"/>
      <c r="AS36" s="26">
        <f t="shared" si="5"/>
        <v>0</v>
      </c>
      <c r="AT36"/>
      <c r="AU36"/>
      <c r="AV36"/>
      <c r="AW36"/>
      <c r="AX36"/>
      <c r="AY36"/>
      <c r="AZ36"/>
      <c r="BA36"/>
      <c r="BB36"/>
      <c r="BC36"/>
      <c r="BD36"/>
      <c r="BE36" s="26">
        <f t="shared" si="6"/>
        <v>0</v>
      </c>
      <c r="BF36">
        <v>1</v>
      </c>
      <c r="BG36" t="s">
        <v>1862</v>
      </c>
      <c r="BH36" t="s">
        <v>1524</v>
      </c>
      <c r="BI36" t="s">
        <v>1406</v>
      </c>
      <c r="BJ36">
        <v>0.26</v>
      </c>
      <c r="BK36" s="37">
        <v>0.5</v>
      </c>
      <c r="BL36">
        <f>+Tabla3102[[#This Row],[En culmo]]*BF36</f>
        <v>0.5</v>
      </c>
      <c r="BM36"/>
      <c r="BN36">
        <v>1</v>
      </c>
      <c r="BO36"/>
      <c r="BP36"/>
      <c r="BQ36"/>
      <c r="BR36"/>
      <c r="BS36"/>
      <c r="BT36">
        <f>+Tabla31069[[#This Row],[Longitud de eje]]*BN36</f>
        <v>0</v>
      </c>
      <c r="BU36"/>
      <c r="BV36"/>
      <c r="BW36"/>
      <c r="BX36"/>
      <c r="BY36"/>
      <c r="BZ36"/>
      <c r="CA36"/>
      <c r="CB36">
        <f>+Tabla31011[[#This Row],[Longitud de eje]]*BV36</f>
        <v>0</v>
      </c>
      <c r="CD36">
        <v>11</v>
      </c>
      <c r="CE36" t="s">
        <v>1862</v>
      </c>
      <c r="CF36" t="s">
        <v>1525</v>
      </c>
      <c r="CG36" t="s">
        <v>1405</v>
      </c>
      <c r="CH36">
        <v>1.35</v>
      </c>
      <c r="CI36">
        <v>1.5</v>
      </c>
      <c r="CJ36">
        <f>+Tabla3101170[[#This Row],[En culmo]]*CD36</f>
        <v>16.5</v>
      </c>
      <c r="CK36"/>
      <c r="CR36">
        <f>+Tabla31011116[[#This Row],[Longitud de eje]]*CT36</f>
        <v>0</v>
      </c>
      <c r="CT36">
        <v>2</v>
      </c>
      <c r="CU36" t="s">
        <v>1862</v>
      </c>
      <c r="CV36" t="s">
        <v>1383</v>
      </c>
      <c r="CW36" t="s">
        <v>1405</v>
      </c>
      <c r="CX36">
        <v>6.2</v>
      </c>
      <c r="CY36">
        <v>12.5</v>
      </c>
      <c r="CZ36">
        <f>+Tabla3101170117[[#This Row],[En culmo]]*CT36</f>
        <v>25</v>
      </c>
      <c r="DA36"/>
      <c r="DB36"/>
      <c r="DC36"/>
      <c r="DD36"/>
      <c r="DE36"/>
      <c r="DF36"/>
      <c r="DG36">
        <f>+Tabla31011704[[#This Row],[Longitud de eje]]*DB36</f>
        <v>0</v>
      </c>
      <c r="DH36"/>
      <c r="DI36"/>
      <c r="DJ36"/>
      <c r="DK36"/>
      <c r="DL36"/>
      <c r="DM36"/>
      <c r="DN36">
        <f>+Tabla3101170411[[#This Row],[Longitud de eje]]*DI36</f>
        <v>0</v>
      </c>
      <c r="DO36"/>
      <c r="DP36"/>
      <c r="DQ36"/>
      <c r="DR36"/>
      <c r="DS36"/>
      <c r="DT36"/>
      <c r="DU36">
        <f>+Tabla3101170411120[[#This Row],[Longitud de eje]]*DP36</f>
        <v>0</v>
      </c>
      <c r="DV36"/>
      <c r="DW36"/>
      <c r="DX36"/>
      <c r="DY36"/>
      <c r="DZ36"/>
      <c r="EA36"/>
      <c r="EB36">
        <f>+Tabla3101170411120122[[#This Row],[Longitud de eje]]*DW36</f>
        <v>0</v>
      </c>
      <c r="EC36"/>
      <c r="ED36">
        <v>7</v>
      </c>
      <c r="EE36" t="s">
        <v>1862</v>
      </c>
      <c r="EF36" t="s">
        <v>1524</v>
      </c>
      <c r="EG36" t="s">
        <v>1406</v>
      </c>
      <c r="EH36">
        <v>1.24</v>
      </c>
      <c r="EI36">
        <v>1.5</v>
      </c>
      <c r="EJ36">
        <f>+Tabla3101112[[#This Row],[En culmo]]*ED36</f>
        <v>10.5</v>
      </c>
      <c r="EK36"/>
      <c r="EL36"/>
      <c r="EM36"/>
      <c r="EN36"/>
      <c r="EO36"/>
      <c r="EP36"/>
      <c r="EQ36"/>
      <c r="ER36">
        <f>+Tabla3101112123[[#This Row],[En culmo]]*EL36</f>
        <v>0</v>
      </c>
      <c r="ES36"/>
      <c r="ET36">
        <v>6</v>
      </c>
      <c r="EU36" t="s">
        <v>1862</v>
      </c>
      <c r="EV36" t="s">
        <v>1525</v>
      </c>
      <c r="EW36" t="s">
        <v>1406</v>
      </c>
      <c r="EX36">
        <v>1.74</v>
      </c>
      <c r="EY36">
        <v>2</v>
      </c>
      <c r="EZ36">
        <f>+Tabla310111257[[#This Row],[En culmo]]*ET36</f>
        <v>12</v>
      </c>
      <c r="FA36"/>
      <c r="FB36"/>
      <c r="FC36"/>
      <c r="FD36"/>
      <c r="FE36"/>
      <c r="FF36"/>
      <c r="FG36">
        <v>2</v>
      </c>
      <c r="FH36">
        <f>+Tabla310111257124[[#This Row],[En culmo]]*FB36</f>
        <v>0</v>
      </c>
      <c r="FI36"/>
      <c r="FK36"/>
      <c r="FL36"/>
      <c r="FM36"/>
      <c r="FN36"/>
      <c r="FO36"/>
      <c r="FP36"/>
      <c r="FQ36"/>
      <c r="FS36"/>
      <c r="FT36"/>
      <c r="FU36"/>
      <c r="FV36"/>
      <c r="FW36"/>
      <c r="FX36"/>
      <c r="FY36"/>
      <c r="GA36"/>
      <c r="GB36"/>
      <c r="GC36"/>
      <c r="GD36"/>
      <c r="GE36"/>
      <c r="GF36"/>
      <c r="GG36"/>
      <c r="GI36"/>
      <c r="GJ36"/>
      <c r="GK36"/>
      <c r="GL36"/>
      <c r="GM36"/>
      <c r="GN36"/>
      <c r="GO36"/>
      <c r="GQ36"/>
      <c r="GR36"/>
      <c r="GS36"/>
      <c r="GT36"/>
      <c r="GU36"/>
      <c r="GV36">
        <v>1</v>
      </c>
      <c r="GW36">
        <f>+Tabla578914[[#This Row],[Recuento]]*Tabla578914[[#This Row],[Volúmen bruto]]</f>
        <v>0</v>
      </c>
      <c r="GX36">
        <f>+Tabla578914[[#This Row],[Recuento]]*Tabla578914[[#This Row],[Área neta]]</f>
        <v>0</v>
      </c>
      <c r="GY36" s="36"/>
      <c r="HA36" t="s">
        <v>1863</v>
      </c>
      <c r="HB36" t="s">
        <v>1383</v>
      </c>
      <c r="HC36" t="s">
        <v>98</v>
      </c>
      <c r="HD36">
        <v>0.01</v>
      </c>
      <c r="HE36">
        <v>8.23</v>
      </c>
      <c r="HF36">
        <v>1</v>
      </c>
      <c r="HG36">
        <f>+Tabla578914126[[#This Row],[Recuento]]*Tabla578914126[[#This Row],[Volúmen bruto]]</f>
        <v>0.01</v>
      </c>
      <c r="HH36">
        <f>+Tabla578914126[[#This Row],[Recuento]]*Tabla578914126[[#This Row],[Área neta]]</f>
        <v>8.23</v>
      </c>
      <c r="HI36" s="36"/>
      <c r="HK36"/>
      <c r="HL36"/>
      <c r="HM36"/>
      <c r="HN36"/>
      <c r="HO36"/>
      <c r="HP36">
        <v>1</v>
      </c>
      <c r="HQ36">
        <f>+Tabla578914126127[[#This Row],[Recuento]]*Tabla578914126127[[#This Row],[Volúmen bruto]]</f>
        <v>0</v>
      </c>
      <c r="HR36">
        <f>+Tabla578914126127[[#This Row],[Recuento]]*Tabla578914126127[[#This Row],[Área neta]]</f>
        <v>0</v>
      </c>
      <c r="HS36" s="36"/>
      <c r="HT36" s="26"/>
      <c r="HU36"/>
      <c r="HV36"/>
      <c r="HW36"/>
      <c r="HX36"/>
      <c r="HY36"/>
      <c r="HZ36"/>
      <c r="IA36"/>
      <c r="IB36"/>
      <c r="IC36" s="36"/>
      <c r="ID36" s="26"/>
      <c r="IE36"/>
      <c r="IF36"/>
      <c r="IG36"/>
      <c r="IH36"/>
      <c r="II36"/>
      <c r="IJ36"/>
      <c r="IK36"/>
      <c r="IL36"/>
      <c r="IM36" s="36"/>
      <c r="IN36" s="26"/>
      <c r="IO36"/>
      <c r="IP36"/>
      <c r="IQ36"/>
      <c r="IR36"/>
      <c r="IS36"/>
      <c r="IT36"/>
      <c r="IU36" s="37"/>
      <c r="IV36" s="37">
        <f>+Tabla520212223[[#This Row],[Recuento]]*Tabla520212223[[#This Row],[Área neta]]</f>
        <v>0</v>
      </c>
      <c r="IW36" s="26">
        <f t="shared" si="0"/>
        <v>0</v>
      </c>
      <c r="IY36"/>
      <c r="IZ36"/>
      <c r="JA36"/>
      <c r="JB36"/>
      <c r="JC36"/>
      <c r="JD36">
        <v>1</v>
      </c>
      <c r="JE36">
        <f>+Tabla520212224[[#This Row],[Recuento]]*Tabla520212224[[#This Row],[Volúmen bruto]]</f>
        <v>0</v>
      </c>
      <c r="JF36">
        <f>+Tabla520212224[[#This Row],[Recuento]]*Tabla520212224[[#This Row],[Área neta]]</f>
        <v>0</v>
      </c>
      <c r="JG36" s="26"/>
      <c r="JI36" t="s">
        <v>1862</v>
      </c>
      <c r="JJ36" t="s">
        <v>1525</v>
      </c>
      <c r="JK36" t="s">
        <v>1677</v>
      </c>
      <c r="JL36">
        <v>0.01</v>
      </c>
      <c r="JM36">
        <v>5.5</v>
      </c>
      <c r="JN36">
        <v>2</v>
      </c>
      <c r="JO36">
        <f>+Tabla52021222425[[#This Row],[Recuento]]*Tabla52021222425[[#This Row],[Volúmen bruto]]</f>
        <v>0.02</v>
      </c>
      <c r="JP36">
        <f>+Tabla52021222425[[#This Row],[Recuento]]*Tabla52021222425[[#This Row],[Área neta]]</f>
        <v>11</v>
      </c>
      <c r="JQ36" s="26"/>
      <c r="JS36" t="s">
        <v>1862</v>
      </c>
      <c r="JT36" t="s">
        <v>1525</v>
      </c>
      <c r="JU36" t="s">
        <v>1679</v>
      </c>
      <c r="JV36">
        <v>0</v>
      </c>
      <c r="JW36">
        <v>1.65</v>
      </c>
      <c r="JX36">
        <v>1</v>
      </c>
      <c r="JY36">
        <f>+Tabla5202122242526[[#This Row],[Recuento]]*Tabla5202122242526[[#This Row],[Volúmen bruto]]</f>
        <v>0</v>
      </c>
      <c r="JZ36">
        <f>+Tabla5202122242526[[#This Row],[Recuento]]*Tabla5202122242526[[#This Row],[Área neta]]</f>
        <v>1.65</v>
      </c>
      <c r="KA36" s="26"/>
      <c r="KC36"/>
      <c r="KD36"/>
      <c r="KE36"/>
      <c r="KF36"/>
      <c r="KG36"/>
      <c r="KH36"/>
      <c r="KI36">
        <f>+Tabla5202122242526104[[#This Row],[Recuento]]*Tabla5202122242526104[[#This Row],[Volúmen bruto]]</f>
        <v>0</v>
      </c>
      <c r="KJ36">
        <f>+Tabla5202122242526104[[#This Row],[Recuento]]*Tabla5202122242526104[[#This Row],[Área neta]]</f>
        <v>0</v>
      </c>
      <c r="KK36" s="26"/>
      <c r="KM36" t="s">
        <v>1862</v>
      </c>
      <c r="KN36" t="s">
        <v>1525</v>
      </c>
      <c r="KO36" t="s">
        <v>98</v>
      </c>
      <c r="KP36">
        <v>0</v>
      </c>
      <c r="KQ36">
        <v>1.96</v>
      </c>
      <c r="KR36">
        <v>1</v>
      </c>
      <c r="KS36">
        <f>+Tabla5202122242526104110[[#This Row],[Recuento]]*Tabla5202122242526104110[[#This Row],[Volúmen bruto]]</f>
        <v>0</v>
      </c>
      <c r="KT36">
        <f>+Tabla5202122242526104110[[#This Row],[Recuento]]*Tabla5202122242526104110[[#This Row],[Área neta]]</f>
        <v>1.96</v>
      </c>
      <c r="KU36" s="26"/>
      <c r="KW36"/>
      <c r="KX36"/>
      <c r="KY36"/>
      <c r="KZ36"/>
      <c r="LA36"/>
      <c r="LB36"/>
      <c r="LC36">
        <f>+Tabla520212224252659[[#This Row],[Recuento]]*Tabla520212224252659[[#This Row],[Volúmen bruto]]</f>
        <v>0</v>
      </c>
      <c r="LD36">
        <f>+Tabla520212224252659[[#This Row],[Recuento]]*Tabla520212224252659[[#This Row],[Área neta]]</f>
        <v>0</v>
      </c>
      <c r="LE36" s="26"/>
      <c r="LG36"/>
      <c r="LH36"/>
      <c r="LI36"/>
      <c r="LJ36"/>
      <c r="LK36"/>
      <c r="LL36"/>
      <c r="LM36">
        <f>+Tabla520212224252659111[[#This Row],[Recuento]]*Tabla520212224252659111[[#This Row],[Volúmen bruto]]</f>
        <v>0</v>
      </c>
      <c r="LN36">
        <f>+Tabla520212224252659111[[#This Row],[Recuento]]*Tabla520212224252659111[[#This Row],[Área neta]]</f>
        <v>0</v>
      </c>
      <c r="LO36" s="26"/>
      <c r="LQ36"/>
      <c r="LR36"/>
      <c r="LS36"/>
      <c r="LT36"/>
      <c r="LU36"/>
      <c r="LV36"/>
      <c r="LW36">
        <f>+Tabla520212224252659111114[[#This Row],[Recuento]]*Tabla520212224252659111114[[#This Row],[Volúmen bruto]]</f>
        <v>0</v>
      </c>
      <c r="LX36">
        <f>+Tabla520212224252659111114[[#This Row],[Recuento]]*Tabla520212224252659111114[[#This Row],[Área neta]]</f>
        <v>0</v>
      </c>
      <c r="LY36" s="26"/>
      <c r="MA36" t="s">
        <v>1863</v>
      </c>
      <c r="MB36" t="s">
        <v>1524</v>
      </c>
      <c r="MC36" t="s">
        <v>1628</v>
      </c>
      <c r="MD36">
        <v>0.15</v>
      </c>
      <c r="ME36">
        <v>3.32</v>
      </c>
      <c r="MF36">
        <v>1</v>
      </c>
      <c r="MG36">
        <f>+Tabla520212224252659111114128[[#This Row],[Recuento]]*Tabla520212224252659111114128[[#This Row],[Volúmen bruto]]</f>
        <v>0.15</v>
      </c>
      <c r="MH36">
        <f>+Tabla520212224252659111114128[[#This Row],[Recuento]]*Tabla520212224252659111114128[[#This Row],[Área neta]]</f>
        <v>3.32</v>
      </c>
      <c r="MI36" s="26"/>
      <c r="MK36"/>
      <c r="ML36"/>
      <c r="MM36"/>
      <c r="MN36"/>
      <c r="MO36"/>
      <c r="MP36"/>
      <c r="MQ36">
        <f>+Tabla520212224252627[[#This Row],[Recuento]]*Tabla520212224252627[[#This Row],[Volúmen bruto]]</f>
        <v>0</v>
      </c>
      <c r="MR36">
        <f>+Tabla520212224252627[[#This Row],[Recuento]]*Tabla520212224252627[[#This Row],[Área neta]]</f>
        <v>0</v>
      </c>
      <c r="MS36" s="26"/>
      <c r="MU36"/>
      <c r="MV36"/>
      <c r="MW36"/>
      <c r="MX36"/>
      <c r="MY36"/>
      <c r="MZ36"/>
      <c r="NA36">
        <f>+Tabla520212224252627129[[#This Row],[Recuento]]*Tabla520212224252627129[[#This Row],[Volúmen bruto]]</f>
        <v>0</v>
      </c>
      <c r="NB36">
        <f>+Tabla520212224252627129[[#This Row],[Recuento]]*Tabla520212224252627129[[#This Row],[Área neta]]</f>
        <v>0</v>
      </c>
      <c r="NC36" s="26"/>
      <c r="NE36"/>
      <c r="NF36"/>
      <c r="NG36"/>
      <c r="NH36"/>
      <c r="NI36"/>
      <c r="NJ36"/>
      <c r="NK36">
        <f>+Tabla520212224252627129125[[#This Row],[Recuento]]*Tabla520212224252627129125[[#This Row],[Volúmen bruto]]</f>
        <v>0</v>
      </c>
      <c r="NL36">
        <f>+Tabla520212224252627129125[[#This Row],[Recuento]]*Tabla520212224252627129125[[#This Row],[Área neta]]</f>
        <v>0</v>
      </c>
      <c r="NM36" s="26"/>
      <c r="NO36"/>
      <c r="NP36"/>
      <c r="NQ36"/>
      <c r="NR36"/>
      <c r="NS36"/>
      <c r="NT36"/>
      <c r="NU36">
        <f>+Tabla520212224252627129125130[[#This Row],[Recuento]]*Tabla520212224252627129125130[[#This Row],[Volúmen bruto]]</f>
        <v>0</v>
      </c>
      <c r="NV36">
        <f>+Tabla520212224252627129125130[[#This Row],[Recuento]]*Tabla520212224252627129125130[[#This Row],[Área neta]]</f>
        <v>0</v>
      </c>
      <c r="NW36" s="26"/>
      <c r="NY36"/>
      <c r="NZ36"/>
      <c r="OA36"/>
      <c r="OB36"/>
      <c r="OC36"/>
      <c r="OD36"/>
      <c r="OE36">
        <f>+Tabla520212224252627129125130131[[#This Row],[Recuento]]*Tabla520212224252627129125130131[[#This Row],[Volúmen bruto]]</f>
        <v>0</v>
      </c>
      <c r="OF36">
        <f>+Tabla520212224252627129125130131[[#This Row],[Recuento]]*Tabla520212224252627129125130131[[#This Row],[Área neta]]</f>
        <v>0</v>
      </c>
      <c r="OG36" s="26"/>
      <c r="OI36"/>
      <c r="OJ36"/>
      <c r="OK36"/>
      <c r="OL36"/>
      <c r="OM36"/>
      <c r="ON36"/>
      <c r="OO36">
        <f>+Tabla520212224252627129125130131132[[#This Row],[Recuento]]*Tabla520212224252627129125130131132[[#This Row],[Volúmen bruto]]</f>
        <v>0</v>
      </c>
      <c r="OP36">
        <f>+Tabla520212224252627129125130131132[[#This Row],[Recuento]]*Tabla520212224252627129125130131132[[#This Row],[Área neta]]</f>
        <v>0</v>
      </c>
      <c r="OQ36" s="26"/>
      <c r="OS36"/>
      <c r="OT36"/>
      <c r="OU36"/>
      <c r="OV36"/>
      <c r="OW36"/>
      <c r="OX36"/>
      <c r="OY36">
        <f>+Tabla52021222425262728[[#This Row],[Recuento]]*Tabla52021222425262728[[#This Row],[Volúmen bruto]]</f>
        <v>0</v>
      </c>
      <c r="OZ36">
        <f>+Tabla52021222425262728[[#This Row],[Recuento]]*Tabla52021222425262728[[#This Row],[Área neta]]</f>
        <v>0</v>
      </c>
      <c r="PA36" s="26"/>
      <c r="PC36" t="s">
        <v>1862</v>
      </c>
      <c r="PD36" t="s">
        <v>1525</v>
      </c>
      <c r="PE36" t="s">
        <v>97</v>
      </c>
      <c r="PF36">
        <v>0.02</v>
      </c>
      <c r="PG36">
        <v>1.04</v>
      </c>
      <c r="PH36">
        <v>1</v>
      </c>
      <c r="PI36">
        <f>+Tabla52021222425262728133[[#This Row],[Recuento]]*Tabla52021222425262728133[[#This Row],[Volúmen bruto]]</f>
        <v>0.02</v>
      </c>
      <c r="PJ36">
        <f>+Tabla52021222425262728133[[#This Row],[Recuento]]*Tabla52021222425262728133[[#This Row],[Área neta]]</f>
        <v>1.04</v>
      </c>
      <c r="PK36" s="26"/>
      <c r="PM36"/>
      <c r="PN36"/>
      <c r="PO36"/>
      <c r="PP36"/>
      <c r="PQ36"/>
      <c r="PR36"/>
      <c r="PS36">
        <f>+Tabla5202122242526272893[[#This Row],[Recuento]]*Tabla5202122242526272893[[#This Row],[Volúmen bruto]]</f>
        <v>0</v>
      </c>
      <c r="PT36">
        <f>+Tabla5202122242526272893[[#This Row],[Recuento]]*Tabla5202122242526272893[[#This Row],[Área neta]]</f>
        <v>0</v>
      </c>
      <c r="PU36" s="26"/>
      <c r="PW36" t="s">
        <v>1862</v>
      </c>
      <c r="PX36" t="s">
        <v>1525</v>
      </c>
      <c r="PY36" t="s">
        <v>98</v>
      </c>
      <c r="PZ36">
        <v>0</v>
      </c>
      <c r="QA36">
        <v>1.45</v>
      </c>
      <c r="QB36">
        <v>1</v>
      </c>
      <c r="QC36">
        <f>+Tabla520212224252627289349[[#This Row],[Recuento]]*Tabla520212224252627289349[[#This Row],[Volúmen bruto]]</f>
        <v>0</v>
      </c>
      <c r="QD36">
        <f>+Tabla520212224252627289349[[#This Row],[Recuento]]*Tabla520212224252627289349[[#This Row],[Área neta]]</f>
        <v>1.45</v>
      </c>
      <c r="QE36" s="26"/>
      <c r="QG36"/>
      <c r="QH36"/>
      <c r="QI36"/>
      <c r="QJ36"/>
      <c r="QK36"/>
      <c r="QL36"/>
      <c r="QM36">
        <f>+Tabla520212224252627289349134[[#This Row],[Recuento]]*Tabla520212224252627289349134[[#This Row],[Volúmen bruto]]</f>
        <v>0</v>
      </c>
      <c r="QN36">
        <f>+Tabla520212224252627289349134[[#This Row],[Recuento]]*Tabla520212224252627289349134[[#This Row],[Área neta]]</f>
        <v>0</v>
      </c>
      <c r="QO36" s="26"/>
      <c r="QQ36" t="s">
        <v>1863</v>
      </c>
      <c r="QR36" t="s">
        <v>1524</v>
      </c>
      <c r="QS36" t="s">
        <v>1726</v>
      </c>
      <c r="QT36">
        <v>0.12</v>
      </c>
      <c r="QU36">
        <v>0.6</v>
      </c>
      <c r="QV36">
        <v>1</v>
      </c>
      <c r="QW36">
        <v>1</v>
      </c>
      <c r="QX36">
        <f>+Tabla5202122242526272829[[#This Row],[Recuento]]*Tabla5202122242526272829[[#This Row],[Volúmen bruto]]</f>
        <v>0.12</v>
      </c>
      <c r="QY36">
        <f>+Tabla5202122242526272829[[#This Row],[Recuento]]*Tabla5202122242526272829[[#This Row],[Área neta]]</f>
        <v>0.6</v>
      </c>
      <c r="QZ36">
        <f>+Tabla5202122242526272829[[#This Row],[Recuento]]*Tabla5202122242526272829[[#This Row],[Longitud]]</f>
        <v>1</v>
      </c>
      <c r="RA36" s="26"/>
      <c r="RC36"/>
      <c r="RD36"/>
      <c r="RE36"/>
      <c r="RF36"/>
      <c r="RG36"/>
      <c r="RH36"/>
      <c r="RI36"/>
      <c r="RJ36"/>
      <c r="RK36" s="26"/>
      <c r="RM36"/>
      <c r="RN36"/>
      <c r="RO36"/>
      <c r="RP36"/>
      <c r="RQ36"/>
      <c r="RR36"/>
      <c r="RS36"/>
      <c r="RT36"/>
      <c r="RU36" s="26">
        <f t="shared" si="7"/>
        <v>0</v>
      </c>
      <c r="RW36"/>
      <c r="RX36"/>
      <c r="RY36"/>
      <c r="RZ36"/>
      <c r="SA36"/>
      <c r="SB36"/>
      <c r="SC36"/>
      <c r="SD36"/>
      <c r="SE36" s="26"/>
      <c r="SG36"/>
      <c r="SH36"/>
      <c r="SI36"/>
      <c r="SJ36"/>
      <c r="SK36"/>
      <c r="SL36"/>
      <c r="SM36">
        <f>+Tabla5202122242526272831323314[[#This Row],[Recuento]]*Tabla5202122242526272831323314[[#This Row],[Volúmen bruto]]</f>
        <v>0</v>
      </c>
      <c r="SN36">
        <f>+Tabla5202122242526272831323314[[#This Row],[Recuento]]*Tabla5202122242526272831323314[[#This Row],[Área neta]]</f>
        <v>0</v>
      </c>
      <c r="SO36" s="26"/>
      <c r="SQ36" t="s">
        <v>1863</v>
      </c>
      <c r="SR36" t="s">
        <v>1524</v>
      </c>
      <c r="SS36" t="s">
        <v>94</v>
      </c>
      <c r="ST36">
        <v>0.22</v>
      </c>
      <c r="SU36">
        <v>2.17</v>
      </c>
      <c r="SV36">
        <v>2</v>
      </c>
      <c r="SW36" s="34">
        <f>+Tabla5789141516[[#This Row],[Recuento]]*Tabla5789141516[[#This Row],[Volúmen bruto]]</f>
        <v>0.44</v>
      </c>
      <c r="SX36" s="34">
        <f>+Tabla5789141516[[#This Row],[Recuento]]*Tabla5789141516[[#This Row],[Área neta]]</f>
        <v>4.34</v>
      </c>
      <c r="SY36" s="35">
        <f>+SUM(SX36:SX38)</f>
        <v>14.48</v>
      </c>
      <c r="SZ36" s="26"/>
      <c r="TA36"/>
      <c r="TB36"/>
      <c r="TC36"/>
      <c r="TD36"/>
      <c r="TE36"/>
      <c r="TF36"/>
      <c r="TG36"/>
      <c r="TH36"/>
      <c r="TI36" s="36">
        <f t="shared" si="8"/>
        <v>0</v>
      </c>
      <c r="TJ36" s="26"/>
      <c r="TK36"/>
      <c r="TL36"/>
      <c r="TM36"/>
      <c r="TN36"/>
      <c r="TO36"/>
      <c r="TP36"/>
      <c r="TQ36"/>
      <c r="TR36"/>
      <c r="TS36" s="36">
        <f t="shared" si="9"/>
        <v>0</v>
      </c>
      <c r="TT36" s="26"/>
      <c r="TU36"/>
      <c r="TV36"/>
      <c r="TW36"/>
      <c r="TX36"/>
      <c r="TY36"/>
      <c r="TZ36"/>
      <c r="UA36"/>
      <c r="UB36"/>
      <c r="UC36" s="36">
        <f t="shared" si="10"/>
        <v>0</v>
      </c>
      <c r="UD36" s="26"/>
      <c r="UE36"/>
      <c r="UF36"/>
      <c r="UG36"/>
      <c r="UH36"/>
      <c r="UI36"/>
      <c r="UJ36"/>
      <c r="UK36"/>
      <c r="UL36"/>
      <c r="UM36" s="36">
        <f t="shared" si="11"/>
        <v>0</v>
      </c>
      <c r="UN36" s="26"/>
      <c r="UO36"/>
      <c r="UP36"/>
      <c r="UQ36"/>
      <c r="UR36"/>
      <c r="US36"/>
      <c r="UT36"/>
      <c r="UU36"/>
      <c r="UV36"/>
      <c r="UW36" s="36">
        <f t="shared" si="12"/>
        <v>0</v>
      </c>
      <c r="UX36" s="26"/>
      <c r="UY36"/>
      <c r="UZ36"/>
      <c r="VA36"/>
      <c r="VB36"/>
      <c r="VC36"/>
      <c r="VD36"/>
      <c r="VE36"/>
      <c r="VF36"/>
      <c r="VG36" s="36">
        <f t="shared" si="13"/>
        <v>0</v>
      </c>
      <c r="VH36" s="26"/>
      <c r="VI36"/>
      <c r="VJ36"/>
      <c r="VK36"/>
      <c r="VL36"/>
      <c r="VM36"/>
      <c r="VN36"/>
      <c r="VO36"/>
      <c r="VP36"/>
      <c r="VQ36" s="36">
        <f t="shared" si="14"/>
        <v>0</v>
      </c>
      <c r="VR36" s="26"/>
      <c r="VS36"/>
      <c r="VT36"/>
      <c r="VU36"/>
      <c r="VV36"/>
      <c r="VW36"/>
      <c r="VX36"/>
      <c r="VY36"/>
      <c r="VZ36"/>
      <c r="WA36" s="36">
        <f t="shared" si="15"/>
        <v>0</v>
      </c>
      <c r="WB36" s="26"/>
      <c r="WC36"/>
      <c r="WD36"/>
      <c r="WE36"/>
      <c r="WF36"/>
      <c r="WG36"/>
      <c r="WH36"/>
      <c r="WI36"/>
      <c r="WJ36"/>
      <c r="WK36" s="36">
        <f t="shared" si="16"/>
        <v>0</v>
      </c>
      <c r="WL36" s="26"/>
      <c r="WM36"/>
      <c r="WN36"/>
      <c r="WO36"/>
      <c r="WP36"/>
      <c r="WQ36"/>
      <c r="WR36"/>
      <c r="WS36"/>
      <c r="WT36"/>
      <c r="WU36" s="36">
        <f t="shared" si="17"/>
        <v>0</v>
      </c>
      <c r="WV36" s="26"/>
      <c r="WW36"/>
      <c r="WX36"/>
      <c r="WY36"/>
      <c r="WZ36"/>
      <c r="XA36"/>
      <c r="XB36"/>
      <c r="XC36"/>
      <c r="XD36"/>
      <c r="XE36" s="36">
        <f t="shared" si="18"/>
        <v>0</v>
      </c>
      <c r="XF36" s="26"/>
      <c r="XG36"/>
      <c r="XH36"/>
      <c r="XI36"/>
      <c r="XJ36"/>
      <c r="XK36"/>
      <c r="XL36" s="33"/>
      <c r="XM36" s="34"/>
      <c r="XN36" s="34"/>
      <c r="XO36" s="35"/>
      <c r="XP36" s="26"/>
      <c r="XQ36"/>
      <c r="XR36"/>
      <c r="XS36"/>
      <c r="XT36"/>
      <c r="XU36"/>
      <c r="XV36" s="33"/>
      <c r="XW36" s="34"/>
      <c r="XX36" s="34"/>
      <c r="XY36" s="35"/>
      <c r="XZ36" s="26"/>
      <c r="YA36"/>
      <c r="YB36"/>
      <c r="YC36"/>
      <c r="YD36"/>
      <c r="YE36"/>
      <c r="YF36" s="33"/>
      <c r="YG36" s="34"/>
      <c r="YH36" s="34"/>
      <c r="YI36" s="35"/>
      <c r="YJ36" s="35"/>
      <c r="YK36"/>
      <c r="YL36"/>
      <c r="YM36"/>
      <c r="YN36"/>
      <c r="YO36"/>
      <c r="YQ36"/>
      <c r="YR36"/>
      <c r="YS36"/>
      <c r="YT36"/>
      <c r="YU36"/>
      <c r="YV36" s="33"/>
      <c r="YW36" s="34"/>
      <c r="YX36" s="34"/>
      <c r="YY36" s="35"/>
      <c r="YZ36" s="26"/>
      <c r="ZA36"/>
      <c r="ZB36"/>
      <c r="ZC36"/>
      <c r="ZD36"/>
      <c r="ZE36"/>
      <c r="ZF36" s="33"/>
      <c r="ZG36" s="34"/>
      <c r="ZH36" s="34"/>
      <c r="ZI36" s="35"/>
      <c r="ZJ36" s="26"/>
      <c r="ZK36"/>
      <c r="ZL36"/>
      <c r="ZM36"/>
      <c r="ZN36"/>
      <c r="ZO36"/>
      <c r="ZP36" s="33"/>
      <c r="ZQ36" s="34"/>
      <c r="ZR36" s="34"/>
      <c r="ZS36" s="35"/>
      <c r="ZT36" s="26"/>
      <c r="ZU36"/>
      <c r="ZV36"/>
      <c r="ZW36"/>
      <c r="ZX36"/>
      <c r="ZY36"/>
      <c r="ZZ36" s="33"/>
      <c r="AAA36" s="34"/>
      <c r="AAB36" s="34"/>
      <c r="AAC36" s="35"/>
      <c r="AAD36" s="26"/>
      <c r="AAE36"/>
      <c r="AAF36"/>
      <c r="AAG36"/>
      <c r="AAH36"/>
      <c r="AAI36"/>
      <c r="AAJ36" s="33"/>
      <c r="AAK36" s="34"/>
      <c r="AAL36" s="34"/>
      <c r="AAM36" s="35"/>
      <c r="AAN36" s="26"/>
      <c r="AAO36"/>
      <c r="AAP36"/>
      <c r="AAW36" s="36">
        <f t="shared" si="20"/>
        <v>0</v>
      </c>
      <c r="AAX36" s="26"/>
      <c r="AAY36"/>
      <c r="AAZ36"/>
      <c r="ABA36"/>
      <c r="ABB36"/>
      <c r="ABC36"/>
      <c r="ABD36" s="33"/>
      <c r="ABE36" s="34"/>
      <c r="ABF36" s="34"/>
      <c r="ABG36" s="35"/>
      <c r="ABH36" s="26"/>
      <c r="ABI36"/>
      <c r="ABJ36"/>
      <c r="ABK36"/>
      <c r="ABL36"/>
      <c r="ABM36"/>
      <c r="ABN36" s="33"/>
      <c r="ABO36" s="34"/>
      <c r="ABP36" s="34"/>
      <c r="ABQ36" s="35"/>
      <c r="ABR36" s="26"/>
      <c r="ABS36"/>
      <c r="ABT36"/>
      <c r="ABU36"/>
      <c r="ABV36"/>
      <c r="ABW36"/>
      <c r="ABX36" s="33"/>
      <c r="ABY36" s="34"/>
      <c r="ABZ36" s="34"/>
      <c r="ACA36" s="35"/>
      <c r="ACB36" s="26"/>
      <c r="ACC36"/>
      <c r="ACD36"/>
      <c r="ACE36"/>
      <c r="ACF36"/>
      <c r="ACG36"/>
      <c r="ACH36" s="33"/>
      <c r="ACI36" s="34"/>
      <c r="ACJ36" s="34"/>
      <c r="ACK36" s="35"/>
      <c r="ACL36" s="26"/>
      <c r="ACM36"/>
      <c r="ACN36"/>
      <c r="ACO36"/>
      <c r="ACP36"/>
      <c r="ACQ36"/>
      <c r="ACR36" s="33"/>
      <c r="ACS36" s="34"/>
      <c r="ACT36" s="34"/>
      <c r="ACU36" s="35"/>
      <c r="ACV36" s="26"/>
      <c r="ACW36" t="s">
        <v>1228</v>
      </c>
      <c r="ACX36" s="1">
        <v>1</v>
      </c>
      <c r="ACY36" s="2">
        <v>2.2000000000000002</v>
      </c>
      <c r="ACZ36" s="2">
        <v>3</v>
      </c>
      <c r="ADA36">
        <v>1</v>
      </c>
      <c r="ADB36" s="2">
        <f t="shared" ref="ADB36:ADB63" si="21">+(ACZ36*ACY36)*ADA36</f>
        <v>6.6000000000000005</v>
      </c>
      <c r="ADC36" s="2">
        <f>+(ADA36*ACZ36)*ADB36</f>
        <v>19.8</v>
      </c>
      <c r="ADD36"/>
      <c r="ADE36"/>
      <c r="ADF36"/>
      <c r="ADG36" s="26">
        <f t="shared" si="19"/>
        <v>0</v>
      </c>
      <c r="ADJ36"/>
      <c r="ADK36"/>
      <c r="ADL36"/>
      <c r="ADM36"/>
      <c r="ADN36"/>
      <c r="ADO36">
        <f>+Tabla578914151634353637383940414243444546474849505152535560[[#This Row],[G. Total]]*Tabla578914151634353637383940414243444546474849505152535560[[#This Row],[Recuento]]</f>
        <v>0</v>
      </c>
      <c r="ADP36" s="35"/>
      <c r="ADQ36" s="26"/>
      <c r="ADR36"/>
      <c r="ADS36"/>
      <c r="ADT36"/>
      <c r="ADU36"/>
      <c r="ADV36"/>
      <c r="ADW36" s="35"/>
      <c r="ADX36" s="35"/>
      <c r="ADY36"/>
      <c r="ADZ36"/>
      <c r="AEA36"/>
      <c r="AEB36"/>
      <c r="AEC36"/>
      <c r="AED36"/>
      <c r="AEE36" s="35"/>
      <c r="AEF36" s="26"/>
      <c r="AEG36"/>
      <c r="AEH36"/>
      <c r="AEI36"/>
      <c r="AEJ36"/>
      <c r="AEK36"/>
      <c r="AEL36" s="35"/>
      <c r="AEM36" s="35"/>
      <c r="AEN36" t="s">
        <v>1522</v>
      </c>
      <c r="AEO36" t="s">
        <v>1524</v>
      </c>
      <c r="AEP36" t="s">
        <v>381</v>
      </c>
      <c r="AEQ36">
        <v>0.19</v>
      </c>
      <c r="AER36">
        <v>2</v>
      </c>
      <c r="AES36">
        <f>+Tabla5789141516343536373839404142434445464748495051525355606264[[#This Row],[G. Total]]*Tabla5789141516343536373839404142434445464748495051525355606264[[#This Row],[Recuento]]</f>
        <v>0.38</v>
      </c>
      <c r="AET36" s="35"/>
      <c r="AEU36" s="26"/>
      <c r="AEV36"/>
      <c r="AEW36"/>
      <c r="AEX36"/>
      <c r="AEY36"/>
      <c r="AEZ36"/>
      <c r="AFA36" s="35"/>
      <c r="AFB36" s="26"/>
      <c r="AFC36"/>
      <c r="AFD36"/>
      <c r="AFE36"/>
      <c r="AFF36"/>
      <c r="AFG36"/>
      <c r="AFH36"/>
      <c r="AFI36"/>
      <c r="AFJ36"/>
      <c r="AFK36"/>
      <c r="AFL36"/>
      <c r="AFM36"/>
      <c r="AFN36">
        <f>+Tabla578914151634353637383940414243444546474849505152535560626467[[#This Row],[G. Total]]*Tabla578914151634353637383940414243444546474849505152535560626467[[#This Row],[Recuento]]</f>
        <v>0</v>
      </c>
      <c r="AFO36" s="35"/>
      <c r="AFP36" s="26"/>
      <c r="AFQ36" s="2" t="s">
        <v>115</v>
      </c>
      <c r="AFX36" s="2" t="s">
        <v>115</v>
      </c>
    </row>
    <row r="37" spans="1:861" ht="15" customHeigh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>
        <f>+Tabla5[[#This Row],[Recuento]]*Tabla5[[#This Row],[Volúmen bruto]]</f>
        <v>0</v>
      </c>
      <c r="S37">
        <f>+Tabla5[[#This Row],[Recuento]]*Tabla5[[#This Row],[Área neta]]</f>
        <v>0</v>
      </c>
      <c r="T37">
        <f>+Tabla5[[#This Row],[Longitud nominal]]*Tabla5[[#This Row],[Recuento]]</f>
        <v>0</v>
      </c>
      <c r="U37" s="26"/>
      <c r="V37"/>
      <c r="W37"/>
      <c r="X37"/>
      <c r="Y37"/>
      <c r="Z37"/>
      <c r="AA37"/>
      <c r="AB37"/>
      <c r="AC37"/>
      <c r="AD37"/>
      <c r="AE37"/>
      <c r="AF37"/>
      <c r="AG37" s="26">
        <f t="shared" si="4"/>
        <v>0</v>
      </c>
      <c r="AH37"/>
      <c r="AI37"/>
      <c r="AJ37"/>
      <c r="AK37"/>
      <c r="AL37"/>
      <c r="AM37"/>
      <c r="AN37"/>
      <c r="AO37"/>
      <c r="AP37"/>
      <c r="AQ37"/>
      <c r="AR37"/>
      <c r="AS37" s="26">
        <f t="shared" si="5"/>
        <v>0</v>
      </c>
      <c r="AT37"/>
      <c r="AU37"/>
      <c r="AV37"/>
      <c r="AW37"/>
      <c r="AX37"/>
      <c r="AY37"/>
      <c r="AZ37"/>
      <c r="BA37"/>
      <c r="BB37"/>
      <c r="BC37"/>
      <c r="BD37"/>
      <c r="BE37" s="26">
        <f t="shared" si="6"/>
        <v>0</v>
      </c>
      <c r="BF37">
        <v>1</v>
      </c>
      <c r="BG37" t="s">
        <v>1862</v>
      </c>
      <c r="BH37" t="s">
        <v>1524</v>
      </c>
      <c r="BI37" t="s">
        <v>1406</v>
      </c>
      <c r="BJ37">
        <v>1.52</v>
      </c>
      <c r="BK37" s="37">
        <v>2</v>
      </c>
      <c r="BL37">
        <f>+Tabla3102[[#This Row],[En culmo]]*BF37</f>
        <v>2</v>
      </c>
      <c r="BM37"/>
      <c r="BN37">
        <v>1</v>
      </c>
      <c r="BO37"/>
      <c r="BP37"/>
      <c r="BQ37"/>
      <c r="BR37"/>
      <c r="BS37"/>
      <c r="BT37">
        <f>+Tabla31069[[#This Row],[Longitud de eje]]*BN37</f>
        <v>0</v>
      </c>
      <c r="BU37"/>
      <c r="BV37"/>
      <c r="BW37"/>
      <c r="BX37"/>
      <c r="BY37"/>
      <c r="BZ37"/>
      <c r="CA37"/>
      <c r="CB37">
        <f>+Tabla31011[[#This Row],[Longitud de eje]]*BV37</f>
        <v>0</v>
      </c>
      <c r="CD37">
        <v>5</v>
      </c>
      <c r="CE37" t="s">
        <v>1862</v>
      </c>
      <c r="CF37" t="s">
        <v>1525</v>
      </c>
      <c r="CG37" t="s">
        <v>1405</v>
      </c>
      <c r="CH37">
        <v>2.0699999999999998</v>
      </c>
      <c r="CI37">
        <v>2.5</v>
      </c>
      <c r="CJ37">
        <f>+Tabla3101170[[#This Row],[En culmo]]*CD37</f>
        <v>12.5</v>
      </c>
      <c r="CK37"/>
      <c r="CR37">
        <f>+Tabla31011116[[#This Row],[Longitud de eje]]*CT37</f>
        <v>0</v>
      </c>
      <c r="CT37">
        <v>1</v>
      </c>
      <c r="CU37" t="s">
        <v>1862</v>
      </c>
      <c r="CV37" t="s">
        <v>1383</v>
      </c>
      <c r="CW37" t="s">
        <v>1405</v>
      </c>
      <c r="CX37">
        <v>12.22</v>
      </c>
      <c r="CY37">
        <v>13.5</v>
      </c>
      <c r="CZ37">
        <f>+Tabla3101170117[[#This Row],[En culmo]]*CT37</f>
        <v>13.5</v>
      </c>
      <c r="DA37"/>
      <c r="DB37"/>
      <c r="DC37"/>
      <c r="DD37"/>
      <c r="DE37"/>
      <c r="DF37"/>
      <c r="DG37">
        <f>+Tabla31011704[[#This Row],[Longitud de eje]]*DB37</f>
        <v>0</v>
      </c>
      <c r="DH37"/>
      <c r="DI37"/>
      <c r="DJ37"/>
      <c r="DK37"/>
      <c r="DL37"/>
      <c r="DM37"/>
      <c r="DN37">
        <f>+Tabla3101170411[[#This Row],[Longitud de eje]]*DI37</f>
        <v>0</v>
      </c>
      <c r="DO37"/>
      <c r="DP37"/>
      <c r="DQ37"/>
      <c r="DR37"/>
      <c r="DS37"/>
      <c r="DT37"/>
      <c r="DU37">
        <f>+Tabla3101170411120[[#This Row],[Longitud de eje]]*DP37</f>
        <v>0</v>
      </c>
      <c r="DV37"/>
      <c r="DW37"/>
      <c r="DX37"/>
      <c r="DY37"/>
      <c r="DZ37"/>
      <c r="EA37"/>
      <c r="EB37">
        <f>+Tabla3101170411120122[[#This Row],[Longitud de eje]]*DW37</f>
        <v>0</v>
      </c>
      <c r="EC37"/>
      <c r="ED37">
        <v>1</v>
      </c>
      <c r="EE37" t="s">
        <v>1862</v>
      </c>
      <c r="EF37" t="s">
        <v>1524</v>
      </c>
      <c r="EG37" t="s">
        <v>1406</v>
      </c>
      <c r="EH37">
        <v>2.63</v>
      </c>
      <c r="EI37">
        <v>3</v>
      </c>
      <c r="EJ37">
        <f>+Tabla3101112[[#This Row],[En culmo]]*ED37</f>
        <v>3</v>
      </c>
      <c r="EK37"/>
      <c r="EL37"/>
      <c r="EM37"/>
      <c r="EN37"/>
      <c r="EO37"/>
      <c r="EP37"/>
      <c r="EQ37"/>
      <c r="ER37">
        <f>+Tabla3101112123[[#This Row],[En culmo]]*EL37</f>
        <v>0</v>
      </c>
      <c r="ES37"/>
      <c r="ET37">
        <v>2</v>
      </c>
      <c r="EU37" t="s">
        <v>1862</v>
      </c>
      <c r="EV37" t="s">
        <v>1525</v>
      </c>
      <c r="EW37" t="s">
        <v>1406</v>
      </c>
      <c r="EX37">
        <v>3.15</v>
      </c>
      <c r="EY37">
        <v>3.5</v>
      </c>
      <c r="EZ37">
        <f>+Tabla310111257[[#This Row],[En culmo]]*ET37</f>
        <v>7</v>
      </c>
      <c r="FA37"/>
      <c r="FB37"/>
      <c r="FC37"/>
      <c r="FD37"/>
      <c r="FE37"/>
      <c r="FF37"/>
      <c r="FG37">
        <v>3.5</v>
      </c>
      <c r="FH37">
        <f>+Tabla310111257124[[#This Row],[En culmo]]*FB37</f>
        <v>0</v>
      </c>
      <c r="FI37"/>
      <c r="FK37"/>
      <c r="FL37"/>
      <c r="FM37"/>
      <c r="FN37"/>
      <c r="FO37"/>
      <c r="FP37"/>
      <c r="FQ37"/>
      <c r="FS37"/>
      <c r="FT37"/>
      <c r="FU37"/>
      <c r="FV37"/>
      <c r="FW37"/>
      <c r="FX37"/>
      <c r="FY37"/>
      <c r="GA37"/>
      <c r="GB37"/>
      <c r="GC37"/>
      <c r="GD37"/>
      <c r="GE37"/>
      <c r="GF37"/>
      <c r="GG37"/>
      <c r="GI37"/>
      <c r="GJ37"/>
      <c r="GK37"/>
      <c r="GL37"/>
      <c r="GM37"/>
      <c r="GN37"/>
      <c r="GO37"/>
      <c r="GQ37"/>
      <c r="GR37"/>
      <c r="GS37"/>
      <c r="GT37"/>
      <c r="GU37"/>
      <c r="GV37">
        <v>1</v>
      </c>
      <c r="GW37">
        <f>+Tabla578914[[#This Row],[Recuento]]*Tabla578914[[#This Row],[Volúmen bruto]]</f>
        <v>0</v>
      </c>
      <c r="GX37">
        <f>+Tabla578914[[#This Row],[Recuento]]*Tabla578914[[#This Row],[Área neta]]</f>
        <v>0</v>
      </c>
      <c r="GY37" s="36"/>
      <c r="HA37" t="s">
        <v>1863</v>
      </c>
      <c r="HB37" t="s">
        <v>1383</v>
      </c>
      <c r="HC37" t="s">
        <v>1667</v>
      </c>
      <c r="HD37">
        <v>1.02</v>
      </c>
      <c r="HE37">
        <v>11.29</v>
      </c>
      <c r="HF37">
        <v>1</v>
      </c>
      <c r="HG37">
        <f>+Tabla578914126[[#This Row],[Recuento]]*Tabla578914126[[#This Row],[Volúmen bruto]]</f>
        <v>1.02</v>
      </c>
      <c r="HH37">
        <f>+Tabla578914126[[#This Row],[Recuento]]*Tabla578914126[[#This Row],[Área neta]]</f>
        <v>11.29</v>
      </c>
      <c r="HI37" s="36"/>
      <c r="HK37"/>
      <c r="HL37"/>
      <c r="HM37"/>
      <c r="HN37"/>
      <c r="HO37"/>
      <c r="HP37">
        <v>1</v>
      </c>
      <c r="HQ37">
        <f>+Tabla578914126127[[#This Row],[Recuento]]*Tabla578914126127[[#This Row],[Volúmen bruto]]</f>
        <v>0</v>
      </c>
      <c r="HR37">
        <f>+Tabla578914126127[[#This Row],[Recuento]]*Tabla578914126127[[#This Row],[Área neta]]</f>
        <v>0</v>
      </c>
      <c r="HS37" s="36"/>
      <c r="HT37" s="26"/>
      <c r="HU37"/>
      <c r="HV37"/>
      <c r="HW37"/>
      <c r="HX37"/>
      <c r="HY37"/>
      <c r="HZ37"/>
      <c r="IA37"/>
      <c r="IB37"/>
      <c r="IC37" s="36"/>
      <c r="ID37" s="26"/>
      <c r="IE37"/>
      <c r="IF37"/>
      <c r="IG37"/>
      <c r="IH37"/>
      <c r="II37"/>
      <c r="IJ37"/>
      <c r="IK37"/>
      <c r="IL37"/>
      <c r="IM37" s="36"/>
      <c r="IN37" s="26"/>
      <c r="IO37"/>
      <c r="IP37"/>
      <c r="IQ37"/>
      <c r="IR37"/>
      <c r="IS37"/>
      <c r="IT37"/>
      <c r="IU37" s="37"/>
      <c r="IV37" s="37">
        <f>+Tabla520212223[[#This Row],[Recuento]]*Tabla520212223[[#This Row],[Área neta]]</f>
        <v>0</v>
      </c>
      <c r="IW37" s="26">
        <f t="shared" si="0"/>
        <v>0</v>
      </c>
      <c r="IY37"/>
      <c r="IZ37"/>
      <c r="JA37"/>
      <c r="JB37"/>
      <c r="JC37"/>
      <c r="JD37">
        <v>1</v>
      </c>
      <c r="JE37">
        <f>+Tabla520212224[[#This Row],[Recuento]]*Tabla520212224[[#This Row],[Volúmen bruto]]</f>
        <v>0</v>
      </c>
      <c r="JF37">
        <f>+Tabla520212224[[#This Row],[Recuento]]*Tabla520212224[[#This Row],[Área neta]]</f>
        <v>0</v>
      </c>
      <c r="JG37" s="26"/>
      <c r="JI37" t="s">
        <v>1862</v>
      </c>
      <c r="JJ37" t="s">
        <v>1525</v>
      </c>
      <c r="JK37" t="s">
        <v>1677</v>
      </c>
      <c r="JL37">
        <v>0</v>
      </c>
      <c r="JM37">
        <v>0.22</v>
      </c>
      <c r="JN37">
        <v>1</v>
      </c>
      <c r="JO37">
        <f>+Tabla52021222425[[#This Row],[Recuento]]*Tabla52021222425[[#This Row],[Volúmen bruto]]</f>
        <v>0</v>
      </c>
      <c r="JP37">
        <f>+Tabla52021222425[[#This Row],[Recuento]]*Tabla52021222425[[#This Row],[Área neta]]</f>
        <v>0.22</v>
      </c>
      <c r="JQ37" s="26"/>
      <c r="JS37" t="s">
        <v>1862</v>
      </c>
      <c r="JT37" t="s">
        <v>1525</v>
      </c>
      <c r="JU37" t="s">
        <v>1679</v>
      </c>
      <c r="JV37">
        <v>0</v>
      </c>
      <c r="JW37">
        <v>0.68</v>
      </c>
      <c r="JX37">
        <v>1</v>
      </c>
      <c r="JY37">
        <f>+Tabla5202122242526[[#This Row],[Recuento]]*Tabla5202122242526[[#This Row],[Volúmen bruto]]</f>
        <v>0</v>
      </c>
      <c r="JZ37">
        <f>+Tabla5202122242526[[#This Row],[Recuento]]*Tabla5202122242526[[#This Row],[Área neta]]</f>
        <v>0.68</v>
      </c>
      <c r="KA37" s="26"/>
      <c r="KC37"/>
      <c r="KD37"/>
      <c r="KE37"/>
      <c r="KF37"/>
      <c r="KG37"/>
      <c r="KH37"/>
      <c r="KI37">
        <f>+Tabla5202122242526104[[#This Row],[Recuento]]*Tabla5202122242526104[[#This Row],[Volúmen bruto]]</f>
        <v>0</v>
      </c>
      <c r="KJ37">
        <f>+Tabla5202122242526104[[#This Row],[Recuento]]*Tabla5202122242526104[[#This Row],[Área neta]]</f>
        <v>0</v>
      </c>
      <c r="KK37" s="26"/>
      <c r="KM37" t="s">
        <v>1862</v>
      </c>
      <c r="KN37" t="s">
        <v>1525</v>
      </c>
      <c r="KO37" t="s">
        <v>98</v>
      </c>
      <c r="KP37">
        <v>0.01</v>
      </c>
      <c r="KQ37">
        <v>5.22</v>
      </c>
      <c r="KR37">
        <v>1</v>
      </c>
      <c r="KS37">
        <f>+Tabla5202122242526104110[[#This Row],[Recuento]]*Tabla5202122242526104110[[#This Row],[Volúmen bruto]]</f>
        <v>0.01</v>
      </c>
      <c r="KT37">
        <f>+Tabla5202122242526104110[[#This Row],[Recuento]]*Tabla5202122242526104110[[#This Row],[Área neta]]</f>
        <v>5.22</v>
      </c>
      <c r="KU37" s="26"/>
      <c r="KW37"/>
      <c r="KX37"/>
      <c r="KY37"/>
      <c r="KZ37"/>
      <c r="LA37"/>
      <c r="LB37"/>
      <c r="LC37">
        <f>+Tabla520212224252659[[#This Row],[Recuento]]*Tabla520212224252659[[#This Row],[Volúmen bruto]]</f>
        <v>0</v>
      </c>
      <c r="LD37">
        <f>+Tabla520212224252659[[#This Row],[Recuento]]*Tabla520212224252659[[#This Row],[Área neta]]</f>
        <v>0</v>
      </c>
      <c r="LE37" s="26"/>
      <c r="LG37"/>
      <c r="LH37"/>
      <c r="LI37"/>
      <c r="LJ37"/>
      <c r="LK37"/>
      <c r="LL37"/>
      <c r="LM37">
        <f>+Tabla520212224252659111[[#This Row],[Recuento]]*Tabla520212224252659111[[#This Row],[Volúmen bruto]]</f>
        <v>0</v>
      </c>
      <c r="LN37">
        <f>+Tabla520212224252659111[[#This Row],[Recuento]]*Tabla520212224252659111[[#This Row],[Área neta]]</f>
        <v>0</v>
      </c>
      <c r="LO37" s="26"/>
      <c r="LQ37"/>
      <c r="LR37"/>
      <c r="LS37"/>
      <c r="LT37"/>
      <c r="LU37"/>
      <c r="LV37"/>
      <c r="LW37">
        <f>+Tabla520212224252659111114[[#This Row],[Recuento]]*Tabla520212224252659111114[[#This Row],[Volúmen bruto]]</f>
        <v>0</v>
      </c>
      <c r="LX37">
        <f>+Tabla520212224252659111114[[#This Row],[Recuento]]*Tabla520212224252659111114[[#This Row],[Área neta]]</f>
        <v>0</v>
      </c>
      <c r="LY37" s="26"/>
      <c r="MA37" t="s">
        <v>1863</v>
      </c>
      <c r="MB37" t="s">
        <v>1525</v>
      </c>
      <c r="MC37" t="s">
        <v>1628</v>
      </c>
      <c r="MD37">
        <v>0.18</v>
      </c>
      <c r="ME37">
        <v>5.76</v>
      </c>
      <c r="MF37">
        <v>1</v>
      </c>
      <c r="MG37">
        <f>+Tabla520212224252659111114128[[#This Row],[Recuento]]*Tabla520212224252659111114128[[#This Row],[Volúmen bruto]]</f>
        <v>0.18</v>
      </c>
      <c r="MH37">
        <f>+Tabla520212224252659111114128[[#This Row],[Recuento]]*Tabla520212224252659111114128[[#This Row],[Área neta]]</f>
        <v>5.76</v>
      </c>
      <c r="MI37" s="415"/>
      <c r="MK37"/>
      <c r="ML37"/>
      <c r="MM37"/>
      <c r="MN37"/>
      <c r="MO37"/>
      <c r="MP37"/>
      <c r="MQ37">
        <f>+Tabla520212224252627[[#This Row],[Recuento]]*Tabla520212224252627[[#This Row],[Volúmen bruto]]</f>
        <v>0</v>
      </c>
      <c r="MR37">
        <f>+Tabla520212224252627[[#This Row],[Recuento]]*Tabla520212224252627[[#This Row],[Área neta]]</f>
        <v>0</v>
      </c>
      <c r="MS37" s="26"/>
      <c r="MU37"/>
      <c r="MV37"/>
      <c r="MW37"/>
      <c r="MX37"/>
      <c r="MY37"/>
      <c r="MZ37"/>
      <c r="NA37">
        <f>+Tabla520212224252627129[[#This Row],[Recuento]]*Tabla520212224252627129[[#This Row],[Volúmen bruto]]</f>
        <v>0</v>
      </c>
      <c r="NB37">
        <f>+Tabla520212224252627129[[#This Row],[Recuento]]*Tabla520212224252627129[[#This Row],[Área neta]]</f>
        <v>0</v>
      </c>
      <c r="NC37" s="26"/>
      <c r="NE37"/>
      <c r="NF37"/>
      <c r="NG37"/>
      <c r="NH37"/>
      <c r="NI37"/>
      <c r="NJ37"/>
      <c r="NK37">
        <f>+Tabla520212224252627129125[[#This Row],[Recuento]]*Tabla520212224252627129125[[#This Row],[Volúmen bruto]]</f>
        <v>0</v>
      </c>
      <c r="NL37">
        <f>+Tabla520212224252627129125[[#This Row],[Recuento]]*Tabla520212224252627129125[[#This Row],[Área neta]]</f>
        <v>0</v>
      </c>
      <c r="NM37" s="26"/>
      <c r="NO37"/>
      <c r="NP37"/>
      <c r="NQ37"/>
      <c r="NR37"/>
      <c r="NS37"/>
      <c r="NT37"/>
      <c r="NU37">
        <f>+Tabla520212224252627129125130[[#This Row],[Recuento]]*Tabla520212224252627129125130[[#This Row],[Volúmen bruto]]</f>
        <v>0</v>
      </c>
      <c r="NV37">
        <f>+Tabla520212224252627129125130[[#This Row],[Recuento]]*Tabla520212224252627129125130[[#This Row],[Área neta]]</f>
        <v>0</v>
      </c>
      <c r="NW37" s="26"/>
      <c r="NY37"/>
      <c r="NZ37"/>
      <c r="OA37"/>
      <c r="OB37"/>
      <c r="OC37"/>
      <c r="OD37"/>
      <c r="OE37">
        <f>+Tabla520212224252627129125130131[[#This Row],[Recuento]]*Tabla520212224252627129125130131[[#This Row],[Volúmen bruto]]</f>
        <v>0</v>
      </c>
      <c r="OF37">
        <f>+Tabla520212224252627129125130131[[#This Row],[Recuento]]*Tabla520212224252627129125130131[[#This Row],[Área neta]]</f>
        <v>0</v>
      </c>
      <c r="OG37" s="26"/>
      <c r="OI37"/>
      <c r="OJ37"/>
      <c r="OK37"/>
      <c r="OL37"/>
      <c r="OM37"/>
      <c r="ON37"/>
      <c r="OO37">
        <f>+Tabla520212224252627129125130131132[[#This Row],[Recuento]]*Tabla520212224252627129125130131132[[#This Row],[Volúmen bruto]]</f>
        <v>0</v>
      </c>
      <c r="OP37">
        <f>+Tabla520212224252627129125130131132[[#This Row],[Recuento]]*Tabla520212224252627129125130131132[[#This Row],[Área neta]]</f>
        <v>0</v>
      </c>
      <c r="OQ37" s="26"/>
      <c r="OS37"/>
      <c r="OT37"/>
      <c r="OU37"/>
      <c r="OV37"/>
      <c r="OW37"/>
      <c r="OX37"/>
      <c r="OY37">
        <f>+Tabla52021222425262728[[#This Row],[Recuento]]*Tabla52021222425262728[[#This Row],[Volúmen bruto]]</f>
        <v>0</v>
      </c>
      <c r="OZ37">
        <f>+Tabla52021222425262728[[#This Row],[Recuento]]*Tabla52021222425262728[[#This Row],[Área neta]]</f>
        <v>0</v>
      </c>
      <c r="PA37" s="26"/>
      <c r="PC37" t="s">
        <v>1862</v>
      </c>
      <c r="PD37" t="s">
        <v>1525</v>
      </c>
      <c r="PE37" t="s">
        <v>97</v>
      </c>
      <c r="PF37">
        <v>0.02</v>
      </c>
      <c r="PG37">
        <v>0.86</v>
      </c>
      <c r="PH37">
        <v>1</v>
      </c>
      <c r="PI37">
        <f>+Tabla52021222425262728133[[#This Row],[Recuento]]*Tabla52021222425262728133[[#This Row],[Volúmen bruto]]</f>
        <v>0.02</v>
      </c>
      <c r="PJ37">
        <f>+Tabla52021222425262728133[[#This Row],[Recuento]]*Tabla52021222425262728133[[#This Row],[Área neta]]</f>
        <v>0.86</v>
      </c>
      <c r="PK37" s="26"/>
      <c r="PM37"/>
      <c r="PN37"/>
      <c r="PO37"/>
      <c r="PP37"/>
      <c r="PQ37"/>
      <c r="PR37"/>
      <c r="PS37">
        <f>+Tabla5202122242526272893[[#This Row],[Recuento]]*Tabla5202122242526272893[[#This Row],[Volúmen bruto]]</f>
        <v>0</v>
      </c>
      <c r="PT37">
        <f>+Tabla5202122242526272893[[#This Row],[Recuento]]*Tabla5202122242526272893[[#This Row],[Área neta]]</f>
        <v>0</v>
      </c>
      <c r="PU37" s="26"/>
      <c r="PW37" t="s">
        <v>1862</v>
      </c>
      <c r="PX37" t="s">
        <v>1525</v>
      </c>
      <c r="PY37" t="s">
        <v>98</v>
      </c>
      <c r="PZ37">
        <v>0</v>
      </c>
      <c r="QA37">
        <v>0.98</v>
      </c>
      <c r="QB37">
        <v>1</v>
      </c>
      <c r="QC37">
        <f>+Tabla520212224252627289349[[#This Row],[Recuento]]*Tabla520212224252627289349[[#This Row],[Volúmen bruto]]</f>
        <v>0</v>
      </c>
      <c r="QD37">
        <f>+Tabla520212224252627289349[[#This Row],[Recuento]]*Tabla520212224252627289349[[#This Row],[Área neta]]</f>
        <v>0.98</v>
      </c>
      <c r="QE37" s="26"/>
      <c r="QG37"/>
      <c r="QH37"/>
      <c r="QI37"/>
      <c r="QJ37"/>
      <c r="QK37"/>
      <c r="QL37"/>
      <c r="QM37">
        <f>+Tabla520212224252627289349134[[#This Row],[Recuento]]*Tabla520212224252627289349134[[#This Row],[Volúmen bruto]]</f>
        <v>0</v>
      </c>
      <c r="QN37">
        <f>+Tabla520212224252627289349134[[#This Row],[Recuento]]*Tabla520212224252627289349134[[#This Row],[Área neta]]</f>
        <v>0</v>
      </c>
      <c r="QO37" s="26"/>
      <c r="QQ37" t="s">
        <v>1863</v>
      </c>
      <c r="QR37" t="s">
        <v>1524</v>
      </c>
      <c r="QS37" t="s">
        <v>1726</v>
      </c>
      <c r="QT37">
        <v>0.18</v>
      </c>
      <c r="QU37">
        <v>0.88</v>
      </c>
      <c r="QV37">
        <v>2</v>
      </c>
      <c r="QW37">
        <v>1</v>
      </c>
      <c r="QX37">
        <f>+Tabla5202122242526272829[[#This Row],[Recuento]]*Tabla5202122242526272829[[#This Row],[Volúmen bruto]]</f>
        <v>0.18</v>
      </c>
      <c r="QY37">
        <f>+Tabla5202122242526272829[[#This Row],[Recuento]]*Tabla5202122242526272829[[#This Row],[Área neta]]</f>
        <v>0.88</v>
      </c>
      <c r="QZ37">
        <f>+Tabla5202122242526272829[[#This Row],[Recuento]]*Tabla5202122242526272829[[#This Row],[Longitud]]</f>
        <v>2</v>
      </c>
      <c r="RA37" s="26"/>
      <c r="RC37"/>
      <c r="RD37"/>
      <c r="RE37"/>
      <c r="RF37"/>
      <c r="RG37"/>
      <c r="RH37"/>
      <c r="RI37"/>
      <c r="RJ37"/>
      <c r="RK37" s="26"/>
      <c r="RM37"/>
      <c r="RN37"/>
      <c r="RO37"/>
      <c r="RP37"/>
      <c r="RQ37"/>
      <c r="RR37"/>
      <c r="RS37"/>
      <c r="RT37"/>
      <c r="RU37" s="26">
        <f t="shared" si="7"/>
        <v>0</v>
      </c>
      <c r="RW37"/>
      <c r="RX37"/>
      <c r="RY37"/>
      <c r="RZ37"/>
      <c r="SA37"/>
      <c r="SB37"/>
      <c r="SC37"/>
      <c r="SD37"/>
      <c r="SE37" s="26"/>
      <c r="SG37"/>
      <c r="SH37"/>
      <c r="SI37"/>
      <c r="SJ37"/>
      <c r="SK37"/>
      <c r="SL37"/>
      <c r="SM37">
        <f>+Tabla5202122242526272831323314[[#This Row],[Recuento]]*Tabla5202122242526272831323314[[#This Row],[Volúmen bruto]]</f>
        <v>0</v>
      </c>
      <c r="SN37">
        <f>+Tabla5202122242526272831323314[[#This Row],[Recuento]]*Tabla5202122242526272831323314[[#This Row],[Área neta]]</f>
        <v>0</v>
      </c>
      <c r="SO37" s="26"/>
      <c r="SQ37" t="s">
        <v>1863</v>
      </c>
      <c r="SR37" t="s">
        <v>1524</v>
      </c>
      <c r="SS37" t="s">
        <v>94</v>
      </c>
      <c r="ST37">
        <v>0.45</v>
      </c>
      <c r="SU37">
        <v>4.5</v>
      </c>
      <c r="SV37">
        <v>1</v>
      </c>
      <c r="SW37" s="34">
        <f>+Tabla5789141516[[#This Row],[Recuento]]*Tabla5789141516[[#This Row],[Volúmen bruto]]</f>
        <v>0.45</v>
      </c>
      <c r="SX37" s="34">
        <f>+Tabla5789141516[[#This Row],[Recuento]]*Tabla5789141516[[#This Row],[Área neta]]</f>
        <v>4.5</v>
      </c>
      <c r="SY37" s="36"/>
      <c r="SZ37" s="26"/>
      <c r="TA37"/>
      <c r="TB37"/>
      <c r="TC37"/>
      <c r="TD37"/>
      <c r="TE37"/>
      <c r="TF37"/>
      <c r="TG37"/>
      <c r="TH37"/>
      <c r="TI37" s="36">
        <f t="shared" si="8"/>
        <v>0</v>
      </c>
      <c r="TJ37" s="26"/>
      <c r="TK37"/>
      <c r="TL37"/>
      <c r="TM37"/>
      <c r="TN37"/>
      <c r="TO37"/>
      <c r="TP37"/>
      <c r="TQ37"/>
      <c r="TR37"/>
      <c r="TS37" s="36">
        <f t="shared" si="9"/>
        <v>0</v>
      </c>
      <c r="TT37" s="26"/>
      <c r="TU37"/>
      <c r="TV37"/>
      <c r="TW37"/>
      <c r="TX37"/>
      <c r="TY37"/>
      <c r="TZ37"/>
      <c r="UA37"/>
      <c r="UB37"/>
      <c r="UC37" s="36">
        <f t="shared" si="10"/>
        <v>0</v>
      </c>
      <c r="UD37" s="26"/>
      <c r="UE37"/>
      <c r="UF37"/>
      <c r="UG37"/>
      <c r="UH37"/>
      <c r="UI37"/>
      <c r="UJ37"/>
      <c r="UK37"/>
      <c r="UL37"/>
      <c r="UM37" s="36">
        <f t="shared" si="11"/>
        <v>0</v>
      </c>
      <c r="UN37" s="26"/>
      <c r="UO37"/>
      <c r="UP37"/>
      <c r="UQ37"/>
      <c r="UR37"/>
      <c r="US37"/>
      <c r="UT37"/>
      <c r="UU37"/>
      <c r="UV37"/>
      <c r="UW37" s="36">
        <f t="shared" si="12"/>
        <v>0</v>
      </c>
      <c r="UX37" s="26"/>
      <c r="UY37"/>
      <c r="UZ37"/>
      <c r="VA37"/>
      <c r="VB37"/>
      <c r="VC37"/>
      <c r="VD37"/>
      <c r="VE37"/>
      <c r="VF37"/>
      <c r="VG37" s="36">
        <f t="shared" si="13"/>
        <v>0</v>
      </c>
      <c r="VH37" s="26"/>
      <c r="VI37"/>
      <c r="VJ37"/>
      <c r="VK37"/>
      <c r="VL37"/>
      <c r="VM37"/>
      <c r="VN37"/>
      <c r="VO37"/>
      <c r="VP37"/>
      <c r="VQ37" s="36">
        <f t="shared" si="14"/>
        <v>0</v>
      </c>
      <c r="VR37" s="26"/>
      <c r="VS37"/>
      <c r="VT37"/>
      <c r="VU37"/>
      <c r="VV37"/>
      <c r="VW37"/>
      <c r="VX37"/>
      <c r="VY37"/>
      <c r="VZ37"/>
      <c r="WA37" s="36">
        <f t="shared" si="15"/>
        <v>0</v>
      </c>
      <c r="WB37" s="26"/>
      <c r="WC37"/>
      <c r="WD37"/>
      <c r="WE37"/>
      <c r="WF37"/>
      <c r="WG37"/>
      <c r="WH37"/>
      <c r="WI37"/>
      <c r="WJ37"/>
      <c r="WK37" s="36">
        <f t="shared" si="16"/>
        <v>0</v>
      </c>
      <c r="WL37" s="26"/>
      <c r="WM37"/>
      <c r="WN37"/>
      <c r="WO37"/>
      <c r="WP37"/>
      <c r="WQ37"/>
      <c r="WR37"/>
      <c r="WS37"/>
      <c r="WT37"/>
      <c r="WU37" s="36">
        <f t="shared" si="17"/>
        <v>0</v>
      </c>
      <c r="WV37" s="26"/>
      <c r="WW37"/>
      <c r="WX37"/>
      <c r="WY37"/>
      <c r="WZ37"/>
      <c r="XA37"/>
      <c r="XB37"/>
      <c r="XC37"/>
      <c r="XD37"/>
      <c r="XE37" s="36">
        <f t="shared" si="18"/>
        <v>0</v>
      </c>
      <c r="XF37" s="26"/>
      <c r="XG37"/>
      <c r="XH37"/>
      <c r="XI37"/>
      <c r="XJ37"/>
      <c r="XK37"/>
      <c r="XL37" s="33"/>
      <c r="XM37" s="34"/>
      <c r="XN37" s="34"/>
      <c r="XO37" s="35"/>
      <c r="XP37" s="26"/>
      <c r="XQ37"/>
      <c r="XR37"/>
      <c r="XS37"/>
      <c r="XT37"/>
      <c r="XU37"/>
      <c r="XV37" s="33"/>
      <c r="XW37" s="34"/>
      <c r="XX37" s="34"/>
      <c r="XY37" s="35"/>
      <c r="XZ37" s="26"/>
      <c r="YA37"/>
      <c r="YB37"/>
      <c r="YC37"/>
      <c r="YD37"/>
      <c r="YE37"/>
      <c r="YF37" s="33"/>
      <c r="YG37" s="34"/>
      <c r="YH37" s="34"/>
      <c r="YI37" s="35"/>
      <c r="YJ37" s="35"/>
      <c r="YK37"/>
      <c r="YL37"/>
      <c r="YM37"/>
      <c r="YN37"/>
      <c r="YO37"/>
      <c r="YQ37"/>
      <c r="YR37"/>
      <c r="YS37"/>
      <c r="YT37"/>
      <c r="YU37"/>
      <c r="YV37" s="33"/>
      <c r="YW37" s="34"/>
      <c r="YX37" s="34"/>
      <c r="YY37" s="35"/>
      <c r="YZ37" s="26"/>
      <c r="ZA37"/>
      <c r="ZB37"/>
      <c r="ZC37"/>
      <c r="ZD37"/>
      <c r="ZE37"/>
      <c r="ZF37" s="33"/>
      <c r="ZG37" s="34"/>
      <c r="ZH37" s="34"/>
      <c r="ZI37" s="35"/>
      <c r="ZJ37" s="26"/>
      <c r="ZK37"/>
      <c r="ZL37"/>
      <c r="ZM37"/>
      <c r="ZN37"/>
      <c r="ZO37"/>
      <c r="ZP37" s="33"/>
      <c r="ZQ37" s="34"/>
      <c r="ZR37" s="34"/>
      <c r="ZS37" s="35"/>
      <c r="ZT37" s="26"/>
      <c r="ZU37"/>
      <c r="ZV37"/>
      <c r="ZW37"/>
      <c r="ZX37"/>
      <c r="ZY37"/>
      <c r="ZZ37" s="33"/>
      <c r="AAA37" s="34"/>
      <c r="AAB37" s="34"/>
      <c r="AAC37" s="35"/>
      <c r="AAD37" s="26"/>
      <c r="AAE37"/>
      <c r="AAF37"/>
      <c r="AAG37"/>
      <c r="AAH37"/>
      <c r="AAI37"/>
      <c r="AAJ37" s="33"/>
      <c r="AAK37" s="34"/>
      <c r="AAL37" s="34"/>
      <c r="AAM37" s="35"/>
      <c r="AAN37" s="26"/>
      <c r="AAO37"/>
      <c r="AAP37"/>
      <c r="AAW37" s="36">
        <f t="shared" si="20"/>
        <v>0</v>
      </c>
      <c r="AAX37" s="26"/>
      <c r="AAY37"/>
      <c r="AAZ37"/>
      <c r="ABA37"/>
      <c r="ABB37"/>
      <c r="ABC37"/>
      <c r="ABD37" s="33"/>
      <c r="ABE37" s="34"/>
      <c r="ABF37" s="34"/>
      <c r="ABG37" s="35"/>
      <c r="ABH37" s="26"/>
      <c r="ABI37"/>
      <c r="ABJ37"/>
      <c r="ABK37"/>
      <c r="ABL37"/>
      <c r="ABM37"/>
      <c r="ABN37" s="33"/>
      <c r="ABO37" s="34"/>
      <c r="ABP37" s="34"/>
      <c r="ABQ37" s="35"/>
      <c r="ABR37" s="26"/>
      <c r="ABS37"/>
      <c r="ABT37"/>
      <c r="ABU37"/>
      <c r="ABV37"/>
      <c r="ABW37"/>
      <c r="ABX37" s="33"/>
      <c r="ABY37" s="34"/>
      <c r="ABZ37" s="34"/>
      <c r="ACA37" s="35"/>
      <c r="ACB37" s="26"/>
      <c r="ACC37"/>
      <c r="ACD37"/>
      <c r="ACE37"/>
      <c r="ACF37"/>
      <c r="ACG37"/>
      <c r="ACH37" s="33"/>
      <c r="ACI37" s="34"/>
      <c r="ACJ37" s="34"/>
      <c r="ACK37" s="35"/>
      <c r="ACL37" s="26"/>
      <c r="ACM37"/>
      <c r="ACN37"/>
      <c r="ACO37"/>
      <c r="ACP37"/>
      <c r="ACQ37"/>
      <c r="ACR37" s="33"/>
      <c r="ACS37" s="34"/>
      <c r="ACT37" s="34"/>
      <c r="ACU37" s="35"/>
      <c r="ACV37" s="26"/>
      <c r="ACW37" t="s">
        <v>1230</v>
      </c>
      <c r="ACX37" s="1">
        <v>1</v>
      </c>
      <c r="ACY37" s="2">
        <v>2.1</v>
      </c>
      <c r="ACZ37" s="2">
        <v>2.0499999999999998</v>
      </c>
      <c r="ADA37">
        <v>2</v>
      </c>
      <c r="ADB37" s="2">
        <f t="shared" si="21"/>
        <v>8.61</v>
      </c>
      <c r="ADG37" s="26">
        <f t="shared" si="19"/>
        <v>0</v>
      </c>
      <c r="ADJ37"/>
      <c r="ADK37"/>
      <c r="ADL37"/>
      <c r="ADM37"/>
      <c r="ADN37"/>
      <c r="ADO37">
        <f>+Tabla578914151634353637383940414243444546474849505152535560[[#This Row],[G. Total]]*Tabla578914151634353637383940414243444546474849505152535560[[#This Row],[Recuento]]</f>
        <v>0</v>
      </c>
      <c r="ADP37" s="35"/>
      <c r="ADQ37" s="26"/>
      <c r="ADR37"/>
      <c r="ADS37"/>
      <c r="ADT37"/>
      <c r="ADU37"/>
      <c r="ADV37"/>
      <c r="ADW37" s="35"/>
      <c r="ADX37" s="35"/>
      <c r="ADY37"/>
      <c r="ADZ37"/>
      <c r="AEA37"/>
      <c r="AEB37"/>
      <c r="AEC37"/>
      <c r="AED37"/>
      <c r="AEE37" s="35"/>
      <c r="AEF37" s="26"/>
      <c r="AEG37"/>
      <c r="AEH37"/>
      <c r="AEI37"/>
      <c r="AEJ37"/>
      <c r="AEK37"/>
      <c r="AEL37" s="35"/>
      <c r="AEM37" s="35"/>
      <c r="AEN37" t="s">
        <v>1522</v>
      </c>
      <c r="AEO37" t="s">
        <v>1524</v>
      </c>
      <c r="AEP37" t="s">
        <v>381</v>
      </c>
      <c r="AEQ37">
        <v>0.75</v>
      </c>
      <c r="AER37">
        <v>1</v>
      </c>
      <c r="AES37">
        <f>+Tabla5789141516343536373839404142434445464748495051525355606264[[#This Row],[G. Total]]*Tabla5789141516343536373839404142434445464748495051525355606264[[#This Row],[Recuento]]</f>
        <v>0.75</v>
      </c>
      <c r="AET37" s="35"/>
      <c r="AEU37" s="26"/>
      <c r="AEV37"/>
      <c r="AEW37"/>
      <c r="AEX37"/>
      <c r="AEY37"/>
      <c r="AEZ37"/>
      <c r="AFA37" s="35"/>
      <c r="AFB37" s="26"/>
      <c r="AFC37"/>
      <c r="AFD37"/>
      <c r="AFE37"/>
      <c r="AFF37"/>
      <c r="AFG37"/>
      <c r="AFH37"/>
      <c r="AFI37"/>
      <c r="AFJ37"/>
      <c r="AFK37"/>
      <c r="AFL37"/>
      <c r="AFM37"/>
      <c r="AFN37">
        <f>+Tabla578914151634353637383940414243444546474849505152535560626467[[#This Row],[G. Total]]*Tabla578914151634353637383940414243444546474849505152535560626467[[#This Row],[Recuento]]</f>
        <v>0</v>
      </c>
      <c r="AFO37" s="35"/>
      <c r="AFP37" s="26"/>
      <c r="AFQ37" s="2" t="s">
        <v>115</v>
      </c>
      <c r="AFR37" s="2">
        <f>15*2</f>
        <v>30</v>
      </c>
      <c r="AFS37" s="2">
        <f>0.12*2</f>
        <v>0.24</v>
      </c>
      <c r="AFT37" s="2">
        <f>+AFS37*AFR37</f>
        <v>7.1999999999999993</v>
      </c>
      <c r="AFU37" s="2">
        <v>2</v>
      </c>
      <c r="AFV37" s="2">
        <f>+AFU37*AFR37</f>
        <v>60</v>
      </c>
      <c r="AFX37" s="2" t="s">
        <v>115</v>
      </c>
      <c r="AFY37" s="2">
        <v>24</v>
      </c>
      <c r="AFZ37" s="2">
        <f>0.12*2</f>
        <v>0.24</v>
      </c>
      <c r="AGA37" s="2">
        <f>+AFZ37*AFY37</f>
        <v>5.76</v>
      </c>
      <c r="AGB37" s="2">
        <v>2</v>
      </c>
      <c r="AGC37" s="2">
        <f>+AGB37*AFY37</f>
        <v>48</v>
      </c>
    </row>
    <row r="38" spans="1:861" ht="1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>
        <f>+Tabla5[[#This Row],[Recuento]]*Tabla5[[#This Row],[Volúmen bruto]]</f>
        <v>0</v>
      </c>
      <c r="S38">
        <f>+Tabla5[[#This Row],[Recuento]]*Tabla5[[#This Row],[Área neta]]</f>
        <v>0</v>
      </c>
      <c r="T38">
        <f>+Tabla5[[#This Row],[Longitud nominal]]*Tabla5[[#This Row],[Recuento]]</f>
        <v>0</v>
      </c>
      <c r="U38" s="26"/>
      <c r="V38"/>
      <c r="W38"/>
      <c r="X38"/>
      <c r="Y38"/>
      <c r="Z38"/>
      <c r="AA38"/>
      <c r="AB38"/>
      <c r="AC38"/>
      <c r="AD38"/>
      <c r="AE38"/>
      <c r="AF38"/>
      <c r="AG38" s="26">
        <f t="shared" si="4"/>
        <v>0</v>
      </c>
      <c r="AH38"/>
      <c r="AI38"/>
      <c r="AJ38"/>
      <c r="AK38"/>
      <c r="AL38"/>
      <c r="AM38"/>
      <c r="AN38"/>
      <c r="AO38"/>
      <c r="AP38"/>
      <c r="AQ38"/>
      <c r="AR38"/>
      <c r="AS38" s="26">
        <f t="shared" si="5"/>
        <v>0</v>
      </c>
      <c r="AT38"/>
      <c r="AU38"/>
      <c r="AV38"/>
      <c r="AW38"/>
      <c r="AX38"/>
      <c r="AY38"/>
      <c r="AZ38"/>
      <c r="BA38"/>
      <c r="BB38"/>
      <c r="BC38"/>
      <c r="BD38"/>
      <c r="BE38" s="26">
        <f t="shared" si="6"/>
        <v>0</v>
      </c>
      <c r="BF38">
        <v>1</v>
      </c>
      <c r="BG38" t="s">
        <v>1862</v>
      </c>
      <c r="BH38" t="s">
        <v>1524</v>
      </c>
      <c r="BI38" t="s">
        <v>1406</v>
      </c>
      <c r="BJ38">
        <v>5.17</v>
      </c>
      <c r="BK38" s="37">
        <v>5.5</v>
      </c>
      <c r="BL38">
        <f>+Tabla3102[[#This Row],[En culmo]]*BF38</f>
        <v>5.5</v>
      </c>
      <c r="BM38"/>
      <c r="BO38"/>
      <c r="BP38"/>
      <c r="BQ38"/>
      <c r="BR38"/>
      <c r="BS38"/>
      <c r="BT38">
        <f>+Tabla31069[[#This Row],[Longitud de eje]]*BN38</f>
        <v>0</v>
      </c>
      <c r="BU38"/>
      <c r="BV38"/>
      <c r="BW38"/>
      <c r="BX38"/>
      <c r="BY38"/>
      <c r="BZ38"/>
      <c r="CA38"/>
      <c r="CB38">
        <f>+Tabla31011[[#This Row],[Longitud de eje]]*BV38</f>
        <v>0</v>
      </c>
      <c r="CD38">
        <v>5</v>
      </c>
      <c r="CE38" t="s">
        <v>1862</v>
      </c>
      <c r="CF38" t="s">
        <v>1525</v>
      </c>
      <c r="CG38" t="s">
        <v>1405</v>
      </c>
      <c r="CH38">
        <v>2.1</v>
      </c>
      <c r="CI38">
        <v>2.5</v>
      </c>
      <c r="CJ38">
        <f>+Tabla3101170[[#This Row],[En culmo]]*CD38</f>
        <v>12.5</v>
      </c>
      <c r="CK38"/>
      <c r="CR38">
        <f>+Tabla31011116[[#This Row],[Longitud de eje]]*CT38</f>
        <v>0</v>
      </c>
      <c r="CT38">
        <v>1</v>
      </c>
      <c r="CU38" t="s">
        <v>1862</v>
      </c>
      <c r="CV38" t="s">
        <v>1383</v>
      </c>
      <c r="CW38" t="s">
        <v>1405</v>
      </c>
      <c r="CX38">
        <v>13.07</v>
      </c>
      <c r="CY38">
        <v>12</v>
      </c>
      <c r="CZ38">
        <f>+Tabla3101170117[[#This Row],[En culmo]]*CT38</f>
        <v>12</v>
      </c>
      <c r="DA38"/>
      <c r="DB38"/>
      <c r="DC38"/>
      <c r="DD38"/>
      <c r="DE38"/>
      <c r="DF38"/>
      <c r="DG38">
        <f>+Tabla31011704[[#This Row],[Longitud de eje]]*DB38</f>
        <v>0</v>
      </c>
      <c r="DH38"/>
      <c r="DI38"/>
      <c r="DJ38"/>
      <c r="DK38"/>
      <c r="DL38"/>
      <c r="DM38"/>
      <c r="DN38">
        <f>+Tabla3101170411[[#This Row],[Longitud de eje]]*DI38</f>
        <v>0</v>
      </c>
      <c r="DO38"/>
      <c r="DP38"/>
      <c r="DQ38"/>
      <c r="DR38"/>
      <c r="DS38"/>
      <c r="DT38"/>
      <c r="DU38">
        <f>+Tabla3101170411120[[#This Row],[Longitud de eje]]*DP38</f>
        <v>0</v>
      </c>
      <c r="DV38"/>
      <c r="DW38"/>
      <c r="DX38"/>
      <c r="DY38"/>
      <c r="DZ38"/>
      <c r="EA38"/>
      <c r="EB38">
        <f>+Tabla3101170411120122[[#This Row],[Longitud de eje]]*DW38</f>
        <v>0</v>
      </c>
      <c r="EC38"/>
      <c r="ED38">
        <v>1</v>
      </c>
      <c r="EE38" t="s">
        <v>1862</v>
      </c>
      <c r="EF38" t="s">
        <v>1524</v>
      </c>
      <c r="EG38" t="s">
        <v>1406</v>
      </c>
      <c r="EH38">
        <v>3.34</v>
      </c>
      <c r="EI38">
        <v>3.5</v>
      </c>
      <c r="EJ38">
        <f>+Tabla3101112[[#This Row],[En culmo]]*ED38</f>
        <v>3.5</v>
      </c>
      <c r="EK38"/>
      <c r="EL38"/>
      <c r="EM38"/>
      <c r="EN38"/>
      <c r="EO38"/>
      <c r="EP38"/>
      <c r="EQ38"/>
      <c r="ER38">
        <f>+Tabla3101112123[[#This Row],[En culmo]]*EL38</f>
        <v>0</v>
      </c>
      <c r="ES38"/>
      <c r="ET38">
        <v>2</v>
      </c>
      <c r="EU38" t="s">
        <v>1862</v>
      </c>
      <c r="EV38" t="s">
        <v>1525</v>
      </c>
      <c r="EW38" t="s">
        <v>1406</v>
      </c>
      <c r="EX38">
        <v>1.39</v>
      </c>
      <c r="EY38">
        <v>2</v>
      </c>
      <c r="EZ38">
        <f>+Tabla310111257[[#This Row],[En culmo]]*ET38</f>
        <v>4</v>
      </c>
      <c r="FA38"/>
      <c r="FB38"/>
      <c r="FC38"/>
      <c r="FD38"/>
      <c r="FE38"/>
      <c r="FF38"/>
      <c r="FG38">
        <v>2.5</v>
      </c>
      <c r="FH38">
        <f>+Tabla310111257124[[#This Row],[En culmo]]*FB38</f>
        <v>0</v>
      </c>
      <c r="FI38"/>
      <c r="FK38"/>
      <c r="FL38"/>
      <c r="FM38"/>
      <c r="FN38"/>
      <c r="FO38"/>
      <c r="FP38"/>
      <c r="FQ38"/>
      <c r="FS38"/>
      <c r="FT38"/>
      <c r="FU38"/>
      <c r="FV38"/>
      <c r="FW38"/>
      <c r="FX38"/>
      <c r="FY38"/>
      <c r="GA38"/>
      <c r="GB38"/>
      <c r="GC38"/>
      <c r="GD38"/>
      <c r="GE38"/>
      <c r="GF38"/>
      <c r="GG38"/>
      <c r="GI38"/>
      <c r="GJ38"/>
      <c r="GK38"/>
      <c r="GL38"/>
      <c r="GM38"/>
      <c r="GN38"/>
      <c r="GO38"/>
      <c r="GQ38"/>
      <c r="GR38"/>
      <c r="GS38"/>
      <c r="GT38"/>
      <c r="GU38"/>
      <c r="GV38">
        <v>1</v>
      </c>
      <c r="GW38">
        <f>+Tabla578914[[#This Row],[Recuento]]*Tabla578914[[#This Row],[Volúmen bruto]]</f>
        <v>0</v>
      </c>
      <c r="GX38">
        <f>+Tabla578914[[#This Row],[Recuento]]*Tabla578914[[#This Row],[Área neta]]</f>
        <v>0</v>
      </c>
      <c r="GY38" s="36"/>
      <c r="HA38" t="s">
        <v>1863</v>
      </c>
      <c r="HB38" t="s">
        <v>1383</v>
      </c>
      <c r="HC38" t="s">
        <v>1667</v>
      </c>
      <c r="HD38">
        <v>0.14000000000000001</v>
      </c>
      <c r="HE38">
        <v>1.5</v>
      </c>
      <c r="HF38">
        <v>1</v>
      </c>
      <c r="HG38">
        <f>+Tabla578914126[[#This Row],[Recuento]]*Tabla578914126[[#This Row],[Volúmen bruto]]</f>
        <v>0.14000000000000001</v>
      </c>
      <c r="HH38">
        <f>+Tabla578914126[[#This Row],[Recuento]]*Tabla578914126[[#This Row],[Área neta]]</f>
        <v>1.5</v>
      </c>
      <c r="HI38" s="36"/>
      <c r="HK38"/>
      <c r="HL38"/>
      <c r="HM38"/>
      <c r="HN38"/>
      <c r="HO38"/>
      <c r="HP38">
        <v>1</v>
      </c>
      <c r="HQ38">
        <f>+Tabla578914126127[[#This Row],[Recuento]]*Tabla578914126127[[#This Row],[Volúmen bruto]]</f>
        <v>0</v>
      </c>
      <c r="HR38">
        <f>+Tabla578914126127[[#This Row],[Recuento]]*Tabla578914126127[[#This Row],[Área neta]]</f>
        <v>0</v>
      </c>
      <c r="HS38" s="36"/>
      <c r="HT38" s="26"/>
      <c r="HU38"/>
      <c r="HV38"/>
      <c r="HW38"/>
      <c r="HX38"/>
      <c r="HY38"/>
      <c r="HZ38"/>
      <c r="IA38"/>
      <c r="IB38"/>
      <c r="IC38" s="36"/>
      <c r="ID38" s="26"/>
      <c r="IE38"/>
      <c r="IF38"/>
      <c r="IG38"/>
      <c r="IH38"/>
      <c r="II38"/>
      <c r="IJ38"/>
      <c r="IK38"/>
      <c r="IL38"/>
      <c r="IM38" s="36"/>
      <c r="IN38" s="26"/>
      <c r="IO38"/>
      <c r="IP38"/>
      <c r="IQ38"/>
      <c r="IR38"/>
      <c r="IS38"/>
      <c r="IT38"/>
      <c r="IU38" s="37"/>
      <c r="IV38" s="37">
        <f>+Tabla520212223[[#This Row],[Recuento]]*Tabla520212223[[#This Row],[Área neta]]</f>
        <v>0</v>
      </c>
      <c r="IW38" s="26">
        <f t="shared" si="0"/>
        <v>0</v>
      </c>
      <c r="IY38"/>
      <c r="IZ38"/>
      <c r="JA38"/>
      <c r="JB38"/>
      <c r="JC38"/>
      <c r="JD38">
        <v>1</v>
      </c>
      <c r="JE38">
        <f>+Tabla520212224[[#This Row],[Recuento]]*Tabla520212224[[#This Row],[Volúmen bruto]]</f>
        <v>0</v>
      </c>
      <c r="JF38">
        <f>+Tabla520212224[[#This Row],[Recuento]]*Tabla520212224[[#This Row],[Área neta]]</f>
        <v>0</v>
      </c>
      <c r="JG38" s="26"/>
      <c r="JI38" t="s">
        <v>1862</v>
      </c>
      <c r="JJ38" t="s">
        <v>1524</v>
      </c>
      <c r="JK38" t="s">
        <v>1676</v>
      </c>
      <c r="JL38">
        <v>0</v>
      </c>
      <c r="JM38">
        <v>0.08</v>
      </c>
      <c r="JN38">
        <v>2</v>
      </c>
      <c r="JO38">
        <f>+Tabla52021222425[[#This Row],[Recuento]]*Tabla52021222425[[#This Row],[Volúmen bruto]]</f>
        <v>0</v>
      </c>
      <c r="JP38">
        <f>+Tabla52021222425[[#This Row],[Recuento]]*Tabla52021222425[[#This Row],[Área neta]]</f>
        <v>0.16</v>
      </c>
      <c r="JQ38" s="26">
        <f>+SUM(JP38:JP46)</f>
        <v>45.66</v>
      </c>
      <c r="JS38" t="s">
        <v>1862</v>
      </c>
      <c r="JT38" t="s">
        <v>1524</v>
      </c>
      <c r="JU38" t="s">
        <v>1680</v>
      </c>
      <c r="JV38">
        <v>0</v>
      </c>
      <c r="JW38">
        <v>0.89</v>
      </c>
      <c r="JX38">
        <v>1</v>
      </c>
      <c r="JY38">
        <f>+Tabla5202122242526[[#This Row],[Recuento]]*Tabla5202122242526[[#This Row],[Volúmen bruto]]</f>
        <v>0</v>
      </c>
      <c r="JZ38">
        <f>+Tabla5202122242526[[#This Row],[Recuento]]*Tabla5202122242526[[#This Row],[Área neta]]</f>
        <v>0.89</v>
      </c>
      <c r="KA38" s="26">
        <f>+SUM(JZ38:JZ45)</f>
        <v>10.64</v>
      </c>
      <c r="KC38"/>
      <c r="KD38"/>
      <c r="KE38"/>
      <c r="KF38"/>
      <c r="KG38"/>
      <c r="KH38"/>
      <c r="KI38">
        <f>+Tabla5202122242526104[[#This Row],[Recuento]]*Tabla5202122242526104[[#This Row],[Volúmen bruto]]</f>
        <v>0</v>
      </c>
      <c r="KJ38">
        <f>+Tabla5202122242526104[[#This Row],[Recuento]]*Tabla5202122242526104[[#This Row],[Área neta]]</f>
        <v>0</v>
      </c>
      <c r="KK38" s="26"/>
      <c r="KM38" t="s">
        <v>1862</v>
      </c>
      <c r="KN38" t="s">
        <v>1525</v>
      </c>
      <c r="KO38" t="s">
        <v>98</v>
      </c>
      <c r="KP38">
        <v>0.01</v>
      </c>
      <c r="KQ38">
        <v>5.2</v>
      </c>
      <c r="KR38">
        <v>1</v>
      </c>
      <c r="KS38">
        <f>+Tabla5202122242526104110[[#This Row],[Recuento]]*Tabla5202122242526104110[[#This Row],[Volúmen bruto]]</f>
        <v>0.01</v>
      </c>
      <c r="KT38">
        <f>+Tabla5202122242526104110[[#This Row],[Recuento]]*Tabla5202122242526104110[[#This Row],[Área neta]]</f>
        <v>5.2</v>
      </c>
      <c r="KU38" s="26"/>
      <c r="KW38"/>
      <c r="KX38"/>
      <c r="KY38"/>
      <c r="KZ38"/>
      <c r="LA38"/>
      <c r="LB38"/>
      <c r="LC38">
        <f>+Tabla520212224252659[[#This Row],[Recuento]]*Tabla520212224252659[[#This Row],[Volúmen bruto]]</f>
        <v>0</v>
      </c>
      <c r="LD38">
        <f>+Tabla520212224252659[[#This Row],[Recuento]]*Tabla520212224252659[[#This Row],[Área neta]]</f>
        <v>0</v>
      </c>
      <c r="LE38" s="26"/>
      <c r="LG38"/>
      <c r="LH38"/>
      <c r="LI38"/>
      <c r="LJ38"/>
      <c r="LK38"/>
      <c r="LL38"/>
      <c r="LM38">
        <f>+Tabla520212224252659111[[#This Row],[Recuento]]*Tabla520212224252659111[[#This Row],[Volúmen bruto]]</f>
        <v>0</v>
      </c>
      <c r="LN38">
        <f>+Tabla520212224252659111[[#This Row],[Recuento]]*Tabla520212224252659111[[#This Row],[Área neta]]</f>
        <v>0</v>
      </c>
      <c r="LO38" s="26"/>
      <c r="LQ38"/>
      <c r="LR38"/>
      <c r="LS38"/>
      <c r="LT38"/>
      <c r="LU38"/>
      <c r="LV38"/>
      <c r="LW38">
        <f>+Tabla520212224252659111114[[#This Row],[Recuento]]*Tabla520212224252659111114[[#This Row],[Volúmen bruto]]</f>
        <v>0</v>
      </c>
      <c r="LX38">
        <f>+Tabla520212224252659111114[[#This Row],[Recuento]]*Tabla520212224252659111114[[#This Row],[Área neta]]</f>
        <v>0</v>
      </c>
      <c r="LY38" s="26"/>
      <c r="MA38" t="s">
        <v>1863</v>
      </c>
      <c r="MB38" t="s">
        <v>1525</v>
      </c>
      <c r="MC38" t="s">
        <v>1628</v>
      </c>
      <c r="MD38">
        <v>0.38</v>
      </c>
      <c r="ME38">
        <v>15.36</v>
      </c>
      <c r="MF38">
        <v>1</v>
      </c>
      <c r="MG38">
        <f>+Tabla520212224252659111114128[[#This Row],[Recuento]]*Tabla520212224252659111114128[[#This Row],[Volúmen bruto]]</f>
        <v>0.38</v>
      </c>
      <c r="MH38">
        <f>+Tabla520212224252659111114128[[#This Row],[Recuento]]*Tabla520212224252659111114128[[#This Row],[Área neta]]</f>
        <v>15.36</v>
      </c>
      <c r="MI38" s="26"/>
      <c r="MK38"/>
      <c r="ML38"/>
      <c r="MM38"/>
      <c r="MN38"/>
      <c r="MO38"/>
      <c r="MP38"/>
      <c r="MQ38">
        <f>+Tabla520212224252627[[#This Row],[Recuento]]*Tabla520212224252627[[#This Row],[Volúmen bruto]]</f>
        <v>0</v>
      </c>
      <c r="MR38">
        <f>+Tabla520212224252627[[#This Row],[Recuento]]*Tabla520212224252627[[#This Row],[Área neta]]</f>
        <v>0</v>
      </c>
      <c r="MS38" s="26"/>
      <c r="MU38"/>
      <c r="MV38"/>
      <c r="MW38"/>
      <c r="MX38"/>
      <c r="MY38"/>
      <c r="MZ38"/>
      <c r="NA38">
        <f>+Tabla520212224252627129[[#This Row],[Recuento]]*Tabla520212224252627129[[#This Row],[Volúmen bruto]]</f>
        <v>0</v>
      </c>
      <c r="NB38">
        <f>+Tabla520212224252627129[[#This Row],[Recuento]]*Tabla520212224252627129[[#This Row],[Área neta]]</f>
        <v>0</v>
      </c>
      <c r="NC38" s="26"/>
      <c r="NE38"/>
      <c r="NF38"/>
      <c r="NG38"/>
      <c r="NH38"/>
      <c r="NI38"/>
      <c r="NJ38"/>
      <c r="NK38">
        <f>+Tabla520212224252627129125[[#This Row],[Recuento]]*Tabla520212224252627129125[[#This Row],[Volúmen bruto]]</f>
        <v>0</v>
      </c>
      <c r="NL38">
        <f>+Tabla520212224252627129125[[#This Row],[Recuento]]*Tabla520212224252627129125[[#This Row],[Área neta]]</f>
        <v>0</v>
      </c>
      <c r="NM38" s="26"/>
      <c r="NO38"/>
      <c r="NP38"/>
      <c r="NQ38"/>
      <c r="NR38"/>
      <c r="NS38"/>
      <c r="NT38"/>
      <c r="NU38">
        <f>+Tabla520212224252627129125130[[#This Row],[Recuento]]*Tabla520212224252627129125130[[#This Row],[Volúmen bruto]]</f>
        <v>0</v>
      </c>
      <c r="NV38">
        <f>+Tabla520212224252627129125130[[#This Row],[Recuento]]*Tabla520212224252627129125130[[#This Row],[Área neta]]</f>
        <v>0</v>
      </c>
      <c r="NW38" s="26"/>
      <c r="NY38"/>
      <c r="NZ38"/>
      <c r="OA38"/>
      <c r="OB38"/>
      <c r="OC38"/>
      <c r="OD38"/>
      <c r="OE38">
        <f>+Tabla520212224252627129125130131[[#This Row],[Recuento]]*Tabla520212224252627129125130131[[#This Row],[Volúmen bruto]]</f>
        <v>0</v>
      </c>
      <c r="OF38">
        <f>+Tabla520212224252627129125130131[[#This Row],[Recuento]]*Tabla520212224252627129125130131[[#This Row],[Área neta]]</f>
        <v>0</v>
      </c>
      <c r="OG38" s="26"/>
      <c r="OI38"/>
      <c r="OJ38"/>
      <c r="OK38"/>
      <c r="OL38"/>
      <c r="OM38"/>
      <c r="ON38"/>
      <c r="OO38">
        <f>+Tabla520212224252627129125130131132[[#This Row],[Recuento]]*Tabla520212224252627129125130131132[[#This Row],[Volúmen bruto]]</f>
        <v>0</v>
      </c>
      <c r="OP38">
        <f>+Tabla520212224252627129125130131132[[#This Row],[Recuento]]*Tabla520212224252627129125130131132[[#This Row],[Área neta]]</f>
        <v>0</v>
      </c>
      <c r="OQ38" s="26"/>
      <c r="OS38"/>
      <c r="OT38"/>
      <c r="OU38"/>
      <c r="OV38"/>
      <c r="OW38"/>
      <c r="OX38"/>
      <c r="OY38">
        <f>+Tabla52021222425262728[[#This Row],[Recuento]]*Tabla52021222425262728[[#This Row],[Volúmen bruto]]</f>
        <v>0</v>
      </c>
      <c r="OZ38">
        <f>+Tabla52021222425262728[[#This Row],[Recuento]]*Tabla52021222425262728[[#This Row],[Área neta]]</f>
        <v>0</v>
      </c>
      <c r="PA38" s="26"/>
      <c r="PC38" t="s">
        <v>1862</v>
      </c>
      <c r="PD38" t="s">
        <v>1525</v>
      </c>
      <c r="PE38" t="s">
        <v>97</v>
      </c>
      <c r="PF38">
        <v>0.02</v>
      </c>
      <c r="PG38">
        <v>0.97</v>
      </c>
      <c r="PH38">
        <v>1</v>
      </c>
      <c r="PI38">
        <f>+Tabla52021222425262728133[[#This Row],[Recuento]]*Tabla52021222425262728133[[#This Row],[Volúmen bruto]]</f>
        <v>0.02</v>
      </c>
      <c r="PJ38">
        <f>+Tabla52021222425262728133[[#This Row],[Recuento]]*Tabla52021222425262728133[[#This Row],[Área neta]]</f>
        <v>0.97</v>
      </c>
      <c r="PK38" s="26"/>
      <c r="PM38"/>
      <c r="PN38"/>
      <c r="PO38"/>
      <c r="PP38"/>
      <c r="PQ38"/>
      <c r="PR38"/>
      <c r="PS38">
        <f>+Tabla5202122242526272893[[#This Row],[Recuento]]*Tabla5202122242526272893[[#This Row],[Volúmen bruto]]</f>
        <v>0</v>
      </c>
      <c r="PT38">
        <f>+Tabla5202122242526272893[[#This Row],[Recuento]]*Tabla5202122242526272893[[#This Row],[Área neta]]</f>
        <v>0</v>
      </c>
      <c r="PU38" s="26"/>
      <c r="PW38" t="s">
        <v>1862</v>
      </c>
      <c r="PX38" t="s">
        <v>1525</v>
      </c>
      <c r="PY38" t="s">
        <v>1676</v>
      </c>
      <c r="PZ38">
        <v>0.26</v>
      </c>
      <c r="QA38">
        <v>2.1800000000000002</v>
      </c>
      <c r="QB38">
        <v>1</v>
      </c>
      <c r="QC38">
        <f>+Tabla520212224252627289349[[#This Row],[Recuento]]*Tabla520212224252627289349[[#This Row],[Volúmen bruto]]</f>
        <v>0.26</v>
      </c>
      <c r="QD38">
        <f>+Tabla520212224252627289349[[#This Row],[Recuento]]*Tabla520212224252627289349[[#This Row],[Área neta]]</f>
        <v>2.1800000000000002</v>
      </c>
      <c r="QE38" s="26">
        <f>+SUM(QD38:QD43)</f>
        <v>10.170000000000002</v>
      </c>
      <c r="QG38"/>
      <c r="QH38"/>
      <c r="QI38"/>
      <c r="QJ38"/>
      <c r="QK38"/>
      <c r="QL38"/>
      <c r="QM38">
        <f>+Tabla520212224252627289349134[[#This Row],[Recuento]]*Tabla520212224252627289349134[[#This Row],[Volúmen bruto]]</f>
        <v>0</v>
      </c>
      <c r="QN38">
        <f>+Tabla520212224252627289349134[[#This Row],[Recuento]]*Tabla520212224252627289349134[[#This Row],[Área neta]]</f>
        <v>0</v>
      </c>
      <c r="QO38" s="26"/>
      <c r="QQ38" t="s">
        <v>1863</v>
      </c>
      <c r="QR38" t="s">
        <v>1524</v>
      </c>
      <c r="QS38" t="s">
        <v>1726</v>
      </c>
      <c r="QT38">
        <v>0.22</v>
      </c>
      <c r="QU38">
        <v>1.1000000000000001</v>
      </c>
      <c r="QV38">
        <v>1</v>
      </c>
      <c r="QW38">
        <v>1</v>
      </c>
      <c r="QX38">
        <f>+Tabla5202122242526272829[[#This Row],[Recuento]]*Tabla5202122242526272829[[#This Row],[Volúmen bruto]]</f>
        <v>0.22</v>
      </c>
      <c r="QY38">
        <f>+Tabla5202122242526272829[[#This Row],[Recuento]]*Tabla5202122242526272829[[#This Row],[Área neta]]</f>
        <v>1.1000000000000001</v>
      </c>
      <c r="QZ38">
        <f>+Tabla5202122242526272829[[#This Row],[Recuento]]*Tabla5202122242526272829[[#This Row],[Longitud]]</f>
        <v>1</v>
      </c>
      <c r="RA38" s="26"/>
      <c r="RC38"/>
      <c r="RD38"/>
      <c r="RE38"/>
      <c r="RF38"/>
      <c r="RG38"/>
      <c r="RH38"/>
      <c r="RI38"/>
      <c r="RJ38"/>
      <c r="RK38" s="26"/>
      <c r="RM38"/>
      <c r="RN38"/>
      <c r="RO38"/>
      <c r="RP38"/>
      <c r="RQ38"/>
      <c r="RR38"/>
      <c r="RS38"/>
      <c r="RT38"/>
      <c r="RU38" s="26">
        <f t="shared" si="7"/>
        <v>0</v>
      </c>
      <c r="RW38"/>
      <c r="RX38"/>
      <c r="RY38"/>
      <c r="RZ38"/>
      <c r="SA38"/>
      <c r="SB38"/>
      <c r="SC38"/>
      <c r="SD38"/>
      <c r="SE38" s="26"/>
      <c r="SG38"/>
      <c r="SH38"/>
      <c r="SI38"/>
      <c r="SJ38"/>
      <c r="SK38"/>
      <c r="SL38"/>
      <c r="SM38"/>
      <c r="SN38"/>
      <c r="SO38" s="26"/>
      <c r="SQ38" t="s">
        <v>1863</v>
      </c>
      <c r="SR38" t="s">
        <v>1524</v>
      </c>
      <c r="SS38" t="s">
        <v>94</v>
      </c>
      <c r="ST38">
        <v>0.56000000000000005</v>
      </c>
      <c r="SU38">
        <v>5.64</v>
      </c>
      <c r="SV38">
        <v>1</v>
      </c>
      <c r="SW38" s="34">
        <f>+Tabla5789141516[[#This Row],[Recuento]]*Tabla5789141516[[#This Row],[Volúmen bruto]]</f>
        <v>0.56000000000000005</v>
      </c>
      <c r="SX38" s="34">
        <f>+Tabla5789141516[[#This Row],[Recuento]]*Tabla5789141516[[#This Row],[Área neta]]</f>
        <v>5.64</v>
      </c>
      <c r="SY38" s="36"/>
      <c r="SZ38" s="26"/>
      <c r="TA38"/>
      <c r="TB38"/>
      <c r="TC38" s="26"/>
      <c r="TD38" s="26"/>
      <c r="TE38" s="26"/>
      <c r="TF38" s="26"/>
      <c r="TG38" s="26"/>
      <c r="TH38" s="26"/>
      <c r="TI38" s="36">
        <f t="shared" si="8"/>
        <v>0</v>
      </c>
      <c r="TJ38" s="26"/>
      <c r="TK38"/>
      <c r="TL38"/>
      <c r="TM38"/>
      <c r="TN38"/>
      <c r="TO38"/>
      <c r="TP38"/>
      <c r="TQ38"/>
      <c r="TR38"/>
      <c r="TS38" s="36">
        <f t="shared" si="9"/>
        <v>0</v>
      </c>
      <c r="TT38" s="26"/>
      <c r="TU38"/>
      <c r="TV38"/>
      <c r="TW38"/>
      <c r="TX38"/>
      <c r="TY38"/>
      <c r="TZ38"/>
      <c r="UA38"/>
      <c r="UB38"/>
      <c r="UC38" s="36">
        <f t="shared" si="10"/>
        <v>0</v>
      </c>
      <c r="UD38" s="26"/>
      <c r="UE38"/>
      <c r="UF38"/>
      <c r="UG38"/>
      <c r="UH38"/>
      <c r="UI38"/>
      <c r="UJ38"/>
      <c r="UK38"/>
      <c r="UL38"/>
      <c r="UM38" s="36">
        <f t="shared" si="11"/>
        <v>0</v>
      </c>
      <c r="UN38" s="26"/>
      <c r="UO38"/>
      <c r="UP38"/>
      <c r="UQ38"/>
      <c r="UR38"/>
      <c r="US38"/>
      <c r="UT38"/>
      <c r="UU38"/>
      <c r="UV38"/>
      <c r="UW38" s="36">
        <f t="shared" si="12"/>
        <v>0</v>
      </c>
      <c r="UX38" s="26"/>
      <c r="UY38"/>
      <c r="UZ38"/>
      <c r="VA38"/>
      <c r="VB38"/>
      <c r="VC38"/>
      <c r="VD38"/>
      <c r="VE38"/>
      <c r="VF38"/>
      <c r="VG38" s="36">
        <f t="shared" si="13"/>
        <v>0</v>
      </c>
      <c r="VH38" s="26"/>
      <c r="VI38"/>
      <c r="VJ38"/>
      <c r="VK38"/>
      <c r="VL38"/>
      <c r="VM38"/>
      <c r="VN38"/>
      <c r="VO38"/>
      <c r="VP38"/>
      <c r="VQ38" s="36">
        <f t="shared" si="14"/>
        <v>0</v>
      </c>
      <c r="VR38" s="26"/>
      <c r="VS38"/>
      <c r="VT38"/>
      <c r="VU38"/>
      <c r="VV38"/>
      <c r="VW38"/>
      <c r="VX38"/>
      <c r="VY38"/>
      <c r="VZ38"/>
      <c r="WA38" s="36">
        <f t="shared" si="15"/>
        <v>0</v>
      </c>
      <c r="WB38" s="26"/>
      <c r="WC38"/>
      <c r="WD38"/>
      <c r="WE38"/>
      <c r="WF38"/>
      <c r="WG38"/>
      <c r="WH38"/>
      <c r="WI38"/>
      <c r="WJ38"/>
      <c r="WK38" s="36">
        <f t="shared" si="16"/>
        <v>0</v>
      </c>
      <c r="WL38" s="26"/>
      <c r="WM38"/>
      <c r="WN38"/>
      <c r="WO38"/>
      <c r="WP38"/>
      <c r="WQ38"/>
      <c r="WR38"/>
      <c r="WS38"/>
      <c r="WT38"/>
      <c r="WU38" s="36">
        <f t="shared" si="17"/>
        <v>0</v>
      </c>
      <c r="WV38" s="26"/>
      <c r="WW38"/>
      <c r="WX38"/>
      <c r="WY38"/>
      <c r="WZ38"/>
      <c r="XA38"/>
      <c r="XB38"/>
      <c r="XC38"/>
      <c r="XD38"/>
      <c r="XE38" s="36">
        <f t="shared" si="18"/>
        <v>0</v>
      </c>
      <c r="XF38" s="26"/>
      <c r="XG38"/>
      <c r="XH38"/>
      <c r="XI38"/>
      <c r="XJ38"/>
      <c r="XK38"/>
      <c r="XL38" s="33"/>
      <c r="XM38" s="34"/>
      <c r="XN38" s="34"/>
      <c r="XO38" s="35"/>
      <c r="XP38" s="26"/>
      <c r="XQ38"/>
      <c r="XR38"/>
      <c r="XS38"/>
      <c r="XT38"/>
      <c r="XU38"/>
      <c r="XV38" s="33"/>
      <c r="XW38" s="34"/>
      <c r="XX38" s="34"/>
      <c r="XY38" s="35"/>
      <c r="XZ38" s="26"/>
      <c r="YA38"/>
      <c r="YB38"/>
      <c r="YC38"/>
      <c r="YD38"/>
      <c r="YE38"/>
      <c r="YF38" s="33"/>
      <c r="YG38" s="34"/>
      <c r="YH38" s="34"/>
      <c r="YI38" s="35"/>
      <c r="YJ38" s="35"/>
      <c r="YK38"/>
      <c r="YL38"/>
      <c r="YM38"/>
      <c r="YN38"/>
      <c r="YO38"/>
      <c r="YQ38"/>
      <c r="YR38"/>
      <c r="YS38"/>
      <c r="YT38"/>
      <c r="YU38"/>
      <c r="YV38" s="33"/>
      <c r="YW38" s="34"/>
      <c r="YX38" s="34"/>
      <c r="YY38" s="35"/>
      <c r="YZ38" s="26"/>
      <c r="ZA38"/>
      <c r="ZB38"/>
      <c r="ZC38"/>
      <c r="ZD38"/>
      <c r="ZE38"/>
      <c r="ZF38" s="33"/>
      <c r="ZG38" s="34"/>
      <c r="ZH38" s="34"/>
      <c r="ZI38" s="35"/>
      <c r="ZJ38" s="26"/>
      <c r="ZK38"/>
      <c r="ZL38"/>
      <c r="ZM38"/>
      <c r="ZN38"/>
      <c r="ZO38"/>
      <c r="ZP38" s="33"/>
      <c r="ZQ38" s="34"/>
      <c r="ZR38" s="34"/>
      <c r="ZS38" s="35"/>
      <c r="ZT38" s="26"/>
      <c r="ZU38"/>
      <c r="ZV38"/>
      <c r="ZW38"/>
      <c r="ZX38"/>
      <c r="ZY38"/>
      <c r="ZZ38" s="33"/>
      <c r="AAA38" s="34"/>
      <c r="AAB38" s="34"/>
      <c r="AAC38" s="35"/>
      <c r="AAD38" s="26"/>
      <c r="AAE38"/>
      <c r="AAF38"/>
      <c r="AAG38"/>
      <c r="AAH38"/>
      <c r="AAI38"/>
      <c r="AAJ38" s="33"/>
      <c r="AAK38" s="34"/>
      <c r="AAL38" s="34"/>
      <c r="AAM38" s="35"/>
      <c r="AAN38" s="26"/>
      <c r="AAO38"/>
      <c r="AAP38"/>
      <c r="AAW38" s="36">
        <f t="shared" si="20"/>
        <v>0</v>
      </c>
      <c r="AAX38" s="26"/>
      <c r="AAY38"/>
      <c r="AAZ38"/>
      <c r="ABA38"/>
      <c r="ABB38"/>
      <c r="ABC38"/>
      <c r="ABD38" s="33"/>
      <c r="ABE38" s="34"/>
      <c r="ABF38" s="34"/>
      <c r="ABG38" s="35"/>
      <c r="ABH38" s="26"/>
      <c r="ABI38"/>
      <c r="ABJ38"/>
      <c r="ABK38"/>
      <c r="ABL38"/>
      <c r="ABM38"/>
      <c r="ABN38" s="33"/>
      <c r="ABO38" s="34"/>
      <c r="ABP38" s="34"/>
      <c r="ABQ38" s="35"/>
      <c r="ABR38" s="26"/>
      <c r="ABS38"/>
      <c r="ABT38"/>
      <c r="ABU38"/>
      <c r="ABV38"/>
      <c r="ABW38"/>
      <c r="ABX38" s="33"/>
      <c r="ABY38" s="34"/>
      <c r="ABZ38" s="34"/>
      <c r="ACA38" s="35"/>
      <c r="ACB38" s="26"/>
      <c r="ACC38"/>
      <c r="ACD38"/>
      <c r="ACE38"/>
      <c r="ACF38"/>
      <c r="ACG38"/>
      <c r="ACH38" s="33"/>
      <c r="ACI38" s="34"/>
      <c r="ACJ38" s="34"/>
      <c r="ACK38" s="35"/>
      <c r="ACL38" s="26"/>
      <c r="ACM38"/>
      <c r="ACN38"/>
      <c r="ACO38"/>
      <c r="ACP38"/>
      <c r="ACQ38"/>
      <c r="ACR38" s="33"/>
      <c r="ACS38" s="34"/>
      <c r="ACT38" s="34"/>
      <c r="ACU38" s="35"/>
      <c r="ACV38" s="26"/>
      <c r="ACW38" t="s">
        <v>1231</v>
      </c>
      <c r="ACX38" s="1">
        <v>1</v>
      </c>
      <c r="ACY38" s="2">
        <v>2.0499999999999998</v>
      </c>
      <c r="ACZ38" s="2">
        <v>1.8</v>
      </c>
      <c r="ADA38">
        <v>1</v>
      </c>
      <c r="ADB38" s="2">
        <f t="shared" si="21"/>
        <v>3.69</v>
      </c>
      <c r="ADG38" s="26">
        <f t="shared" si="19"/>
        <v>0</v>
      </c>
      <c r="ADJ38"/>
      <c r="ADK38"/>
      <c r="ADL38"/>
      <c r="ADM38"/>
      <c r="ADN38"/>
      <c r="ADO38">
        <f>+Tabla578914151634353637383940414243444546474849505152535560[[#This Row],[G. Total]]*Tabla578914151634353637383940414243444546474849505152535560[[#This Row],[Recuento]]</f>
        <v>0</v>
      </c>
      <c r="ADP38" s="35"/>
      <c r="ADQ38" s="26"/>
      <c r="ADR38"/>
      <c r="ADS38"/>
      <c r="ADT38"/>
      <c r="ADU38"/>
      <c r="ADV38"/>
      <c r="ADW38" s="35"/>
      <c r="ADX38" s="35"/>
      <c r="ADY38"/>
      <c r="ADZ38"/>
      <c r="AEA38"/>
      <c r="AEB38"/>
      <c r="AEC38"/>
      <c r="AED38"/>
      <c r="AEE38" s="35"/>
      <c r="AEF38" s="26"/>
      <c r="AEG38"/>
      <c r="AEH38"/>
      <c r="AEI38"/>
      <c r="AEJ38"/>
      <c r="AEK38"/>
      <c r="AEL38" s="35"/>
      <c r="AEM38" s="35"/>
      <c r="AEN38" t="s">
        <v>1522</v>
      </c>
      <c r="AEO38" t="s">
        <v>1524</v>
      </c>
      <c r="AEP38" t="s">
        <v>381</v>
      </c>
      <c r="AEQ38">
        <v>0.18</v>
      </c>
      <c r="AER38">
        <v>2</v>
      </c>
      <c r="AES38">
        <f>+Tabla5789141516343536373839404142434445464748495051525355606264[[#This Row],[G. Total]]*Tabla5789141516343536373839404142434445464748495051525355606264[[#This Row],[Recuento]]</f>
        <v>0.36</v>
      </c>
      <c r="AET38" s="36"/>
      <c r="AEU38" s="26"/>
      <c r="AEV38"/>
      <c r="AEW38"/>
      <c r="AEX38"/>
      <c r="AEY38"/>
      <c r="AEZ38"/>
      <c r="AFA38" s="35">
        <f>+SUM(AEV38:AEV47)</f>
        <v>0</v>
      </c>
      <c r="AFB38" s="26"/>
      <c r="AFC38"/>
      <c r="AFD38"/>
      <c r="AFE38"/>
      <c r="AFF38"/>
      <c r="AFG38"/>
      <c r="AFH38"/>
      <c r="AFI38"/>
      <c r="AFJ38"/>
      <c r="AFK38"/>
      <c r="AFL38"/>
      <c r="AFM38"/>
      <c r="AFN38">
        <f>+Tabla578914151634353637383940414243444546474849505152535560626467[[#This Row],[G. Total]]*Tabla578914151634353637383940414243444546474849505152535560626467[[#This Row],[Recuento]]</f>
        <v>0</v>
      </c>
      <c r="AFO38" s="35"/>
      <c r="AFP38" s="26"/>
      <c r="AFQ38" s="2" t="s">
        <v>116</v>
      </c>
      <c r="AFX38" s="2" t="s">
        <v>116</v>
      </c>
    </row>
    <row r="39" spans="1:861" ht="14.2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>
        <f>+Tabla5[[#This Row],[Recuento]]*Tabla5[[#This Row],[Volúmen bruto]]</f>
        <v>0</v>
      </c>
      <c r="S39">
        <f>+Tabla5[[#This Row],[Recuento]]*Tabla5[[#This Row],[Área neta]]</f>
        <v>0</v>
      </c>
      <c r="T39">
        <f>+Tabla5[[#This Row],[Longitud nominal]]*Tabla5[[#This Row],[Recuento]]</f>
        <v>0</v>
      </c>
      <c r="U39" s="26"/>
      <c r="V39"/>
      <c r="W39"/>
      <c r="X39"/>
      <c r="Y39"/>
      <c r="Z39"/>
      <c r="AA39"/>
      <c r="AB39"/>
      <c r="AC39"/>
      <c r="AD39"/>
      <c r="AE39"/>
      <c r="AF39"/>
      <c r="AG39" s="26">
        <f t="shared" si="4"/>
        <v>0</v>
      </c>
      <c r="AH39"/>
      <c r="AI39"/>
      <c r="AJ39"/>
      <c r="AK39"/>
      <c r="AL39"/>
      <c r="AM39"/>
      <c r="AN39"/>
      <c r="AO39"/>
      <c r="AP39"/>
      <c r="AQ39"/>
      <c r="AR39"/>
      <c r="AS39" s="26">
        <f t="shared" si="5"/>
        <v>0</v>
      </c>
      <c r="AT39"/>
      <c r="AU39"/>
      <c r="AV39"/>
      <c r="AW39"/>
      <c r="AX39"/>
      <c r="AY39"/>
      <c r="AZ39"/>
      <c r="BA39"/>
      <c r="BB39"/>
      <c r="BC39"/>
      <c r="BD39"/>
      <c r="BE39" s="26">
        <f t="shared" si="6"/>
        <v>0</v>
      </c>
      <c r="BF39">
        <v>1</v>
      </c>
      <c r="BG39" t="s">
        <v>1862</v>
      </c>
      <c r="BH39" t="s">
        <v>1524</v>
      </c>
      <c r="BI39" t="s">
        <v>1406</v>
      </c>
      <c r="BJ39">
        <v>3.37</v>
      </c>
      <c r="BK39" s="37">
        <v>3.5</v>
      </c>
      <c r="BL39">
        <f>+Tabla3102[[#This Row],[En culmo]]*BF39</f>
        <v>3.5</v>
      </c>
      <c r="BM39"/>
      <c r="BO39"/>
      <c r="BP39"/>
      <c r="BQ39"/>
      <c r="BR39"/>
      <c r="BS39"/>
      <c r="BT39">
        <f>+Tabla31069[[#This Row],[Longitud de eje]]*BN39</f>
        <v>0</v>
      </c>
      <c r="BU39"/>
      <c r="BV39"/>
      <c r="BW39"/>
      <c r="BX39"/>
      <c r="BY39"/>
      <c r="BZ39"/>
      <c r="CA39"/>
      <c r="CB39">
        <f>+Tabla31011[[#This Row],[Longitud de eje]]*BV39</f>
        <v>0</v>
      </c>
      <c r="CD39">
        <v>2</v>
      </c>
      <c r="CE39" t="s">
        <v>1862</v>
      </c>
      <c r="CF39" t="s">
        <v>1525</v>
      </c>
      <c r="CG39" t="s">
        <v>1405</v>
      </c>
      <c r="CH39">
        <v>4.5</v>
      </c>
      <c r="CI39">
        <v>5</v>
      </c>
      <c r="CJ39">
        <f>+Tabla3101170[[#This Row],[En culmo]]*CD39</f>
        <v>10</v>
      </c>
      <c r="CK39"/>
      <c r="CR39">
        <f>+Tabla31011116[[#This Row],[Longitud de eje]]*CT39</f>
        <v>0</v>
      </c>
      <c r="CT39">
        <v>1</v>
      </c>
      <c r="CU39" t="s">
        <v>1862</v>
      </c>
      <c r="CV39" t="s">
        <v>1383</v>
      </c>
      <c r="CW39" t="s">
        <v>1405</v>
      </c>
      <c r="CX39">
        <v>11.37</v>
      </c>
      <c r="CY39">
        <v>6.5</v>
      </c>
      <c r="CZ39">
        <f>+Tabla3101170117[[#This Row],[En culmo]]*CT39</f>
        <v>6.5</v>
      </c>
      <c r="DA39"/>
      <c r="DB39"/>
      <c r="DC39"/>
      <c r="DD39"/>
      <c r="DE39"/>
      <c r="DF39"/>
      <c r="DG39">
        <f>+Tabla31011704[[#This Row],[Longitud de eje]]*DB39</f>
        <v>0</v>
      </c>
      <c r="DH39"/>
      <c r="DI39"/>
      <c r="DJ39"/>
      <c r="DK39"/>
      <c r="DL39"/>
      <c r="DM39"/>
      <c r="DN39">
        <f>+Tabla3101170411[[#This Row],[Longitud de eje]]*DI39</f>
        <v>0</v>
      </c>
      <c r="DO39"/>
      <c r="DP39"/>
      <c r="DQ39"/>
      <c r="DR39"/>
      <c r="DS39"/>
      <c r="DT39"/>
      <c r="DU39">
        <f>+Tabla3101170411120[[#This Row],[Longitud de eje]]*DP39</f>
        <v>0</v>
      </c>
      <c r="DV39"/>
      <c r="DW39"/>
      <c r="DX39"/>
      <c r="DY39"/>
      <c r="DZ39"/>
      <c r="EA39"/>
      <c r="EB39">
        <f>+Tabla3101170411120122[[#This Row],[Longitud de eje]]*DW39</f>
        <v>0</v>
      </c>
      <c r="EC39"/>
      <c r="ED39">
        <v>8</v>
      </c>
      <c r="EE39" t="s">
        <v>1862</v>
      </c>
      <c r="EF39" t="s">
        <v>1524</v>
      </c>
      <c r="EG39" t="s">
        <v>1406</v>
      </c>
      <c r="EH39">
        <v>4.6399999999999997</v>
      </c>
      <c r="EI39">
        <v>5</v>
      </c>
      <c r="EJ39">
        <f>+Tabla3101112[[#This Row],[En culmo]]*ED39</f>
        <v>40</v>
      </c>
      <c r="EK39"/>
      <c r="EL39"/>
      <c r="EM39"/>
      <c r="EN39"/>
      <c r="EO39"/>
      <c r="EP39"/>
      <c r="EQ39"/>
      <c r="ER39">
        <f>+Tabla3101112123[[#This Row],[En culmo]]*EL39</f>
        <v>0</v>
      </c>
      <c r="ES39"/>
      <c r="ET39">
        <v>55</v>
      </c>
      <c r="EU39" t="s">
        <v>1862</v>
      </c>
      <c r="EV39" t="s">
        <v>1525</v>
      </c>
      <c r="EW39" t="s">
        <v>1406</v>
      </c>
      <c r="EX39">
        <v>2.1800000000000002</v>
      </c>
      <c r="EY39">
        <v>2.5</v>
      </c>
      <c r="EZ39">
        <f>+Tabla310111257[[#This Row],[En culmo]]*ET39</f>
        <v>137.5</v>
      </c>
      <c r="FA39"/>
      <c r="FB39"/>
      <c r="FC39"/>
      <c r="FD39"/>
      <c r="FE39"/>
      <c r="FF39"/>
      <c r="FG39">
        <v>1.5</v>
      </c>
      <c r="FH39">
        <f>+Tabla310111257124[[#This Row],[En culmo]]*FB39</f>
        <v>0</v>
      </c>
      <c r="FI39"/>
      <c r="FK39"/>
      <c r="FL39"/>
      <c r="FM39"/>
      <c r="FN39"/>
      <c r="FO39"/>
      <c r="FP39"/>
      <c r="FQ39"/>
      <c r="FS39"/>
      <c r="FT39"/>
      <c r="FU39"/>
      <c r="FV39"/>
      <c r="FW39"/>
      <c r="FX39"/>
      <c r="FY39"/>
      <c r="GA39"/>
      <c r="GB39"/>
      <c r="GC39"/>
      <c r="GD39"/>
      <c r="GE39"/>
      <c r="GF39"/>
      <c r="GG39"/>
      <c r="GI39"/>
      <c r="GJ39"/>
      <c r="GK39"/>
      <c r="GL39"/>
      <c r="GM39"/>
      <c r="GN39"/>
      <c r="GO39"/>
      <c r="GQ39"/>
      <c r="GR39"/>
      <c r="GS39"/>
      <c r="GT39"/>
      <c r="GU39"/>
      <c r="GV39">
        <v>1</v>
      </c>
      <c r="GW39">
        <f>+Tabla578914[[#This Row],[Recuento]]*Tabla578914[[#This Row],[Volúmen bruto]]</f>
        <v>0</v>
      </c>
      <c r="GX39">
        <f>+Tabla578914[[#This Row],[Recuento]]*Tabla578914[[#This Row],[Área neta]]</f>
        <v>0</v>
      </c>
      <c r="GY39" s="36"/>
      <c r="HA39" t="s">
        <v>1863</v>
      </c>
      <c r="HB39" t="s">
        <v>1383</v>
      </c>
      <c r="HC39" t="s">
        <v>1667</v>
      </c>
      <c r="HD39">
        <v>0.74</v>
      </c>
      <c r="HE39">
        <v>8.1999999999999993</v>
      </c>
      <c r="HF39">
        <v>1</v>
      </c>
      <c r="HG39">
        <f>+Tabla578914126[[#This Row],[Recuento]]*Tabla578914126[[#This Row],[Volúmen bruto]]</f>
        <v>0.74</v>
      </c>
      <c r="HH39">
        <f>+Tabla578914126[[#This Row],[Recuento]]*Tabla578914126[[#This Row],[Área neta]]</f>
        <v>8.1999999999999993</v>
      </c>
      <c r="HI39" s="36"/>
      <c r="HK39"/>
      <c r="HL39"/>
      <c r="HM39"/>
      <c r="HN39"/>
      <c r="HO39"/>
      <c r="HP39">
        <v>1</v>
      </c>
      <c r="HQ39">
        <f>+Tabla578914126127[[#This Row],[Recuento]]*Tabla578914126127[[#This Row],[Volúmen bruto]]</f>
        <v>0</v>
      </c>
      <c r="HR39">
        <f>+Tabla578914126127[[#This Row],[Recuento]]*Tabla578914126127[[#This Row],[Área neta]]</f>
        <v>0</v>
      </c>
      <c r="HS39" s="36"/>
      <c r="HU39"/>
      <c r="HV39"/>
      <c r="HW39"/>
      <c r="HX39"/>
      <c r="HY39"/>
      <c r="HZ39"/>
      <c r="IA39"/>
      <c r="IB39"/>
      <c r="IC39" s="36"/>
      <c r="IE39"/>
      <c r="IF39"/>
      <c r="IG39"/>
      <c r="IH39"/>
      <c r="II39"/>
      <c r="IJ39"/>
      <c r="IK39"/>
      <c r="IL39"/>
      <c r="IM39" s="36"/>
      <c r="IO39"/>
      <c r="IP39"/>
      <c r="IQ39"/>
      <c r="IR39"/>
      <c r="IS39"/>
      <c r="IT39"/>
      <c r="IU39" s="38"/>
      <c r="IV39" s="38">
        <f>+Tabla520212223[[#This Row],[Recuento]]*Tabla520212223[[#This Row],[Área neta]]</f>
        <v>0</v>
      </c>
      <c r="IW39" s="26">
        <f t="shared" si="0"/>
        <v>0</v>
      </c>
      <c r="IY39"/>
      <c r="IZ39"/>
      <c r="JA39"/>
      <c r="JB39"/>
      <c r="JC39"/>
      <c r="JD39">
        <v>1</v>
      </c>
      <c r="JE39">
        <f>+Tabla520212224[[#This Row],[Recuento]]*Tabla520212224[[#This Row],[Volúmen bruto]]</f>
        <v>0</v>
      </c>
      <c r="JF39">
        <f>+Tabla520212224[[#This Row],[Recuento]]*Tabla520212224[[#This Row],[Área neta]]</f>
        <v>0</v>
      </c>
      <c r="JG39" s="26"/>
      <c r="JI39" t="s">
        <v>1862</v>
      </c>
      <c r="JJ39" t="s">
        <v>1524</v>
      </c>
      <c r="JK39" t="s">
        <v>1676</v>
      </c>
      <c r="JL39">
        <v>0.15</v>
      </c>
      <c r="JM39">
        <v>0.22</v>
      </c>
      <c r="JN39">
        <v>1</v>
      </c>
      <c r="JO39">
        <f>+Tabla52021222425[[#This Row],[Recuento]]*Tabla52021222425[[#This Row],[Volúmen bruto]]</f>
        <v>0.15</v>
      </c>
      <c r="JP39">
        <f>+Tabla52021222425[[#This Row],[Recuento]]*Tabla52021222425[[#This Row],[Área neta]]</f>
        <v>0.22</v>
      </c>
      <c r="JQ39" s="26"/>
      <c r="JS39" t="s">
        <v>1862</v>
      </c>
      <c r="JT39" t="s">
        <v>1524</v>
      </c>
      <c r="JU39" t="s">
        <v>1680</v>
      </c>
      <c r="JV39">
        <v>0.01</v>
      </c>
      <c r="JW39">
        <v>1.23</v>
      </c>
      <c r="JX39">
        <v>1</v>
      </c>
      <c r="JY39">
        <f>+Tabla5202122242526[[#This Row],[Recuento]]*Tabla5202122242526[[#This Row],[Volúmen bruto]]</f>
        <v>0.01</v>
      </c>
      <c r="JZ39">
        <f>+Tabla5202122242526[[#This Row],[Recuento]]*Tabla5202122242526[[#This Row],[Área neta]]</f>
        <v>1.23</v>
      </c>
      <c r="KA39" s="26"/>
      <c r="KC39"/>
      <c r="KD39"/>
      <c r="KE39"/>
      <c r="KF39"/>
      <c r="KG39"/>
      <c r="KH39"/>
      <c r="KI39">
        <f>+Tabla5202122242526104[[#This Row],[Recuento]]*Tabla5202122242526104[[#This Row],[Volúmen bruto]]</f>
        <v>0</v>
      </c>
      <c r="KJ39">
        <f>+Tabla5202122242526104[[#This Row],[Recuento]]*Tabla5202122242526104[[#This Row],[Área neta]]</f>
        <v>0</v>
      </c>
      <c r="KK39" s="26"/>
      <c r="KM39" t="s">
        <v>1862</v>
      </c>
      <c r="KN39" t="s">
        <v>1525</v>
      </c>
      <c r="KO39" t="s">
        <v>98</v>
      </c>
      <c r="KP39">
        <v>0</v>
      </c>
      <c r="KQ39">
        <v>3.19</v>
      </c>
      <c r="KR39">
        <v>1</v>
      </c>
      <c r="KS39">
        <f>+Tabla5202122242526104110[[#This Row],[Recuento]]*Tabla5202122242526104110[[#This Row],[Volúmen bruto]]</f>
        <v>0</v>
      </c>
      <c r="KT39">
        <f>+Tabla5202122242526104110[[#This Row],[Recuento]]*Tabla5202122242526104110[[#This Row],[Área neta]]</f>
        <v>3.19</v>
      </c>
      <c r="KU39" s="26"/>
      <c r="KW39"/>
      <c r="KX39"/>
      <c r="KY39"/>
      <c r="KZ39"/>
      <c r="LA39"/>
      <c r="LB39"/>
      <c r="LC39">
        <f>+Tabla520212224252659[[#This Row],[Recuento]]*Tabla520212224252659[[#This Row],[Volúmen bruto]]</f>
        <v>0</v>
      </c>
      <c r="LD39">
        <f>+Tabla520212224252659[[#This Row],[Recuento]]*Tabla520212224252659[[#This Row],[Área neta]]</f>
        <v>0</v>
      </c>
      <c r="LE39" s="26"/>
      <c r="LG39"/>
      <c r="LH39"/>
      <c r="LI39"/>
      <c r="LJ39"/>
      <c r="LK39"/>
      <c r="LL39"/>
      <c r="LM39">
        <f>+Tabla520212224252659111[[#This Row],[Recuento]]*Tabla520212224252659111[[#This Row],[Volúmen bruto]]</f>
        <v>0</v>
      </c>
      <c r="LN39">
        <f>+Tabla520212224252659111[[#This Row],[Recuento]]*Tabla520212224252659111[[#This Row],[Área neta]]</f>
        <v>0</v>
      </c>
      <c r="LO39" s="26"/>
      <c r="LQ39"/>
      <c r="LR39"/>
      <c r="LS39"/>
      <c r="LT39"/>
      <c r="LU39"/>
      <c r="LV39"/>
      <c r="LW39">
        <f>+Tabla520212224252659111114[[#This Row],[Recuento]]*Tabla520212224252659111114[[#This Row],[Volúmen bruto]]</f>
        <v>0</v>
      </c>
      <c r="LX39">
        <f>+Tabla520212224252659111114[[#This Row],[Recuento]]*Tabla520212224252659111114[[#This Row],[Área neta]]</f>
        <v>0</v>
      </c>
      <c r="LY39" s="26"/>
      <c r="MA39" t="s">
        <v>1863</v>
      </c>
      <c r="MB39" t="s">
        <v>1524</v>
      </c>
      <c r="MC39" t="s">
        <v>97</v>
      </c>
      <c r="MD39">
        <v>0.14000000000000001</v>
      </c>
      <c r="ME39">
        <v>4.6900000000000004</v>
      </c>
      <c r="MF39">
        <v>1</v>
      </c>
      <c r="MG39">
        <f>+Tabla520212224252659111114128[[#This Row],[Recuento]]*Tabla520212224252659111114128[[#This Row],[Volúmen bruto]]</f>
        <v>0.14000000000000001</v>
      </c>
      <c r="MH39">
        <f>+Tabla520212224252659111114128[[#This Row],[Recuento]]*Tabla520212224252659111114128[[#This Row],[Área neta]]</f>
        <v>4.6900000000000004</v>
      </c>
      <c r="MI39" s="26">
        <f>+SUM(MH39:MH46)</f>
        <v>58.24</v>
      </c>
      <c r="MK39"/>
      <c r="ML39"/>
      <c r="MM39"/>
      <c r="MN39"/>
      <c r="MO39"/>
      <c r="MP39"/>
      <c r="MQ39">
        <f>+Tabla520212224252627[[#This Row],[Recuento]]*Tabla520212224252627[[#This Row],[Volúmen bruto]]</f>
        <v>0</v>
      </c>
      <c r="MR39">
        <f>+Tabla520212224252627[[#This Row],[Recuento]]*Tabla520212224252627[[#This Row],[Área neta]]</f>
        <v>0</v>
      </c>
      <c r="MS39" s="26"/>
      <c r="MU39"/>
      <c r="MV39"/>
      <c r="MW39"/>
      <c r="MX39"/>
      <c r="MY39"/>
      <c r="MZ39"/>
      <c r="NA39">
        <f>+Tabla520212224252627129[[#This Row],[Recuento]]*Tabla520212224252627129[[#This Row],[Volúmen bruto]]</f>
        <v>0</v>
      </c>
      <c r="NB39">
        <f>+Tabla520212224252627129[[#This Row],[Recuento]]*Tabla520212224252627129[[#This Row],[Área neta]]</f>
        <v>0</v>
      </c>
      <c r="NC39" s="26"/>
      <c r="NE39"/>
      <c r="NF39"/>
      <c r="NG39"/>
      <c r="NH39"/>
      <c r="NI39"/>
      <c r="NJ39"/>
      <c r="NK39">
        <f>+Tabla520212224252627129125[[#This Row],[Recuento]]*Tabla520212224252627129125[[#This Row],[Volúmen bruto]]</f>
        <v>0</v>
      </c>
      <c r="NL39">
        <f>+Tabla520212224252627129125[[#This Row],[Recuento]]*Tabla520212224252627129125[[#This Row],[Área neta]]</f>
        <v>0</v>
      </c>
      <c r="NM39" s="26"/>
      <c r="NO39"/>
      <c r="NP39"/>
      <c r="NQ39"/>
      <c r="NR39"/>
      <c r="NS39"/>
      <c r="NT39"/>
      <c r="NU39">
        <f>+Tabla520212224252627129125130[[#This Row],[Recuento]]*Tabla520212224252627129125130[[#This Row],[Volúmen bruto]]</f>
        <v>0</v>
      </c>
      <c r="NV39">
        <f>+Tabla520212224252627129125130[[#This Row],[Recuento]]*Tabla520212224252627129125130[[#This Row],[Área neta]]</f>
        <v>0</v>
      </c>
      <c r="NW39" s="26"/>
      <c r="NY39"/>
      <c r="NZ39"/>
      <c r="OA39"/>
      <c r="OB39"/>
      <c r="OC39"/>
      <c r="OD39"/>
      <c r="OE39">
        <f>+Tabla520212224252627129125130131[[#This Row],[Recuento]]*Tabla520212224252627129125130131[[#This Row],[Volúmen bruto]]</f>
        <v>0</v>
      </c>
      <c r="OF39">
        <f>+Tabla520212224252627129125130131[[#This Row],[Recuento]]*Tabla520212224252627129125130131[[#This Row],[Área neta]]</f>
        <v>0</v>
      </c>
      <c r="OG39" s="26"/>
      <c r="OI39"/>
      <c r="OJ39"/>
      <c r="OK39"/>
      <c r="OL39"/>
      <c r="OM39"/>
      <c r="ON39"/>
      <c r="OO39">
        <f>+Tabla520212224252627129125130131132[[#This Row],[Recuento]]*Tabla520212224252627129125130131132[[#This Row],[Volúmen bruto]]</f>
        <v>0</v>
      </c>
      <c r="OP39">
        <f>+Tabla520212224252627129125130131132[[#This Row],[Recuento]]*Tabla520212224252627129125130131132[[#This Row],[Área neta]]</f>
        <v>0</v>
      </c>
      <c r="OQ39" s="26"/>
      <c r="OS39"/>
      <c r="OT39"/>
      <c r="OU39"/>
      <c r="OV39"/>
      <c r="OW39"/>
      <c r="OX39"/>
      <c r="OY39">
        <f>+Tabla52021222425262728[[#This Row],[Recuento]]*Tabla52021222425262728[[#This Row],[Volúmen bruto]]</f>
        <v>0</v>
      </c>
      <c r="OZ39">
        <f>+Tabla52021222425262728[[#This Row],[Recuento]]*Tabla52021222425262728[[#This Row],[Área neta]]</f>
        <v>0</v>
      </c>
      <c r="PA39" s="26"/>
      <c r="PC39" t="s">
        <v>1862</v>
      </c>
      <c r="PD39" t="s">
        <v>1525</v>
      </c>
      <c r="PE39" t="s">
        <v>97</v>
      </c>
      <c r="PF39">
        <v>0.02</v>
      </c>
      <c r="PG39">
        <v>0.81</v>
      </c>
      <c r="PH39">
        <v>1</v>
      </c>
      <c r="PI39">
        <f>+Tabla52021222425262728133[[#This Row],[Recuento]]*Tabla52021222425262728133[[#This Row],[Volúmen bruto]]</f>
        <v>0.02</v>
      </c>
      <c r="PJ39">
        <f>+Tabla52021222425262728133[[#This Row],[Recuento]]*Tabla52021222425262728133[[#This Row],[Área neta]]</f>
        <v>0.81</v>
      </c>
      <c r="PK39" s="26"/>
      <c r="PM39"/>
      <c r="PN39"/>
      <c r="PO39"/>
      <c r="PP39"/>
      <c r="PQ39"/>
      <c r="PR39"/>
      <c r="PS39">
        <f>+Tabla5202122242526272893[[#This Row],[Recuento]]*Tabla5202122242526272893[[#This Row],[Volúmen bruto]]</f>
        <v>0</v>
      </c>
      <c r="PT39">
        <f>+Tabla5202122242526272893[[#This Row],[Recuento]]*Tabla5202122242526272893[[#This Row],[Área neta]]</f>
        <v>0</v>
      </c>
      <c r="PU39" s="26"/>
      <c r="PW39" t="s">
        <v>1862</v>
      </c>
      <c r="PX39" t="s">
        <v>1525</v>
      </c>
      <c r="PY39" t="s">
        <v>1676</v>
      </c>
      <c r="PZ39">
        <v>0.17</v>
      </c>
      <c r="QA39">
        <v>1.37</v>
      </c>
      <c r="QB39">
        <v>1</v>
      </c>
      <c r="QC39">
        <f>+Tabla520212224252627289349[[#This Row],[Recuento]]*Tabla520212224252627289349[[#This Row],[Volúmen bruto]]</f>
        <v>0.17</v>
      </c>
      <c r="QD39">
        <f>+Tabla520212224252627289349[[#This Row],[Recuento]]*Tabla520212224252627289349[[#This Row],[Área neta]]</f>
        <v>1.37</v>
      </c>
      <c r="QE39" s="26"/>
      <c r="QG39"/>
      <c r="QH39"/>
      <c r="QI39"/>
      <c r="QJ39"/>
      <c r="QK39"/>
      <c r="QL39"/>
      <c r="QM39">
        <f>+Tabla520212224252627289349134[[#This Row],[Recuento]]*Tabla520212224252627289349134[[#This Row],[Volúmen bruto]]</f>
        <v>0</v>
      </c>
      <c r="QN39">
        <f>+Tabla520212224252627289349134[[#This Row],[Recuento]]*Tabla520212224252627289349134[[#This Row],[Área neta]]</f>
        <v>0</v>
      </c>
      <c r="QO39" s="26"/>
      <c r="QQ39" t="s">
        <v>1863</v>
      </c>
      <c r="QR39" t="s">
        <v>1524</v>
      </c>
      <c r="QS39" t="s">
        <v>1726</v>
      </c>
      <c r="QT39">
        <v>0.16</v>
      </c>
      <c r="QU39">
        <v>0.8</v>
      </c>
      <c r="QV39">
        <v>1</v>
      </c>
      <c r="QW39">
        <v>1</v>
      </c>
      <c r="QX39">
        <f>+Tabla5202122242526272829[[#This Row],[Recuento]]*Tabla5202122242526272829[[#This Row],[Volúmen bruto]]</f>
        <v>0.16</v>
      </c>
      <c r="QY39">
        <f>+Tabla5202122242526272829[[#This Row],[Recuento]]*Tabla5202122242526272829[[#This Row],[Área neta]]</f>
        <v>0.8</v>
      </c>
      <c r="QZ39">
        <f>+Tabla5202122242526272829[[#This Row],[Recuento]]*Tabla5202122242526272829[[#This Row],[Longitud]]</f>
        <v>1</v>
      </c>
      <c r="RA39" s="26"/>
      <c r="RC39"/>
      <c r="RD39"/>
      <c r="RE39"/>
      <c r="RF39"/>
      <c r="RG39"/>
      <c r="RH39"/>
      <c r="RI39"/>
      <c r="RJ39"/>
      <c r="RK39" s="26"/>
      <c r="RM39"/>
      <c r="RN39"/>
      <c r="RO39"/>
      <c r="RP39"/>
      <c r="RQ39"/>
      <c r="RR39"/>
      <c r="RS39"/>
      <c r="RT39"/>
      <c r="RU39" s="26">
        <f t="shared" si="7"/>
        <v>0</v>
      </c>
      <c r="RW39"/>
      <c r="RX39"/>
      <c r="RY39"/>
      <c r="RZ39"/>
      <c r="SA39"/>
      <c r="SB39"/>
      <c r="SC39"/>
      <c r="SD39"/>
      <c r="SE39" s="26"/>
      <c r="SG39"/>
      <c r="SH39"/>
      <c r="SI39"/>
      <c r="SJ39"/>
      <c r="SK39"/>
      <c r="SL39"/>
      <c r="SM39"/>
      <c r="SN39"/>
      <c r="SO39" s="26"/>
      <c r="SQ39" t="s">
        <v>1863</v>
      </c>
      <c r="SR39" t="s">
        <v>1524</v>
      </c>
      <c r="SS39" t="s">
        <v>1627</v>
      </c>
      <c r="ST39">
        <v>0.43</v>
      </c>
      <c r="SU39">
        <v>2.17</v>
      </c>
      <c r="SV39">
        <v>2</v>
      </c>
      <c r="SW39" s="34">
        <f>+Tabla5789141516[[#This Row],[Recuento]]*Tabla5789141516[[#This Row],[Volúmen bruto]]</f>
        <v>0.86</v>
      </c>
      <c r="SX39" s="34">
        <f>+Tabla5789141516[[#This Row],[Recuento]]*Tabla5789141516[[#This Row],[Área neta]]</f>
        <v>4.34</v>
      </c>
      <c r="SY39" s="35">
        <f>+SUM(SX39:SX41)</f>
        <v>14.48</v>
      </c>
      <c r="TA39"/>
      <c r="TB39"/>
      <c r="TI39" s="36">
        <f t="shared" si="8"/>
        <v>0</v>
      </c>
      <c r="TK39"/>
      <c r="TL39"/>
      <c r="TM39"/>
      <c r="TN39"/>
      <c r="TO39"/>
      <c r="TP39"/>
      <c r="TQ39"/>
      <c r="TR39"/>
      <c r="TS39" s="36">
        <f t="shared" si="9"/>
        <v>0</v>
      </c>
      <c r="TU39"/>
      <c r="TV39"/>
      <c r="TW39"/>
      <c r="TX39"/>
      <c r="TY39"/>
      <c r="TZ39"/>
      <c r="UA39"/>
      <c r="UB39"/>
      <c r="UC39" s="36">
        <f t="shared" si="10"/>
        <v>0</v>
      </c>
      <c r="UE39"/>
      <c r="UF39"/>
      <c r="UG39"/>
      <c r="UH39"/>
      <c r="UI39"/>
      <c r="UJ39"/>
      <c r="UK39"/>
      <c r="UL39"/>
      <c r="UM39" s="36">
        <f t="shared" si="11"/>
        <v>0</v>
      </c>
      <c r="UO39"/>
      <c r="UP39"/>
      <c r="UQ39"/>
      <c r="UR39"/>
      <c r="US39"/>
      <c r="UT39"/>
      <c r="UU39"/>
      <c r="UV39"/>
      <c r="UW39" s="36">
        <f t="shared" si="12"/>
        <v>0</v>
      </c>
      <c r="UY39"/>
      <c r="UZ39"/>
      <c r="VA39"/>
      <c r="VB39"/>
      <c r="VC39"/>
      <c r="VD39"/>
      <c r="VE39"/>
      <c r="VF39"/>
      <c r="VG39" s="36">
        <f t="shared" si="13"/>
        <v>0</v>
      </c>
      <c r="VI39"/>
      <c r="VJ39"/>
      <c r="VK39"/>
      <c r="VL39"/>
      <c r="VM39"/>
      <c r="VN39"/>
      <c r="VO39"/>
      <c r="VP39"/>
      <c r="VQ39" s="36">
        <f t="shared" si="14"/>
        <v>0</v>
      </c>
      <c r="VS39"/>
      <c r="VT39"/>
      <c r="VU39"/>
      <c r="VV39"/>
      <c r="VW39"/>
      <c r="VX39"/>
      <c r="VY39"/>
      <c r="VZ39"/>
      <c r="WA39" s="36">
        <f t="shared" si="15"/>
        <v>0</v>
      </c>
      <c r="WC39"/>
      <c r="WD39"/>
      <c r="WE39"/>
      <c r="WF39"/>
      <c r="WG39"/>
      <c r="WH39"/>
      <c r="WI39"/>
      <c r="WJ39"/>
      <c r="WK39" s="36">
        <f t="shared" si="16"/>
        <v>0</v>
      </c>
      <c r="WM39"/>
      <c r="WN39"/>
      <c r="WO39"/>
      <c r="WP39"/>
      <c r="WQ39"/>
      <c r="WR39"/>
      <c r="WS39"/>
      <c r="WT39"/>
      <c r="WU39" s="36">
        <f t="shared" si="17"/>
        <v>0</v>
      </c>
      <c r="WW39"/>
      <c r="WX39"/>
      <c r="WY39"/>
      <c r="WZ39"/>
      <c r="XA39"/>
      <c r="XB39"/>
      <c r="XC39"/>
      <c r="XD39"/>
      <c r="XE39" s="36">
        <f t="shared" si="18"/>
        <v>0</v>
      </c>
      <c r="XG39"/>
      <c r="XH39"/>
      <c r="XI39"/>
      <c r="XJ39"/>
      <c r="XK39"/>
      <c r="XL39" s="33"/>
      <c r="XM39" s="34"/>
      <c r="XN39" s="34"/>
      <c r="XO39" s="35"/>
      <c r="XQ39"/>
      <c r="XR39"/>
      <c r="XS39"/>
      <c r="XT39"/>
      <c r="XU39"/>
      <c r="XV39" s="33"/>
      <c r="XW39" s="34"/>
      <c r="XX39" s="34"/>
      <c r="XY39" s="35"/>
      <c r="YA39"/>
      <c r="YB39"/>
      <c r="YC39"/>
      <c r="YD39"/>
      <c r="YE39"/>
      <c r="YF39" s="33"/>
      <c r="YG39" s="34"/>
      <c r="YH39" s="34"/>
      <c r="YI39" s="35"/>
      <c r="YJ39" s="35"/>
      <c r="YK39"/>
      <c r="YL39"/>
      <c r="YM39"/>
      <c r="YN39"/>
      <c r="YO39"/>
      <c r="YQ39"/>
      <c r="YR39"/>
      <c r="YS39"/>
      <c r="YT39"/>
      <c r="YU39"/>
      <c r="YV39" s="33"/>
      <c r="YW39" s="34"/>
      <c r="YX39" s="34"/>
      <c r="YY39" s="35"/>
      <c r="ZA39"/>
      <c r="ZB39"/>
      <c r="ZC39"/>
      <c r="ZD39"/>
      <c r="ZE39"/>
      <c r="ZF39" s="33"/>
      <c r="ZG39" s="34"/>
      <c r="ZH39" s="34"/>
      <c r="ZI39" s="35"/>
      <c r="ZK39"/>
      <c r="ZL39"/>
      <c r="ZM39"/>
      <c r="ZN39"/>
      <c r="ZO39"/>
      <c r="ZP39" s="33"/>
      <c r="ZQ39" s="34"/>
      <c r="ZR39" s="34"/>
      <c r="ZS39" s="35"/>
      <c r="ZU39"/>
      <c r="ZV39"/>
      <c r="ZW39"/>
      <c r="ZX39"/>
      <c r="ZY39"/>
      <c r="ZZ39" s="33"/>
      <c r="AAA39" s="34"/>
      <c r="AAB39" s="34"/>
      <c r="AAC39" s="35"/>
      <c r="AAE39"/>
      <c r="AAF39"/>
      <c r="AAG39"/>
      <c r="AAH39"/>
      <c r="AAI39"/>
      <c r="AAJ39" s="33"/>
      <c r="AAK39" s="34"/>
      <c r="AAL39" s="34"/>
      <c r="AAM39" s="35"/>
      <c r="AAY39"/>
      <c r="AAZ39"/>
      <c r="ABA39"/>
      <c r="ABB39"/>
      <c r="ABC39"/>
      <c r="ABD39" s="33"/>
      <c r="ABE39" s="34"/>
      <c r="ABF39" s="34"/>
      <c r="ABG39" s="35"/>
      <c r="ABI39"/>
      <c r="ABJ39"/>
      <c r="ABK39"/>
      <c r="ABL39"/>
      <c r="ABM39"/>
      <c r="ABN39" s="33"/>
      <c r="ABO39" s="34"/>
      <c r="ABP39" s="34"/>
      <c r="ABQ39" s="35"/>
      <c r="ABS39"/>
      <c r="ABT39"/>
      <c r="ABU39"/>
      <c r="ABV39"/>
      <c r="ABW39"/>
      <c r="ABX39" s="33"/>
      <c r="ABY39" s="34"/>
      <c r="ABZ39" s="34"/>
      <c r="ACA39" s="35"/>
      <c r="ACC39"/>
      <c r="ACD39"/>
      <c r="ACE39"/>
      <c r="ACF39"/>
      <c r="ACG39"/>
      <c r="ACH39" s="33"/>
      <c r="ACI39" s="34"/>
      <c r="ACJ39" s="34"/>
      <c r="ACK39" s="35"/>
      <c r="ACM39"/>
      <c r="ACN39"/>
      <c r="ACO39"/>
      <c r="ACP39"/>
      <c r="ACQ39"/>
      <c r="ACR39" s="33"/>
      <c r="ACS39" s="34"/>
      <c r="ACT39" s="34"/>
      <c r="ACU39" s="35"/>
      <c r="ACW39" t="s">
        <v>1232</v>
      </c>
      <c r="ACX39" s="1">
        <v>1</v>
      </c>
      <c r="ACY39" s="2"/>
      <c r="ADA39"/>
      <c r="ADB39" s="2">
        <f t="shared" si="21"/>
        <v>0</v>
      </c>
      <c r="ADG39" s="26"/>
      <c r="ADJ39"/>
      <c r="ADK39"/>
      <c r="ADL39"/>
      <c r="ADM39"/>
      <c r="ADN39"/>
      <c r="ADO39">
        <f>+Tabla578914151634353637383940414243444546474849505152535560[[#This Row],[G. Total]]*Tabla578914151634353637383940414243444546474849505152535560[[#This Row],[Recuento]]</f>
        <v>0</v>
      </c>
      <c r="ADP39" s="36"/>
      <c r="ADR39"/>
      <c r="ADS39"/>
      <c r="ADT39"/>
      <c r="ADU39"/>
      <c r="ADV39"/>
      <c r="ADW39" s="35"/>
      <c r="ADX39" s="35"/>
      <c r="ADY39"/>
      <c r="ADZ39"/>
      <c r="AEA39"/>
      <c r="AEB39"/>
      <c r="AEC39"/>
      <c r="AED39"/>
      <c r="AEE39" s="35"/>
      <c r="AEG39"/>
      <c r="AEH39"/>
      <c r="AEI39"/>
      <c r="AEJ39"/>
      <c r="AEK39"/>
      <c r="AEL39" s="35"/>
      <c r="AEM39" s="35"/>
      <c r="AEN39" t="s">
        <v>1522</v>
      </c>
      <c r="AEO39" t="s">
        <v>1524</v>
      </c>
      <c r="AEP39" t="s">
        <v>381</v>
      </c>
      <c r="AEQ39">
        <v>0.16</v>
      </c>
      <c r="AER39">
        <v>3</v>
      </c>
      <c r="AES39">
        <f>+Tabla5789141516343536373839404142434445464748495051525355606264[[#This Row],[G. Total]]*Tabla5789141516343536373839404142434445464748495051525355606264[[#This Row],[Recuento]]</f>
        <v>0.48</v>
      </c>
      <c r="AET39" s="35"/>
      <c r="AEV39"/>
      <c r="AEW39"/>
      <c r="AEX39"/>
      <c r="AEY39"/>
      <c r="AEZ39"/>
      <c r="AFA39" s="35"/>
      <c r="AFC39"/>
      <c r="AFD39"/>
      <c r="AFE39"/>
      <c r="AFF39"/>
      <c r="AFG39"/>
      <c r="AFH39"/>
      <c r="AFI39"/>
      <c r="AFJ39"/>
      <c r="AFK39"/>
      <c r="AFL39"/>
      <c r="AFM39"/>
      <c r="AFN39">
        <f>+Tabla578914151634353637383940414243444546474849505152535560626467[[#This Row],[G. Total]]*Tabla578914151634353637383940414243444546474849505152535560626467[[#This Row],[Recuento]]</f>
        <v>0</v>
      </c>
      <c r="AFO39" s="35"/>
      <c r="AFQ39" s="2" t="s">
        <v>116</v>
      </c>
      <c r="AFR39" s="2">
        <f>8*2</f>
        <v>16</v>
      </c>
      <c r="AFS39" s="2">
        <v>0.12</v>
      </c>
      <c r="AFT39" s="2">
        <f>+AFS39*AFR39</f>
        <v>1.92</v>
      </c>
      <c r="AFU39" s="2">
        <v>2</v>
      </c>
      <c r="AFV39" s="2">
        <f>+AFU39*AFR39</f>
        <v>32</v>
      </c>
      <c r="AFX39" s="2" t="s">
        <v>116</v>
      </c>
      <c r="AFZ39" s="2">
        <v>0.12</v>
      </c>
      <c r="AGA39" s="2">
        <f>+AFZ39*AFY39</f>
        <v>0</v>
      </c>
      <c r="AGB39" s="2">
        <v>2</v>
      </c>
      <c r="AGC39" s="2">
        <f>+AGB39*AFY39</f>
        <v>0</v>
      </c>
    </row>
    <row r="40" spans="1:861" ht="15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>
        <f>+Tabla5[[#This Row],[Recuento]]*Tabla5[[#This Row],[Volúmen bruto]]</f>
        <v>0</v>
      </c>
      <c r="S40">
        <f>+Tabla5[[#This Row],[Recuento]]*Tabla5[[#This Row],[Área neta]]</f>
        <v>0</v>
      </c>
      <c r="T40">
        <f>+Tabla5[[#This Row],[Longitud nominal]]*Tabla5[[#This Row],[Recuento]]</f>
        <v>0</v>
      </c>
      <c r="U40" s="26"/>
      <c r="V40"/>
      <c r="W40"/>
      <c r="X40"/>
      <c r="Y40"/>
      <c r="Z40"/>
      <c r="AA40"/>
      <c r="AB40"/>
      <c r="AC40"/>
      <c r="AD40"/>
      <c r="AE40"/>
      <c r="AF40"/>
      <c r="AG40" s="26">
        <f t="shared" si="4"/>
        <v>0</v>
      </c>
      <c r="AH40"/>
      <c r="AI40"/>
      <c r="AJ40"/>
      <c r="AK40"/>
      <c r="AL40"/>
      <c r="AM40"/>
      <c r="AN40"/>
      <c r="AO40"/>
      <c r="AP40"/>
      <c r="AQ40"/>
      <c r="AR40"/>
      <c r="AS40" s="26">
        <f t="shared" si="5"/>
        <v>0</v>
      </c>
      <c r="AT40"/>
      <c r="AU40"/>
      <c r="AV40"/>
      <c r="AW40"/>
      <c r="AX40"/>
      <c r="AY40"/>
      <c r="AZ40"/>
      <c r="BA40"/>
      <c r="BB40"/>
      <c r="BC40"/>
      <c r="BD40"/>
      <c r="BE40" s="26">
        <f t="shared" si="6"/>
        <v>0</v>
      </c>
      <c r="BF40">
        <v>2</v>
      </c>
      <c r="BG40" t="s">
        <v>1862</v>
      </c>
      <c r="BH40" t="s">
        <v>1524</v>
      </c>
      <c r="BI40" t="s">
        <v>1406</v>
      </c>
      <c r="BJ40">
        <v>2.2799999999999998</v>
      </c>
      <c r="BK40" s="37">
        <v>2.5</v>
      </c>
      <c r="BL40">
        <f>+Tabla3102[[#This Row],[En culmo]]*BF40</f>
        <v>5</v>
      </c>
      <c r="BM40"/>
      <c r="BO40"/>
      <c r="BP40"/>
      <c r="BQ40"/>
      <c r="BR40"/>
      <c r="BS40"/>
      <c r="BT40">
        <f>+Tabla31069[[#This Row],[Longitud de eje]]*BN40</f>
        <v>0</v>
      </c>
      <c r="BU40">
        <f>+Tabla31069[[#This Row],[Longitud de eje]]*BO40</f>
        <v>0</v>
      </c>
      <c r="BV40"/>
      <c r="BW40"/>
      <c r="BX40"/>
      <c r="BY40"/>
      <c r="BZ40"/>
      <c r="CA40"/>
      <c r="CB40">
        <f>+Tabla31011[[#This Row],[Longitud de eje]]*BV40</f>
        <v>0</v>
      </c>
      <c r="CD40">
        <v>7</v>
      </c>
      <c r="CE40" t="s">
        <v>1862</v>
      </c>
      <c r="CF40" t="s">
        <v>1525</v>
      </c>
      <c r="CG40" t="s">
        <v>1405</v>
      </c>
      <c r="CH40">
        <v>5.15</v>
      </c>
      <c r="CI40">
        <v>5.5</v>
      </c>
      <c r="CJ40">
        <f>+Tabla3101170[[#This Row],[En culmo]]*CD40</f>
        <v>38.5</v>
      </c>
      <c r="CK40"/>
      <c r="CR40">
        <f>+Tabla31011116[[#This Row],[Longitud de eje]]*CT40</f>
        <v>0</v>
      </c>
      <c r="CT40">
        <v>1</v>
      </c>
      <c r="CU40" t="s">
        <v>1862</v>
      </c>
      <c r="CV40" t="s">
        <v>1383</v>
      </c>
      <c r="CW40" t="s">
        <v>1405</v>
      </c>
      <c r="CX40">
        <v>6.34</v>
      </c>
      <c r="CY40">
        <v>6.5</v>
      </c>
      <c r="CZ40">
        <f>+Tabla3101170117[[#This Row],[En culmo]]*CT40</f>
        <v>6.5</v>
      </c>
      <c r="DA40"/>
      <c r="DB40"/>
      <c r="DC40"/>
      <c r="DD40"/>
      <c r="DE40"/>
      <c r="DF40"/>
      <c r="DG40">
        <f>+Tabla31011704[[#This Row],[Longitud de eje]]*DB40</f>
        <v>0</v>
      </c>
      <c r="DH40"/>
      <c r="DI40"/>
      <c r="DJ40"/>
      <c r="DK40"/>
      <c r="DL40"/>
      <c r="DM40"/>
      <c r="DN40">
        <f>+Tabla3101170411[[#This Row],[Longitud de eje]]*DI40</f>
        <v>0</v>
      </c>
      <c r="DO40"/>
      <c r="DP40"/>
      <c r="DQ40"/>
      <c r="DR40"/>
      <c r="DS40"/>
      <c r="DT40"/>
      <c r="DU40">
        <f>+Tabla3101170411120[[#This Row],[Longitud de eje]]*DP40</f>
        <v>0</v>
      </c>
      <c r="DV40"/>
      <c r="DW40"/>
      <c r="DX40"/>
      <c r="DY40"/>
      <c r="DZ40"/>
      <c r="EA40"/>
      <c r="EB40">
        <f>+Tabla3101170411120122[[#This Row],[Longitud de eje]]*DW40</f>
        <v>0</v>
      </c>
      <c r="EC40"/>
      <c r="ED40">
        <v>1</v>
      </c>
      <c r="EE40" t="s">
        <v>1862</v>
      </c>
      <c r="EF40" t="s">
        <v>1524</v>
      </c>
      <c r="EG40" t="s">
        <v>1406</v>
      </c>
      <c r="EH40">
        <v>3.64</v>
      </c>
      <c r="EI40">
        <v>4</v>
      </c>
      <c r="EJ40">
        <f>+Tabla3101112[[#This Row],[En culmo]]*ED40</f>
        <v>4</v>
      </c>
      <c r="EK40"/>
      <c r="EL40"/>
      <c r="EM40"/>
      <c r="EN40"/>
      <c r="EO40"/>
      <c r="EP40"/>
      <c r="EQ40"/>
      <c r="ER40">
        <f>+Tabla3101112123[[#This Row],[En culmo]]*EL40</f>
        <v>0</v>
      </c>
      <c r="ES40"/>
      <c r="ET40">
        <v>12</v>
      </c>
      <c r="EU40" t="s">
        <v>1862</v>
      </c>
      <c r="EV40" t="s">
        <v>1525</v>
      </c>
      <c r="EW40" t="s">
        <v>1406</v>
      </c>
      <c r="EX40">
        <v>0.33</v>
      </c>
      <c r="EY40">
        <v>1</v>
      </c>
      <c r="EZ40">
        <f>+Tabla310111257[[#This Row],[En culmo]]*ET40</f>
        <v>12</v>
      </c>
      <c r="FA40"/>
      <c r="FB40"/>
      <c r="FC40"/>
      <c r="FD40"/>
      <c r="FE40"/>
      <c r="FF40"/>
      <c r="FG40">
        <v>1</v>
      </c>
      <c r="FH40">
        <f>+Tabla310111257124[[#This Row],[En culmo]]*FB40</f>
        <v>0</v>
      </c>
      <c r="FI40"/>
      <c r="FK40"/>
      <c r="FL40"/>
      <c r="FM40"/>
      <c r="FN40"/>
      <c r="FO40"/>
      <c r="FP40"/>
      <c r="FQ40"/>
      <c r="FS40"/>
      <c r="FT40"/>
      <c r="FU40"/>
      <c r="FV40"/>
      <c r="FW40"/>
      <c r="FX40"/>
      <c r="FY40"/>
      <c r="GA40"/>
      <c r="GB40"/>
      <c r="GC40"/>
      <c r="GD40"/>
      <c r="GE40"/>
      <c r="GF40"/>
      <c r="GG40"/>
      <c r="GI40"/>
      <c r="GJ40"/>
      <c r="GK40"/>
      <c r="GL40"/>
      <c r="GM40"/>
      <c r="GN40"/>
      <c r="GO40"/>
      <c r="GQ40"/>
      <c r="GR40"/>
      <c r="GS40"/>
      <c r="GT40"/>
      <c r="GU40"/>
      <c r="GV40">
        <v>1</v>
      </c>
      <c r="GW40">
        <f>+Tabla578914[[#This Row],[Recuento]]*Tabla578914[[#This Row],[Volúmen bruto]]</f>
        <v>0</v>
      </c>
      <c r="GX40">
        <f>+Tabla578914[[#This Row],[Recuento]]*Tabla578914[[#This Row],[Área neta]]</f>
        <v>0</v>
      </c>
      <c r="GY40" s="35"/>
      <c r="HA40"/>
      <c r="HB40"/>
      <c r="HC40"/>
      <c r="HD40"/>
      <c r="HE40"/>
      <c r="HF40">
        <v>1</v>
      </c>
      <c r="HG40">
        <f>+Tabla578914126[[#This Row],[Recuento]]*Tabla578914126[[#This Row],[Volúmen bruto]]</f>
        <v>0</v>
      </c>
      <c r="HH40">
        <f>+Tabla578914126[[#This Row],[Recuento]]*Tabla578914126[[#This Row],[Área neta]]</f>
        <v>0</v>
      </c>
      <c r="HI40" s="35"/>
      <c r="HK40"/>
      <c r="HL40"/>
      <c r="HM40"/>
      <c r="HN40"/>
      <c r="HO40"/>
      <c r="HP40">
        <v>1</v>
      </c>
      <c r="HQ40">
        <f>+Tabla578914126127[[#This Row],[Recuento]]*Tabla578914126127[[#This Row],[Volúmen bruto]]</f>
        <v>0</v>
      </c>
      <c r="HR40">
        <f>+Tabla578914126127[[#This Row],[Recuento]]*Tabla578914126127[[#This Row],[Área neta]]</f>
        <v>0</v>
      </c>
      <c r="HS40" s="35"/>
      <c r="HT40" s="26"/>
      <c r="HU40"/>
      <c r="HV40"/>
      <c r="HW40"/>
      <c r="HX40"/>
      <c r="HY40"/>
      <c r="HZ40"/>
      <c r="IA40"/>
      <c r="IB40"/>
      <c r="IC40" s="35"/>
      <c r="ID40" s="26"/>
      <c r="IE40"/>
      <c r="IF40"/>
      <c r="IG40"/>
      <c r="IH40"/>
      <c r="II40"/>
      <c r="IJ40"/>
      <c r="IK40"/>
      <c r="IL40"/>
      <c r="IM40" s="35"/>
      <c r="IN40" s="26"/>
      <c r="IQ40" s="26"/>
      <c r="IR40" s="26"/>
      <c r="IS40" s="26"/>
      <c r="IT40" s="26"/>
      <c r="IU40" s="26"/>
      <c r="IV40" s="26"/>
      <c r="IW40" s="26"/>
      <c r="IY40"/>
      <c r="IZ40"/>
      <c r="JA40"/>
      <c r="JB40"/>
      <c r="JC40"/>
      <c r="JD40">
        <v>1</v>
      </c>
      <c r="JE40">
        <f>+Tabla520212224[[#This Row],[Recuento]]*Tabla520212224[[#This Row],[Volúmen bruto]]</f>
        <v>0</v>
      </c>
      <c r="JF40">
        <f>+Tabla520212224[[#This Row],[Recuento]]*Tabla520212224[[#This Row],[Área neta]]</f>
        <v>0</v>
      </c>
      <c r="JG40" s="26"/>
      <c r="JI40" t="s">
        <v>1862</v>
      </c>
      <c r="JJ40" t="s">
        <v>1524</v>
      </c>
      <c r="JK40" t="s">
        <v>1676</v>
      </c>
      <c r="JL40">
        <v>0.28000000000000003</v>
      </c>
      <c r="JM40">
        <v>2.2999999999999998</v>
      </c>
      <c r="JN40">
        <v>1</v>
      </c>
      <c r="JO40">
        <f>+Tabla52021222425[[#This Row],[Recuento]]*Tabla52021222425[[#This Row],[Volúmen bruto]]</f>
        <v>0.28000000000000003</v>
      </c>
      <c r="JP40">
        <f>+Tabla52021222425[[#This Row],[Recuento]]*Tabla52021222425[[#This Row],[Área neta]]</f>
        <v>2.2999999999999998</v>
      </c>
      <c r="JQ40" s="26"/>
      <c r="JS40" t="s">
        <v>1862</v>
      </c>
      <c r="JT40" t="s">
        <v>1524</v>
      </c>
      <c r="JU40" t="s">
        <v>1680</v>
      </c>
      <c r="JV40">
        <v>0</v>
      </c>
      <c r="JW40">
        <v>0.41</v>
      </c>
      <c r="JX40">
        <v>1</v>
      </c>
      <c r="JY40">
        <f>+Tabla5202122242526[[#This Row],[Recuento]]*Tabla5202122242526[[#This Row],[Volúmen bruto]]</f>
        <v>0</v>
      </c>
      <c r="JZ40">
        <f>+Tabla5202122242526[[#This Row],[Recuento]]*Tabla5202122242526[[#This Row],[Área neta]]</f>
        <v>0.41</v>
      </c>
      <c r="KA40" s="26"/>
      <c r="KC40"/>
      <c r="KD40"/>
      <c r="KE40"/>
      <c r="KF40"/>
      <c r="KG40"/>
      <c r="KH40"/>
      <c r="KI40">
        <f>+Tabla5202122242526104[[#This Row],[Recuento]]*Tabla5202122242526104[[#This Row],[Volúmen bruto]]</f>
        <v>0</v>
      </c>
      <c r="KJ40">
        <f>+Tabla5202122242526104[[#This Row],[Recuento]]*Tabla5202122242526104[[#This Row],[Área neta]]</f>
        <v>0</v>
      </c>
      <c r="KK40" s="26"/>
      <c r="KM40" t="s">
        <v>1862</v>
      </c>
      <c r="KN40" t="s">
        <v>1525</v>
      </c>
      <c r="KO40" t="s">
        <v>98</v>
      </c>
      <c r="KP40">
        <v>0</v>
      </c>
      <c r="KQ40">
        <v>0.69</v>
      </c>
      <c r="KR40">
        <v>1</v>
      </c>
      <c r="KS40">
        <f>+Tabla5202122242526104110[[#This Row],[Recuento]]*Tabla5202122242526104110[[#This Row],[Volúmen bruto]]</f>
        <v>0</v>
      </c>
      <c r="KT40">
        <f>+Tabla5202122242526104110[[#This Row],[Recuento]]*Tabla5202122242526104110[[#This Row],[Área neta]]</f>
        <v>0.69</v>
      </c>
      <c r="KU40" s="26"/>
      <c r="KW40"/>
      <c r="KX40"/>
      <c r="KY40"/>
      <c r="KZ40"/>
      <c r="LA40"/>
      <c r="LB40"/>
      <c r="LC40">
        <f>+Tabla520212224252659[[#This Row],[Recuento]]*Tabla520212224252659[[#This Row],[Volúmen bruto]]</f>
        <v>0</v>
      </c>
      <c r="LD40">
        <f>+Tabla520212224252659[[#This Row],[Recuento]]*Tabla520212224252659[[#This Row],[Área neta]]</f>
        <v>0</v>
      </c>
      <c r="LE40" s="26"/>
      <c r="LG40"/>
      <c r="LH40"/>
      <c r="LI40"/>
      <c r="LJ40"/>
      <c r="LK40"/>
      <c r="LL40"/>
      <c r="LM40">
        <f>+Tabla520212224252659111[[#This Row],[Recuento]]*Tabla520212224252659111[[#This Row],[Volúmen bruto]]</f>
        <v>0</v>
      </c>
      <c r="LN40">
        <f>+Tabla520212224252659111[[#This Row],[Recuento]]*Tabla520212224252659111[[#This Row],[Área neta]]</f>
        <v>0</v>
      </c>
      <c r="LO40" s="26"/>
      <c r="LQ40"/>
      <c r="LR40"/>
      <c r="LS40"/>
      <c r="LT40"/>
      <c r="LU40"/>
      <c r="LV40"/>
      <c r="LW40">
        <f>+Tabla520212224252659111114[[#This Row],[Recuento]]*Tabla520212224252659111114[[#This Row],[Volúmen bruto]]</f>
        <v>0</v>
      </c>
      <c r="LX40">
        <f>+Tabla520212224252659111114[[#This Row],[Recuento]]*Tabla520212224252659111114[[#This Row],[Área neta]]</f>
        <v>0</v>
      </c>
      <c r="LY40" s="26"/>
      <c r="MA40" t="s">
        <v>1863</v>
      </c>
      <c r="MB40" t="s">
        <v>1524</v>
      </c>
      <c r="MC40" t="s">
        <v>97</v>
      </c>
      <c r="MD40">
        <v>0.04</v>
      </c>
      <c r="ME40">
        <v>4.62</v>
      </c>
      <c r="MF40">
        <v>1</v>
      </c>
      <c r="MG40">
        <f>+Tabla520212224252659111114128[[#This Row],[Recuento]]*Tabla520212224252659111114128[[#This Row],[Volúmen bruto]]</f>
        <v>0.04</v>
      </c>
      <c r="MH40">
        <f>+Tabla520212224252659111114128[[#This Row],[Recuento]]*Tabla520212224252659111114128[[#This Row],[Área neta]]</f>
        <v>4.62</v>
      </c>
      <c r="MI40" s="26"/>
      <c r="MK40"/>
      <c r="ML40"/>
      <c r="MM40"/>
      <c r="MN40"/>
      <c r="MO40"/>
      <c r="MP40"/>
      <c r="MQ40">
        <f>+Tabla520212224252627[[#This Row],[Recuento]]*Tabla520212224252627[[#This Row],[Volúmen bruto]]</f>
        <v>0</v>
      </c>
      <c r="MR40">
        <f>+Tabla520212224252627[[#This Row],[Recuento]]*Tabla520212224252627[[#This Row],[Área neta]]</f>
        <v>0</v>
      </c>
      <c r="MS40" s="26"/>
      <c r="MU40"/>
      <c r="MV40"/>
      <c r="MW40"/>
      <c r="MX40"/>
      <c r="MY40"/>
      <c r="MZ40"/>
      <c r="NA40">
        <f>+Tabla520212224252627129[[#This Row],[Recuento]]*Tabla520212224252627129[[#This Row],[Volúmen bruto]]</f>
        <v>0</v>
      </c>
      <c r="NB40">
        <f>+Tabla520212224252627129[[#This Row],[Recuento]]*Tabla520212224252627129[[#This Row],[Área neta]]</f>
        <v>0</v>
      </c>
      <c r="NC40" s="26"/>
      <c r="NE40"/>
      <c r="NF40"/>
      <c r="NG40"/>
      <c r="NH40"/>
      <c r="NI40"/>
      <c r="NJ40"/>
      <c r="NK40">
        <f>+Tabla520212224252627129125[[#This Row],[Recuento]]*Tabla520212224252627129125[[#This Row],[Volúmen bruto]]</f>
        <v>0</v>
      </c>
      <c r="NL40">
        <f>+Tabla520212224252627129125[[#This Row],[Recuento]]*Tabla520212224252627129125[[#This Row],[Área neta]]</f>
        <v>0</v>
      </c>
      <c r="NM40" s="26"/>
      <c r="NO40"/>
      <c r="NP40"/>
      <c r="NQ40"/>
      <c r="NR40"/>
      <c r="NS40"/>
      <c r="NT40"/>
      <c r="NU40">
        <f>+Tabla520212224252627129125130[[#This Row],[Recuento]]*Tabla520212224252627129125130[[#This Row],[Volúmen bruto]]</f>
        <v>0</v>
      </c>
      <c r="NV40">
        <f>+Tabla520212224252627129125130[[#This Row],[Recuento]]*Tabla520212224252627129125130[[#This Row],[Área neta]]</f>
        <v>0</v>
      </c>
      <c r="NW40" s="26"/>
      <c r="NY40"/>
      <c r="NZ40"/>
      <c r="OA40"/>
      <c r="OB40"/>
      <c r="OC40"/>
      <c r="OD40"/>
      <c r="OE40">
        <f>+Tabla520212224252627129125130131[[#This Row],[Recuento]]*Tabla520212224252627129125130131[[#This Row],[Volúmen bruto]]</f>
        <v>0</v>
      </c>
      <c r="OF40">
        <f>+Tabla520212224252627129125130131[[#This Row],[Recuento]]*Tabla520212224252627129125130131[[#This Row],[Área neta]]</f>
        <v>0</v>
      </c>
      <c r="OG40" s="26"/>
      <c r="OI40"/>
      <c r="OJ40"/>
      <c r="OK40"/>
      <c r="OL40"/>
      <c r="OM40"/>
      <c r="ON40"/>
      <c r="OO40">
        <f>+Tabla520212224252627129125130131132[[#This Row],[Recuento]]*Tabla520212224252627129125130131132[[#This Row],[Volúmen bruto]]</f>
        <v>0</v>
      </c>
      <c r="OP40">
        <f>+Tabla520212224252627129125130131132[[#This Row],[Recuento]]*Tabla520212224252627129125130131132[[#This Row],[Área neta]]</f>
        <v>0</v>
      </c>
      <c r="OQ40" s="26"/>
      <c r="OS40"/>
      <c r="OT40"/>
      <c r="OU40"/>
      <c r="OV40"/>
      <c r="OW40"/>
      <c r="OX40"/>
      <c r="OY40">
        <f>+Tabla52021222425262728[[#This Row],[Recuento]]*Tabla52021222425262728[[#This Row],[Volúmen bruto]]</f>
        <v>0</v>
      </c>
      <c r="OZ40">
        <f>+Tabla52021222425262728[[#This Row],[Recuento]]*Tabla52021222425262728[[#This Row],[Área neta]]</f>
        <v>0</v>
      </c>
      <c r="PA40" s="26"/>
      <c r="PC40" t="s">
        <v>1862</v>
      </c>
      <c r="PD40" t="s">
        <v>1525</v>
      </c>
      <c r="PE40" t="s">
        <v>97</v>
      </c>
      <c r="PF40">
        <v>0.03</v>
      </c>
      <c r="PG40">
        <v>1.65</v>
      </c>
      <c r="PH40">
        <v>1</v>
      </c>
      <c r="PI40">
        <f>+Tabla52021222425262728133[[#This Row],[Recuento]]*Tabla52021222425262728133[[#This Row],[Volúmen bruto]]</f>
        <v>0.03</v>
      </c>
      <c r="PJ40">
        <f>+Tabla52021222425262728133[[#This Row],[Recuento]]*Tabla52021222425262728133[[#This Row],[Área neta]]</f>
        <v>1.65</v>
      </c>
      <c r="PK40" s="26"/>
      <c r="PM40"/>
      <c r="PN40"/>
      <c r="PO40"/>
      <c r="PP40"/>
      <c r="PQ40"/>
      <c r="PR40"/>
      <c r="PS40">
        <f>+Tabla5202122242526272893[[#This Row],[Recuento]]*Tabla5202122242526272893[[#This Row],[Volúmen bruto]]</f>
        <v>0</v>
      </c>
      <c r="PT40">
        <f>+Tabla5202122242526272893[[#This Row],[Recuento]]*Tabla5202122242526272893[[#This Row],[Área neta]]</f>
        <v>0</v>
      </c>
      <c r="PU40" s="26"/>
      <c r="PW40" t="s">
        <v>1862</v>
      </c>
      <c r="PX40" t="s">
        <v>1525</v>
      </c>
      <c r="PY40" t="s">
        <v>1676</v>
      </c>
      <c r="PZ40">
        <v>0.4</v>
      </c>
      <c r="QA40">
        <v>3.29</v>
      </c>
      <c r="QB40">
        <v>1</v>
      </c>
      <c r="QC40">
        <f>+Tabla520212224252627289349[[#This Row],[Recuento]]*Tabla520212224252627289349[[#This Row],[Volúmen bruto]]</f>
        <v>0.4</v>
      </c>
      <c r="QD40">
        <f>+Tabla520212224252627289349[[#This Row],[Recuento]]*Tabla520212224252627289349[[#This Row],[Área neta]]</f>
        <v>3.29</v>
      </c>
      <c r="QE40" s="26"/>
      <c r="QG40"/>
      <c r="QH40"/>
      <c r="QI40"/>
      <c r="QJ40"/>
      <c r="QK40"/>
      <c r="QL40"/>
      <c r="QM40">
        <f>+Tabla520212224252627289349134[[#This Row],[Recuento]]*Tabla520212224252627289349134[[#This Row],[Volúmen bruto]]</f>
        <v>0</v>
      </c>
      <c r="QN40">
        <f>+Tabla520212224252627289349134[[#This Row],[Recuento]]*Tabla520212224252627289349134[[#This Row],[Área neta]]</f>
        <v>0</v>
      </c>
      <c r="QO40" s="26"/>
      <c r="QQ40" t="s">
        <v>1863</v>
      </c>
      <c r="QR40" t="s">
        <v>1524</v>
      </c>
      <c r="QS40" t="s">
        <v>1726</v>
      </c>
      <c r="QT40">
        <v>0.1</v>
      </c>
      <c r="QU40">
        <v>0.5</v>
      </c>
      <c r="QV40">
        <v>1</v>
      </c>
      <c r="QW40">
        <v>1</v>
      </c>
      <c r="QX40">
        <f>+Tabla5202122242526272829[[#This Row],[Recuento]]*Tabla5202122242526272829[[#This Row],[Volúmen bruto]]</f>
        <v>0.1</v>
      </c>
      <c r="QY40">
        <f>+Tabla5202122242526272829[[#This Row],[Recuento]]*Tabla5202122242526272829[[#This Row],[Área neta]]</f>
        <v>0.5</v>
      </c>
      <c r="QZ40">
        <f>+Tabla5202122242526272829[[#This Row],[Recuento]]*Tabla5202122242526272829[[#This Row],[Longitud]]</f>
        <v>1</v>
      </c>
      <c r="RA40" s="26"/>
      <c r="RC40"/>
      <c r="RD40"/>
      <c r="RE40"/>
      <c r="RF40"/>
      <c r="RG40"/>
      <c r="RH40"/>
      <c r="RI40"/>
      <c r="RJ40"/>
      <c r="RK40" s="26"/>
      <c r="RM40"/>
      <c r="RN40"/>
      <c r="RO40"/>
      <c r="RP40"/>
      <c r="RQ40"/>
      <c r="RR40"/>
      <c r="RS40"/>
      <c r="RT40"/>
      <c r="RU40" s="26">
        <f t="shared" si="7"/>
        <v>0</v>
      </c>
      <c r="RW40"/>
      <c r="RX40"/>
      <c r="RY40"/>
      <c r="RZ40"/>
      <c r="SA40"/>
      <c r="SB40"/>
      <c r="SC40"/>
      <c r="SD40"/>
      <c r="SE40" s="26"/>
      <c r="SG40"/>
      <c r="SH40"/>
      <c r="SI40"/>
      <c r="SJ40"/>
      <c r="SK40"/>
      <c r="SL40"/>
      <c r="SM40"/>
      <c r="SN40"/>
      <c r="SO40" s="26"/>
      <c r="SQ40" t="s">
        <v>1863</v>
      </c>
      <c r="SR40" t="s">
        <v>1524</v>
      </c>
      <c r="SS40" t="s">
        <v>1627</v>
      </c>
      <c r="ST40">
        <v>0.9</v>
      </c>
      <c r="SU40">
        <v>4.5</v>
      </c>
      <c r="SV40">
        <v>1</v>
      </c>
      <c r="SW40" s="34">
        <f>+Tabla5789141516[[#This Row],[Recuento]]*Tabla5789141516[[#This Row],[Volúmen bruto]]</f>
        <v>0.9</v>
      </c>
      <c r="SX40" s="34">
        <f>+Tabla5789141516[[#This Row],[Recuento]]*Tabla5789141516[[#This Row],[Área neta]]</f>
        <v>4.5</v>
      </c>
      <c r="SY40" s="36"/>
      <c r="SZ40" s="26"/>
      <c r="TA40"/>
      <c r="TB40"/>
      <c r="TI40" s="36">
        <f t="shared" si="8"/>
        <v>0</v>
      </c>
      <c r="TJ40" s="26"/>
      <c r="TK40"/>
      <c r="TL40"/>
      <c r="TM40" s="26"/>
      <c r="TN40" s="26"/>
      <c r="TO40" s="26"/>
      <c r="TP40" s="26"/>
      <c r="TQ40" s="26"/>
      <c r="TR40" s="26"/>
      <c r="TS40" s="36">
        <f t="shared" si="9"/>
        <v>0</v>
      </c>
      <c r="TT40" s="26"/>
      <c r="TU40"/>
      <c r="TV40"/>
      <c r="TW40" s="26"/>
      <c r="TX40" s="26"/>
      <c r="TY40" s="26"/>
      <c r="TZ40" s="26"/>
      <c r="UA40" s="26"/>
      <c r="UB40" s="26"/>
      <c r="UC40" s="36">
        <f t="shared" si="10"/>
        <v>0</v>
      </c>
      <c r="UD40" s="26"/>
      <c r="UE40"/>
      <c r="UF40"/>
      <c r="UG40" s="26"/>
      <c r="UH40" s="26"/>
      <c r="UI40" s="26"/>
      <c r="UJ40" s="26"/>
      <c r="UK40" s="26"/>
      <c r="UL40" s="26"/>
      <c r="UM40" s="36">
        <f t="shared" si="11"/>
        <v>0</v>
      </c>
      <c r="UN40" s="26"/>
      <c r="UO40"/>
      <c r="UP40"/>
      <c r="UQ40" s="26"/>
      <c r="UR40" s="26"/>
      <c r="US40" s="26"/>
      <c r="UT40" s="26"/>
      <c r="UU40" s="26"/>
      <c r="UV40" s="26"/>
      <c r="UW40" s="36">
        <f t="shared" si="12"/>
        <v>0</v>
      </c>
      <c r="UX40" s="26"/>
      <c r="UY40"/>
      <c r="UZ40"/>
      <c r="VA40" s="26"/>
      <c r="VB40" s="26"/>
      <c r="VC40" s="26"/>
      <c r="VD40" s="26"/>
      <c r="VE40" s="26"/>
      <c r="VF40" s="26"/>
      <c r="VG40" s="36">
        <f t="shared" si="13"/>
        <v>0</v>
      </c>
      <c r="VH40" s="26"/>
      <c r="VI40"/>
      <c r="VJ40"/>
      <c r="VK40" s="26"/>
      <c r="VL40" s="26"/>
      <c r="VM40" s="26"/>
      <c r="VN40" s="26"/>
      <c r="VO40" s="26"/>
      <c r="VP40" s="26"/>
      <c r="VQ40" s="36">
        <f t="shared" si="14"/>
        <v>0</v>
      </c>
      <c r="VR40" s="26"/>
      <c r="VS40"/>
      <c r="VT40"/>
      <c r="VU40" s="26"/>
      <c r="VV40" s="26"/>
      <c r="VW40" s="26"/>
      <c r="VX40" s="26"/>
      <c r="VY40" s="26"/>
      <c r="VZ40" s="26"/>
      <c r="WA40" s="36">
        <f t="shared" si="15"/>
        <v>0</v>
      </c>
      <c r="WB40" s="26"/>
      <c r="WC40"/>
      <c r="WD40"/>
      <c r="WE40" s="26"/>
      <c r="WF40" s="26"/>
      <c r="WG40" s="26"/>
      <c r="WH40" s="26"/>
      <c r="WI40" s="26"/>
      <c r="WJ40" s="26"/>
      <c r="WK40" s="36">
        <f t="shared" si="16"/>
        <v>0</v>
      </c>
      <c r="WL40" s="26"/>
      <c r="WM40"/>
      <c r="WN40"/>
      <c r="WO40" s="26"/>
      <c r="WP40" s="26"/>
      <c r="WQ40" s="26"/>
      <c r="WR40" s="26"/>
      <c r="WS40" s="26"/>
      <c r="WT40" s="26"/>
      <c r="WU40" s="36">
        <f t="shared" si="17"/>
        <v>0</v>
      </c>
      <c r="WV40" s="26"/>
      <c r="WW40"/>
      <c r="WX40"/>
      <c r="WY40" s="26"/>
      <c r="WZ40" s="26"/>
      <c r="XA40" s="26"/>
      <c r="XB40" s="26"/>
      <c r="XC40" s="26"/>
      <c r="XD40" s="26"/>
      <c r="XE40" s="36">
        <f t="shared" si="18"/>
        <v>0</v>
      </c>
      <c r="XF40" s="26"/>
      <c r="XG40"/>
      <c r="XH40"/>
      <c r="XI40" s="26"/>
      <c r="XJ40" s="26"/>
      <c r="XK40" s="26"/>
      <c r="XL40" s="26"/>
      <c r="XM40" s="26"/>
      <c r="XN40" s="26"/>
      <c r="XO40" s="36">
        <f t="shared" ref="XO40:XO51" si="22">+SUM(XJ40:XJ41)</f>
        <v>0</v>
      </c>
      <c r="XP40" s="26"/>
      <c r="XQ40"/>
      <c r="XR40"/>
      <c r="XS40" s="26"/>
      <c r="XT40" s="26"/>
      <c r="XU40" s="26"/>
      <c r="XV40" s="26"/>
      <c r="XW40" s="26"/>
      <c r="XX40" s="26"/>
      <c r="XY40" s="36">
        <f t="shared" ref="XY40:XY51" si="23">+SUM(XT40:XT41)</f>
        <v>0</v>
      </c>
      <c r="XZ40" s="26"/>
      <c r="YA40"/>
      <c r="YB40"/>
      <c r="YC40" s="26"/>
      <c r="YD40" s="26"/>
      <c r="YE40" s="26"/>
      <c r="YF40" s="26"/>
      <c r="YG40" s="26"/>
      <c r="YH40" s="26"/>
      <c r="YI40" s="36">
        <f t="shared" ref="YI40:YI51" si="24">+SUM(YD40:YD41)</f>
        <v>0</v>
      </c>
      <c r="YJ40" s="36"/>
      <c r="YK40"/>
      <c r="YL40"/>
      <c r="YM40"/>
      <c r="YN40"/>
      <c r="YO40"/>
      <c r="YQ40"/>
      <c r="YR40"/>
      <c r="YS40" s="26"/>
      <c r="YT40" s="26"/>
      <c r="YU40" s="26"/>
      <c r="YV40" s="26"/>
      <c r="YW40" s="26"/>
      <c r="YX40" s="26"/>
      <c r="YY40" s="36">
        <f t="shared" ref="YY40:YY51" si="25">+SUM(YT40:YT41)</f>
        <v>0</v>
      </c>
      <c r="YZ40" s="26"/>
      <c r="ZA40"/>
      <c r="ZB40"/>
      <c r="ZC40" s="26"/>
      <c r="ZD40" s="26"/>
      <c r="ZE40" s="26"/>
      <c r="ZF40" s="26"/>
      <c r="ZG40" s="26"/>
      <c r="ZH40" s="26"/>
      <c r="ZI40" s="36">
        <f t="shared" ref="ZI40:ZI51" si="26">+SUM(ZD40:ZD41)</f>
        <v>0</v>
      </c>
      <c r="ZJ40" s="26"/>
      <c r="ZK40"/>
      <c r="ZL40"/>
      <c r="ZM40" s="26"/>
      <c r="ZN40" s="26"/>
      <c r="ZO40" s="26"/>
      <c r="ZP40" s="26"/>
      <c r="ZQ40" s="26"/>
      <c r="ZR40" s="26"/>
      <c r="ZS40" s="36">
        <f t="shared" ref="ZS40:ZS51" si="27">+SUM(ZN40:ZN41)</f>
        <v>0</v>
      </c>
      <c r="ZT40" s="26"/>
      <c r="ZU40"/>
      <c r="ZV40"/>
      <c r="ZW40" s="26"/>
      <c r="ZX40" s="26"/>
      <c r="ZY40" s="26"/>
      <c r="ZZ40" s="26"/>
      <c r="AAA40" s="26"/>
      <c r="AAB40" s="26"/>
      <c r="AAC40" s="36">
        <f t="shared" ref="AAC40:AAC51" si="28">+SUM(ZX40:ZX41)</f>
        <v>0</v>
      </c>
      <c r="AAD40" s="26"/>
      <c r="AAE40"/>
      <c r="AAF40"/>
      <c r="AAG40" s="26"/>
      <c r="AAH40" s="26"/>
      <c r="AAI40" s="26"/>
      <c r="AAJ40" s="26"/>
      <c r="AAK40" s="26"/>
      <c r="AAL40" s="26"/>
      <c r="AAM40" s="36">
        <f t="shared" ref="AAM40:AAM51" si="29">+SUM(AAH40:AAH41)</f>
        <v>0</v>
      </c>
      <c r="AAN40" s="26"/>
      <c r="AAX40" s="26"/>
      <c r="AAY40"/>
      <c r="AAZ40"/>
      <c r="ABA40"/>
      <c r="ABB40"/>
      <c r="ABC40"/>
      <c r="ABD40" s="37"/>
      <c r="ABE40" s="34"/>
      <c r="ABF40" s="34"/>
      <c r="ABG40" s="36"/>
      <c r="ABH40" s="26"/>
      <c r="ABI40"/>
      <c r="ABJ40"/>
      <c r="ABK40"/>
      <c r="ABL40"/>
      <c r="ABM40"/>
      <c r="ABN40" s="37"/>
      <c r="ABO40" s="34"/>
      <c r="ABP40" s="34"/>
      <c r="ABQ40" s="36"/>
      <c r="ABR40" s="26"/>
      <c r="ABS40"/>
      <c r="ABT40"/>
      <c r="ABU40"/>
      <c r="ABV40"/>
      <c r="ABW40"/>
      <c r="ABX40" s="37"/>
      <c r="ABY40" s="34"/>
      <c r="ABZ40" s="34"/>
      <c r="ACA40" s="36"/>
      <c r="ACB40" s="26"/>
      <c r="ACC40"/>
      <c r="ACD40"/>
      <c r="ACE40"/>
      <c r="ACF40"/>
      <c r="ACG40"/>
      <c r="ACH40" s="37"/>
      <c r="ACI40" s="34"/>
      <c r="ACJ40" s="34"/>
      <c r="ACK40" s="36"/>
      <c r="ACL40" s="26"/>
      <c r="ACM40"/>
      <c r="ACN40"/>
      <c r="ACO40"/>
      <c r="ACP40"/>
      <c r="ACQ40"/>
      <c r="ACR40" s="37"/>
      <c r="ACS40" s="34"/>
      <c r="ACT40" s="34"/>
      <c r="ACU40" s="36"/>
      <c r="ACV40" s="26"/>
      <c r="ACW40" t="s">
        <v>1233</v>
      </c>
      <c r="ACX40" s="1">
        <v>1</v>
      </c>
      <c r="ACY40" s="2"/>
      <c r="ADA40"/>
      <c r="ADB40" s="2">
        <f t="shared" si="21"/>
        <v>0</v>
      </c>
      <c r="ADD40" s="351" t="s">
        <v>1721</v>
      </c>
      <c r="ADE40" s="351"/>
      <c r="ADF40" s="29" t="s">
        <v>40</v>
      </c>
      <c r="ADG40" s="29">
        <f>SUM(ADG42:ADG60)</f>
        <v>459.54</v>
      </c>
      <c r="ADJ40"/>
      <c r="ADK40"/>
      <c r="ADL40"/>
      <c r="ADM40"/>
      <c r="ADN40"/>
      <c r="ADO40">
        <f>+Tabla578914151634353637383940414243444546474849505152535560[[#This Row],[G. Total]]*Tabla578914151634353637383940414243444546474849505152535560[[#This Row],[Recuento]]</f>
        <v>0</v>
      </c>
      <c r="ADP40" s="36"/>
      <c r="ADQ40" s="26"/>
      <c r="ADR40"/>
      <c r="ADS40"/>
      <c r="ADT40"/>
      <c r="ADU40"/>
      <c r="ADV40"/>
      <c r="ADW40" s="36"/>
      <c r="ADX40" s="36"/>
      <c r="ADY40"/>
      <c r="ADZ40"/>
      <c r="AEA40"/>
      <c r="AEB40"/>
      <c r="AEC40"/>
      <c r="AED40"/>
      <c r="AEE40" s="36"/>
      <c r="AEF40" s="26"/>
      <c r="AEG40"/>
      <c r="AEH40"/>
      <c r="AEI40"/>
      <c r="AEJ40"/>
      <c r="AEK40"/>
      <c r="AEL40" s="36"/>
      <c r="AEM40" s="36"/>
      <c r="AEN40" t="s">
        <v>1522</v>
      </c>
      <c r="AEO40" t="s">
        <v>1524</v>
      </c>
      <c r="AEP40" t="s">
        <v>381</v>
      </c>
      <c r="AEQ40">
        <v>0.94</v>
      </c>
      <c r="AER40">
        <v>5</v>
      </c>
      <c r="AES40">
        <f>+Tabla5789141516343536373839404142434445464748495051525355606264[[#This Row],[G. Total]]*Tabla5789141516343536373839404142434445464748495051525355606264[[#This Row],[Recuento]]</f>
        <v>4.6999999999999993</v>
      </c>
      <c r="AET40" s="36"/>
      <c r="AEU40" s="26"/>
      <c r="AEV40"/>
      <c r="AEW40"/>
      <c r="AEX40"/>
      <c r="AEY40"/>
      <c r="AEZ40"/>
      <c r="AFA40" s="35"/>
      <c r="AFB40" s="26"/>
      <c r="AFC40"/>
      <c r="AFD40"/>
      <c r="AFE40"/>
      <c r="AFF40"/>
      <c r="AFG40"/>
      <c r="AFH40"/>
      <c r="AFI40"/>
      <c r="AFJ40"/>
      <c r="AFK40"/>
      <c r="AFL40"/>
      <c r="AFM40"/>
      <c r="AFN40">
        <f>+Tabla578914151634353637383940414243444546474849505152535560626467[[#This Row],[G. Total]]*Tabla578914151634353637383940414243444546474849505152535560626467[[#This Row],[Recuento]]</f>
        <v>0</v>
      </c>
      <c r="AFO40" s="36"/>
      <c r="AFP40" s="26"/>
      <c r="AFQ40" s="2" t="s">
        <v>117</v>
      </c>
      <c r="AFX40" s="2" t="s">
        <v>117</v>
      </c>
    </row>
    <row r="41" spans="1:861" ht="15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26">
        <f t="shared" ref="U41:U52" si="30">+SUM(S41:S59)</f>
        <v>0</v>
      </c>
      <c r="V41"/>
      <c r="W41"/>
      <c r="X41"/>
      <c r="Y41"/>
      <c r="Z41"/>
      <c r="AA41"/>
      <c r="AB41"/>
      <c r="AC41"/>
      <c r="AD41"/>
      <c r="AE41"/>
      <c r="AF41"/>
      <c r="AG41" s="26">
        <f t="shared" si="4"/>
        <v>0</v>
      </c>
      <c r="AH41"/>
      <c r="AI41"/>
      <c r="AJ41"/>
      <c r="AK41"/>
      <c r="AL41"/>
      <c r="AM41"/>
      <c r="AN41"/>
      <c r="AO41"/>
      <c r="AP41"/>
      <c r="AQ41"/>
      <c r="AR41"/>
      <c r="AS41" s="26">
        <f t="shared" si="5"/>
        <v>0</v>
      </c>
      <c r="AT41"/>
      <c r="AU41"/>
      <c r="AV41"/>
      <c r="AW41"/>
      <c r="AX41"/>
      <c r="AY41"/>
      <c r="AZ41"/>
      <c r="BA41"/>
      <c r="BB41"/>
      <c r="BC41"/>
      <c r="BD41"/>
      <c r="BE41" s="26">
        <f t="shared" si="6"/>
        <v>0</v>
      </c>
      <c r="BF41">
        <v>2</v>
      </c>
      <c r="BG41" t="s">
        <v>1862</v>
      </c>
      <c r="BH41" t="s">
        <v>1524</v>
      </c>
      <c r="BI41" t="s">
        <v>1406</v>
      </c>
      <c r="BJ41">
        <v>3.44</v>
      </c>
      <c r="BK41" s="37">
        <v>4</v>
      </c>
      <c r="BL41">
        <f>+Tabla3102[[#This Row],[En culmo]]*BF41</f>
        <v>8</v>
      </c>
      <c r="BM41"/>
      <c r="BO41"/>
      <c r="BP41"/>
      <c r="BQ41"/>
      <c r="BR41"/>
      <c r="BS41"/>
      <c r="BT41">
        <f>+Tabla31069[[#This Row],[Longitud de eje]]*BN41</f>
        <v>0</v>
      </c>
      <c r="BU41">
        <f>+Tabla31069[[#This Row],[Longitud de eje]]*BO41</f>
        <v>0</v>
      </c>
      <c r="BV41"/>
      <c r="BW41"/>
      <c r="BX41"/>
      <c r="BY41"/>
      <c r="BZ41"/>
      <c r="CA41"/>
      <c r="CB41">
        <f>+Tabla31011[[#This Row],[Longitud de eje]]*BV41</f>
        <v>0</v>
      </c>
      <c r="CD41">
        <v>4</v>
      </c>
      <c r="CE41" t="s">
        <v>1862</v>
      </c>
      <c r="CF41" t="s">
        <v>1525</v>
      </c>
      <c r="CG41" t="s">
        <v>1405</v>
      </c>
      <c r="CH41">
        <v>5.2</v>
      </c>
      <c r="CI41">
        <v>5.5</v>
      </c>
      <c r="CJ41">
        <f>+Tabla3101170[[#This Row],[En culmo]]*CD41</f>
        <v>22</v>
      </c>
      <c r="CK41"/>
      <c r="CR41">
        <f>+Tabla31011116[[#This Row],[Longitud de eje]]*CT41</f>
        <v>0</v>
      </c>
      <c r="CT41">
        <v>1</v>
      </c>
      <c r="CU41" t="s">
        <v>1862</v>
      </c>
      <c r="CV41" t="s">
        <v>1383</v>
      </c>
      <c r="CW41" t="s">
        <v>1405</v>
      </c>
      <c r="CX41">
        <v>15.57</v>
      </c>
      <c r="CY41">
        <v>16</v>
      </c>
      <c r="CZ41">
        <f>+Tabla3101170117[[#This Row],[En culmo]]*CT41</f>
        <v>16</v>
      </c>
      <c r="DA41"/>
      <c r="DB41"/>
      <c r="DC41"/>
      <c r="DD41"/>
      <c r="DE41"/>
      <c r="DF41"/>
      <c r="DG41">
        <f>+Tabla31011704[[#This Row],[Longitud de eje]]*DB41</f>
        <v>0</v>
      </c>
      <c r="DH41"/>
      <c r="DI41"/>
      <c r="DJ41"/>
      <c r="DK41"/>
      <c r="DL41"/>
      <c r="DM41"/>
      <c r="DN41">
        <f>+Tabla3101170411[[#This Row],[Longitud de eje]]*DI41</f>
        <v>0</v>
      </c>
      <c r="DO41"/>
      <c r="DP41"/>
      <c r="DQ41"/>
      <c r="DR41"/>
      <c r="DS41"/>
      <c r="DT41"/>
      <c r="DU41">
        <f>+Tabla3101170411120[[#This Row],[Longitud de eje]]*DP41</f>
        <v>0</v>
      </c>
      <c r="DV41"/>
      <c r="DW41"/>
      <c r="DX41"/>
      <c r="DY41"/>
      <c r="DZ41"/>
      <c r="EA41"/>
      <c r="EB41">
        <f>+Tabla3101170411120122[[#This Row],[Longitud de eje]]*DW41</f>
        <v>0</v>
      </c>
      <c r="EC41"/>
      <c r="ED41">
        <v>1</v>
      </c>
      <c r="EE41" t="s">
        <v>1862</v>
      </c>
      <c r="EF41" t="s">
        <v>1524</v>
      </c>
      <c r="EG41" t="s">
        <v>1406</v>
      </c>
      <c r="EH41">
        <v>3.74</v>
      </c>
      <c r="EI41">
        <v>4</v>
      </c>
      <c r="EJ41">
        <f>+Tabla3101112[[#This Row],[En culmo]]*ED41</f>
        <v>4</v>
      </c>
      <c r="EK41"/>
      <c r="EL41"/>
      <c r="EM41"/>
      <c r="EN41"/>
      <c r="EO41"/>
      <c r="EP41"/>
      <c r="EQ41"/>
      <c r="ER41">
        <f>+Tabla3101112123[[#This Row],[En culmo]]*EL41</f>
        <v>0</v>
      </c>
      <c r="ES41"/>
      <c r="ET41">
        <v>12</v>
      </c>
      <c r="EU41" t="s">
        <v>1862</v>
      </c>
      <c r="EV41" t="s">
        <v>1525</v>
      </c>
      <c r="EW41" t="s">
        <v>1406</v>
      </c>
      <c r="EX41">
        <v>0.53</v>
      </c>
      <c r="EY41">
        <v>1</v>
      </c>
      <c r="EZ41">
        <f>+Tabla310111257[[#This Row],[En culmo]]*ET41</f>
        <v>12</v>
      </c>
      <c r="FA41"/>
      <c r="FB41"/>
      <c r="FC41"/>
      <c r="FD41"/>
      <c r="FE41"/>
      <c r="FF41"/>
      <c r="FG41">
        <v>1</v>
      </c>
      <c r="FH41">
        <f>+Tabla310111257124[[#This Row],[En culmo]]*FB41</f>
        <v>0</v>
      </c>
      <c r="FI41"/>
      <c r="FK41"/>
      <c r="FL41"/>
      <c r="FM41"/>
      <c r="FN41"/>
      <c r="FO41"/>
      <c r="FP41"/>
      <c r="FQ41"/>
      <c r="FS41"/>
      <c r="FT41"/>
      <c r="FU41"/>
      <c r="FV41"/>
      <c r="FW41"/>
      <c r="FX41"/>
      <c r="FY41"/>
      <c r="GA41"/>
      <c r="GB41"/>
      <c r="GC41"/>
      <c r="GD41"/>
      <c r="GE41"/>
      <c r="GF41"/>
      <c r="GG41"/>
      <c r="GI41"/>
      <c r="GJ41"/>
      <c r="GK41"/>
      <c r="GL41"/>
      <c r="GM41"/>
      <c r="GN41"/>
      <c r="GO41"/>
      <c r="GQ41"/>
      <c r="GR41"/>
      <c r="GS41"/>
      <c r="GT41"/>
      <c r="GU41"/>
      <c r="GV41">
        <v>2</v>
      </c>
      <c r="GW41">
        <f>+Tabla578914[[#This Row],[Recuento]]*Tabla578914[[#This Row],[Volúmen bruto]]</f>
        <v>0</v>
      </c>
      <c r="GX41">
        <f>+Tabla578914[[#This Row],[Recuento]]*Tabla578914[[#This Row],[Área neta]]</f>
        <v>0</v>
      </c>
      <c r="GY41" s="36"/>
      <c r="HA41"/>
      <c r="HB41"/>
      <c r="HC41"/>
      <c r="HD41"/>
      <c r="HE41"/>
      <c r="HF41">
        <v>2</v>
      </c>
      <c r="HG41">
        <f>+Tabla578914126[[#This Row],[Recuento]]*Tabla578914126[[#This Row],[Volúmen bruto]]</f>
        <v>0</v>
      </c>
      <c r="HH41">
        <f>+Tabla578914126[[#This Row],[Recuento]]*Tabla578914126[[#This Row],[Área neta]]</f>
        <v>0</v>
      </c>
      <c r="HI41" s="36"/>
      <c r="HK41"/>
      <c r="HL41"/>
      <c r="HM41"/>
      <c r="HN41"/>
      <c r="HO41"/>
      <c r="HP41">
        <v>2</v>
      </c>
      <c r="HQ41">
        <f>+Tabla578914126127[[#This Row],[Recuento]]*Tabla578914126127[[#This Row],[Volúmen bruto]]</f>
        <v>0</v>
      </c>
      <c r="HR41">
        <f>+Tabla578914126127[[#This Row],[Recuento]]*Tabla578914126127[[#This Row],[Área neta]]</f>
        <v>0</v>
      </c>
      <c r="HS41" s="36"/>
      <c r="HU41"/>
      <c r="HV41"/>
      <c r="HW41"/>
      <c r="HX41"/>
      <c r="HY41"/>
      <c r="HZ41"/>
      <c r="IA41"/>
      <c r="IB41"/>
      <c r="IC41" s="36"/>
      <c r="IE41"/>
      <c r="IF41"/>
      <c r="IG41"/>
      <c r="IH41"/>
      <c r="II41"/>
      <c r="IJ41"/>
      <c r="IK41"/>
      <c r="IL41"/>
      <c r="IM41" s="36"/>
      <c r="IY41"/>
      <c r="IZ41"/>
      <c r="JA41"/>
      <c r="JB41"/>
      <c r="JC41"/>
      <c r="JD41">
        <v>2</v>
      </c>
      <c r="JE41">
        <f>+Tabla520212224[[#This Row],[Recuento]]*Tabla520212224[[#This Row],[Volúmen bruto]]</f>
        <v>0</v>
      </c>
      <c r="JF41">
        <f>+Tabla520212224[[#This Row],[Recuento]]*Tabla520212224[[#This Row],[Área neta]]</f>
        <v>0</v>
      </c>
      <c r="JG41" s="26"/>
      <c r="JI41" t="s">
        <v>1862</v>
      </c>
      <c r="JJ41" t="s">
        <v>1524</v>
      </c>
      <c r="JK41" t="s">
        <v>1676</v>
      </c>
      <c r="JL41">
        <v>0</v>
      </c>
      <c r="JM41">
        <v>0.14000000000000001</v>
      </c>
      <c r="JN41">
        <v>1</v>
      </c>
      <c r="JO41">
        <f>+Tabla52021222425[[#This Row],[Recuento]]*Tabla52021222425[[#This Row],[Volúmen bruto]]</f>
        <v>0</v>
      </c>
      <c r="JP41">
        <f>+Tabla52021222425[[#This Row],[Recuento]]*Tabla52021222425[[#This Row],[Área neta]]</f>
        <v>0.14000000000000001</v>
      </c>
      <c r="JQ41" s="415"/>
      <c r="JS41" t="s">
        <v>1862</v>
      </c>
      <c r="JT41" t="s">
        <v>1524</v>
      </c>
      <c r="JU41" t="s">
        <v>1680</v>
      </c>
      <c r="JV41">
        <v>0</v>
      </c>
      <c r="JW41">
        <v>0.41</v>
      </c>
      <c r="JX41">
        <v>1</v>
      </c>
      <c r="JY41">
        <f>+Tabla5202122242526[[#This Row],[Recuento]]*Tabla5202122242526[[#This Row],[Volúmen bruto]]</f>
        <v>0</v>
      </c>
      <c r="JZ41">
        <f>+Tabla5202122242526[[#This Row],[Recuento]]*Tabla5202122242526[[#This Row],[Área neta]]</f>
        <v>0.41</v>
      </c>
      <c r="KA41" s="26"/>
      <c r="KC41"/>
      <c r="KD41"/>
      <c r="KE41"/>
      <c r="KF41"/>
      <c r="KG41"/>
      <c r="KH41"/>
      <c r="KI41">
        <f>+Tabla5202122242526104[[#This Row],[Recuento]]*Tabla5202122242526104[[#This Row],[Volúmen bruto]]</f>
        <v>0</v>
      </c>
      <c r="KJ41">
        <f>+Tabla5202122242526104[[#This Row],[Recuento]]*Tabla5202122242526104[[#This Row],[Área neta]]</f>
        <v>0</v>
      </c>
      <c r="KK41" s="26"/>
      <c r="KM41" t="s">
        <v>1862</v>
      </c>
      <c r="KN41" t="s">
        <v>1525</v>
      </c>
      <c r="KO41" t="s">
        <v>98</v>
      </c>
      <c r="KP41">
        <v>0.01</v>
      </c>
      <c r="KQ41">
        <v>4.13</v>
      </c>
      <c r="KR41">
        <v>1</v>
      </c>
      <c r="KS41">
        <f>+Tabla5202122242526104110[[#This Row],[Recuento]]*Tabla5202122242526104110[[#This Row],[Volúmen bruto]]</f>
        <v>0.01</v>
      </c>
      <c r="KT41">
        <f>+Tabla5202122242526104110[[#This Row],[Recuento]]*Tabla5202122242526104110[[#This Row],[Área neta]]</f>
        <v>4.13</v>
      </c>
      <c r="KU41" s="26"/>
      <c r="KW41"/>
      <c r="KX41"/>
      <c r="KY41"/>
      <c r="KZ41"/>
      <c r="LA41"/>
      <c r="LB41"/>
      <c r="LC41">
        <f>+Tabla520212224252659[[#This Row],[Recuento]]*Tabla520212224252659[[#This Row],[Volúmen bruto]]</f>
        <v>0</v>
      </c>
      <c r="LD41">
        <f>+Tabla520212224252659[[#This Row],[Recuento]]*Tabla520212224252659[[#This Row],[Área neta]]</f>
        <v>0</v>
      </c>
      <c r="LE41" s="26"/>
      <c r="LG41"/>
      <c r="LH41"/>
      <c r="LI41"/>
      <c r="LJ41"/>
      <c r="LK41"/>
      <c r="LL41"/>
      <c r="LM41">
        <f>+Tabla520212224252659111[[#This Row],[Recuento]]*Tabla520212224252659111[[#This Row],[Volúmen bruto]]</f>
        <v>0</v>
      </c>
      <c r="LN41">
        <f>+Tabla520212224252659111[[#This Row],[Recuento]]*Tabla520212224252659111[[#This Row],[Área neta]]</f>
        <v>0</v>
      </c>
      <c r="LO41" s="26"/>
      <c r="LQ41"/>
      <c r="LR41"/>
      <c r="LS41"/>
      <c r="LT41"/>
      <c r="LU41"/>
      <c r="LV41"/>
      <c r="LW41">
        <f>+Tabla520212224252659111114[[#This Row],[Recuento]]*Tabla520212224252659111114[[#This Row],[Volúmen bruto]]</f>
        <v>0</v>
      </c>
      <c r="LX41">
        <f>+Tabla520212224252659111114[[#This Row],[Recuento]]*Tabla520212224252659111114[[#This Row],[Área neta]]</f>
        <v>0</v>
      </c>
      <c r="LY41" s="26"/>
      <c r="MA41" t="s">
        <v>1863</v>
      </c>
      <c r="MB41" t="s">
        <v>1524</v>
      </c>
      <c r="MC41" t="s">
        <v>97</v>
      </c>
      <c r="MD41">
        <v>0.15</v>
      </c>
      <c r="ME41">
        <v>4.45</v>
      </c>
      <c r="MF41">
        <v>1</v>
      </c>
      <c r="MG41">
        <f>+Tabla520212224252659111114128[[#This Row],[Recuento]]*Tabla520212224252659111114128[[#This Row],[Volúmen bruto]]</f>
        <v>0.15</v>
      </c>
      <c r="MH41">
        <f>+Tabla520212224252659111114128[[#This Row],[Recuento]]*Tabla520212224252659111114128[[#This Row],[Área neta]]</f>
        <v>4.45</v>
      </c>
      <c r="MI41" s="26"/>
      <c r="MK41"/>
      <c r="ML41"/>
      <c r="MM41"/>
      <c r="MN41"/>
      <c r="MO41"/>
      <c r="MP41"/>
      <c r="MQ41">
        <f>+Tabla520212224252627[[#This Row],[Recuento]]*Tabla520212224252627[[#This Row],[Volúmen bruto]]</f>
        <v>0</v>
      </c>
      <c r="MR41">
        <f>+Tabla520212224252627[[#This Row],[Recuento]]*Tabla520212224252627[[#This Row],[Área neta]]</f>
        <v>0</v>
      </c>
      <c r="MS41" s="26"/>
      <c r="MU41"/>
      <c r="MV41"/>
      <c r="MW41"/>
      <c r="MX41"/>
      <c r="MY41"/>
      <c r="MZ41"/>
      <c r="NA41">
        <f>+Tabla520212224252627129[[#This Row],[Recuento]]*Tabla520212224252627129[[#This Row],[Volúmen bruto]]</f>
        <v>0</v>
      </c>
      <c r="NB41">
        <f>+Tabla520212224252627129[[#This Row],[Recuento]]*Tabla520212224252627129[[#This Row],[Área neta]]</f>
        <v>0</v>
      </c>
      <c r="NC41" s="26"/>
      <c r="NE41"/>
      <c r="NF41"/>
      <c r="NG41"/>
      <c r="NH41"/>
      <c r="NI41"/>
      <c r="NJ41"/>
      <c r="NK41">
        <f>+Tabla520212224252627129125[[#This Row],[Recuento]]*Tabla520212224252627129125[[#This Row],[Volúmen bruto]]</f>
        <v>0</v>
      </c>
      <c r="NL41">
        <f>+Tabla520212224252627129125[[#This Row],[Recuento]]*Tabla520212224252627129125[[#This Row],[Área neta]]</f>
        <v>0</v>
      </c>
      <c r="NM41" s="26"/>
      <c r="NO41"/>
      <c r="NP41"/>
      <c r="NQ41"/>
      <c r="NR41"/>
      <c r="NS41"/>
      <c r="NT41"/>
      <c r="NU41">
        <f>+Tabla520212224252627129125130[[#This Row],[Recuento]]*Tabla520212224252627129125130[[#This Row],[Volúmen bruto]]</f>
        <v>0</v>
      </c>
      <c r="NV41">
        <f>+Tabla520212224252627129125130[[#This Row],[Recuento]]*Tabla520212224252627129125130[[#This Row],[Área neta]]</f>
        <v>0</v>
      </c>
      <c r="NW41" s="26"/>
      <c r="NY41"/>
      <c r="NZ41"/>
      <c r="OA41"/>
      <c r="OB41"/>
      <c r="OC41"/>
      <c r="OD41"/>
      <c r="OE41">
        <f>+Tabla520212224252627129125130131[[#This Row],[Recuento]]*Tabla520212224252627129125130131[[#This Row],[Volúmen bruto]]</f>
        <v>0</v>
      </c>
      <c r="OF41">
        <f>+Tabla520212224252627129125130131[[#This Row],[Recuento]]*Tabla520212224252627129125130131[[#This Row],[Área neta]]</f>
        <v>0</v>
      </c>
      <c r="OG41" s="26"/>
      <c r="OI41"/>
      <c r="OJ41"/>
      <c r="OK41"/>
      <c r="OL41"/>
      <c r="OM41"/>
      <c r="ON41"/>
      <c r="OO41">
        <f>+Tabla520212224252627129125130131132[[#This Row],[Recuento]]*Tabla520212224252627129125130131132[[#This Row],[Volúmen bruto]]</f>
        <v>0</v>
      </c>
      <c r="OP41">
        <f>+Tabla520212224252627129125130131132[[#This Row],[Recuento]]*Tabla520212224252627129125130131132[[#This Row],[Área neta]]</f>
        <v>0</v>
      </c>
      <c r="OQ41" s="26"/>
      <c r="OS41"/>
      <c r="OT41"/>
      <c r="OU41"/>
      <c r="OV41"/>
      <c r="OW41"/>
      <c r="OX41"/>
      <c r="OY41">
        <f>+Tabla52021222425262728[[#This Row],[Recuento]]*Tabla52021222425262728[[#This Row],[Volúmen bruto]]</f>
        <v>0</v>
      </c>
      <c r="OZ41">
        <f>+Tabla52021222425262728[[#This Row],[Recuento]]*Tabla52021222425262728[[#This Row],[Área neta]]</f>
        <v>0</v>
      </c>
      <c r="PA41" s="26"/>
      <c r="PC41" t="s">
        <v>1862</v>
      </c>
      <c r="PD41" t="s">
        <v>1525</v>
      </c>
      <c r="PE41" t="s">
        <v>97</v>
      </c>
      <c r="PF41">
        <v>0.03</v>
      </c>
      <c r="PG41">
        <v>1.33</v>
      </c>
      <c r="PH41">
        <v>1</v>
      </c>
      <c r="PI41">
        <f>+Tabla52021222425262728133[[#This Row],[Recuento]]*Tabla52021222425262728133[[#This Row],[Volúmen bruto]]</f>
        <v>0.03</v>
      </c>
      <c r="PJ41">
        <f>+Tabla52021222425262728133[[#This Row],[Recuento]]*Tabla52021222425262728133[[#This Row],[Área neta]]</f>
        <v>1.33</v>
      </c>
      <c r="PK41" s="26"/>
      <c r="PM41"/>
      <c r="PN41"/>
      <c r="PO41"/>
      <c r="PP41"/>
      <c r="PQ41"/>
      <c r="PR41"/>
      <c r="PS41">
        <f>+Tabla5202122242526272893[[#This Row],[Recuento]]*Tabla5202122242526272893[[#This Row],[Volúmen bruto]]</f>
        <v>0</v>
      </c>
      <c r="PT41">
        <f>+Tabla5202122242526272893[[#This Row],[Recuento]]*Tabla5202122242526272893[[#This Row],[Área neta]]</f>
        <v>0</v>
      </c>
      <c r="PU41" s="26"/>
      <c r="PW41" t="s">
        <v>1862</v>
      </c>
      <c r="PX41" t="s">
        <v>1525</v>
      </c>
      <c r="PY41" t="s">
        <v>1676</v>
      </c>
      <c r="PZ41">
        <v>0.13</v>
      </c>
      <c r="QA41">
        <v>1.1100000000000001</v>
      </c>
      <c r="QB41">
        <v>1</v>
      </c>
      <c r="QC41">
        <f>+Tabla520212224252627289349[[#This Row],[Recuento]]*Tabla520212224252627289349[[#This Row],[Volúmen bruto]]</f>
        <v>0.13</v>
      </c>
      <c r="QD41">
        <f>+Tabla520212224252627289349[[#This Row],[Recuento]]*Tabla520212224252627289349[[#This Row],[Área neta]]</f>
        <v>1.1100000000000001</v>
      </c>
      <c r="QE41" s="26"/>
      <c r="QG41"/>
      <c r="QH41"/>
      <c r="QI41"/>
      <c r="QJ41"/>
      <c r="QK41"/>
      <c r="QL41"/>
      <c r="QM41">
        <f>+Tabla520212224252627289349134[[#This Row],[Recuento]]*Tabla520212224252627289349134[[#This Row],[Volúmen bruto]]</f>
        <v>0</v>
      </c>
      <c r="QN41">
        <f>+Tabla520212224252627289349134[[#This Row],[Recuento]]*Tabla520212224252627289349134[[#This Row],[Área neta]]</f>
        <v>0</v>
      </c>
      <c r="QO41" s="26"/>
      <c r="QQ41" t="s">
        <v>1863</v>
      </c>
      <c r="QR41" t="s">
        <v>1524</v>
      </c>
      <c r="QS41" t="s">
        <v>1726</v>
      </c>
      <c r="QT41">
        <v>1.54</v>
      </c>
      <c r="QU41">
        <v>7.68</v>
      </c>
      <c r="QV41">
        <v>2</v>
      </c>
      <c r="QW41">
        <v>1</v>
      </c>
      <c r="QX41">
        <f>+Tabla5202122242526272829[[#This Row],[Recuento]]*Tabla5202122242526272829[[#This Row],[Volúmen bruto]]</f>
        <v>1.54</v>
      </c>
      <c r="QY41">
        <f>+Tabla5202122242526272829[[#This Row],[Recuento]]*Tabla5202122242526272829[[#This Row],[Área neta]]</f>
        <v>7.68</v>
      </c>
      <c r="QZ41">
        <f>+Tabla5202122242526272829[[#This Row],[Recuento]]*Tabla5202122242526272829[[#This Row],[Longitud]]</f>
        <v>2</v>
      </c>
      <c r="RA41" s="26"/>
      <c r="RC41"/>
      <c r="RD41"/>
      <c r="RE41"/>
      <c r="RF41"/>
      <c r="RG41"/>
      <c r="RH41"/>
      <c r="RI41"/>
      <c r="RJ41"/>
      <c r="RK41" s="26"/>
      <c r="RM41"/>
      <c r="RN41"/>
      <c r="RO41"/>
      <c r="RP41"/>
      <c r="RQ41"/>
      <c r="RR41"/>
      <c r="RS41"/>
      <c r="RT41"/>
      <c r="RU41" s="26">
        <f t="shared" si="7"/>
        <v>0</v>
      </c>
      <c r="RW41"/>
      <c r="RX41"/>
      <c r="RY41"/>
      <c r="RZ41"/>
      <c r="SA41"/>
      <c r="SB41"/>
      <c r="SC41"/>
      <c r="SD41"/>
      <c r="SE41" s="26"/>
      <c r="SG41"/>
      <c r="SH41"/>
      <c r="SI41"/>
      <c r="SJ41"/>
      <c r="SK41"/>
      <c r="SL41"/>
      <c r="SM41"/>
      <c r="SN41"/>
      <c r="SO41" s="26"/>
      <c r="SQ41" t="s">
        <v>1863</v>
      </c>
      <c r="SR41" t="s">
        <v>1524</v>
      </c>
      <c r="SS41" t="s">
        <v>1627</v>
      </c>
      <c r="ST41">
        <v>1.1299999999999999</v>
      </c>
      <c r="SU41">
        <v>5.64</v>
      </c>
      <c r="SV41">
        <v>1</v>
      </c>
      <c r="SW41" s="34">
        <f>+Tabla5789141516[[#This Row],[Recuento]]*Tabla5789141516[[#This Row],[Volúmen bruto]]</f>
        <v>1.1299999999999999</v>
      </c>
      <c r="SX41" s="34">
        <f>+Tabla5789141516[[#This Row],[Recuento]]*Tabla5789141516[[#This Row],[Área neta]]</f>
        <v>5.64</v>
      </c>
      <c r="SY41" s="36"/>
      <c r="TA41"/>
      <c r="TB41"/>
      <c r="TI41" s="36">
        <f t="shared" si="8"/>
        <v>0</v>
      </c>
      <c r="TK41"/>
      <c r="TL41"/>
      <c r="TS41" s="36">
        <f t="shared" si="9"/>
        <v>0</v>
      </c>
      <c r="TU41"/>
      <c r="TV41"/>
      <c r="UC41" s="36">
        <f t="shared" si="10"/>
        <v>0</v>
      </c>
      <c r="UE41"/>
      <c r="UF41"/>
      <c r="UM41" s="36">
        <f t="shared" si="11"/>
        <v>0</v>
      </c>
      <c r="UO41"/>
      <c r="UP41"/>
      <c r="UW41" s="36">
        <f t="shared" si="12"/>
        <v>0</v>
      </c>
      <c r="UY41"/>
      <c r="UZ41"/>
      <c r="VG41" s="36">
        <f t="shared" si="13"/>
        <v>0</v>
      </c>
      <c r="VI41"/>
      <c r="VJ41"/>
      <c r="VQ41" s="36">
        <f t="shared" si="14"/>
        <v>0</v>
      </c>
      <c r="VS41"/>
      <c r="VT41"/>
      <c r="WA41" s="36">
        <f t="shared" si="15"/>
        <v>0</v>
      </c>
      <c r="WC41"/>
      <c r="WD41"/>
      <c r="WK41" s="36">
        <f t="shared" si="16"/>
        <v>0</v>
      </c>
      <c r="WM41"/>
      <c r="WN41"/>
      <c r="WU41" s="36">
        <f t="shared" si="17"/>
        <v>0</v>
      </c>
      <c r="WW41"/>
      <c r="WX41"/>
      <c r="XE41" s="36">
        <f t="shared" si="18"/>
        <v>0</v>
      </c>
      <c r="XG41"/>
      <c r="XH41"/>
      <c r="XO41" s="36">
        <f t="shared" si="22"/>
        <v>0</v>
      </c>
      <c r="XQ41"/>
      <c r="XR41"/>
      <c r="XY41" s="36">
        <f t="shared" si="23"/>
        <v>0</v>
      </c>
      <c r="YA41"/>
      <c r="YB41"/>
      <c r="YI41" s="36">
        <f t="shared" si="24"/>
        <v>0</v>
      </c>
      <c r="YJ41" s="36"/>
      <c r="YK41"/>
      <c r="YL41"/>
      <c r="YM41"/>
      <c r="YN41"/>
      <c r="YO41"/>
      <c r="YQ41"/>
      <c r="YR41"/>
      <c r="YY41" s="36">
        <f t="shared" si="25"/>
        <v>0</v>
      </c>
      <c r="ZA41"/>
      <c r="ZB41"/>
      <c r="ZI41" s="36">
        <f t="shared" si="26"/>
        <v>0</v>
      </c>
      <c r="ZK41"/>
      <c r="ZL41"/>
      <c r="ZS41" s="36">
        <f t="shared" si="27"/>
        <v>0</v>
      </c>
      <c r="ZU41"/>
      <c r="ZV41"/>
      <c r="AAC41" s="36">
        <f t="shared" si="28"/>
        <v>0</v>
      </c>
      <c r="AAE41"/>
      <c r="AAF41"/>
      <c r="AAM41" s="36">
        <f t="shared" si="29"/>
        <v>0</v>
      </c>
      <c r="AAY41"/>
      <c r="AAZ41"/>
      <c r="ABA41"/>
      <c r="ABB41"/>
      <c r="ABC41"/>
      <c r="ABD41" s="38"/>
      <c r="ABE41" s="34"/>
      <c r="ABF41" s="34"/>
      <c r="ABG41" s="36"/>
      <c r="ABI41"/>
      <c r="ABJ41"/>
      <c r="ABK41"/>
      <c r="ABL41"/>
      <c r="ABM41"/>
      <c r="ABN41" s="38"/>
      <c r="ABO41" s="34"/>
      <c r="ABP41" s="34"/>
      <c r="ABQ41" s="36"/>
      <c r="ABS41"/>
      <c r="ABT41"/>
      <c r="ABU41"/>
      <c r="ABV41"/>
      <c r="ABW41"/>
      <c r="ABX41" s="38"/>
      <c r="ABY41" s="34"/>
      <c r="ABZ41" s="34"/>
      <c r="ACA41" s="36"/>
      <c r="ACC41"/>
      <c r="ACD41"/>
      <c r="ACE41"/>
      <c r="ACF41"/>
      <c r="ACG41"/>
      <c r="ACH41" s="38"/>
      <c r="ACI41" s="34"/>
      <c r="ACJ41" s="34"/>
      <c r="ACK41" s="36"/>
      <c r="ACM41"/>
      <c r="ACN41"/>
      <c r="ACO41"/>
      <c r="ACP41"/>
      <c r="ACQ41"/>
      <c r="ACR41" s="38"/>
      <c r="ACS41" s="34"/>
      <c r="ACT41" s="34"/>
      <c r="ACU41" s="36"/>
      <c r="ACW41" t="s">
        <v>1234</v>
      </c>
      <c r="ACX41" s="1">
        <v>1</v>
      </c>
      <c r="ACY41" s="2"/>
      <c r="ADA41"/>
      <c r="ADB41" s="2">
        <f t="shared" si="21"/>
        <v>0</v>
      </c>
      <c r="ADD41" s="1" t="s">
        <v>86</v>
      </c>
      <c r="ADE41" s="1" t="s">
        <v>88</v>
      </c>
      <c r="ADF41" s="1" t="s">
        <v>79</v>
      </c>
      <c r="ADG41" s="29" t="s">
        <v>85</v>
      </c>
      <c r="ADJ41"/>
      <c r="ADK41"/>
      <c r="ADL41"/>
      <c r="ADM41"/>
      <c r="ADN41"/>
      <c r="ADO41">
        <f>+Tabla578914151634353637383940414243444546474849505152535560[[#This Row],[G. Total]]*Tabla578914151634353637383940414243444546474849505152535560[[#This Row],[Recuento]]</f>
        <v>0</v>
      </c>
      <c r="ADP41" s="36"/>
      <c r="ADR41"/>
      <c r="ADS41"/>
      <c r="ADT41"/>
      <c r="ADU41"/>
      <c r="ADV41"/>
      <c r="ADW41" s="36"/>
      <c r="ADX41" s="36"/>
      <c r="ADY41"/>
      <c r="ADZ41"/>
      <c r="AEA41"/>
      <c r="AEB41"/>
      <c r="AEC41"/>
      <c r="AED41"/>
      <c r="AEE41" s="36"/>
      <c r="AEG41"/>
      <c r="AEH41"/>
      <c r="AEI41"/>
      <c r="AEJ41"/>
      <c r="AEK41"/>
      <c r="AEL41" s="36"/>
      <c r="AEM41" s="36"/>
      <c r="AEN41" t="s">
        <v>1522</v>
      </c>
      <c r="AEO41" t="s">
        <v>1524</v>
      </c>
      <c r="AEP41" t="s">
        <v>381</v>
      </c>
      <c r="AEQ41">
        <v>0.14000000000000001</v>
      </c>
      <c r="AER41">
        <v>2</v>
      </c>
      <c r="AES41">
        <f>+Tabla5789141516343536373839404142434445464748495051525355606264[[#This Row],[G. Total]]*Tabla5789141516343536373839404142434445464748495051525355606264[[#This Row],[Recuento]]</f>
        <v>0.28000000000000003</v>
      </c>
      <c r="AET41" s="35"/>
      <c r="AEV41"/>
      <c r="AEW41"/>
      <c r="AEX41"/>
      <c r="AEY41"/>
      <c r="AEZ41"/>
      <c r="AFA41" s="35"/>
      <c r="AFC41"/>
      <c r="AFD41"/>
      <c r="AFE41"/>
      <c r="AFF41"/>
      <c r="AFG41"/>
      <c r="AFH41"/>
      <c r="AFI41"/>
      <c r="AFJ41"/>
      <c r="AFK41"/>
      <c r="AFL41"/>
      <c r="AFM41"/>
      <c r="AFN41">
        <f>+Tabla578914151634353637383940414243444546474849505152535560626467[[#This Row],[G. Total]]*Tabla578914151634353637383940414243444546474849505152535560626467[[#This Row],[Recuento]]</f>
        <v>0</v>
      </c>
      <c r="AFO41" s="36"/>
      <c r="AFQ41" s="2" t="s">
        <v>117</v>
      </c>
      <c r="AFR41" s="2">
        <f>11*2</f>
        <v>22</v>
      </c>
      <c r="AFS41" s="2">
        <f>0.12*2</f>
        <v>0.24</v>
      </c>
      <c r="AFT41" s="2">
        <f>+AFS41*AFR41</f>
        <v>5.2799999999999994</v>
      </c>
      <c r="AFU41" s="2">
        <v>2</v>
      </c>
      <c r="AFV41" s="2">
        <f>+AFU41*AFR41</f>
        <v>44</v>
      </c>
      <c r="AFX41" s="2" t="s">
        <v>117</v>
      </c>
      <c r="AFZ41" s="2">
        <f>0.12*2</f>
        <v>0.24</v>
      </c>
      <c r="AGA41" s="2">
        <f>+AFZ41*AFY41</f>
        <v>0</v>
      </c>
      <c r="AGB41" s="2">
        <v>2</v>
      </c>
      <c r="AGC41" s="2">
        <f>+AGB41*AFY41</f>
        <v>0</v>
      </c>
    </row>
    <row r="42" spans="1:861" ht="17.2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26">
        <f t="shared" si="30"/>
        <v>0</v>
      </c>
      <c r="V42"/>
      <c r="W42"/>
      <c r="X42"/>
      <c r="Y42"/>
      <c r="Z42"/>
      <c r="AA42"/>
      <c r="AB42"/>
      <c r="AC42"/>
      <c r="AD42"/>
      <c r="AE42"/>
      <c r="AF42"/>
      <c r="AG42" s="26">
        <f t="shared" si="4"/>
        <v>0</v>
      </c>
      <c r="AH42"/>
      <c r="AI42"/>
      <c r="AJ42"/>
      <c r="AK42"/>
      <c r="AL42"/>
      <c r="AM42"/>
      <c r="AN42"/>
      <c r="AO42"/>
      <c r="AP42"/>
      <c r="AQ42"/>
      <c r="AR42"/>
      <c r="AS42" s="26">
        <f t="shared" si="5"/>
        <v>0</v>
      </c>
      <c r="AT42"/>
      <c r="AU42"/>
      <c r="AV42"/>
      <c r="AW42"/>
      <c r="AX42"/>
      <c r="AY42"/>
      <c r="AZ42"/>
      <c r="BA42"/>
      <c r="BB42"/>
      <c r="BC42"/>
      <c r="BD42"/>
      <c r="BE42" s="26">
        <f t="shared" si="6"/>
        <v>0</v>
      </c>
      <c r="BF42">
        <v>2</v>
      </c>
      <c r="BG42" t="s">
        <v>1862</v>
      </c>
      <c r="BH42" t="s">
        <v>1524</v>
      </c>
      <c r="BI42" t="s">
        <v>1406</v>
      </c>
      <c r="BJ42">
        <v>0.56000000000000005</v>
      </c>
      <c r="BK42" s="37">
        <v>1</v>
      </c>
      <c r="BL42">
        <f>+Tabla3102[[#This Row],[En culmo]]*BF42</f>
        <v>2</v>
      </c>
      <c r="BM42"/>
      <c r="BO42"/>
      <c r="BP42"/>
      <c r="BQ42"/>
      <c r="BR42"/>
      <c r="BS42"/>
      <c r="BT42">
        <f>+Tabla31069[[#This Row],[Longitud de eje]]*BN42</f>
        <v>0</v>
      </c>
      <c r="BU42">
        <f>+Tabla31069[[#This Row],[Longitud de eje]]*BO42</f>
        <v>0</v>
      </c>
      <c r="BV42"/>
      <c r="BW42"/>
      <c r="BX42"/>
      <c r="BY42"/>
      <c r="BZ42"/>
      <c r="CA42"/>
      <c r="CB42">
        <f>+Tabla31011[[#This Row],[Longitud de eje]]*BV42</f>
        <v>0</v>
      </c>
      <c r="CD42">
        <v>9</v>
      </c>
      <c r="CE42" t="s">
        <v>1862</v>
      </c>
      <c r="CF42" t="s">
        <v>1525</v>
      </c>
      <c r="CG42" t="s">
        <v>1405</v>
      </c>
      <c r="CH42">
        <v>6.25</v>
      </c>
      <c r="CI42">
        <v>6.5</v>
      </c>
      <c r="CJ42">
        <f>+Tabla3101170[[#This Row],[En culmo]]*CD42</f>
        <v>58.5</v>
      </c>
      <c r="CK42"/>
      <c r="CL42"/>
      <c r="CM42"/>
      <c r="CN42"/>
      <c r="CO42"/>
      <c r="CP42"/>
      <c r="CQ42"/>
      <c r="CR42">
        <f>+Tabla31011116[[#This Row],[Longitud de eje]]*CL42</f>
        <v>0</v>
      </c>
      <c r="CT42"/>
      <c r="CU42"/>
      <c r="CV42"/>
      <c r="CW42"/>
      <c r="CX42"/>
      <c r="CY42"/>
      <c r="CZ42">
        <f>+Tabla3101170117[[#This Row],[En culmo]]*CT42</f>
        <v>0</v>
      </c>
      <c r="DA42"/>
      <c r="DB42"/>
      <c r="DC42"/>
      <c r="DD42"/>
      <c r="DE42"/>
      <c r="DF42"/>
      <c r="DG42">
        <f>+Tabla31011704[[#This Row],[Longitud de eje]]*DB42</f>
        <v>0</v>
      </c>
      <c r="DH42"/>
      <c r="DI42"/>
      <c r="DJ42"/>
      <c r="DK42"/>
      <c r="DL42"/>
      <c r="DM42"/>
      <c r="DN42">
        <f>+Tabla3101170411[[#This Row],[Longitud de eje]]*DI42</f>
        <v>0</v>
      </c>
      <c r="DO42"/>
      <c r="DP42"/>
      <c r="DQ42"/>
      <c r="DR42"/>
      <c r="DS42"/>
      <c r="DT42"/>
      <c r="DU42">
        <f>+Tabla3101170411120[[#This Row],[Longitud de eje]]*DP42</f>
        <v>0</v>
      </c>
      <c r="DV42"/>
      <c r="DW42"/>
      <c r="DX42"/>
      <c r="DY42"/>
      <c r="DZ42"/>
      <c r="EA42"/>
      <c r="EB42">
        <f>+Tabla3101170411120122[[#This Row],[Longitud de eje]]*DW42</f>
        <v>0</v>
      </c>
      <c r="EC42"/>
      <c r="ED42">
        <v>1</v>
      </c>
      <c r="EE42" t="s">
        <v>1862</v>
      </c>
      <c r="EF42" t="s">
        <v>1524</v>
      </c>
      <c r="EG42" t="s">
        <v>1406</v>
      </c>
      <c r="EH42">
        <v>4.34</v>
      </c>
      <c r="EI42">
        <v>4.5</v>
      </c>
      <c r="EJ42">
        <f>+Tabla3101112[[#This Row],[En culmo]]*ED42</f>
        <v>4.5</v>
      </c>
      <c r="EK42"/>
      <c r="EL42"/>
      <c r="EM42"/>
      <c r="EN42"/>
      <c r="EO42"/>
      <c r="EP42"/>
      <c r="EQ42"/>
      <c r="ER42">
        <f>+Tabla3101112123[[#This Row],[En culmo]]*EL42</f>
        <v>0</v>
      </c>
      <c r="ES42"/>
      <c r="ET42">
        <v>11</v>
      </c>
      <c r="EU42" t="s">
        <v>1862</v>
      </c>
      <c r="EV42" t="s">
        <v>1525</v>
      </c>
      <c r="EW42" t="s">
        <v>1406</v>
      </c>
      <c r="EX42">
        <v>0.75</v>
      </c>
      <c r="EY42">
        <v>1</v>
      </c>
      <c r="EZ42">
        <f>+Tabla310111257[[#This Row],[En culmo]]*ET42</f>
        <v>11</v>
      </c>
      <c r="FA42"/>
      <c r="FB42"/>
      <c r="FC42"/>
      <c r="FD42"/>
      <c r="FE42"/>
      <c r="FF42"/>
      <c r="FG42">
        <v>1</v>
      </c>
      <c r="FH42">
        <f>+Tabla310111257124[[#This Row],[En culmo]]*FB42</f>
        <v>0</v>
      </c>
      <c r="FI42"/>
      <c r="FK42"/>
      <c r="FL42"/>
      <c r="FM42"/>
      <c r="FN42"/>
      <c r="FO42"/>
      <c r="FP42"/>
      <c r="FQ42"/>
      <c r="FS42"/>
      <c r="FT42"/>
      <c r="FU42"/>
      <c r="FV42"/>
      <c r="FW42"/>
      <c r="FX42"/>
      <c r="FY42"/>
      <c r="GA42"/>
      <c r="GB42"/>
      <c r="GC42"/>
      <c r="GD42"/>
      <c r="GE42"/>
      <c r="GF42"/>
      <c r="GG42"/>
      <c r="GI42"/>
      <c r="GJ42"/>
      <c r="GK42"/>
      <c r="GL42"/>
      <c r="GM42"/>
      <c r="GN42"/>
      <c r="GO42"/>
      <c r="GQ42"/>
      <c r="GR42"/>
      <c r="GS42"/>
      <c r="GT42"/>
      <c r="GU42"/>
      <c r="GV42">
        <v>1</v>
      </c>
      <c r="GW42">
        <f>+Tabla578914[[#This Row],[Recuento]]*Tabla578914[[#This Row],[Volúmen bruto]]</f>
        <v>0</v>
      </c>
      <c r="GX42">
        <f>+Tabla578914[[#This Row],[Recuento]]*Tabla578914[[#This Row],[Área neta]]</f>
        <v>0</v>
      </c>
      <c r="GY42" s="36"/>
      <c r="HA42"/>
      <c r="HB42"/>
      <c r="HC42"/>
      <c r="HD42"/>
      <c r="HE42"/>
      <c r="HF42">
        <v>1</v>
      </c>
      <c r="HG42">
        <f>+Tabla578914126[[#This Row],[Recuento]]*Tabla578914126[[#This Row],[Volúmen bruto]]</f>
        <v>0</v>
      </c>
      <c r="HH42">
        <f>+Tabla578914126[[#This Row],[Recuento]]*Tabla578914126[[#This Row],[Área neta]]</f>
        <v>0</v>
      </c>
      <c r="HI42" s="36"/>
      <c r="HK42"/>
      <c r="HL42"/>
      <c r="HM42"/>
      <c r="HN42"/>
      <c r="HO42"/>
      <c r="HP42">
        <v>1</v>
      </c>
      <c r="HQ42">
        <f>+Tabla578914126127[[#This Row],[Recuento]]*Tabla578914126127[[#This Row],[Volúmen bruto]]</f>
        <v>0</v>
      </c>
      <c r="HR42">
        <f>+Tabla578914126127[[#This Row],[Recuento]]*Tabla578914126127[[#This Row],[Área neta]]</f>
        <v>0</v>
      </c>
      <c r="HS42" s="36"/>
      <c r="HU42"/>
      <c r="HV42"/>
      <c r="HW42"/>
      <c r="HX42"/>
      <c r="HY42"/>
      <c r="HZ42"/>
      <c r="IA42"/>
      <c r="IB42"/>
      <c r="IC42" s="36"/>
      <c r="IE42"/>
      <c r="IF42"/>
      <c r="IG42"/>
      <c r="IH42"/>
      <c r="II42"/>
      <c r="IJ42"/>
      <c r="IK42"/>
      <c r="IL42"/>
      <c r="IM42" s="36"/>
      <c r="IY42"/>
      <c r="IZ42"/>
      <c r="JA42"/>
      <c r="JB42"/>
      <c r="JC42"/>
      <c r="JD42">
        <v>1</v>
      </c>
      <c r="JE42">
        <f>+Tabla520212224[[#This Row],[Recuento]]*Tabla520212224[[#This Row],[Volúmen bruto]]</f>
        <v>0</v>
      </c>
      <c r="JF42">
        <f>+Tabla520212224[[#This Row],[Recuento]]*Tabla520212224[[#This Row],[Área neta]]</f>
        <v>0</v>
      </c>
      <c r="JG42" s="26"/>
      <c r="JI42" t="s">
        <v>1862</v>
      </c>
      <c r="JJ42" t="s">
        <v>1524</v>
      </c>
      <c r="JK42" t="s">
        <v>1676</v>
      </c>
      <c r="JL42">
        <v>0.22</v>
      </c>
      <c r="JM42">
        <v>1.81</v>
      </c>
      <c r="JN42">
        <v>1</v>
      </c>
      <c r="JO42">
        <f>+Tabla52021222425[[#This Row],[Recuento]]*Tabla52021222425[[#This Row],[Volúmen bruto]]</f>
        <v>0.22</v>
      </c>
      <c r="JP42">
        <f>+Tabla52021222425[[#This Row],[Recuento]]*Tabla52021222425[[#This Row],[Área neta]]</f>
        <v>1.81</v>
      </c>
      <c r="JQ42" s="26"/>
      <c r="JS42" t="s">
        <v>1862</v>
      </c>
      <c r="JT42" t="s">
        <v>1525</v>
      </c>
      <c r="JU42" t="s">
        <v>1680</v>
      </c>
      <c r="JV42">
        <v>0.02</v>
      </c>
      <c r="JW42">
        <v>3.04</v>
      </c>
      <c r="JX42">
        <v>1</v>
      </c>
      <c r="JY42">
        <f>+Tabla5202122242526[[#This Row],[Recuento]]*Tabla5202122242526[[#This Row],[Volúmen bruto]]</f>
        <v>0.02</v>
      </c>
      <c r="JZ42">
        <f>+Tabla5202122242526[[#This Row],[Recuento]]*Tabla5202122242526[[#This Row],[Área neta]]</f>
        <v>3.04</v>
      </c>
      <c r="KA42" s="26"/>
      <c r="KC42"/>
      <c r="KD42"/>
      <c r="KE42"/>
      <c r="KF42"/>
      <c r="KG42"/>
      <c r="KH42"/>
      <c r="KI42">
        <f>+Tabla5202122242526104[[#This Row],[Recuento]]*Tabla5202122242526104[[#This Row],[Volúmen bruto]]</f>
        <v>0</v>
      </c>
      <c r="KJ42">
        <f>+Tabla5202122242526104[[#This Row],[Recuento]]*Tabla5202122242526104[[#This Row],[Área neta]]</f>
        <v>0</v>
      </c>
      <c r="KK42" s="26"/>
      <c r="KM42" t="s">
        <v>1862</v>
      </c>
      <c r="KN42" t="s">
        <v>1524</v>
      </c>
      <c r="KO42" t="s">
        <v>1679</v>
      </c>
      <c r="KP42">
        <v>0</v>
      </c>
      <c r="KQ42">
        <v>0.53</v>
      </c>
      <c r="KR42">
        <v>1</v>
      </c>
      <c r="KS42">
        <f>+Tabla5202122242526104110[[#This Row],[Recuento]]*Tabla5202122242526104110[[#This Row],[Volúmen bruto]]</f>
        <v>0</v>
      </c>
      <c r="KT42">
        <f>+Tabla5202122242526104110[[#This Row],[Recuento]]*Tabla5202122242526104110[[#This Row],[Área neta]]</f>
        <v>0.53</v>
      </c>
      <c r="KU42" s="26">
        <f>+SUM(KT42:KT49)</f>
        <v>22.310000000000002</v>
      </c>
      <c r="KW42"/>
      <c r="KX42"/>
      <c r="KY42"/>
      <c r="KZ42"/>
      <c r="LA42"/>
      <c r="LB42"/>
      <c r="LC42">
        <f>+Tabla520212224252659[[#This Row],[Recuento]]*Tabla520212224252659[[#This Row],[Volúmen bruto]]</f>
        <v>0</v>
      </c>
      <c r="LD42">
        <f>+Tabla520212224252659[[#This Row],[Recuento]]*Tabla520212224252659[[#This Row],[Área neta]]</f>
        <v>0</v>
      </c>
      <c r="LE42" s="26"/>
      <c r="LG42"/>
      <c r="LH42"/>
      <c r="LI42"/>
      <c r="LJ42"/>
      <c r="LK42"/>
      <c r="LL42"/>
      <c r="LM42">
        <f>+Tabla520212224252659111[[#This Row],[Recuento]]*Tabla520212224252659111[[#This Row],[Volúmen bruto]]</f>
        <v>0</v>
      </c>
      <c r="LN42">
        <f>+Tabla520212224252659111[[#This Row],[Recuento]]*Tabla520212224252659111[[#This Row],[Área neta]]</f>
        <v>0</v>
      </c>
      <c r="LO42" s="26"/>
      <c r="LQ42"/>
      <c r="LR42"/>
      <c r="LS42"/>
      <c r="LT42"/>
      <c r="LU42"/>
      <c r="LV42"/>
      <c r="LW42">
        <f>+Tabla520212224252659111114[[#This Row],[Recuento]]*Tabla520212224252659111114[[#This Row],[Volúmen bruto]]</f>
        <v>0</v>
      </c>
      <c r="LX42">
        <f>+Tabla520212224252659111114[[#This Row],[Recuento]]*Tabla520212224252659111114[[#This Row],[Área neta]]</f>
        <v>0</v>
      </c>
      <c r="LY42" s="26"/>
      <c r="MA42" t="s">
        <v>1863</v>
      </c>
      <c r="MB42" t="s">
        <v>1524</v>
      </c>
      <c r="MC42" t="s">
        <v>97</v>
      </c>
      <c r="MD42">
        <v>0.03</v>
      </c>
      <c r="ME42">
        <v>2.21</v>
      </c>
      <c r="MF42">
        <v>1</v>
      </c>
      <c r="MG42">
        <f>+Tabla520212224252659111114128[[#This Row],[Recuento]]*Tabla520212224252659111114128[[#This Row],[Volúmen bruto]]</f>
        <v>0.03</v>
      </c>
      <c r="MH42">
        <f>+Tabla520212224252659111114128[[#This Row],[Recuento]]*Tabla520212224252659111114128[[#This Row],[Área neta]]</f>
        <v>2.21</v>
      </c>
      <c r="MI42" s="26"/>
      <c r="MK42"/>
      <c r="ML42"/>
      <c r="MM42"/>
      <c r="MN42"/>
      <c r="MO42"/>
      <c r="MP42"/>
      <c r="MQ42">
        <f>+Tabla520212224252627[[#This Row],[Recuento]]*Tabla520212224252627[[#This Row],[Volúmen bruto]]</f>
        <v>0</v>
      </c>
      <c r="MR42">
        <f>+Tabla520212224252627[[#This Row],[Recuento]]*Tabla520212224252627[[#This Row],[Área neta]]</f>
        <v>0</v>
      </c>
      <c r="MS42" s="26"/>
      <c r="MU42"/>
      <c r="MV42"/>
      <c r="MW42"/>
      <c r="MX42"/>
      <c r="MY42"/>
      <c r="MZ42"/>
      <c r="NA42">
        <f>+Tabla520212224252627129[[#This Row],[Recuento]]*Tabla520212224252627129[[#This Row],[Volúmen bruto]]</f>
        <v>0</v>
      </c>
      <c r="NB42">
        <f>+Tabla520212224252627129[[#This Row],[Recuento]]*Tabla520212224252627129[[#This Row],[Área neta]]</f>
        <v>0</v>
      </c>
      <c r="NC42" s="26"/>
      <c r="NE42"/>
      <c r="NF42"/>
      <c r="NG42"/>
      <c r="NH42"/>
      <c r="NI42"/>
      <c r="NJ42"/>
      <c r="NK42">
        <f>+Tabla520212224252627129125[[#This Row],[Recuento]]*Tabla520212224252627129125[[#This Row],[Volúmen bruto]]</f>
        <v>0</v>
      </c>
      <c r="NL42">
        <f>+Tabla520212224252627129125[[#This Row],[Recuento]]*Tabla520212224252627129125[[#This Row],[Área neta]]</f>
        <v>0</v>
      </c>
      <c r="NM42" s="26"/>
      <c r="NO42"/>
      <c r="NP42"/>
      <c r="NQ42"/>
      <c r="NR42"/>
      <c r="NS42"/>
      <c r="NT42"/>
      <c r="NU42">
        <f>+Tabla520212224252627129125130[[#This Row],[Recuento]]*Tabla520212224252627129125130[[#This Row],[Volúmen bruto]]</f>
        <v>0</v>
      </c>
      <c r="NV42">
        <f>+Tabla520212224252627129125130[[#This Row],[Recuento]]*Tabla520212224252627129125130[[#This Row],[Área neta]]</f>
        <v>0</v>
      </c>
      <c r="NW42" s="26"/>
      <c r="NY42"/>
      <c r="NZ42"/>
      <c r="OA42"/>
      <c r="OB42"/>
      <c r="OC42"/>
      <c r="OD42"/>
      <c r="OE42">
        <f>+Tabla520212224252627129125130131[[#This Row],[Recuento]]*Tabla520212224252627129125130131[[#This Row],[Volúmen bruto]]</f>
        <v>0</v>
      </c>
      <c r="OF42">
        <f>+Tabla520212224252627129125130131[[#This Row],[Recuento]]*Tabla520212224252627129125130131[[#This Row],[Área neta]]</f>
        <v>0</v>
      </c>
      <c r="OG42" s="26"/>
      <c r="OI42"/>
      <c r="OJ42"/>
      <c r="OK42"/>
      <c r="OL42"/>
      <c r="OM42"/>
      <c r="ON42"/>
      <c r="OO42">
        <f>+Tabla520212224252627129125130131132[[#This Row],[Recuento]]*Tabla520212224252627129125130131132[[#This Row],[Volúmen bruto]]</f>
        <v>0</v>
      </c>
      <c r="OP42">
        <f>+Tabla520212224252627129125130131132[[#This Row],[Recuento]]*Tabla520212224252627129125130131132[[#This Row],[Área neta]]</f>
        <v>0</v>
      </c>
      <c r="OQ42" s="26"/>
      <c r="OS42"/>
      <c r="OT42"/>
      <c r="OU42"/>
      <c r="OV42"/>
      <c r="OW42"/>
      <c r="OX42"/>
      <c r="OY42">
        <f>+Tabla52021222425262728[[#This Row],[Recuento]]*Tabla52021222425262728[[#This Row],[Volúmen bruto]]</f>
        <v>0</v>
      </c>
      <c r="OZ42">
        <f>+Tabla52021222425262728[[#This Row],[Recuento]]*Tabla52021222425262728[[#This Row],[Área neta]]</f>
        <v>0</v>
      </c>
      <c r="PA42" s="26"/>
      <c r="PC42" t="s">
        <v>1862</v>
      </c>
      <c r="PD42" t="s">
        <v>1525</v>
      </c>
      <c r="PE42" t="s">
        <v>1677</v>
      </c>
      <c r="PF42">
        <v>0</v>
      </c>
      <c r="PG42">
        <v>0.6</v>
      </c>
      <c r="PH42">
        <v>1</v>
      </c>
      <c r="PI42">
        <f>+Tabla52021222425262728133[[#This Row],[Recuento]]*Tabla52021222425262728133[[#This Row],[Volúmen bruto]]</f>
        <v>0</v>
      </c>
      <c r="PJ42">
        <f>+Tabla52021222425262728133[[#This Row],[Recuento]]*Tabla52021222425262728133[[#This Row],[Área neta]]</f>
        <v>0.6</v>
      </c>
      <c r="PK42" s="26">
        <f>+SUM(PJ42:PJ49)</f>
        <v>15.260000000000002</v>
      </c>
      <c r="PM42"/>
      <c r="PN42"/>
      <c r="PO42"/>
      <c r="PP42"/>
      <c r="PQ42"/>
      <c r="PR42"/>
      <c r="PS42">
        <f>+Tabla5202122242526272893[[#This Row],[Recuento]]*Tabla5202122242526272893[[#This Row],[Volúmen bruto]]</f>
        <v>0</v>
      </c>
      <c r="PT42">
        <f>+Tabla5202122242526272893[[#This Row],[Recuento]]*Tabla5202122242526272893[[#This Row],[Área neta]]</f>
        <v>0</v>
      </c>
      <c r="PU42" s="26"/>
      <c r="PW42" t="s">
        <v>1862</v>
      </c>
      <c r="PX42" t="s">
        <v>1525</v>
      </c>
      <c r="PY42" t="s">
        <v>1676</v>
      </c>
      <c r="PZ42">
        <v>0.16</v>
      </c>
      <c r="QA42">
        <v>1.33</v>
      </c>
      <c r="QB42">
        <v>1</v>
      </c>
      <c r="QC42">
        <f>+Tabla520212224252627289349[[#This Row],[Recuento]]*Tabla520212224252627289349[[#This Row],[Volúmen bruto]]</f>
        <v>0.16</v>
      </c>
      <c r="QD42">
        <f>+Tabla520212224252627289349[[#This Row],[Recuento]]*Tabla520212224252627289349[[#This Row],[Área neta]]</f>
        <v>1.33</v>
      </c>
      <c r="QE42" s="26"/>
      <c r="QG42"/>
      <c r="QH42"/>
      <c r="QI42"/>
      <c r="QJ42"/>
      <c r="QK42"/>
      <c r="QL42"/>
      <c r="QM42">
        <f>+Tabla520212224252627289349134[[#This Row],[Recuento]]*Tabla520212224252627289349134[[#This Row],[Volúmen bruto]]</f>
        <v>0</v>
      </c>
      <c r="QN42">
        <f>+Tabla520212224252627289349134[[#This Row],[Recuento]]*Tabla520212224252627289349134[[#This Row],[Área neta]]</f>
        <v>0</v>
      </c>
      <c r="QO42" s="26"/>
      <c r="QQ42" t="s">
        <v>1863</v>
      </c>
      <c r="QR42" t="s">
        <v>1524</v>
      </c>
      <c r="QS42" t="s">
        <v>1726</v>
      </c>
      <c r="QT42">
        <v>0.1</v>
      </c>
      <c r="QU42">
        <v>0.49</v>
      </c>
      <c r="QV42">
        <v>1</v>
      </c>
      <c r="QW42">
        <v>1</v>
      </c>
      <c r="QX42">
        <f>+Tabla5202122242526272829[[#This Row],[Recuento]]*Tabla5202122242526272829[[#This Row],[Volúmen bruto]]</f>
        <v>0.1</v>
      </c>
      <c r="QY42">
        <f>+Tabla5202122242526272829[[#This Row],[Recuento]]*Tabla5202122242526272829[[#This Row],[Área neta]]</f>
        <v>0.49</v>
      </c>
      <c r="QZ42">
        <f>+Tabla5202122242526272829[[#This Row],[Recuento]]*Tabla5202122242526272829[[#This Row],[Longitud]]</f>
        <v>1</v>
      </c>
      <c r="RA42" s="26"/>
      <c r="RC42"/>
      <c r="RD42"/>
      <c r="RE42"/>
      <c r="RF42"/>
      <c r="RG42"/>
      <c r="RH42"/>
      <c r="RI42"/>
      <c r="RJ42"/>
      <c r="RK42" s="26"/>
      <c r="RM42"/>
      <c r="RN42"/>
      <c r="RO42"/>
      <c r="RP42"/>
      <c r="RQ42"/>
      <c r="RR42"/>
      <c r="RS42"/>
      <c r="RT42"/>
      <c r="RU42" s="26">
        <f t="shared" si="7"/>
        <v>0</v>
      </c>
      <c r="RW42"/>
      <c r="RX42"/>
      <c r="RY42"/>
      <c r="RZ42"/>
      <c r="SA42"/>
      <c r="SB42"/>
      <c r="SC42"/>
      <c r="SD42"/>
      <c r="SE42" s="26"/>
      <c r="SG42"/>
      <c r="SH42"/>
      <c r="SI42"/>
      <c r="SJ42"/>
      <c r="SK42"/>
      <c r="SL42"/>
      <c r="SM42"/>
      <c r="SN42"/>
      <c r="SO42" s="26"/>
      <c r="SQ42"/>
      <c r="SR42"/>
      <c r="SY42" s="36"/>
      <c r="TA42"/>
      <c r="TB42"/>
      <c r="TI42" s="36">
        <f t="shared" si="8"/>
        <v>0</v>
      </c>
      <c r="TK42"/>
      <c r="TL42"/>
      <c r="TS42" s="36">
        <f t="shared" si="9"/>
        <v>0</v>
      </c>
      <c r="TU42"/>
      <c r="TV42"/>
      <c r="UC42" s="36">
        <f t="shared" si="10"/>
        <v>0</v>
      </c>
      <c r="UE42"/>
      <c r="UF42"/>
      <c r="UM42" s="36">
        <f t="shared" si="11"/>
        <v>0</v>
      </c>
      <c r="UO42"/>
      <c r="UP42"/>
      <c r="UW42" s="36">
        <f t="shared" si="12"/>
        <v>0</v>
      </c>
      <c r="UY42"/>
      <c r="UZ42"/>
      <c r="VG42" s="36">
        <f t="shared" si="13"/>
        <v>0</v>
      </c>
      <c r="VI42"/>
      <c r="VJ42"/>
      <c r="VQ42" s="36">
        <f t="shared" si="14"/>
        <v>0</v>
      </c>
      <c r="VS42"/>
      <c r="VT42"/>
      <c r="WA42" s="36">
        <f t="shared" si="15"/>
        <v>0</v>
      </c>
      <c r="WC42"/>
      <c r="WD42"/>
      <c r="WK42" s="36">
        <f t="shared" si="16"/>
        <v>0</v>
      </c>
      <c r="WM42"/>
      <c r="WN42"/>
      <c r="WU42" s="36">
        <f t="shared" si="17"/>
        <v>0</v>
      </c>
      <c r="WW42"/>
      <c r="WX42"/>
      <c r="XE42" s="36">
        <f t="shared" si="18"/>
        <v>0</v>
      </c>
      <c r="XG42"/>
      <c r="XH42"/>
      <c r="XO42" s="36">
        <f t="shared" si="22"/>
        <v>0</v>
      </c>
      <c r="XQ42"/>
      <c r="XR42"/>
      <c r="XY42" s="36">
        <f t="shared" si="23"/>
        <v>0</v>
      </c>
      <c r="YA42"/>
      <c r="YB42"/>
      <c r="YI42" s="36">
        <f t="shared" si="24"/>
        <v>0</v>
      </c>
      <c r="YJ42" s="36"/>
      <c r="YK42"/>
      <c r="YL42"/>
      <c r="YM42"/>
      <c r="YN42"/>
      <c r="YO42"/>
      <c r="YQ42"/>
      <c r="YR42"/>
      <c r="YY42" s="36">
        <f t="shared" si="25"/>
        <v>0</v>
      </c>
      <c r="ZA42"/>
      <c r="ZB42"/>
      <c r="ZI42" s="36">
        <f t="shared" si="26"/>
        <v>0</v>
      </c>
      <c r="ZK42"/>
      <c r="ZL42"/>
      <c r="ZS42" s="36">
        <f t="shared" si="27"/>
        <v>0</v>
      </c>
      <c r="ZU42"/>
      <c r="ZV42"/>
      <c r="AAC42" s="36">
        <f t="shared" si="28"/>
        <v>0</v>
      </c>
      <c r="AAE42"/>
      <c r="AAF42"/>
      <c r="AAM42" s="36">
        <f t="shared" si="29"/>
        <v>0</v>
      </c>
      <c r="AAY42"/>
      <c r="AAZ42"/>
      <c r="ABA42"/>
      <c r="ABB42"/>
      <c r="ABC42"/>
      <c r="ABD42" s="38"/>
      <c r="ABE42" s="34"/>
      <c r="ABF42" s="34"/>
      <c r="ABG42" s="36"/>
      <c r="ABI42"/>
      <c r="ABJ42"/>
      <c r="ABK42"/>
      <c r="ABL42"/>
      <c r="ABM42"/>
      <c r="ABN42" s="38"/>
      <c r="ABO42" s="34"/>
      <c r="ABP42" s="34"/>
      <c r="ABQ42" s="36"/>
      <c r="ABS42"/>
      <c r="ABT42"/>
      <c r="ABU42"/>
      <c r="ABV42"/>
      <c r="ABW42"/>
      <c r="ABX42" s="38"/>
      <c r="ABY42" s="34"/>
      <c r="ABZ42" s="34"/>
      <c r="ACA42" s="36"/>
      <c r="ACC42"/>
      <c r="ACD42"/>
      <c r="ACE42"/>
      <c r="ACF42"/>
      <c r="ACG42"/>
      <c r="ACH42" s="38"/>
      <c r="ACI42" s="34"/>
      <c r="ACJ42" s="34"/>
      <c r="ACK42" s="36"/>
      <c r="ACM42"/>
      <c r="ACN42"/>
      <c r="ACO42"/>
      <c r="ACP42"/>
      <c r="ACQ42"/>
      <c r="ACR42" s="38"/>
      <c r="ACS42" s="34"/>
      <c r="ACT42" s="34"/>
      <c r="ACU42" s="36"/>
      <c r="ACW42" t="s">
        <v>1235</v>
      </c>
      <c r="ACX42" s="1">
        <v>1</v>
      </c>
      <c r="ACY42" s="2"/>
      <c r="ADA42"/>
      <c r="ADB42" s="2">
        <f t="shared" si="21"/>
        <v>0</v>
      </c>
      <c r="ADD42" t="s">
        <v>1723</v>
      </c>
      <c r="ADE42">
        <v>0.85</v>
      </c>
      <c r="ADF42">
        <v>148</v>
      </c>
      <c r="ADG42" s="26">
        <f>+ADF42*ADE42</f>
        <v>125.8</v>
      </c>
      <c r="ADJ42"/>
      <c r="ADK42"/>
      <c r="ADL42"/>
      <c r="ADM42"/>
      <c r="ADN42"/>
      <c r="ADO42">
        <f>+Tabla578914151634353637383940414243444546474849505152535560[[#This Row],[G. Total]]*Tabla578914151634353637383940414243444546474849505152535560[[#This Row],[Recuento]]</f>
        <v>0</v>
      </c>
      <c r="ADP42" s="36"/>
      <c r="ADR42"/>
      <c r="ADS42"/>
      <c r="ADT42"/>
      <c r="ADU42"/>
      <c r="ADV42"/>
      <c r="ADW42" s="36"/>
      <c r="ADX42" s="36"/>
      <c r="ADY42"/>
      <c r="ADZ42"/>
      <c r="AEA42"/>
      <c r="AEB42"/>
      <c r="AEC42"/>
      <c r="AED42"/>
      <c r="AEE42" s="36"/>
      <c r="AEG42"/>
      <c r="AEH42"/>
      <c r="AEI42"/>
      <c r="AEJ42"/>
      <c r="AEK42"/>
      <c r="AEL42" s="36"/>
      <c r="AEM42" s="36"/>
      <c r="AEN42" t="s">
        <v>1522</v>
      </c>
      <c r="AEO42" t="s">
        <v>1524</v>
      </c>
      <c r="AEP42" t="s">
        <v>381</v>
      </c>
      <c r="AEQ42">
        <v>7.0000000000000007E-2</v>
      </c>
      <c r="AER42">
        <v>6</v>
      </c>
      <c r="AES42">
        <f>+Tabla5789141516343536373839404142434445464748495051525355606264[[#This Row],[G. Total]]*Tabla5789141516343536373839404142434445464748495051525355606264[[#This Row],[Recuento]]</f>
        <v>0.42000000000000004</v>
      </c>
      <c r="AET42" s="35"/>
      <c r="AEV42"/>
      <c r="AEW42"/>
      <c r="AEX42"/>
      <c r="AEY42"/>
      <c r="AEZ42"/>
      <c r="AFA42" s="35"/>
      <c r="AFC42"/>
      <c r="AFD42"/>
      <c r="AFE42"/>
      <c r="AFF42"/>
      <c r="AFG42"/>
      <c r="AFH42"/>
      <c r="AFI42"/>
      <c r="AFJ42"/>
      <c r="AFK42"/>
      <c r="AFL42"/>
      <c r="AFM42"/>
      <c r="AFN42">
        <f>+Tabla578914151634353637383940414243444546474849505152535560626467[[#This Row],[G. Total]]*Tabla578914151634353637383940414243444546474849505152535560626467[[#This Row],[Recuento]]</f>
        <v>0</v>
      </c>
      <c r="AFO42" s="36"/>
      <c r="AFQ42" s="2" t="s">
        <v>118</v>
      </c>
      <c r="AFX42" s="2" t="s">
        <v>119</v>
      </c>
    </row>
    <row r="43" spans="1:861" ht="14.2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 s="26">
        <f t="shared" si="30"/>
        <v>0</v>
      </c>
      <c r="V43"/>
      <c r="W43"/>
      <c r="X43"/>
      <c r="Y43"/>
      <c r="Z43"/>
      <c r="AA43"/>
      <c r="AB43"/>
      <c r="AC43"/>
      <c r="AD43"/>
      <c r="AE43"/>
      <c r="AF43"/>
      <c r="AG43" s="26">
        <f t="shared" si="4"/>
        <v>0</v>
      </c>
      <c r="AH43"/>
      <c r="AI43"/>
      <c r="AJ43"/>
      <c r="AK43"/>
      <c r="AL43"/>
      <c r="AM43"/>
      <c r="AN43"/>
      <c r="AO43"/>
      <c r="AP43"/>
      <c r="AQ43"/>
      <c r="AR43"/>
      <c r="AS43" s="26">
        <f t="shared" si="5"/>
        <v>0</v>
      </c>
      <c r="AT43"/>
      <c r="AU43"/>
      <c r="AV43"/>
      <c r="AW43"/>
      <c r="AX43"/>
      <c r="AY43"/>
      <c r="AZ43"/>
      <c r="BA43"/>
      <c r="BB43"/>
      <c r="BC43"/>
      <c r="BD43"/>
      <c r="BE43" s="26">
        <f t="shared" si="6"/>
        <v>0</v>
      </c>
      <c r="BF43">
        <v>2</v>
      </c>
      <c r="BG43" t="s">
        <v>1862</v>
      </c>
      <c r="BH43" t="s">
        <v>1524</v>
      </c>
      <c r="BI43" t="s">
        <v>1406</v>
      </c>
      <c r="BJ43">
        <v>5.15</v>
      </c>
      <c r="BK43">
        <v>5.5</v>
      </c>
      <c r="BL43">
        <f>+Tabla3102[[#This Row],[En culmo]]*BF43</f>
        <v>11</v>
      </c>
      <c r="BM43"/>
      <c r="BO43"/>
      <c r="BP43"/>
      <c r="BQ43"/>
      <c r="BR43"/>
      <c r="BS43"/>
      <c r="BT43">
        <f>+Tabla31069[[#This Row],[Longitud de eje]]*BN43</f>
        <v>0</v>
      </c>
      <c r="BU43">
        <f>+Tabla31069[[#This Row],[Longitud de eje]]*BO43</f>
        <v>0</v>
      </c>
      <c r="BV43"/>
      <c r="BW43"/>
      <c r="BX43"/>
      <c r="BY43"/>
      <c r="BZ43"/>
      <c r="CA43"/>
      <c r="CB43">
        <f>+Tabla31011[[#This Row],[Longitud de eje]]*BV43</f>
        <v>0</v>
      </c>
      <c r="CD43">
        <v>10</v>
      </c>
      <c r="CE43" t="s">
        <v>1863</v>
      </c>
      <c r="CF43" t="s">
        <v>1525</v>
      </c>
      <c r="CG43" t="s">
        <v>1405</v>
      </c>
      <c r="CH43">
        <v>0.45</v>
      </c>
      <c r="CI43">
        <v>0.5</v>
      </c>
      <c r="CJ43">
        <f>+Tabla3101170[[#This Row],[En culmo]]*CD43</f>
        <v>5</v>
      </c>
      <c r="CK43"/>
      <c r="CL43"/>
      <c r="CM43"/>
      <c r="CN43"/>
      <c r="CO43"/>
      <c r="CP43"/>
      <c r="CQ43"/>
      <c r="CR43">
        <f>+Tabla31011116[[#This Row],[Longitud de eje]]*CL43</f>
        <v>0</v>
      </c>
      <c r="CT43"/>
      <c r="CU43"/>
      <c r="CV43"/>
      <c r="CW43"/>
      <c r="CX43"/>
      <c r="CY43"/>
      <c r="CZ43">
        <f>+Tabla3101170117[[#This Row],[En culmo]]*CT43</f>
        <v>0</v>
      </c>
      <c r="DA43"/>
      <c r="DB43"/>
      <c r="DC43"/>
      <c r="DD43"/>
      <c r="DE43"/>
      <c r="DF43"/>
      <c r="DG43">
        <f>+Tabla31011704[[#This Row],[Longitud de eje]]*DB43</f>
        <v>0</v>
      </c>
      <c r="DH43"/>
      <c r="DI43"/>
      <c r="DJ43"/>
      <c r="DK43"/>
      <c r="DL43"/>
      <c r="DM43"/>
      <c r="DN43">
        <f>+Tabla3101170411[[#This Row],[Longitud de eje]]*DI43</f>
        <v>0</v>
      </c>
      <c r="DO43"/>
      <c r="DP43"/>
      <c r="DQ43"/>
      <c r="DR43"/>
      <c r="DS43"/>
      <c r="DT43"/>
      <c r="DU43">
        <f>+Tabla3101170411120[[#This Row],[Longitud de eje]]*DP43</f>
        <v>0</v>
      </c>
      <c r="DV43"/>
      <c r="DW43"/>
      <c r="DX43"/>
      <c r="DY43"/>
      <c r="DZ43"/>
      <c r="EA43"/>
      <c r="EB43">
        <f>+Tabla3101170411120122[[#This Row],[Longitud de eje]]*DW43</f>
        <v>0</v>
      </c>
      <c r="EC43"/>
      <c r="ED43">
        <v>1</v>
      </c>
      <c r="EE43" t="s">
        <v>1862</v>
      </c>
      <c r="EF43" t="s">
        <v>1524</v>
      </c>
      <c r="EG43" t="s">
        <v>1406</v>
      </c>
      <c r="EH43">
        <v>3.1</v>
      </c>
      <c r="EI43">
        <v>3.5</v>
      </c>
      <c r="EJ43">
        <f>+Tabla3101112[[#This Row],[En culmo]]*ED43</f>
        <v>3.5</v>
      </c>
      <c r="EK43"/>
      <c r="EL43"/>
      <c r="EM43"/>
      <c r="EN43"/>
      <c r="EO43"/>
      <c r="EP43"/>
      <c r="EQ43"/>
      <c r="ER43">
        <f>+Tabla3101112123[[#This Row],[En culmo]]*EL43</f>
        <v>0</v>
      </c>
      <c r="ES43"/>
      <c r="ET43">
        <v>6</v>
      </c>
      <c r="EU43" t="s">
        <v>1862</v>
      </c>
      <c r="EV43" t="s">
        <v>1525</v>
      </c>
      <c r="EW43" t="s">
        <v>1406</v>
      </c>
      <c r="EX43">
        <v>0.98</v>
      </c>
      <c r="EY43">
        <v>1.5</v>
      </c>
      <c r="EZ43">
        <f>+Tabla310111257[[#This Row],[En culmo]]*ET43</f>
        <v>9</v>
      </c>
      <c r="FA43"/>
      <c r="FB43"/>
      <c r="FC43"/>
      <c r="FD43"/>
      <c r="FE43"/>
      <c r="FF43"/>
      <c r="FG43">
        <v>2</v>
      </c>
      <c r="FH43">
        <f>+Tabla310111257124[[#This Row],[En culmo]]*FB43</f>
        <v>0</v>
      </c>
      <c r="FI43"/>
      <c r="FK43"/>
      <c r="FL43"/>
      <c r="FM43"/>
      <c r="FN43"/>
      <c r="FO43"/>
      <c r="FP43"/>
      <c r="FQ43"/>
      <c r="FS43"/>
      <c r="FT43"/>
      <c r="FU43"/>
      <c r="FV43"/>
      <c r="FW43"/>
      <c r="FX43"/>
      <c r="FY43"/>
      <c r="GA43"/>
      <c r="GB43"/>
      <c r="GC43"/>
      <c r="GD43"/>
      <c r="GE43"/>
      <c r="GF43"/>
      <c r="GG43"/>
      <c r="GI43"/>
      <c r="GJ43"/>
      <c r="GK43"/>
      <c r="GL43"/>
      <c r="GM43"/>
      <c r="GN43"/>
      <c r="GO43"/>
      <c r="GQ43"/>
      <c r="GR43"/>
      <c r="GS43"/>
      <c r="GT43"/>
      <c r="GU43"/>
      <c r="GV43" s="38">
        <v>1</v>
      </c>
      <c r="GW43">
        <f>+Tabla578914[[#This Row],[Recuento]]*Tabla578914[[#This Row],[Volúmen bruto]]</f>
        <v>0</v>
      </c>
      <c r="GX43">
        <f>+Tabla578914[[#This Row],[Recuento]]*Tabla578914[[#This Row],[Área neta]]</f>
        <v>0</v>
      </c>
      <c r="GY43" s="36"/>
      <c r="HA43"/>
      <c r="HB43"/>
      <c r="HC43"/>
      <c r="HD43"/>
      <c r="HE43"/>
      <c r="HF43" s="38">
        <v>1</v>
      </c>
      <c r="HG43">
        <f>+Tabla578914126[[#This Row],[Recuento]]*Tabla578914126[[#This Row],[Volúmen bruto]]</f>
        <v>0</v>
      </c>
      <c r="HH43">
        <f>+Tabla578914126[[#This Row],[Recuento]]*Tabla578914126[[#This Row],[Área neta]]</f>
        <v>0</v>
      </c>
      <c r="HI43" s="36"/>
      <c r="HK43"/>
      <c r="HL43"/>
      <c r="HM43"/>
      <c r="HN43"/>
      <c r="HO43"/>
      <c r="HP43" s="38">
        <v>1</v>
      </c>
      <c r="HQ43">
        <f>+Tabla578914126127[[#This Row],[Recuento]]*Tabla578914126127[[#This Row],[Volúmen bruto]]</f>
        <v>0</v>
      </c>
      <c r="HR43">
        <f>+Tabla578914126127[[#This Row],[Recuento]]*Tabla578914126127[[#This Row],[Área neta]]</f>
        <v>0</v>
      </c>
      <c r="HS43" s="36"/>
      <c r="HU43"/>
      <c r="HV43"/>
      <c r="HW43"/>
      <c r="HX43"/>
      <c r="HY43"/>
      <c r="HZ43"/>
      <c r="IA43"/>
      <c r="IB43"/>
      <c r="IC43" s="36"/>
      <c r="IE43"/>
      <c r="IF43"/>
      <c r="IG43"/>
      <c r="IH43"/>
      <c r="II43"/>
      <c r="IJ43"/>
      <c r="IK43"/>
      <c r="IL43"/>
      <c r="IM43" s="36"/>
      <c r="IY43"/>
      <c r="IZ43"/>
      <c r="JA43"/>
      <c r="JB43"/>
      <c r="JC43"/>
      <c r="JD43">
        <v>1</v>
      </c>
      <c r="JE43">
        <f>+Tabla520212224[[#This Row],[Recuento]]*Tabla520212224[[#This Row],[Volúmen bruto]]</f>
        <v>0</v>
      </c>
      <c r="JF43">
        <f>+Tabla520212224[[#This Row],[Recuento]]*Tabla520212224[[#This Row],[Área neta]]</f>
        <v>0</v>
      </c>
      <c r="JG43" s="26"/>
      <c r="JI43" t="s">
        <v>1862</v>
      </c>
      <c r="JJ43" t="s">
        <v>1525</v>
      </c>
      <c r="JK43" t="s">
        <v>1676</v>
      </c>
      <c r="JL43">
        <v>0.93</v>
      </c>
      <c r="JM43">
        <v>7.77</v>
      </c>
      <c r="JN43">
        <v>1</v>
      </c>
      <c r="JO43">
        <f>+Tabla52021222425[[#This Row],[Recuento]]*Tabla52021222425[[#This Row],[Volúmen bruto]]</f>
        <v>0.93</v>
      </c>
      <c r="JP43">
        <f>+Tabla52021222425[[#This Row],[Recuento]]*Tabla52021222425[[#This Row],[Área neta]]</f>
        <v>7.77</v>
      </c>
      <c r="JQ43" s="26"/>
      <c r="JS43" t="s">
        <v>1862</v>
      </c>
      <c r="JT43" t="s">
        <v>1525</v>
      </c>
      <c r="JU43" t="s">
        <v>1680</v>
      </c>
      <c r="JV43">
        <v>0.01</v>
      </c>
      <c r="JW43">
        <v>2.33</v>
      </c>
      <c r="JX43">
        <v>1</v>
      </c>
      <c r="JY43">
        <f>+Tabla5202122242526[[#This Row],[Recuento]]*Tabla5202122242526[[#This Row],[Volúmen bruto]]</f>
        <v>0.01</v>
      </c>
      <c r="JZ43">
        <f>+Tabla5202122242526[[#This Row],[Recuento]]*Tabla5202122242526[[#This Row],[Área neta]]</f>
        <v>2.33</v>
      </c>
      <c r="KA43" s="26"/>
      <c r="KC43"/>
      <c r="KD43"/>
      <c r="KE43"/>
      <c r="KF43"/>
      <c r="KG43"/>
      <c r="KH43"/>
      <c r="KI43">
        <f>+Tabla5202122242526104[[#This Row],[Recuento]]*Tabla5202122242526104[[#This Row],[Volúmen bruto]]</f>
        <v>0</v>
      </c>
      <c r="KJ43">
        <f>+Tabla5202122242526104[[#This Row],[Recuento]]*Tabla5202122242526104[[#This Row],[Área neta]]</f>
        <v>0</v>
      </c>
      <c r="KK43" s="26"/>
      <c r="KM43" t="s">
        <v>1862</v>
      </c>
      <c r="KN43" t="s">
        <v>1524</v>
      </c>
      <c r="KO43" t="s">
        <v>1679</v>
      </c>
      <c r="KP43">
        <v>0</v>
      </c>
      <c r="KQ43">
        <v>1.82</v>
      </c>
      <c r="KR43">
        <v>1</v>
      </c>
      <c r="KS43">
        <f>+Tabla5202122242526104110[[#This Row],[Recuento]]*Tabla5202122242526104110[[#This Row],[Volúmen bruto]]</f>
        <v>0</v>
      </c>
      <c r="KT43">
        <f>+Tabla5202122242526104110[[#This Row],[Recuento]]*Tabla5202122242526104110[[#This Row],[Área neta]]</f>
        <v>1.82</v>
      </c>
      <c r="KU43" s="26"/>
      <c r="KW43"/>
      <c r="KX43"/>
      <c r="KY43"/>
      <c r="KZ43"/>
      <c r="LA43"/>
      <c r="LB43"/>
      <c r="LC43">
        <f>+Tabla520212224252659[[#This Row],[Recuento]]*Tabla520212224252659[[#This Row],[Volúmen bruto]]</f>
        <v>0</v>
      </c>
      <c r="LD43">
        <f>+Tabla520212224252659[[#This Row],[Recuento]]*Tabla520212224252659[[#This Row],[Área neta]]</f>
        <v>0</v>
      </c>
      <c r="LE43" s="26"/>
      <c r="LG43"/>
      <c r="LH43"/>
      <c r="LI43"/>
      <c r="LJ43"/>
      <c r="LK43"/>
      <c r="LL43"/>
      <c r="LM43">
        <f>+Tabla520212224252659111[[#This Row],[Recuento]]*Tabla520212224252659111[[#This Row],[Volúmen bruto]]</f>
        <v>0</v>
      </c>
      <c r="LN43">
        <f>+Tabla520212224252659111[[#This Row],[Recuento]]*Tabla520212224252659111[[#This Row],[Área neta]]</f>
        <v>0</v>
      </c>
      <c r="LO43" s="26"/>
      <c r="LQ43"/>
      <c r="LR43"/>
      <c r="LS43"/>
      <c r="LT43"/>
      <c r="LU43"/>
      <c r="LV43"/>
      <c r="LW43">
        <f>+Tabla520212224252659111114[[#This Row],[Recuento]]*Tabla520212224252659111114[[#This Row],[Volúmen bruto]]</f>
        <v>0</v>
      </c>
      <c r="LX43">
        <f>+Tabla520212224252659111114[[#This Row],[Recuento]]*Tabla520212224252659111114[[#This Row],[Área neta]]</f>
        <v>0</v>
      </c>
      <c r="LY43" s="26"/>
      <c r="MA43" t="s">
        <v>1863</v>
      </c>
      <c r="MB43" t="s">
        <v>1525</v>
      </c>
      <c r="MC43" t="s">
        <v>97</v>
      </c>
      <c r="MD43">
        <v>0.18</v>
      </c>
      <c r="ME43">
        <v>5.81</v>
      </c>
      <c r="MF43">
        <v>1</v>
      </c>
      <c r="MG43">
        <f>+Tabla520212224252659111114128[[#This Row],[Recuento]]*Tabla520212224252659111114128[[#This Row],[Volúmen bruto]]</f>
        <v>0.18</v>
      </c>
      <c r="MH43">
        <f>+Tabla520212224252659111114128[[#This Row],[Recuento]]*Tabla520212224252659111114128[[#This Row],[Área neta]]</f>
        <v>5.81</v>
      </c>
      <c r="MI43" s="26"/>
      <c r="MK43"/>
      <c r="ML43"/>
      <c r="MM43"/>
      <c r="MN43"/>
      <c r="MO43"/>
      <c r="MP43"/>
      <c r="MQ43">
        <f>+Tabla520212224252627[[#This Row],[Recuento]]*Tabla520212224252627[[#This Row],[Volúmen bruto]]</f>
        <v>0</v>
      </c>
      <c r="MR43">
        <f>+Tabla520212224252627[[#This Row],[Recuento]]*Tabla520212224252627[[#This Row],[Área neta]]</f>
        <v>0</v>
      </c>
      <c r="MS43" s="26"/>
      <c r="MU43"/>
      <c r="MV43"/>
      <c r="MW43"/>
      <c r="MX43"/>
      <c r="MY43"/>
      <c r="MZ43"/>
      <c r="NA43">
        <f>+Tabla520212224252627129[[#This Row],[Recuento]]*Tabla520212224252627129[[#This Row],[Volúmen bruto]]</f>
        <v>0</v>
      </c>
      <c r="NB43">
        <f>+Tabla520212224252627129[[#This Row],[Recuento]]*Tabla520212224252627129[[#This Row],[Área neta]]</f>
        <v>0</v>
      </c>
      <c r="NC43" s="26"/>
      <c r="NE43"/>
      <c r="NF43"/>
      <c r="NG43"/>
      <c r="NH43"/>
      <c r="NI43"/>
      <c r="NJ43"/>
      <c r="NK43">
        <f>+Tabla520212224252627129125[[#This Row],[Recuento]]*Tabla520212224252627129125[[#This Row],[Volúmen bruto]]</f>
        <v>0</v>
      </c>
      <c r="NL43">
        <f>+Tabla520212224252627129125[[#This Row],[Recuento]]*Tabla520212224252627129125[[#This Row],[Área neta]]</f>
        <v>0</v>
      </c>
      <c r="NM43" s="26"/>
      <c r="NO43"/>
      <c r="NP43"/>
      <c r="NQ43"/>
      <c r="NR43"/>
      <c r="NS43"/>
      <c r="NT43"/>
      <c r="NU43">
        <f>+Tabla520212224252627129125130[[#This Row],[Recuento]]*Tabla520212224252627129125130[[#This Row],[Volúmen bruto]]</f>
        <v>0</v>
      </c>
      <c r="NV43">
        <f>+Tabla520212224252627129125130[[#This Row],[Recuento]]*Tabla520212224252627129125130[[#This Row],[Área neta]]</f>
        <v>0</v>
      </c>
      <c r="NW43" s="26"/>
      <c r="NY43"/>
      <c r="NZ43"/>
      <c r="OA43"/>
      <c r="OB43"/>
      <c r="OC43"/>
      <c r="OD43"/>
      <c r="OE43">
        <f>+Tabla520212224252627129125130131[[#This Row],[Recuento]]*Tabla520212224252627129125130131[[#This Row],[Volúmen bruto]]</f>
        <v>0</v>
      </c>
      <c r="OF43">
        <f>+Tabla520212224252627129125130131[[#This Row],[Recuento]]*Tabla520212224252627129125130131[[#This Row],[Área neta]]</f>
        <v>0</v>
      </c>
      <c r="OG43" s="26"/>
      <c r="OI43"/>
      <c r="OJ43"/>
      <c r="OK43"/>
      <c r="OL43"/>
      <c r="OM43"/>
      <c r="ON43"/>
      <c r="OO43">
        <f>+Tabla520212224252627129125130131132[[#This Row],[Recuento]]*Tabla520212224252627129125130131132[[#This Row],[Volúmen bruto]]</f>
        <v>0</v>
      </c>
      <c r="OP43">
        <f>+Tabla520212224252627129125130131132[[#This Row],[Recuento]]*Tabla520212224252627129125130131132[[#This Row],[Área neta]]</f>
        <v>0</v>
      </c>
      <c r="OQ43" s="26"/>
      <c r="OS43"/>
      <c r="OT43"/>
      <c r="OU43"/>
      <c r="OV43"/>
      <c r="OW43"/>
      <c r="OX43"/>
      <c r="OY43">
        <f>+Tabla52021222425262728[[#This Row],[Recuento]]*Tabla52021222425262728[[#This Row],[Volúmen bruto]]</f>
        <v>0</v>
      </c>
      <c r="OZ43">
        <f>+Tabla52021222425262728[[#This Row],[Recuento]]*Tabla52021222425262728[[#This Row],[Área neta]]</f>
        <v>0</v>
      </c>
      <c r="PA43" s="26"/>
      <c r="PC43" t="s">
        <v>1862</v>
      </c>
      <c r="PD43" t="s">
        <v>1525</v>
      </c>
      <c r="PE43" t="s">
        <v>1677</v>
      </c>
      <c r="PF43">
        <v>0</v>
      </c>
      <c r="PG43">
        <v>1.1100000000000001</v>
      </c>
      <c r="PH43">
        <v>1</v>
      </c>
      <c r="PI43">
        <f>+Tabla52021222425262728133[[#This Row],[Recuento]]*Tabla52021222425262728133[[#This Row],[Volúmen bruto]]</f>
        <v>0</v>
      </c>
      <c r="PJ43">
        <f>+Tabla52021222425262728133[[#This Row],[Recuento]]*Tabla52021222425262728133[[#This Row],[Área neta]]</f>
        <v>1.1100000000000001</v>
      </c>
      <c r="PK43" s="26"/>
      <c r="PM43"/>
      <c r="PN43"/>
      <c r="PO43"/>
      <c r="PP43"/>
      <c r="PQ43"/>
      <c r="PR43"/>
      <c r="PS43">
        <f>+Tabla5202122242526272893[[#This Row],[Recuento]]*Tabla5202122242526272893[[#This Row],[Volúmen bruto]]</f>
        <v>0</v>
      </c>
      <c r="PT43">
        <f>+Tabla5202122242526272893[[#This Row],[Recuento]]*Tabla5202122242526272893[[#This Row],[Área neta]]</f>
        <v>0</v>
      </c>
      <c r="PU43" s="26"/>
      <c r="PW43" t="s">
        <v>1862</v>
      </c>
      <c r="PX43" t="s">
        <v>1525</v>
      </c>
      <c r="PY43" t="s">
        <v>1676</v>
      </c>
      <c r="PZ43">
        <v>0.11</v>
      </c>
      <c r="QA43">
        <v>0.89</v>
      </c>
      <c r="QB43">
        <v>1</v>
      </c>
      <c r="QC43">
        <f>+Tabla520212224252627289349[[#This Row],[Recuento]]*Tabla520212224252627289349[[#This Row],[Volúmen bruto]]</f>
        <v>0.11</v>
      </c>
      <c r="QD43">
        <f>+Tabla520212224252627289349[[#This Row],[Recuento]]*Tabla520212224252627289349[[#This Row],[Área neta]]</f>
        <v>0.89</v>
      </c>
      <c r="QE43" s="26"/>
      <c r="QG43"/>
      <c r="QH43"/>
      <c r="QI43"/>
      <c r="QJ43"/>
      <c r="QK43"/>
      <c r="QL43"/>
      <c r="QM43">
        <f>+Tabla520212224252627289349134[[#This Row],[Recuento]]*Tabla520212224252627289349134[[#This Row],[Volúmen bruto]]</f>
        <v>0</v>
      </c>
      <c r="QN43">
        <f>+Tabla520212224252627289349134[[#This Row],[Recuento]]*Tabla520212224252627289349134[[#This Row],[Área neta]]</f>
        <v>0</v>
      </c>
      <c r="QO43" s="26"/>
      <c r="QQ43" t="s">
        <v>1863</v>
      </c>
      <c r="QR43" t="s">
        <v>1524</v>
      </c>
      <c r="QS43" t="s">
        <v>1726</v>
      </c>
      <c r="QT43">
        <v>0.33</v>
      </c>
      <c r="QU43">
        <v>1.65</v>
      </c>
      <c r="QV43">
        <v>1</v>
      </c>
      <c r="QW43">
        <v>1</v>
      </c>
      <c r="QX43">
        <f>+Tabla5202122242526272829[[#This Row],[Recuento]]*Tabla5202122242526272829[[#This Row],[Volúmen bruto]]</f>
        <v>0.33</v>
      </c>
      <c r="QY43">
        <f>+Tabla5202122242526272829[[#This Row],[Recuento]]*Tabla5202122242526272829[[#This Row],[Área neta]]</f>
        <v>1.65</v>
      </c>
      <c r="QZ43">
        <f>+Tabla5202122242526272829[[#This Row],[Recuento]]*Tabla5202122242526272829[[#This Row],[Longitud]]</f>
        <v>1</v>
      </c>
      <c r="RA43" s="26"/>
      <c r="RC43"/>
      <c r="RD43"/>
      <c r="RE43"/>
      <c r="RF43"/>
      <c r="RG43"/>
      <c r="RH43"/>
      <c r="RI43"/>
      <c r="RJ43"/>
      <c r="RK43" s="26"/>
      <c r="RM43"/>
      <c r="RN43"/>
      <c r="RO43"/>
      <c r="RP43"/>
      <c r="RQ43"/>
      <c r="RR43"/>
      <c r="RS43"/>
      <c r="RT43"/>
      <c r="RU43" s="26">
        <f t="shared" si="7"/>
        <v>0</v>
      </c>
      <c r="RW43"/>
      <c r="RX43"/>
      <c r="RY43"/>
      <c r="RZ43"/>
      <c r="SA43"/>
      <c r="SB43"/>
      <c r="SC43"/>
      <c r="SD43"/>
      <c r="SE43" s="26"/>
      <c r="SG43"/>
      <c r="SH43"/>
      <c r="SI43"/>
      <c r="SJ43"/>
      <c r="SK43"/>
      <c r="SL43"/>
      <c r="SM43"/>
      <c r="SN43"/>
      <c r="SO43" s="26"/>
      <c r="SQ43"/>
      <c r="SR43"/>
      <c r="SY43" s="36">
        <f t="shared" ref="SY43:SY51" si="31">+SUM(ST43:ST44)</f>
        <v>0</v>
      </c>
      <c r="TA43"/>
      <c r="TB43"/>
      <c r="TI43" s="36">
        <f t="shared" si="8"/>
        <v>0</v>
      </c>
      <c r="TK43"/>
      <c r="TL43"/>
      <c r="TS43" s="36">
        <f t="shared" si="9"/>
        <v>0</v>
      </c>
      <c r="TU43"/>
      <c r="TV43"/>
      <c r="UC43" s="36">
        <f t="shared" si="10"/>
        <v>0</v>
      </c>
      <c r="UE43"/>
      <c r="UF43"/>
      <c r="UM43" s="36">
        <f t="shared" si="11"/>
        <v>0</v>
      </c>
      <c r="UO43"/>
      <c r="UP43"/>
      <c r="UW43" s="36">
        <f t="shared" si="12"/>
        <v>0</v>
      </c>
      <c r="UY43"/>
      <c r="UZ43"/>
      <c r="VG43" s="36">
        <f t="shared" si="13"/>
        <v>0</v>
      </c>
      <c r="VI43"/>
      <c r="VJ43"/>
      <c r="VQ43" s="36">
        <f t="shared" si="14"/>
        <v>0</v>
      </c>
      <c r="VS43"/>
      <c r="VT43"/>
      <c r="WA43" s="36">
        <f t="shared" si="15"/>
        <v>0</v>
      </c>
      <c r="WC43"/>
      <c r="WD43"/>
      <c r="WK43" s="36">
        <f t="shared" si="16"/>
        <v>0</v>
      </c>
      <c r="WM43"/>
      <c r="WN43"/>
      <c r="WU43" s="36">
        <f t="shared" si="17"/>
        <v>0</v>
      </c>
      <c r="WW43"/>
      <c r="WX43"/>
      <c r="XE43" s="36">
        <f t="shared" si="18"/>
        <v>0</v>
      </c>
      <c r="XG43"/>
      <c r="XH43"/>
      <c r="XO43" s="36">
        <f t="shared" si="22"/>
        <v>0</v>
      </c>
      <c r="XQ43"/>
      <c r="XR43"/>
      <c r="XY43" s="36">
        <f t="shared" si="23"/>
        <v>0</v>
      </c>
      <c r="YA43"/>
      <c r="YB43"/>
      <c r="YI43" s="36">
        <f t="shared" si="24"/>
        <v>0</v>
      </c>
      <c r="YJ43" s="36"/>
      <c r="YK43"/>
      <c r="YL43"/>
      <c r="YM43"/>
      <c r="YN43"/>
      <c r="YO43"/>
      <c r="YQ43"/>
      <c r="YR43"/>
      <c r="YY43" s="36">
        <f t="shared" si="25"/>
        <v>0</v>
      </c>
      <c r="ZA43"/>
      <c r="ZB43"/>
      <c r="ZI43" s="36">
        <f t="shared" si="26"/>
        <v>0</v>
      </c>
      <c r="ZK43"/>
      <c r="ZL43"/>
      <c r="ZS43" s="36">
        <f t="shared" si="27"/>
        <v>0</v>
      </c>
      <c r="ZU43"/>
      <c r="ZV43"/>
      <c r="AAC43" s="36">
        <f t="shared" si="28"/>
        <v>0</v>
      </c>
      <c r="AAE43"/>
      <c r="AAF43"/>
      <c r="AAM43" s="36">
        <f t="shared" si="29"/>
        <v>0</v>
      </c>
      <c r="AAY43"/>
      <c r="AAZ43"/>
      <c r="ABG43" s="36"/>
      <c r="ABI43"/>
      <c r="ABJ43"/>
      <c r="ABQ43" s="36"/>
      <c r="ABS43"/>
      <c r="ABT43"/>
      <c r="ACA43" s="36"/>
      <c r="ACC43"/>
      <c r="ACD43"/>
      <c r="ACK43" s="36"/>
      <c r="ACM43"/>
      <c r="ACN43"/>
      <c r="ACU43" s="36"/>
      <c r="ACW43" t="s">
        <v>1239</v>
      </c>
      <c r="ACX43" s="1">
        <v>1</v>
      </c>
      <c r="ACY43" s="2"/>
      <c r="ADA43"/>
      <c r="ADB43" s="2">
        <f t="shared" si="21"/>
        <v>0</v>
      </c>
      <c r="ADD43" t="s">
        <v>1723</v>
      </c>
      <c r="ADE43">
        <v>0.84</v>
      </c>
      <c r="ADF43">
        <v>110</v>
      </c>
      <c r="ADG43" s="26">
        <f>+ADF43*ADE43</f>
        <v>92.399999999999991</v>
      </c>
      <c r="ADJ43"/>
      <c r="ADK43"/>
      <c r="ADL43"/>
      <c r="ADM43"/>
      <c r="ADN43"/>
      <c r="ADO43">
        <f>+Tabla578914151634353637383940414243444546474849505152535560[[#This Row],[G. Total]]*Tabla578914151634353637383940414243444546474849505152535560[[#This Row],[Recuento]]</f>
        <v>0</v>
      </c>
      <c r="ADP43" s="36"/>
      <c r="ADR43"/>
      <c r="ADS43"/>
      <c r="ADT43"/>
      <c r="ADU43"/>
      <c r="ADV43"/>
      <c r="ADW43" s="36"/>
      <c r="ADX43" s="36"/>
      <c r="ADY43"/>
      <c r="ADZ43"/>
      <c r="AEA43"/>
      <c r="AEB43"/>
      <c r="AEC43"/>
      <c r="AED43"/>
      <c r="AEE43" s="36"/>
      <c r="AEG43"/>
      <c r="AEH43"/>
      <c r="AEI43"/>
      <c r="AEJ43"/>
      <c r="AEK43"/>
      <c r="AEL43" s="35"/>
      <c r="AEM43" s="35"/>
      <c r="AEN43" t="s">
        <v>1522</v>
      </c>
      <c r="AEO43" t="s">
        <v>1524</v>
      </c>
      <c r="AEP43" t="s">
        <v>381</v>
      </c>
      <c r="AEQ43">
        <v>0.51</v>
      </c>
      <c r="AER43">
        <v>1</v>
      </c>
      <c r="AES43">
        <f>+Tabla5789141516343536373839404142434445464748495051525355606264[[#This Row],[G. Total]]*Tabla5789141516343536373839404142434445464748495051525355606264[[#This Row],[Recuento]]</f>
        <v>0.51</v>
      </c>
      <c r="AET43" s="35"/>
      <c r="AEV43"/>
      <c r="AEW43"/>
      <c r="AEX43"/>
      <c r="AEY43"/>
      <c r="AEZ43"/>
      <c r="AFA43" s="35"/>
      <c r="AFC43"/>
      <c r="AFD43"/>
      <c r="AFE43"/>
      <c r="AFF43"/>
      <c r="AFG43"/>
      <c r="AFH43"/>
      <c r="AFI43"/>
      <c r="AFJ43"/>
      <c r="AFK43"/>
      <c r="AFL43"/>
      <c r="AFM43"/>
      <c r="AFN43">
        <f>+Tabla578914151634353637383940414243444546474849505152535560626467[[#This Row],[G. Total]]*Tabla578914151634353637383940414243444546474849505152535560626467[[#This Row],[Recuento]]</f>
        <v>0</v>
      </c>
      <c r="AFO43" s="35"/>
      <c r="AFQ43" s="2" t="s">
        <v>118</v>
      </c>
      <c r="AFR43" s="2">
        <f>2*2</f>
        <v>4</v>
      </c>
      <c r="AFS43" s="2">
        <f>0.12*2</f>
        <v>0.24</v>
      </c>
      <c r="AFT43" s="2">
        <f>+AFS43*AFR43</f>
        <v>0.96</v>
      </c>
      <c r="AFU43" s="2">
        <v>2</v>
      </c>
      <c r="AFV43" s="2">
        <f>+AFU43*AFR43</f>
        <v>8</v>
      </c>
      <c r="AFX43" s="2" t="s">
        <v>119</v>
      </c>
      <c r="AFZ43" s="2">
        <f>0.12*2</f>
        <v>0.24</v>
      </c>
      <c r="AGA43" s="2">
        <f>+AFZ43*AFY43</f>
        <v>0</v>
      </c>
      <c r="AGB43" s="2">
        <v>2</v>
      </c>
      <c r="AGC43" s="2">
        <f>+AGB43*AFY43</f>
        <v>0</v>
      </c>
    </row>
    <row r="44" spans="1:861" ht="18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 s="26">
        <f t="shared" si="30"/>
        <v>0</v>
      </c>
      <c r="V44"/>
      <c r="W44"/>
      <c r="X44"/>
      <c r="Y44"/>
      <c r="Z44"/>
      <c r="AA44"/>
      <c r="AB44"/>
      <c r="AC44"/>
      <c r="AD44"/>
      <c r="AE44"/>
      <c r="AF44"/>
      <c r="AG44" s="26">
        <f t="shared" si="4"/>
        <v>0</v>
      </c>
      <c r="AH44"/>
      <c r="AI44"/>
      <c r="AJ44"/>
      <c r="AK44"/>
      <c r="AL44"/>
      <c r="AM44"/>
      <c r="AN44"/>
      <c r="AO44"/>
      <c r="AP44"/>
      <c r="AQ44"/>
      <c r="AR44"/>
      <c r="AS44" s="26">
        <f t="shared" si="5"/>
        <v>0</v>
      </c>
      <c r="AT44"/>
      <c r="AU44"/>
      <c r="AV44"/>
      <c r="AW44"/>
      <c r="AX44"/>
      <c r="AY44"/>
      <c r="AZ44"/>
      <c r="BA44"/>
      <c r="BB44"/>
      <c r="BC44"/>
      <c r="BD44"/>
      <c r="BE44" s="26">
        <f t="shared" si="6"/>
        <v>0</v>
      </c>
      <c r="BF44">
        <v>1</v>
      </c>
      <c r="BG44" t="s">
        <v>1862</v>
      </c>
      <c r="BH44" t="s">
        <v>1524</v>
      </c>
      <c r="BI44" t="s">
        <v>1406</v>
      </c>
      <c r="BJ44">
        <v>4.43</v>
      </c>
      <c r="BK44">
        <v>5</v>
      </c>
      <c r="BL44">
        <f>+Tabla3102[[#This Row],[En culmo]]*BF44</f>
        <v>5</v>
      </c>
      <c r="BM44"/>
      <c r="BO44"/>
      <c r="BP44"/>
      <c r="BQ44"/>
      <c r="BR44"/>
      <c r="BS44"/>
      <c r="BT44">
        <f>+Tabla31069[[#This Row],[Longitud de eje]]*BN44</f>
        <v>0</v>
      </c>
      <c r="BU44">
        <f>+Tabla31069[[#This Row],[Longitud de eje]]*BO44</f>
        <v>0</v>
      </c>
      <c r="BV44"/>
      <c r="BW44"/>
      <c r="BX44"/>
      <c r="BY44"/>
      <c r="BZ44"/>
      <c r="CA44"/>
      <c r="CB44">
        <f>+Tabla31011[[#This Row],[Longitud de eje]]*BV44</f>
        <v>0</v>
      </c>
      <c r="CD44">
        <v>8</v>
      </c>
      <c r="CE44" t="s">
        <v>1863</v>
      </c>
      <c r="CF44" t="s">
        <v>1525</v>
      </c>
      <c r="CG44" t="s">
        <v>1405</v>
      </c>
      <c r="CH44">
        <v>2.4500000000000002</v>
      </c>
      <c r="CI44">
        <v>2.5</v>
      </c>
      <c r="CJ44">
        <f>+Tabla3101170[[#This Row],[En culmo]]*CD44</f>
        <v>20</v>
      </c>
      <c r="CK44"/>
      <c r="CL44"/>
      <c r="CM44"/>
      <c r="CN44"/>
      <c r="CO44"/>
      <c r="CP44"/>
      <c r="CQ44"/>
      <c r="CR44">
        <f>+Tabla31011116[[#This Row],[Longitud de eje]]*CL44</f>
        <v>0</v>
      </c>
      <c r="CT44"/>
      <c r="CU44"/>
      <c r="CV44"/>
      <c r="CW44"/>
      <c r="CX44"/>
      <c r="CY44"/>
      <c r="CZ44">
        <f>+Tabla3101170117[[#This Row],[En culmo]]*CT44</f>
        <v>0</v>
      </c>
      <c r="DA44"/>
      <c r="DB44"/>
      <c r="DC44"/>
      <c r="DD44"/>
      <c r="DE44"/>
      <c r="DF44"/>
      <c r="DG44">
        <f>+Tabla31011704[[#This Row],[Longitud de eje]]*DB44</f>
        <v>0</v>
      </c>
      <c r="DH44"/>
      <c r="DI44"/>
      <c r="DJ44"/>
      <c r="DK44"/>
      <c r="DL44"/>
      <c r="DM44"/>
      <c r="DN44">
        <f>+Tabla3101170411[[#This Row],[Longitud de eje]]*DI44</f>
        <v>0</v>
      </c>
      <c r="DO44"/>
      <c r="DP44"/>
      <c r="DQ44"/>
      <c r="DR44"/>
      <c r="DS44"/>
      <c r="DT44"/>
      <c r="DU44">
        <f>+Tabla3101170411120[[#This Row],[Longitud de eje]]*DP44</f>
        <v>0</v>
      </c>
      <c r="DV44"/>
      <c r="DW44"/>
      <c r="DX44"/>
      <c r="DY44"/>
      <c r="DZ44"/>
      <c r="EA44"/>
      <c r="EB44">
        <f>+Tabla3101170411120122[[#This Row],[Longitud de eje]]*DW44</f>
        <v>0</v>
      </c>
      <c r="EC44"/>
      <c r="ED44">
        <v>2</v>
      </c>
      <c r="EE44" t="s">
        <v>1862</v>
      </c>
      <c r="EF44" t="s">
        <v>1524</v>
      </c>
      <c r="EG44" t="s">
        <v>1406</v>
      </c>
      <c r="EH44">
        <v>1.6</v>
      </c>
      <c r="EI44">
        <v>2</v>
      </c>
      <c r="EJ44">
        <f>+Tabla3101112[[#This Row],[En culmo]]*ED44</f>
        <v>4</v>
      </c>
      <c r="EK44"/>
      <c r="EL44"/>
      <c r="EM44"/>
      <c r="EN44"/>
      <c r="EO44"/>
      <c r="EP44"/>
      <c r="EQ44"/>
      <c r="ER44">
        <f>+Tabla3101112123[[#This Row],[En culmo]]*EL44</f>
        <v>0</v>
      </c>
      <c r="ES44"/>
      <c r="ET44">
        <v>2</v>
      </c>
      <c r="EU44" t="s">
        <v>1862</v>
      </c>
      <c r="EV44" t="s">
        <v>1525</v>
      </c>
      <c r="EW44" t="s">
        <v>1406</v>
      </c>
      <c r="EX44">
        <v>1.41</v>
      </c>
      <c r="EY44">
        <v>2</v>
      </c>
      <c r="EZ44">
        <f>+Tabla310111257[[#This Row],[En culmo]]*ET44</f>
        <v>4</v>
      </c>
      <c r="FA44"/>
      <c r="FB44"/>
      <c r="FC44"/>
      <c r="FD44"/>
      <c r="FE44"/>
      <c r="FF44"/>
      <c r="FG44">
        <v>1.5</v>
      </c>
      <c r="FH44">
        <f>+Tabla310111257124[[#This Row],[En culmo]]*FB44</f>
        <v>0</v>
      </c>
      <c r="FI44"/>
      <c r="FK44"/>
      <c r="FL44"/>
      <c r="FM44"/>
      <c r="FN44"/>
      <c r="FO44"/>
      <c r="FP44"/>
      <c r="FQ44"/>
      <c r="FS44"/>
      <c r="FT44"/>
      <c r="FU44"/>
      <c r="FV44"/>
      <c r="FW44"/>
      <c r="FX44"/>
      <c r="FY44"/>
      <c r="GA44"/>
      <c r="GB44"/>
      <c r="GC44"/>
      <c r="GD44"/>
      <c r="GE44"/>
      <c r="GF44"/>
      <c r="GG44"/>
      <c r="GI44"/>
      <c r="GJ44"/>
      <c r="GK44"/>
      <c r="GL44"/>
      <c r="GM44"/>
      <c r="GN44"/>
      <c r="GO44"/>
      <c r="GY44" s="36"/>
      <c r="HI44" s="36"/>
      <c r="HS44" s="36"/>
      <c r="HU44"/>
      <c r="HV44"/>
      <c r="HW44"/>
      <c r="HX44"/>
      <c r="HY44"/>
      <c r="HZ44"/>
      <c r="IA44"/>
      <c r="IB44"/>
      <c r="IC44" s="36"/>
      <c r="IE44"/>
      <c r="IF44"/>
      <c r="IG44"/>
      <c r="IH44"/>
      <c r="II44"/>
      <c r="IJ44"/>
      <c r="IK44"/>
      <c r="IL44"/>
      <c r="IM44" s="36"/>
      <c r="IY44"/>
      <c r="IZ44"/>
      <c r="JA44"/>
      <c r="JB44"/>
      <c r="JC44"/>
      <c r="JD44">
        <v>1</v>
      </c>
      <c r="JE44">
        <f>+Tabla520212224[[#This Row],[Recuento]]*Tabla520212224[[#This Row],[Volúmen bruto]]</f>
        <v>0</v>
      </c>
      <c r="JF44">
        <f>+Tabla520212224[[#This Row],[Recuento]]*Tabla520212224[[#This Row],[Área neta]]</f>
        <v>0</v>
      </c>
      <c r="JG44" s="26"/>
      <c r="JI44" t="s">
        <v>1862</v>
      </c>
      <c r="JJ44" t="s">
        <v>1525</v>
      </c>
      <c r="JK44" t="s">
        <v>1676</v>
      </c>
      <c r="JL44">
        <v>1.32</v>
      </c>
      <c r="JM44">
        <v>11</v>
      </c>
      <c r="JN44">
        <v>2</v>
      </c>
      <c r="JO44">
        <f>+Tabla52021222425[[#This Row],[Recuento]]*Tabla52021222425[[#This Row],[Volúmen bruto]]</f>
        <v>2.64</v>
      </c>
      <c r="JP44">
        <f>+Tabla52021222425[[#This Row],[Recuento]]*Tabla52021222425[[#This Row],[Área neta]]</f>
        <v>22</v>
      </c>
      <c r="JQ44" s="26"/>
      <c r="JS44" t="s">
        <v>1862</v>
      </c>
      <c r="JT44" t="s">
        <v>1525</v>
      </c>
      <c r="JU44" t="s">
        <v>1680</v>
      </c>
      <c r="JV44">
        <v>0.01</v>
      </c>
      <c r="JW44">
        <v>1.65</v>
      </c>
      <c r="JX44">
        <v>1</v>
      </c>
      <c r="JY44">
        <f>+Tabla5202122242526[[#This Row],[Recuento]]*Tabla5202122242526[[#This Row],[Volúmen bruto]]</f>
        <v>0.01</v>
      </c>
      <c r="JZ44">
        <f>+Tabla5202122242526[[#This Row],[Recuento]]*Tabla5202122242526[[#This Row],[Área neta]]</f>
        <v>1.65</v>
      </c>
      <c r="KA44" s="26"/>
      <c r="KC44"/>
      <c r="KD44"/>
      <c r="KE44"/>
      <c r="KF44"/>
      <c r="KG44"/>
      <c r="KH44"/>
      <c r="KI44">
        <f>+Tabla5202122242526104[[#This Row],[Recuento]]*Tabla5202122242526104[[#This Row],[Volúmen bruto]]</f>
        <v>0</v>
      </c>
      <c r="KJ44">
        <f>+Tabla5202122242526104[[#This Row],[Recuento]]*Tabla5202122242526104[[#This Row],[Área neta]]</f>
        <v>0</v>
      </c>
      <c r="KK44" s="26"/>
      <c r="KM44" t="s">
        <v>1862</v>
      </c>
      <c r="KN44" t="s">
        <v>1525</v>
      </c>
      <c r="KO44" t="s">
        <v>1679</v>
      </c>
      <c r="KP44">
        <v>0</v>
      </c>
      <c r="KQ44">
        <v>1.5</v>
      </c>
      <c r="KR44">
        <v>1</v>
      </c>
      <c r="KS44">
        <f>+Tabla5202122242526104110[[#This Row],[Recuento]]*Tabla5202122242526104110[[#This Row],[Volúmen bruto]]</f>
        <v>0</v>
      </c>
      <c r="KT44">
        <f>+Tabla5202122242526104110[[#This Row],[Recuento]]*Tabla5202122242526104110[[#This Row],[Área neta]]</f>
        <v>1.5</v>
      </c>
      <c r="KU44" s="26"/>
      <c r="KW44"/>
      <c r="KX44"/>
      <c r="KY44"/>
      <c r="KZ44"/>
      <c r="LA44"/>
      <c r="LB44"/>
      <c r="LC44">
        <f>+Tabla520212224252659[[#This Row],[Recuento]]*Tabla520212224252659[[#This Row],[Volúmen bruto]]</f>
        <v>0</v>
      </c>
      <c r="LD44">
        <f>+Tabla520212224252659[[#This Row],[Recuento]]*Tabla520212224252659[[#This Row],[Área neta]]</f>
        <v>0</v>
      </c>
      <c r="LE44" s="26"/>
      <c r="LG44"/>
      <c r="LH44"/>
      <c r="LI44"/>
      <c r="LJ44"/>
      <c r="LK44"/>
      <c r="LL44"/>
      <c r="LM44">
        <f>+Tabla520212224252659111[[#This Row],[Recuento]]*Tabla520212224252659111[[#This Row],[Volúmen bruto]]</f>
        <v>0</v>
      </c>
      <c r="LN44">
        <f>+Tabla520212224252659111[[#This Row],[Recuento]]*Tabla520212224252659111[[#This Row],[Área neta]]</f>
        <v>0</v>
      </c>
      <c r="LO44" s="26"/>
      <c r="LQ44"/>
      <c r="LR44"/>
      <c r="LS44"/>
      <c r="LT44"/>
      <c r="LU44"/>
      <c r="LV44"/>
      <c r="LW44">
        <f>+Tabla520212224252659111114[[#This Row],[Recuento]]*Tabla520212224252659111114[[#This Row],[Volúmen bruto]]</f>
        <v>0</v>
      </c>
      <c r="LX44">
        <f>+Tabla520212224252659111114[[#This Row],[Recuento]]*Tabla520212224252659111114[[#This Row],[Área neta]]</f>
        <v>0</v>
      </c>
      <c r="LY44" s="26"/>
      <c r="MA44" t="s">
        <v>1863</v>
      </c>
      <c r="MB44" t="s">
        <v>1525</v>
      </c>
      <c r="MC44" t="s">
        <v>97</v>
      </c>
      <c r="MD44">
        <v>0.05</v>
      </c>
      <c r="ME44">
        <v>5.73</v>
      </c>
      <c r="MF44">
        <v>1</v>
      </c>
      <c r="MG44">
        <f>+Tabla520212224252659111114128[[#This Row],[Recuento]]*Tabla520212224252659111114128[[#This Row],[Volúmen bruto]]</f>
        <v>0.05</v>
      </c>
      <c r="MH44">
        <f>+Tabla520212224252659111114128[[#This Row],[Recuento]]*Tabla520212224252659111114128[[#This Row],[Área neta]]</f>
        <v>5.73</v>
      </c>
      <c r="MI44" s="26"/>
      <c r="MK44"/>
      <c r="ML44"/>
      <c r="MM44"/>
      <c r="MN44"/>
      <c r="MO44"/>
      <c r="MP44"/>
      <c r="MQ44">
        <f>+Tabla520212224252627[[#This Row],[Recuento]]*Tabla520212224252627[[#This Row],[Volúmen bruto]]</f>
        <v>0</v>
      </c>
      <c r="MR44">
        <f>+Tabla520212224252627[[#This Row],[Recuento]]*Tabla520212224252627[[#This Row],[Área neta]]</f>
        <v>0</v>
      </c>
      <c r="MS44" s="26"/>
      <c r="MU44"/>
      <c r="MV44"/>
      <c r="MW44"/>
      <c r="MX44"/>
      <c r="MY44"/>
      <c r="MZ44"/>
      <c r="NA44">
        <f>+Tabla520212224252627129[[#This Row],[Recuento]]*Tabla520212224252627129[[#This Row],[Volúmen bruto]]</f>
        <v>0</v>
      </c>
      <c r="NB44">
        <f>+Tabla520212224252627129[[#This Row],[Recuento]]*Tabla520212224252627129[[#This Row],[Área neta]]</f>
        <v>0</v>
      </c>
      <c r="NC44" s="26"/>
      <c r="NE44"/>
      <c r="NF44"/>
      <c r="NG44"/>
      <c r="NH44"/>
      <c r="NI44"/>
      <c r="NJ44"/>
      <c r="NK44">
        <f>+Tabla520212224252627129125[[#This Row],[Recuento]]*Tabla520212224252627129125[[#This Row],[Volúmen bruto]]</f>
        <v>0</v>
      </c>
      <c r="NL44">
        <f>+Tabla520212224252627129125[[#This Row],[Recuento]]*Tabla520212224252627129125[[#This Row],[Área neta]]</f>
        <v>0</v>
      </c>
      <c r="NM44" s="26"/>
      <c r="NO44"/>
      <c r="NP44"/>
      <c r="NQ44"/>
      <c r="NR44"/>
      <c r="NS44"/>
      <c r="NT44"/>
      <c r="NU44">
        <f>+Tabla520212224252627129125130[[#This Row],[Recuento]]*Tabla520212224252627129125130[[#This Row],[Volúmen bruto]]</f>
        <v>0</v>
      </c>
      <c r="NV44">
        <f>+Tabla520212224252627129125130[[#This Row],[Recuento]]*Tabla520212224252627129125130[[#This Row],[Área neta]]</f>
        <v>0</v>
      </c>
      <c r="NW44" s="26"/>
      <c r="NY44"/>
      <c r="NZ44"/>
      <c r="OA44"/>
      <c r="OB44"/>
      <c r="OC44"/>
      <c r="OD44"/>
      <c r="OE44">
        <f>+Tabla520212224252627129125130131[[#This Row],[Recuento]]*Tabla520212224252627129125130131[[#This Row],[Volúmen bruto]]</f>
        <v>0</v>
      </c>
      <c r="OF44">
        <f>+Tabla520212224252627129125130131[[#This Row],[Recuento]]*Tabla520212224252627129125130131[[#This Row],[Área neta]]</f>
        <v>0</v>
      </c>
      <c r="OG44" s="26"/>
      <c r="OI44"/>
      <c r="OJ44"/>
      <c r="OK44"/>
      <c r="OL44"/>
      <c r="OM44"/>
      <c r="ON44"/>
      <c r="OO44">
        <f>+Tabla520212224252627129125130131132[[#This Row],[Recuento]]*Tabla520212224252627129125130131132[[#This Row],[Volúmen bruto]]</f>
        <v>0</v>
      </c>
      <c r="OP44">
        <f>+Tabla520212224252627129125130131132[[#This Row],[Recuento]]*Tabla520212224252627129125130131132[[#This Row],[Área neta]]</f>
        <v>0</v>
      </c>
      <c r="OQ44" s="26"/>
      <c r="OS44"/>
      <c r="OT44"/>
      <c r="OU44"/>
      <c r="OV44"/>
      <c r="OW44"/>
      <c r="OX44"/>
      <c r="OY44">
        <f>+Tabla52021222425262728[[#This Row],[Recuento]]*Tabla52021222425262728[[#This Row],[Volúmen bruto]]</f>
        <v>0</v>
      </c>
      <c r="OZ44">
        <f>+Tabla52021222425262728[[#This Row],[Recuento]]*Tabla52021222425262728[[#This Row],[Área neta]]</f>
        <v>0</v>
      </c>
      <c r="PA44" s="26"/>
      <c r="PC44" t="s">
        <v>1862</v>
      </c>
      <c r="PD44" t="s">
        <v>1525</v>
      </c>
      <c r="PE44" t="s">
        <v>1677</v>
      </c>
      <c r="PF44">
        <v>0</v>
      </c>
      <c r="PG44">
        <v>4.04</v>
      </c>
      <c r="PH44">
        <v>1</v>
      </c>
      <c r="PI44">
        <f>+Tabla52021222425262728133[[#This Row],[Recuento]]*Tabla52021222425262728133[[#This Row],[Volúmen bruto]]</f>
        <v>0</v>
      </c>
      <c r="PJ44">
        <f>+Tabla52021222425262728133[[#This Row],[Recuento]]*Tabla52021222425262728133[[#This Row],[Área neta]]</f>
        <v>4.04</v>
      </c>
      <c r="PK44" s="26"/>
      <c r="PM44"/>
      <c r="PN44"/>
      <c r="PO44"/>
      <c r="PP44"/>
      <c r="PQ44"/>
      <c r="PR44"/>
      <c r="PS44">
        <f>+Tabla5202122242526272893[[#This Row],[Recuento]]*Tabla5202122242526272893[[#This Row],[Volúmen bruto]]</f>
        <v>0</v>
      </c>
      <c r="PT44">
        <f>+Tabla5202122242526272893[[#This Row],[Recuento]]*Tabla5202122242526272893[[#This Row],[Área neta]]</f>
        <v>0</v>
      </c>
      <c r="PU44" s="26"/>
      <c r="PW44" t="s">
        <v>1863</v>
      </c>
      <c r="PX44" t="s">
        <v>1524</v>
      </c>
      <c r="PY44" t="s">
        <v>1788</v>
      </c>
      <c r="PZ44">
        <v>0.01</v>
      </c>
      <c r="QA44">
        <v>1.8</v>
      </c>
      <c r="QB44">
        <v>1</v>
      </c>
      <c r="QC44">
        <f>+Tabla520212224252627289349[[#This Row],[Recuento]]*Tabla520212224252627289349[[#This Row],[Volúmen bruto]]</f>
        <v>0.01</v>
      </c>
      <c r="QD44">
        <f>+Tabla520212224252627289349[[#This Row],[Recuento]]*Tabla520212224252627289349[[#This Row],[Área neta]]</f>
        <v>1.8</v>
      </c>
      <c r="QE44" s="26">
        <f>+SUM(QD44:QD46)</f>
        <v>3.93</v>
      </c>
      <c r="QG44"/>
      <c r="QH44"/>
      <c r="QI44"/>
      <c r="QJ44"/>
      <c r="QK44"/>
      <c r="QL44"/>
      <c r="QM44">
        <f>+Tabla520212224252627289349134[[#This Row],[Recuento]]*Tabla520212224252627289349134[[#This Row],[Volúmen bruto]]</f>
        <v>0</v>
      </c>
      <c r="QN44">
        <f>+Tabla520212224252627289349134[[#This Row],[Recuento]]*Tabla520212224252627289349134[[#This Row],[Área neta]]</f>
        <v>0</v>
      </c>
      <c r="QO44" s="26"/>
      <c r="QQ44" t="s">
        <v>1863</v>
      </c>
      <c r="QR44" t="s">
        <v>1524</v>
      </c>
      <c r="QS44" t="s">
        <v>1726</v>
      </c>
      <c r="QT44">
        <v>1.46</v>
      </c>
      <c r="QU44">
        <v>7.29</v>
      </c>
      <c r="QV44">
        <v>1</v>
      </c>
      <c r="QW44">
        <v>1</v>
      </c>
      <c r="QX44">
        <f>+Tabla5202122242526272829[[#This Row],[Recuento]]*Tabla5202122242526272829[[#This Row],[Volúmen bruto]]</f>
        <v>1.46</v>
      </c>
      <c r="QY44">
        <f>+Tabla5202122242526272829[[#This Row],[Recuento]]*Tabla5202122242526272829[[#This Row],[Área neta]]</f>
        <v>7.29</v>
      </c>
      <c r="QZ44">
        <f>+Tabla5202122242526272829[[#This Row],[Recuento]]*Tabla5202122242526272829[[#This Row],[Longitud]]</f>
        <v>1</v>
      </c>
      <c r="RA44" s="26"/>
      <c r="RC44"/>
      <c r="RD44"/>
      <c r="RE44"/>
      <c r="RF44"/>
      <c r="RG44"/>
      <c r="RH44"/>
      <c r="RI44"/>
      <c r="RJ44"/>
      <c r="RK44" s="26"/>
      <c r="RM44"/>
      <c r="RN44"/>
      <c r="RO44"/>
      <c r="RP44"/>
      <c r="RQ44"/>
      <c r="RR44"/>
      <c r="RS44"/>
      <c r="RT44"/>
      <c r="RU44" s="26">
        <f t="shared" si="7"/>
        <v>0</v>
      </c>
      <c r="RW44"/>
      <c r="RX44"/>
      <c r="RY44"/>
      <c r="RZ44"/>
      <c r="SA44"/>
      <c r="SB44"/>
      <c r="SC44"/>
      <c r="SD44"/>
      <c r="SE44" s="26"/>
      <c r="SG44"/>
      <c r="SH44"/>
      <c r="SI44"/>
      <c r="SJ44"/>
      <c r="SK44"/>
      <c r="SL44"/>
      <c r="SM44"/>
      <c r="SN44"/>
      <c r="SO44" s="26"/>
      <c r="SQ44"/>
      <c r="SR44"/>
      <c r="SY44" s="36">
        <f t="shared" si="31"/>
        <v>0</v>
      </c>
      <c r="TA44"/>
      <c r="TB44"/>
      <c r="TI44" s="36">
        <f t="shared" si="8"/>
        <v>0</v>
      </c>
      <c r="TK44"/>
      <c r="TL44"/>
      <c r="TS44" s="36">
        <f t="shared" si="9"/>
        <v>0</v>
      </c>
      <c r="TU44"/>
      <c r="TV44"/>
      <c r="UC44" s="36">
        <f t="shared" si="10"/>
        <v>0</v>
      </c>
      <c r="UE44"/>
      <c r="UF44"/>
      <c r="UM44" s="36">
        <f t="shared" si="11"/>
        <v>0</v>
      </c>
      <c r="UO44"/>
      <c r="UP44"/>
      <c r="UW44" s="36">
        <f t="shared" si="12"/>
        <v>0</v>
      </c>
      <c r="UY44"/>
      <c r="UZ44"/>
      <c r="VG44" s="36">
        <f t="shared" si="13"/>
        <v>0</v>
      </c>
      <c r="VI44"/>
      <c r="VJ44"/>
      <c r="VQ44" s="36">
        <f t="shared" si="14"/>
        <v>0</v>
      </c>
      <c r="VS44"/>
      <c r="VT44"/>
      <c r="WA44" s="36">
        <f t="shared" si="15"/>
        <v>0</v>
      </c>
      <c r="WC44"/>
      <c r="WD44"/>
      <c r="WK44" s="36">
        <f t="shared" si="16"/>
        <v>0</v>
      </c>
      <c r="WM44"/>
      <c r="WN44"/>
      <c r="WU44" s="36">
        <f t="shared" si="17"/>
        <v>0</v>
      </c>
      <c r="WW44"/>
      <c r="WX44"/>
      <c r="XE44" s="36">
        <f t="shared" si="18"/>
        <v>0</v>
      </c>
      <c r="XG44"/>
      <c r="XH44"/>
      <c r="XO44" s="36">
        <f t="shared" si="22"/>
        <v>0</v>
      </c>
      <c r="XQ44"/>
      <c r="XR44"/>
      <c r="XY44" s="36">
        <f t="shared" si="23"/>
        <v>0</v>
      </c>
      <c r="YA44"/>
      <c r="YB44"/>
      <c r="YI44" s="36">
        <f t="shared" si="24"/>
        <v>0</v>
      </c>
      <c r="YJ44" s="36"/>
      <c r="YK44"/>
      <c r="YL44"/>
      <c r="YM44"/>
      <c r="YN44"/>
      <c r="YO44"/>
      <c r="YQ44"/>
      <c r="YR44"/>
      <c r="YY44" s="36">
        <f t="shared" si="25"/>
        <v>0</v>
      </c>
      <c r="ZA44"/>
      <c r="ZB44"/>
      <c r="ZI44" s="36">
        <f t="shared" si="26"/>
        <v>0</v>
      </c>
      <c r="ZK44"/>
      <c r="ZL44"/>
      <c r="ZS44" s="36">
        <f t="shared" si="27"/>
        <v>0</v>
      </c>
      <c r="ZU44"/>
      <c r="ZV44"/>
      <c r="AAC44" s="36">
        <f t="shared" si="28"/>
        <v>0</v>
      </c>
      <c r="AAE44"/>
      <c r="AAF44"/>
      <c r="AAM44" s="36">
        <f t="shared" si="29"/>
        <v>0</v>
      </c>
      <c r="AAY44"/>
      <c r="AAZ44"/>
      <c r="ABG44" s="36"/>
      <c r="ABI44"/>
      <c r="ABJ44"/>
      <c r="ABQ44" s="36"/>
      <c r="ABS44"/>
      <c r="ABT44"/>
      <c r="ACA44" s="36"/>
      <c r="ACC44"/>
      <c r="ACD44"/>
      <c r="ACK44" s="36"/>
      <c r="ACM44"/>
      <c r="ACN44"/>
      <c r="ACU44" s="36"/>
      <c r="ACW44" t="s">
        <v>1240</v>
      </c>
      <c r="ACX44" s="1">
        <v>1</v>
      </c>
      <c r="ACY44" s="2"/>
      <c r="ADA44" s="38"/>
      <c r="ADB44" s="2">
        <f t="shared" si="21"/>
        <v>0</v>
      </c>
      <c r="ADD44" t="s">
        <v>1723</v>
      </c>
      <c r="ADE44">
        <v>1</v>
      </c>
      <c r="ADF44">
        <v>92</v>
      </c>
      <c r="ADG44" s="26">
        <f>+ADF44*ADE44</f>
        <v>92</v>
      </c>
      <c r="ADJ44"/>
      <c r="ADK44"/>
      <c r="ADL44"/>
      <c r="ADM44"/>
      <c r="ADN44"/>
      <c r="ADO44">
        <f>+Tabla578914151634353637383940414243444546474849505152535560[[#This Row],[G. Total]]*Tabla578914151634353637383940414243444546474849505152535560[[#This Row],[Recuento]]</f>
        <v>0</v>
      </c>
      <c r="ADP44" s="36"/>
      <c r="ADR44"/>
      <c r="ADS44"/>
      <c r="ADT44"/>
      <c r="ADU44"/>
      <c r="ADV44"/>
      <c r="ADW44" s="36"/>
      <c r="ADX44" s="36"/>
      <c r="ADY44"/>
      <c r="ADZ44"/>
      <c r="AEA44"/>
      <c r="AEB44"/>
      <c r="AEC44"/>
      <c r="AED44"/>
      <c r="AEE44" s="36"/>
      <c r="AEG44"/>
      <c r="AEH44"/>
      <c r="AEI44"/>
      <c r="AEJ44"/>
      <c r="AEK44"/>
      <c r="AEL44" s="36"/>
      <c r="AEM44" s="36"/>
      <c r="AEN44" t="s">
        <v>1522</v>
      </c>
      <c r="AEO44" t="s">
        <v>1524</v>
      </c>
      <c r="AEP44" t="s">
        <v>381</v>
      </c>
      <c r="AEQ44">
        <v>0.08</v>
      </c>
      <c r="AER44">
        <v>5</v>
      </c>
      <c r="AES44">
        <f>+Tabla5789141516343536373839404142434445464748495051525355606264[[#This Row],[G. Total]]*Tabla5789141516343536373839404142434445464748495051525355606264[[#This Row],[Recuento]]</f>
        <v>0.4</v>
      </c>
      <c r="AET44" s="35"/>
      <c r="AEV44"/>
      <c r="AEW44"/>
      <c r="AEX44"/>
      <c r="AEY44"/>
      <c r="AEZ44"/>
      <c r="AFA44" s="36"/>
      <c r="AFC44"/>
      <c r="AFD44"/>
      <c r="AFE44"/>
      <c r="AFF44"/>
      <c r="AFG44"/>
      <c r="AFH44"/>
      <c r="AFI44"/>
      <c r="AFJ44"/>
      <c r="AFK44"/>
      <c r="AFL44"/>
      <c r="AFM44"/>
      <c r="AFN44">
        <f>+Tabla578914151634353637383940414243444546474849505152535560626467[[#This Row],[G. Total]]*Tabla578914151634353637383940414243444546474849505152535560626467[[#This Row],[Recuento]]</f>
        <v>0</v>
      </c>
      <c r="AFO44" s="35"/>
      <c r="AFQ44" s="2" t="s">
        <v>120</v>
      </c>
      <c r="AFX44" s="2" t="s">
        <v>120</v>
      </c>
    </row>
    <row r="45" spans="1:861" ht="14.2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 s="26">
        <f t="shared" si="30"/>
        <v>0</v>
      </c>
      <c r="V45"/>
      <c r="W45"/>
      <c r="X45"/>
      <c r="Y45"/>
      <c r="Z45"/>
      <c r="AA45"/>
      <c r="AB45"/>
      <c r="AC45"/>
      <c r="AD45"/>
      <c r="AE45"/>
      <c r="AF45"/>
      <c r="AG45" s="26">
        <f t="shared" si="4"/>
        <v>0</v>
      </c>
      <c r="AH45"/>
      <c r="AI45"/>
      <c r="AJ45"/>
      <c r="AK45"/>
      <c r="AL45"/>
      <c r="AM45"/>
      <c r="AN45"/>
      <c r="AO45"/>
      <c r="AP45"/>
      <c r="AQ45"/>
      <c r="AR45"/>
      <c r="AS45" s="26">
        <f t="shared" si="5"/>
        <v>0</v>
      </c>
      <c r="AT45"/>
      <c r="AU45"/>
      <c r="AV45"/>
      <c r="AW45"/>
      <c r="AX45"/>
      <c r="AY45"/>
      <c r="AZ45"/>
      <c r="BA45"/>
      <c r="BB45"/>
      <c r="BC45"/>
      <c r="BD45"/>
      <c r="BE45" s="26">
        <f t="shared" si="6"/>
        <v>0</v>
      </c>
      <c r="BF45">
        <v>1</v>
      </c>
      <c r="BG45" t="s">
        <v>1862</v>
      </c>
      <c r="BH45" t="s">
        <v>1524</v>
      </c>
      <c r="BI45" t="s">
        <v>1406</v>
      </c>
      <c r="BJ45">
        <v>3.9</v>
      </c>
      <c r="BK45">
        <v>4.5</v>
      </c>
      <c r="BL45">
        <f>+Tabla3102[[#This Row],[En culmo]]*BF45</f>
        <v>4.5</v>
      </c>
      <c r="BM45"/>
      <c r="BO45"/>
      <c r="BP45"/>
      <c r="BQ45"/>
      <c r="BR45"/>
      <c r="BS45"/>
      <c r="BT45">
        <f>+Tabla31069[[#This Row],[Longitud de eje]]*BN45</f>
        <v>0</v>
      </c>
      <c r="BU45">
        <f>+Tabla31069[[#This Row],[Longitud de eje]]*BO45</f>
        <v>0</v>
      </c>
      <c r="BV45"/>
      <c r="BW45"/>
      <c r="BX45"/>
      <c r="BY45"/>
      <c r="BZ45"/>
      <c r="CA45"/>
      <c r="CB45">
        <f>+Tabla31011[[#This Row],[Longitud de eje]]*BV45</f>
        <v>0</v>
      </c>
      <c r="CD45">
        <v>8</v>
      </c>
      <c r="CE45" t="s">
        <v>1863</v>
      </c>
      <c r="CF45" t="s">
        <v>1525</v>
      </c>
      <c r="CG45" t="s">
        <v>1405</v>
      </c>
      <c r="CH45">
        <v>1.65</v>
      </c>
      <c r="CI45">
        <v>2</v>
      </c>
      <c r="CJ45">
        <f>+Tabla3101170[[#This Row],[En culmo]]*CD45</f>
        <v>16</v>
      </c>
      <c r="CK45"/>
      <c r="CL45"/>
      <c r="CM45"/>
      <c r="CN45"/>
      <c r="CO45"/>
      <c r="CP45"/>
      <c r="CQ45"/>
      <c r="CR45">
        <f>+Tabla31011116[[#This Row],[Longitud de eje]]*CL45</f>
        <v>0</v>
      </c>
      <c r="CT45"/>
      <c r="CU45"/>
      <c r="CV45"/>
      <c r="CW45"/>
      <c r="CX45"/>
      <c r="CY45"/>
      <c r="CZ45">
        <f>+Tabla3101170117[[#This Row],[En culmo]]*CT45</f>
        <v>0</v>
      </c>
      <c r="DA45"/>
      <c r="DB45"/>
      <c r="DC45"/>
      <c r="DD45"/>
      <c r="DE45"/>
      <c r="DF45"/>
      <c r="DG45">
        <f>+Tabla31011704[[#This Row],[Longitud de eje]]*DB45</f>
        <v>0</v>
      </c>
      <c r="DH45"/>
      <c r="DI45"/>
      <c r="DJ45"/>
      <c r="DK45"/>
      <c r="DL45"/>
      <c r="DM45"/>
      <c r="DN45">
        <f>+Tabla3101170411[[#This Row],[Longitud de eje]]*DI45</f>
        <v>0</v>
      </c>
      <c r="DO45"/>
      <c r="DP45"/>
      <c r="DQ45"/>
      <c r="DR45"/>
      <c r="DS45"/>
      <c r="DT45"/>
      <c r="DU45">
        <f>+Tabla3101170411120[[#This Row],[Longitud de eje]]*DP45</f>
        <v>0</v>
      </c>
      <c r="DV45"/>
      <c r="DW45"/>
      <c r="DX45"/>
      <c r="DY45"/>
      <c r="DZ45"/>
      <c r="EA45"/>
      <c r="EB45">
        <f>+Tabla3101170411120122[[#This Row],[Longitud de eje]]*DW45</f>
        <v>0</v>
      </c>
      <c r="EC45"/>
      <c r="ED45">
        <v>4</v>
      </c>
      <c r="EE45" t="s">
        <v>1862</v>
      </c>
      <c r="EF45" t="s">
        <v>1524</v>
      </c>
      <c r="EG45" t="s">
        <v>1406</v>
      </c>
      <c r="EH45">
        <v>1.34</v>
      </c>
      <c r="EI45">
        <v>1.5</v>
      </c>
      <c r="EJ45">
        <f>+Tabla3101112[[#This Row],[En culmo]]*ED45</f>
        <v>6</v>
      </c>
      <c r="EK45"/>
      <c r="EL45"/>
      <c r="EM45"/>
      <c r="EN45"/>
      <c r="EO45"/>
      <c r="EP45"/>
      <c r="EQ45"/>
      <c r="ER45">
        <f>+Tabla3101112123[[#This Row],[En culmo]]*EL45</f>
        <v>0</v>
      </c>
      <c r="ES45"/>
      <c r="ET45">
        <v>2</v>
      </c>
      <c r="EU45" t="s">
        <v>1862</v>
      </c>
      <c r="EV45" t="s">
        <v>1525</v>
      </c>
      <c r="EW45" t="s">
        <v>1406</v>
      </c>
      <c r="EX45">
        <v>1.02</v>
      </c>
      <c r="EY45">
        <v>1.5</v>
      </c>
      <c r="EZ45">
        <f>+Tabla310111257[[#This Row],[En culmo]]*ET45</f>
        <v>3</v>
      </c>
      <c r="FA45"/>
      <c r="FB45"/>
      <c r="FC45"/>
      <c r="FD45"/>
      <c r="FE45"/>
      <c r="FF45"/>
      <c r="FG45">
        <v>1.5</v>
      </c>
      <c r="FH45">
        <f>+Tabla310111257124[[#This Row],[En culmo]]*FB45</f>
        <v>0</v>
      </c>
      <c r="FI45"/>
      <c r="FK45"/>
      <c r="FL45"/>
      <c r="FM45"/>
      <c r="FN45"/>
      <c r="FO45"/>
      <c r="FP45"/>
      <c r="FQ45"/>
      <c r="FS45"/>
      <c r="FT45"/>
      <c r="FU45"/>
      <c r="FV45"/>
      <c r="FW45"/>
      <c r="FX45"/>
      <c r="FY45"/>
      <c r="GA45"/>
      <c r="GB45"/>
      <c r="GC45"/>
      <c r="GD45"/>
      <c r="GE45"/>
      <c r="GF45"/>
      <c r="GG45"/>
      <c r="GI45"/>
      <c r="GJ45"/>
      <c r="GK45"/>
      <c r="GL45"/>
      <c r="GM45"/>
      <c r="GN45"/>
      <c r="GO45"/>
      <c r="GY45" s="36"/>
      <c r="HI45" s="36"/>
      <c r="HS45" s="36"/>
      <c r="HU45"/>
      <c r="HV45"/>
      <c r="HW45"/>
      <c r="HX45"/>
      <c r="HY45"/>
      <c r="HZ45"/>
      <c r="IA45"/>
      <c r="IB45"/>
      <c r="IC45" s="36"/>
      <c r="IE45"/>
      <c r="IF45"/>
      <c r="IG45"/>
      <c r="IH45"/>
      <c r="II45"/>
      <c r="IJ45"/>
      <c r="IK45"/>
      <c r="IL45"/>
      <c r="IM45" s="36"/>
      <c r="IY45"/>
      <c r="IZ45"/>
      <c r="JA45"/>
      <c r="JB45"/>
      <c r="JC45"/>
      <c r="JD45">
        <v>1</v>
      </c>
      <c r="JE45">
        <f>+Tabla520212224[[#This Row],[Recuento]]*Tabla520212224[[#This Row],[Volúmen bruto]]</f>
        <v>0</v>
      </c>
      <c r="JF45">
        <f>+Tabla520212224[[#This Row],[Recuento]]*Tabla520212224[[#This Row],[Área neta]]</f>
        <v>0</v>
      </c>
      <c r="JG45" s="26"/>
      <c r="JI45" t="s">
        <v>1862</v>
      </c>
      <c r="JJ45" t="s">
        <v>1525</v>
      </c>
      <c r="JK45" t="s">
        <v>1676</v>
      </c>
      <c r="JL45">
        <v>0.89</v>
      </c>
      <c r="JM45">
        <v>5.5</v>
      </c>
      <c r="JN45">
        <v>2</v>
      </c>
      <c r="JO45">
        <f>+Tabla52021222425[[#This Row],[Recuento]]*Tabla52021222425[[#This Row],[Volúmen bruto]]</f>
        <v>1.78</v>
      </c>
      <c r="JP45">
        <f>+Tabla52021222425[[#This Row],[Recuento]]*Tabla52021222425[[#This Row],[Área neta]]</f>
        <v>11</v>
      </c>
      <c r="JQ45" s="26"/>
      <c r="JS45" t="s">
        <v>1862</v>
      </c>
      <c r="JT45" t="s">
        <v>1525</v>
      </c>
      <c r="JU45" t="s">
        <v>1680</v>
      </c>
      <c r="JV45">
        <v>0</v>
      </c>
      <c r="JW45">
        <v>0.68</v>
      </c>
      <c r="JX45">
        <v>1</v>
      </c>
      <c r="JY45">
        <f>+Tabla5202122242526[[#This Row],[Recuento]]*Tabla5202122242526[[#This Row],[Volúmen bruto]]</f>
        <v>0</v>
      </c>
      <c r="JZ45">
        <f>+Tabla5202122242526[[#This Row],[Recuento]]*Tabla5202122242526[[#This Row],[Área neta]]</f>
        <v>0.68</v>
      </c>
      <c r="KA45" s="415"/>
      <c r="KC45"/>
      <c r="KD45"/>
      <c r="KE45"/>
      <c r="KF45"/>
      <c r="KG45"/>
      <c r="KH45"/>
      <c r="KI45">
        <f>+Tabla5202122242526104[[#This Row],[Recuento]]*Tabla5202122242526104[[#This Row],[Volúmen bruto]]</f>
        <v>0</v>
      </c>
      <c r="KJ45">
        <f>+Tabla5202122242526104[[#This Row],[Recuento]]*Tabla5202122242526104[[#This Row],[Área neta]]</f>
        <v>0</v>
      </c>
      <c r="KK45" s="26"/>
      <c r="KM45" t="s">
        <v>1862</v>
      </c>
      <c r="KN45" t="s">
        <v>1525</v>
      </c>
      <c r="KO45" t="s">
        <v>1679</v>
      </c>
      <c r="KP45">
        <v>0</v>
      </c>
      <c r="KQ45">
        <v>4.21</v>
      </c>
      <c r="KR45">
        <v>1</v>
      </c>
      <c r="KS45">
        <f>+Tabla5202122242526104110[[#This Row],[Recuento]]*Tabla5202122242526104110[[#This Row],[Volúmen bruto]]</f>
        <v>0</v>
      </c>
      <c r="KT45">
        <f>+Tabla5202122242526104110[[#This Row],[Recuento]]*Tabla5202122242526104110[[#This Row],[Área neta]]</f>
        <v>4.21</v>
      </c>
      <c r="KU45" s="26"/>
      <c r="KW45"/>
      <c r="KX45"/>
      <c r="KY45"/>
      <c r="KZ45"/>
      <c r="LA45"/>
      <c r="LB45"/>
      <c r="LC45">
        <f>+Tabla520212224252659[[#This Row],[Recuento]]*Tabla520212224252659[[#This Row],[Volúmen bruto]]</f>
        <v>0</v>
      </c>
      <c r="LD45">
        <f>+Tabla520212224252659[[#This Row],[Recuento]]*Tabla520212224252659[[#This Row],[Área neta]]</f>
        <v>0</v>
      </c>
      <c r="LE45" s="26"/>
      <c r="LG45"/>
      <c r="LH45"/>
      <c r="LI45"/>
      <c r="LJ45"/>
      <c r="LK45"/>
      <c r="LL45"/>
      <c r="LM45">
        <f>+Tabla520212224252659111[[#This Row],[Recuento]]*Tabla520212224252659111[[#This Row],[Volúmen bruto]]</f>
        <v>0</v>
      </c>
      <c r="LN45">
        <f>+Tabla520212224252659111[[#This Row],[Recuento]]*Tabla520212224252659111[[#This Row],[Área neta]]</f>
        <v>0</v>
      </c>
      <c r="LO45" s="26"/>
      <c r="LQ45"/>
      <c r="LR45"/>
      <c r="LS45"/>
      <c r="LT45"/>
      <c r="LU45"/>
      <c r="LV45"/>
      <c r="LW45">
        <f>+Tabla520212224252659111114[[#This Row],[Recuento]]*Tabla520212224252659111114[[#This Row],[Volúmen bruto]]</f>
        <v>0</v>
      </c>
      <c r="LX45">
        <f>+Tabla520212224252659111114[[#This Row],[Recuento]]*Tabla520212224252659111114[[#This Row],[Área neta]]</f>
        <v>0</v>
      </c>
      <c r="LY45" s="26"/>
      <c r="MA45" t="s">
        <v>1863</v>
      </c>
      <c r="MB45" t="s">
        <v>1525</v>
      </c>
      <c r="MC45" t="s">
        <v>97</v>
      </c>
      <c r="MD45">
        <v>0.38</v>
      </c>
      <c r="ME45">
        <v>15.41</v>
      </c>
      <c r="MF45">
        <v>1</v>
      </c>
      <c r="MG45">
        <f>+Tabla520212224252659111114128[[#This Row],[Recuento]]*Tabla520212224252659111114128[[#This Row],[Volúmen bruto]]</f>
        <v>0.38</v>
      </c>
      <c r="MH45">
        <f>+Tabla520212224252659111114128[[#This Row],[Recuento]]*Tabla520212224252659111114128[[#This Row],[Área neta]]</f>
        <v>15.41</v>
      </c>
      <c r="MI45" s="26"/>
      <c r="MK45"/>
      <c r="ML45"/>
      <c r="MM45"/>
      <c r="MN45"/>
      <c r="MO45"/>
      <c r="MP45"/>
      <c r="MQ45">
        <f>+Tabla520212224252627[[#This Row],[Recuento]]*Tabla520212224252627[[#This Row],[Volúmen bruto]]</f>
        <v>0</v>
      </c>
      <c r="MR45">
        <f>+Tabla520212224252627[[#This Row],[Recuento]]*Tabla520212224252627[[#This Row],[Área neta]]</f>
        <v>0</v>
      </c>
      <c r="MS45" s="26"/>
      <c r="MU45"/>
      <c r="MV45"/>
      <c r="MW45"/>
      <c r="MX45"/>
      <c r="MY45"/>
      <c r="MZ45"/>
      <c r="NA45">
        <f>+Tabla520212224252627129[[#This Row],[Recuento]]*Tabla520212224252627129[[#This Row],[Volúmen bruto]]</f>
        <v>0</v>
      </c>
      <c r="NB45">
        <f>+Tabla520212224252627129[[#This Row],[Recuento]]*Tabla520212224252627129[[#This Row],[Área neta]]</f>
        <v>0</v>
      </c>
      <c r="NC45" s="26"/>
      <c r="NE45"/>
      <c r="NF45"/>
      <c r="NG45"/>
      <c r="NH45"/>
      <c r="NI45"/>
      <c r="NJ45"/>
      <c r="NK45">
        <f>+Tabla520212224252627129125[[#This Row],[Recuento]]*Tabla520212224252627129125[[#This Row],[Volúmen bruto]]</f>
        <v>0</v>
      </c>
      <c r="NL45">
        <f>+Tabla520212224252627129125[[#This Row],[Recuento]]*Tabla520212224252627129125[[#This Row],[Área neta]]</f>
        <v>0</v>
      </c>
      <c r="NM45" s="26"/>
      <c r="NO45"/>
      <c r="NP45"/>
      <c r="NQ45"/>
      <c r="NR45"/>
      <c r="NS45"/>
      <c r="NT45"/>
      <c r="NU45">
        <f>+Tabla520212224252627129125130[[#This Row],[Recuento]]*Tabla520212224252627129125130[[#This Row],[Volúmen bruto]]</f>
        <v>0</v>
      </c>
      <c r="NV45">
        <f>+Tabla520212224252627129125130[[#This Row],[Recuento]]*Tabla520212224252627129125130[[#This Row],[Área neta]]</f>
        <v>0</v>
      </c>
      <c r="NW45" s="26"/>
      <c r="NY45"/>
      <c r="NZ45"/>
      <c r="OA45"/>
      <c r="OB45"/>
      <c r="OC45"/>
      <c r="OD45"/>
      <c r="OE45">
        <f>+Tabla520212224252627129125130131[[#This Row],[Recuento]]*Tabla520212224252627129125130131[[#This Row],[Volúmen bruto]]</f>
        <v>0</v>
      </c>
      <c r="OF45">
        <f>+Tabla520212224252627129125130131[[#This Row],[Recuento]]*Tabla520212224252627129125130131[[#This Row],[Área neta]]</f>
        <v>0</v>
      </c>
      <c r="OG45" s="26"/>
      <c r="OI45"/>
      <c r="OJ45"/>
      <c r="OK45"/>
      <c r="OL45"/>
      <c r="OM45"/>
      <c r="ON45"/>
      <c r="OO45">
        <f>+Tabla520212224252627129125130131132[[#This Row],[Recuento]]*Tabla520212224252627129125130131132[[#This Row],[Volúmen bruto]]</f>
        <v>0</v>
      </c>
      <c r="OP45">
        <f>+Tabla520212224252627129125130131132[[#This Row],[Recuento]]*Tabla520212224252627129125130131132[[#This Row],[Área neta]]</f>
        <v>0</v>
      </c>
      <c r="OQ45" s="26"/>
      <c r="OS45"/>
      <c r="OT45"/>
      <c r="OU45"/>
      <c r="OV45"/>
      <c r="OW45"/>
      <c r="OX45"/>
      <c r="OY45">
        <f>+Tabla52021222425262728[[#This Row],[Recuento]]*Tabla52021222425262728[[#This Row],[Volúmen bruto]]</f>
        <v>0</v>
      </c>
      <c r="OZ45">
        <f>+Tabla52021222425262728[[#This Row],[Recuento]]*Tabla52021222425262728[[#This Row],[Área neta]]</f>
        <v>0</v>
      </c>
      <c r="PA45" s="26"/>
      <c r="PC45" t="s">
        <v>1862</v>
      </c>
      <c r="PD45" t="s">
        <v>1525</v>
      </c>
      <c r="PE45" t="s">
        <v>1677</v>
      </c>
      <c r="PF45">
        <v>0.01</v>
      </c>
      <c r="PG45">
        <v>4.03</v>
      </c>
      <c r="PH45">
        <v>1</v>
      </c>
      <c r="PI45">
        <f>+Tabla52021222425262728133[[#This Row],[Recuento]]*Tabla52021222425262728133[[#This Row],[Volúmen bruto]]</f>
        <v>0.01</v>
      </c>
      <c r="PJ45">
        <f>+Tabla52021222425262728133[[#This Row],[Recuento]]*Tabla52021222425262728133[[#This Row],[Área neta]]</f>
        <v>4.03</v>
      </c>
      <c r="PK45" s="26"/>
      <c r="PM45"/>
      <c r="PN45"/>
      <c r="PO45"/>
      <c r="PP45"/>
      <c r="PQ45"/>
      <c r="PR45"/>
      <c r="PS45">
        <f>+Tabla5202122242526272893[[#This Row],[Recuento]]*Tabla5202122242526272893[[#This Row],[Volúmen bruto]]</f>
        <v>0</v>
      </c>
      <c r="PT45">
        <f>+Tabla5202122242526272893[[#This Row],[Recuento]]*Tabla5202122242526272893[[#This Row],[Área neta]]</f>
        <v>0</v>
      </c>
      <c r="PU45" s="26"/>
      <c r="PW45" t="s">
        <v>1863</v>
      </c>
      <c r="PX45" t="s">
        <v>1525</v>
      </c>
      <c r="PY45" t="s">
        <v>1788</v>
      </c>
      <c r="PZ45">
        <v>0.01</v>
      </c>
      <c r="QA45">
        <v>1.1100000000000001</v>
      </c>
      <c r="QB45">
        <v>1</v>
      </c>
      <c r="QC45">
        <f>+Tabla520212224252627289349[[#This Row],[Recuento]]*Tabla520212224252627289349[[#This Row],[Volúmen bruto]]</f>
        <v>0.01</v>
      </c>
      <c r="QD45">
        <f>+Tabla520212224252627289349[[#This Row],[Recuento]]*Tabla520212224252627289349[[#This Row],[Área neta]]</f>
        <v>1.1100000000000001</v>
      </c>
      <c r="QE45" s="415"/>
      <c r="QG45"/>
      <c r="QH45"/>
      <c r="QI45"/>
      <c r="QJ45"/>
      <c r="QK45"/>
      <c r="QL45"/>
      <c r="QM45">
        <f>+Tabla520212224252627289349134[[#This Row],[Recuento]]*Tabla520212224252627289349134[[#This Row],[Volúmen bruto]]</f>
        <v>0</v>
      </c>
      <c r="QN45">
        <f>+Tabla520212224252627289349134[[#This Row],[Recuento]]*Tabla520212224252627289349134[[#This Row],[Área neta]]</f>
        <v>0</v>
      </c>
      <c r="QO45" s="26"/>
      <c r="QQ45" t="s">
        <v>1863</v>
      </c>
      <c r="QR45" t="s">
        <v>1524</v>
      </c>
      <c r="QS45" t="s">
        <v>1726</v>
      </c>
      <c r="QT45">
        <v>0.08</v>
      </c>
      <c r="QU45">
        <v>0.39</v>
      </c>
      <c r="QV45">
        <v>1</v>
      </c>
      <c r="QW45">
        <v>1</v>
      </c>
      <c r="QX45">
        <f>+Tabla5202122242526272829[[#This Row],[Recuento]]*Tabla5202122242526272829[[#This Row],[Volúmen bruto]]</f>
        <v>0.08</v>
      </c>
      <c r="QY45">
        <f>+Tabla5202122242526272829[[#This Row],[Recuento]]*Tabla5202122242526272829[[#This Row],[Área neta]]</f>
        <v>0.39</v>
      </c>
      <c r="QZ45">
        <f>+Tabla5202122242526272829[[#This Row],[Recuento]]*Tabla5202122242526272829[[#This Row],[Longitud]]</f>
        <v>1</v>
      </c>
      <c r="RA45" s="26"/>
      <c r="RC45"/>
      <c r="RD45"/>
      <c r="RE45"/>
      <c r="RF45"/>
      <c r="RG45"/>
      <c r="RH45"/>
      <c r="RI45"/>
      <c r="RJ45"/>
      <c r="RK45" s="26"/>
      <c r="RM45"/>
      <c r="RN45"/>
      <c r="RO45"/>
      <c r="RP45"/>
      <c r="RQ45"/>
      <c r="RR45"/>
      <c r="RS45"/>
      <c r="RT45"/>
      <c r="RU45" s="26">
        <f t="shared" si="7"/>
        <v>0</v>
      </c>
      <c r="RW45"/>
      <c r="RX45"/>
      <c r="RY45"/>
      <c r="RZ45"/>
      <c r="SA45"/>
      <c r="SB45"/>
      <c r="SC45"/>
      <c r="SD45"/>
      <c r="SE45" s="26"/>
      <c r="SG45"/>
      <c r="SH45"/>
      <c r="SI45"/>
      <c r="SJ45"/>
      <c r="SK45"/>
      <c r="SL45"/>
      <c r="SM45"/>
      <c r="SN45"/>
      <c r="SO45" s="26"/>
      <c r="SQ45"/>
      <c r="SR45"/>
      <c r="SY45" s="36">
        <f t="shared" si="31"/>
        <v>0</v>
      </c>
      <c r="TA45"/>
      <c r="TB45"/>
      <c r="TI45" s="36">
        <f t="shared" si="8"/>
        <v>0</v>
      </c>
      <c r="TK45"/>
      <c r="TL45"/>
      <c r="TS45" s="36">
        <f t="shared" si="9"/>
        <v>0</v>
      </c>
      <c r="TU45"/>
      <c r="TV45"/>
      <c r="UC45" s="36">
        <f t="shared" si="10"/>
        <v>0</v>
      </c>
      <c r="UE45"/>
      <c r="UF45"/>
      <c r="UM45" s="36">
        <f t="shared" si="11"/>
        <v>0</v>
      </c>
      <c r="UO45"/>
      <c r="UP45"/>
      <c r="UW45" s="36">
        <f t="shared" si="12"/>
        <v>0</v>
      </c>
      <c r="UY45"/>
      <c r="UZ45"/>
      <c r="VG45" s="36">
        <f t="shared" si="13"/>
        <v>0</v>
      </c>
      <c r="VI45"/>
      <c r="VJ45"/>
      <c r="VQ45" s="36">
        <f t="shared" si="14"/>
        <v>0</v>
      </c>
      <c r="VS45"/>
      <c r="VT45"/>
      <c r="WA45" s="36">
        <f t="shared" si="15"/>
        <v>0</v>
      </c>
      <c r="WC45"/>
      <c r="WD45"/>
      <c r="WK45" s="36">
        <f t="shared" si="16"/>
        <v>0</v>
      </c>
      <c r="WM45"/>
      <c r="WN45"/>
      <c r="WU45" s="36">
        <f t="shared" si="17"/>
        <v>0</v>
      </c>
      <c r="WW45"/>
      <c r="WX45"/>
      <c r="XE45" s="36">
        <f t="shared" si="18"/>
        <v>0</v>
      </c>
      <c r="XG45"/>
      <c r="XH45"/>
      <c r="XO45" s="36">
        <f t="shared" si="22"/>
        <v>0</v>
      </c>
      <c r="XQ45"/>
      <c r="XR45"/>
      <c r="XY45" s="36">
        <f t="shared" si="23"/>
        <v>0</v>
      </c>
      <c r="YA45"/>
      <c r="YB45"/>
      <c r="YI45" s="36">
        <f t="shared" si="24"/>
        <v>0</v>
      </c>
      <c r="YJ45" s="36"/>
      <c r="YK45"/>
      <c r="YL45"/>
      <c r="YM45"/>
      <c r="YN45"/>
      <c r="YO45"/>
      <c r="YQ45"/>
      <c r="YR45"/>
      <c r="YY45" s="36">
        <f t="shared" si="25"/>
        <v>0</v>
      </c>
      <c r="ZA45"/>
      <c r="ZB45"/>
      <c r="ZI45" s="36">
        <f t="shared" si="26"/>
        <v>0</v>
      </c>
      <c r="ZK45"/>
      <c r="ZL45"/>
      <c r="ZS45" s="36">
        <f t="shared" si="27"/>
        <v>0</v>
      </c>
      <c r="ZU45"/>
      <c r="ZV45"/>
      <c r="AAC45" s="36">
        <f t="shared" si="28"/>
        <v>0</v>
      </c>
      <c r="AAE45"/>
      <c r="AAF45"/>
      <c r="AAM45" s="36">
        <f t="shared" si="29"/>
        <v>0</v>
      </c>
      <c r="AAY45"/>
      <c r="AAZ45"/>
      <c r="ABG45" s="36"/>
      <c r="ABI45"/>
      <c r="ABJ45"/>
      <c r="ABQ45" s="36"/>
      <c r="ABS45"/>
      <c r="ABT45"/>
      <c r="ACA45" s="36"/>
      <c r="ACC45"/>
      <c r="ACD45"/>
      <c r="ACK45" s="36"/>
      <c r="ACM45"/>
      <c r="ACN45"/>
      <c r="ACU45" s="36"/>
      <c r="ACW45" t="s">
        <v>1241</v>
      </c>
      <c r="ACX45" s="1">
        <v>1</v>
      </c>
      <c r="ACY45" s="2"/>
      <c r="ADA45" s="38"/>
      <c r="ADB45" s="2">
        <f t="shared" si="21"/>
        <v>0</v>
      </c>
      <c r="ADD45" t="s">
        <v>1723</v>
      </c>
      <c r="ADE45">
        <v>0.86</v>
      </c>
      <c r="ADF45">
        <v>89</v>
      </c>
      <c r="ADG45" s="26">
        <f>+ADF45*ADE45</f>
        <v>76.539999999999992</v>
      </c>
      <c r="ADJ45"/>
      <c r="ADK45"/>
      <c r="ADL45"/>
      <c r="ADM45"/>
      <c r="ADN45"/>
      <c r="ADO45">
        <f>+Tabla578914151634353637383940414243444546474849505152535560[[#This Row],[G. Total]]*Tabla578914151634353637383940414243444546474849505152535560[[#This Row],[Recuento]]</f>
        <v>0</v>
      </c>
      <c r="ADP45" s="35"/>
      <c r="ADR45"/>
      <c r="ADS45"/>
      <c r="ADT45"/>
      <c r="ADU45"/>
      <c r="ADV45"/>
      <c r="ADW45" s="35"/>
      <c r="ADX45" s="35"/>
      <c r="ADY45"/>
      <c r="ADZ45"/>
      <c r="AEA45"/>
      <c r="AEB45"/>
      <c r="AEC45"/>
      <c r="AED45"/>
      <c r="AEE45" s="35"/>
      <c r="AEG45"/>
      <c r="AEH45"/>
      <c r="AEI45"/>
      <c r="AEJ45"/>
      <c r="AEK45"/>
      <c r="AEL45" s="35"/>
      <c r="AEM45" s="35"/>
      <c r="AEN45" t="s">
        <v>1522</v>
      </c>
      <c r="AEO45" t="s">
        <v>1524</v>
      </c>
      <c r="AEP45" t="s">
        <v>381</v>
      </c>
      <c r="AEQ45">
        <v>0.35</v>
      </c>
      <c r="AER45">
        <v>1</v>
      </c>
      <c r="AES45">
        <f>+Tabla5789141516343536373839404142434445464748495051525355606264[[#This Row],[G. Total]]*Tabla5789141516343536373839404142434445464748495051525355606264[[#This Row],[Recuento]]</f>
        <v>0.35</v>
      </c>
      <c r="AET45" s="36"/>
      <c r="AEV45"/>
      <c r="AEW45"/>
      <c r="AEX45"/>
      <c r="AEY45"/>
      <c r="AEZ45"/>
      <c r="AFA45" s="35"/>
      <c r="AFC45"/>
      <c r="AFD45"/>
      <c r="AFE45"/>
      <c r="AFF45"/>
      <c r="AFG45"/>
      <c r="AFH45"/>
      <c r="AFI45"/>
      <c r="AFJ45"/>
      <c r="AFK45"/>
      <c r="AFL45"/>
      <c r="AFM45"/>
      <c r="AFN45">
        <f>+Tabla578914151634353637383940414243444546474849505152535560626467[[#This Row],[G. Total]]*Tabla578914151634353637383940414243444546474849505152535560626467[[#This Row],[Recuento]]</f>
        <v>0</v>
      </c>
      <c r="AFO45" s="36"/>
      <c r="AFQ45" s="2" t="s">
        <v>120</v>
      </c>
      <c r="AFR45" s="2">
        <f>10*2</f>
        <v>20</v>
      </c>
      <c r="AFS45" s="2">
        <f>0.12*4</f>
        <v>0.48</v>
      </c>
      <c r="AFT45" s="2">
        <f>+AFS45*AFR45</f>
        <v>9.6</v>
      </c>
      <c r="AFU45" s="2">
        <v>4</v>
      </c>
      <c r="AFV45" s="2">
        <f>+AFU45*AFR45</f>
        <v>80</v>
      </c>
      <c r="AFX45" s="2" t="s">
        <v>120</v>
      </c>
      <c r="AFZ45" s="2">
        <f>0.12*2</f>
        <v>0.24</v>
      </c>
      <c r="AGA45" s="2">
        <f>+AFZ45*AFY45</f>
        <v>0</v>
      </c>
      <c r="AGB45" s="2">
        <v>2</v>
      </c>
      <c r="AGC45" s="2">
        <f>+AGB45*AFY45</f>
        <v>0</v>
      </c>
    </row>
    <row r="46" spans="1:861" ht="15.7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 s="26">
        <f t="shared" si="30"/>
        <v>0</v>
      </c>
      <c r="V46"/>
      <c r="W46"/>
      <c r="X46"/>
      <c r="Y46"/>
      <c r="Z46"/>
      <c r="AA46"/>
      <c r="AB46"/>
      <c r="AC46"/>
      <c r="AD46"/>
      <c r="AE46"/>
      <c r="AF46"/>
      <c r="AG46" s="26">
        <f t="shared" si="4"/>
        <v>0</v>
      </c>
      <c r="AH46"/>
      <c r="AI46"/>
      <c r="AJ46"/>
      <c r="AK46"/>
      <c r="AL46"/>
      <c r="AM46"/>
      <c r="AN46"/>
      <c r="AO46"/>
      <c r="AP46"/>
      <c r="AQ46"/>
      <c r="AR46"/>
      <c r="AS46" s="26">
        <f t="shared" si="5"/>
        <v>0</v>
      </c>
      <c r="AT46"/>
      <c r="AU46"/>
      <c r="AV46"/>
      <c r="AW46"/>
      <c r="AX46"/>
      <c r="AY46"/>
      <c r="AZ46"/>
      <c r="BA46"/>
      <c r="BB46"/>
      <c r="BC46"/>
      <c r="BD46"/>
      <c r="BE46" s="26">
        <f t="shared" si="6"/>
        <v>0</v>
      </c>
      <c r="BF46">
        <v>20</v>
      </c>
      <c r="BG46" t="s">
        <v>1863</v>
      </c>
      <c r="BH46" t="s">
        <v>1524</v>
      </c>
      <c r="BI46" t="s">
        <v>1405</v>
      </c>
      <c r="BJ46">
        <v>0.45</v>
      </c>
      <c r="BK46">
        <v>1</v>
      </c>
      <c r="BL46">
        <f>+Tabla3102[[#This Row],[En culmo]]*BF46</f>
        <v>20</v>
      </c>
      <c r="BM46"/>
      <c r="BO46"/>
      <c r="BP46"/>
      <c r="BQ46"/>
      <c r="BR46"/>
      <c r="BS46"/>
      <c r="BT46">
        <f>+Tabla31069[[#This Row],[Longitud de eje]]*BN46</f>
        <v>0</v>
      </c>
      <c r="BU46">
        <f>+Tabla31069[[#This Row],[Longitud de eje]]*BO46</f>
        <v>0</v>
      </c>
      <c r="BV46"/>
      <c r="BW46"/>
      <c r="BX46"/>
      <c r="BY46"/>
      <c r="BZ46"/>
      <c r="CA46"/>
      <c r="CB46">
        <f>+Tabla31011[[#This Row],[Longitud de eje]]*BV46</f>
        <v>0</v>
      </c>
      <c r="CD46">
        <v>2</v>
      </c>
      <c r="CE46" t="s">
        <v>1863</v>
      </c>
      <c r="CF46" t="s">
        <v>1525</v>
      </c>
      <c r="CG46" t="s">
        <v>1405</v>
      </c>
      <c r="CH46">
        <v>1.2</v>
      </c>
      <c r="CI46">
        <v>1.5</v>
      </c>
      <c r="CJ46">
        <f>+Tabla3101170[[#This Row],[En culmo]]*CD46</f>
        <v>3</v>
      </c>
      <c r="CK46"/>
      <c r="CL46"/>
      <c r="CM46"/>
      <c r="CN46"/>
      <c r="CO46"/>
      <c r="CP46"/>
      <c r="CQ46"/>
      <c r="CR46">
        <f>+Tabla31011116[[#This Row],[Longitud de eje]]*CL46</f>
        <v>0</v>
      </c>
      <c r="CT46"/>
      <c r="CU46"/>
      <c r="CV46"/>
      <c r="CW46"/>
      <c r="CX46"/>
      <c r="CY46"/>
      <c r="CZ46">
        <f>+Tabla3101170117[[#This Row],[En culmo]]*CT46</f>
        <v>0</v>
      </c>
      <c r="DA46"/>
      <c r="DB46"/>
      <c r="DC46"/>
      <c r="DD46"/>
      <c r="DE46"/>
      <c r="DF46"/>
      <c r="DG46">
        <f>+Tabla31011704[[#This Row],[Longitud de eje]]*DB46</f>
        <v>0</v>
      </c>
      <c r="DH46"/>
      <c r="DI46"/>
      <c r="DJ46"/>
      <c r="DK46"/>
      <c r="DL46"/>
      <c r="DM46"/>
      <c r="DN46">
        <f>+Tabla3101170411[[#This Row],[Longitud de eje]]*DI46</f>
        <v>0</v>
      </c>
      <c r="DO46"/>
      <c r="DP46"/>
      <c r="DQ46"/>
      <c r="DR46"/>
      <c r="DS46"/>
      <c r="DT46"/>
      <c r="DU46">
        <f>+Tabla3101170411120[[#This Row],[Longitud de eje]]*DP46</f>
        <v>0</v>
      </c>
      <c r="DV46"/>
      <c r="DW46"/>
      <c r="DX46"/>
      <c r="DY46"/>
      <c r="DZ46"/>
      <c r="EA46"/>
      <c r="EB46">
        <f>+Tabla3101170411120122[[#This Row],[Longitud de eje]]*DW46</f>
        <v>0</v>
      </c>
      <c r="EC46"/>
      <c r="ED46">
        <v>2</v>
      </c>
      <c r="EE46" t="s">
        <v>1862</v>
      </c>
      <c r="EF46" t="s">
        <v>1524</v>
      </c>
      <c r="EG46" t="s">
        <v>1406</v>
      </c>
      <c r="EH46">
        <v>4.6500000000000004</v>
      </c>
      <c r="EI46">
        <v>5</v>
      </c>
      <c r="EJ46">
        <f>+Tabla3101112[[#This Row],[En culmo]]*ED46</f>
        <v>10</v>
      </c>
      <c r="EK46"/>
      <c r="EL46"/>
      <c r="EM46"/>
      <c r="EN46"/>
      <c r="EO46"/>
      <c r="EP46"/>
      <c r="EQ46"/>
      <c r="ER46">
        <f>+Tabla3101112123[[#This Row],[En culmo]]*EL46</f>
        <v>0</v>
      </c>
      <c r="ES46"/>
      <c r="ET46">
        <v>2</v>
      </c>
      <c r="EU46" t="s">
        <v>1862</v>
      </c>
      <c r="EV46" t="s">
        <v>1525</v>
      </c>
      <c r="EW46" t="s">
        <v>1406</v>
      </c>
      <c r="EX46">
        <v>1.27</v>
      </c>
      <c r="EY46">
        <v>1.5</v>
      </c>
      <c r="EZ46">
        <f>+Tabla310111257[[#This Row],[En culmo]]*ET46</f>
        <v>3</v>
      </c>
      <c r="FA46"/>
      <c r="FB46"/>
      <c r="FC46"/>
      <c r="FD46"/>
      <c r="FE46"/>
      <c r="FF46"/>
      <c r="FG46">
        <v>2</v>
      </c>
      <c r="FH46">
        <f>+Tabla310111257124[[#This Row],[En culmo]]*FB46</f>
        <v>0</v>
      </c>
      <c r="FI46"/>
      <c r="FK46"/>
      <c r="FL46"/>
      <c r="FM46"/>
      <c r="FN46"/>
      <c r="FO46"/>
      <c r="FP46"/>
      <c r="FQ46"/>
      <c r="FS46"/>
      <c r="FT46"/>
      <c r="FU46"/>
      <c r="FV46"/>
      <c r="FW46"/>
      <c r="FX46"/>
      <c r="FY46"/>
      <c r="GA46"/>
      <c r="GB46"/>
      <c r="GC46"/>
      <c r="GD46"/>
      <c r="GE46"/>
      <c r="GF46"/>
      <c r="GG46"/>
      <c r="GI46"/>
      <c r="GJ46"/>
      <c r="GK46"/>
      <c r="GL46"/>
      <c r="GM46"/>
      <c r="GN46"/>
      <c r="GO46"/>
      <c r="GQ46"/>
      <c r="GR46"/>
      <c r="GS46"/>
      <c r="GT46"/>
      <c r="GU46"/>
      <c r="GV46"/>
      <c r="GW46"/>
      <c r="GX46"/>
      <c r="GY46" s="36"/>
      <c r="HA46"/>
      <c r="HB46"/>
      <c r="HC46"/>
      <c r="HD46"/>
      <c r="HE46"/>
      <c r="HF46"/>
      <c r="HG46"/>
      <c r="HH46"/>
      <c r="HI46" s="36"/>
      <c r="HK46"/>
      <c r="HL46"/>
      <c r="HM46"/>
      <c r="HN46"/>
      <c r="HO46"/>
      <c r="HP46"/>
      <c r="HQ46"/>
      <c r="HR46"/>
      <c r="HS46" s="36"/>
      <c r="HU46"/>
      <c r="HV46"/>
      <c r="HW46"/>
      <c r="HX46"/>
      <c r="HY46"/>
      <c r="HZ46"/>
      <c r="IA46"/>
      <c r="IB46"/>
      <c r="IC46" s="36"/>
      <c r="IE46"/>
      <c r="IF46"/>
      <c r="IG46"/>
      <c r="IH46"/>
      <c r="II46"/>
      <c r="IJ46"/>
      <c r="IK46"/>
      <c r="IL46"/>
      <c r="IM46" s="36"/>
      <c r="IY46"/>
      <c r="IZ46"/>
      <c r="JA46"/>
      <c r="JB46"/>
      <c r="JC46"/>
      <c r="JD46">
        <v>1</v>
      </c>
      <c r="JE46">
        <f>+Tabla520212224[[#This Row],[Recuento]]*Tabla520212224[[#This Row],[Volúmen bruto]]</f>
        <v>0</v>
      </c>
      <c r="JF46">
        <f>+Tabla520212224[[#This Row],[Recuento]]*Tabla520212224[[#This Row],[Área neta]]</f>
        <v>0</v>
      </c>
      <c r="JG46" s="26"/>
      <c r="JI46" t="s">
        <v>1862</v>
      </c>
      <c r="JJ46" t="s">
        <v>1525</v>
      </c>
      <c r="JK46" t="s">
        <v>1676</v>
      </c>
      <c r="JL46">
        <v>0.03</v>
      </c>
      <c r="JM46">
        <v>0.26</v>
      </c>
      <c r="JN46">
        <v>1</v>
      </c>
      <c r="JO46">
        <f>+Tabla52021222425[[#This Row],[Recuento]]*Tabla52021222425[[#This Row],[Volúmen bruto]]</f>
        <v>0.03</v>
      </c>
      <c r="JP46">
        <f>+Tabla52021222425[[#This Row],[Recuento]]*Tabla52021222425[[#This Row],[Área neta]]</f>
        <v>0.26</v>
      </c>
      <c r="JQ46" s="26"/>
      <c r="JS46" t="s">
        <v>1862</v>
      </c>
      <c r="JT46" t="s">
        <v>1524</v>
      </c>
      <c r="JU46" t="s">
        <v>1676</v>
      </c>
      <c r="JV46">
        <v>0.11</v>
      </c>
      <c r="JW46">
        <v>0.89</v>
      </c>
      <c r="JX46">
        <v>1</v>
      </c>
      <c r="JY46">
        <f>+Tabla5202122242526[[#This Row],[Recuento]]*Tabla5202122242526[[#This Row],[Volúmen bruto]]</f>
        <v>0.11</v>
      </c>
      <c r="JZ46">
        <f>+Tabla5202122242526[[#This Row],[Recuento]]*Tabla5202122242526[[#This Row],[Área neta]]</f>
        <v>0.89</v>
      </c>
      <c r="KA46" s="26">
        <f>+SUM(JZ46:JZ53)</f>
        <v>10.73</v>
      </c>
      <c r="KC46"/>
      <c r="KD46"/>
      <c r="KE46"/>
      <c r="KF46"/>
      <c r="KG46"/>
      <c r="KH46"/>
      <c r="KI46">
        <f>+Tabla5202122242526104[[#This Row],[Recuento]]*Tabla5202122242526104[[#This Row],[Volúmen bruto]]</f>
        <v>0</v>
      </c>
      <c r="KJ46">
        <f>+Tabla5202122242526104[[#This Row],[Recuento]]*Tabla5202122242526104[[#This Row],[Área neta]]</f>
        <v>0</v>
      </c>
      <c r="KK46" s="26"/>
      <c r="KM46" t="s">
        <v>1862</v>
      </c>
      <c r="KN46" t="s">
        <v>1525</v>
      </c>
      <c r="KO46" t="s">
        <v>1679</v>
      </c>
      <c r="KP46">
        <v>0</v>
      </c>
      <c r="KQ46">
        <v>4.2</v>
      </c>
      <c r="KR46">
        <v>1</v>
      </c>
      <c r="KS46">
        <f>+Tabla5202122242526104110[[#This Row],[Recuento]]*Tabla5202122242526104110[[#This Row],[Volúmen bruto]]</f>
        <v>0</v>
      </c>
      <c r="KT46">
        <f>+Tabla5202122242526104110[[#This Row],[Recuento]]*Tabla5202122242526104110[[#This Row],[Área neta]]</f>
        <v>4.2</v>
      </c>
      <c r="KU46" s="415"/>
      <c r="KW46"/>
      <c r="KX46"/>
      <c r="KY46"/>
      <c r="KZ46"/>
      <c r="LA46"/>
      <c r="LB46"/>
      <c r="LC46">
        <f>+Tabla520212224252659[[#This Row],[Recuento]]*Tabla520212224252659[[#This Row],[Volúmen bruto]]</f>
        <v>0</v>
      </c>
      <c r="LD46">
        <f>+Tabla520212224252659[[#This Row],[Recuento]]*Tabla520212224252659[[#This Row],[Área neta]]</f>
        <v>0</v>
      </c>
      <c r="LE46" s="26"/>
      <c r="LG46"/>
      <c r="LH46"/>
      <c r="LI46"/>
      <c r="LJ46"/>
      <c r="LK46"/>
      <c r="LL46"/>
      <c r="LM46">
        <f>+Tabla520212224252659111[[#This Row],[Recuento]]*Tabla520212224252659111[[#This Row],[Volúmen bruto]]</f>
        <v>0</v>
      </c>
      <c r="LN46">
        <f>+Tabla520212224252659111[[#This Row],[Recuento]]*Tabla520212224252659111[[#This Row],[Área neta]]</f>
        <v>0</v>
      </c>
      <c r="LO46" s="26"/>
      <c r="LQ46"/>
      <c r="LR46"/>
      <c r="LS46"/>
      <c r="LT46"/>
      <c r="LU46"/>
      <c r="LV46"/>
      <c r="LW46">
        <f>+Tabla520212224252659111114[[#This Row],[Recuento]]*Tabla520212224252659111114[[#This Row],[Volúmen bruto]]</f>
        <v>0</v>
      </c>
      <c r="LX46">
        <f>+Tabla520212224252659111114[[#This Row],[Recuento]]*Tabla520212224252659111114[[#This Row],[Área neta]]</f>
        <v>0</v>
      </c>
      <c r="LY46" s="26"/>
      <c r="MA46" t="s">
        <v>1863</v>
      </c>
      <c r="MB46" t="s">
        <v>1525</v>
      </c>
      <c r="MC46" t="s">
        <v>97</v>
      </c>
      <c r="MD46">
        <v>0.11</v>
      </c>
      <c r="ME46">
        <v>15.32</v>
      </c>
      <c r="MF46">
        <v>1</v>
      </c>
      <c r="MG46">
        <f>+Tabla520212224252659111114128[[#This Row],[Recuento]]*Tabla520212224252659111114128[[#This Row],[Volúmen bruto]]</f>
        <v>0.11</v>
      </c>
      <c r="MH46">
        <f>+Tabla520212224252659111114128[[#This Row],[Recuento]]*Tabla520212224252659111114128[[#This Row],[Área neta]]</f>
        <v>15.32</v>
      </c>
      <c r="MI46" s="26"/>
      <c r="MK46"/>
      <c r="ML46"/>
      <c r="MM46"/>
      <c r="MN46"/>
      <c r="MO46"/>
      <c r="MP46"/>
      <c r="MQ46">
        <f>+Tabla520212224252627[[#This Row],[Recuento]]*Tabla520212224252627[[#This Row],[Volúmen bruto]]</f>
        <v>0</v>
      </c>
      <c r="MR46">
        <f>+Tabla520212224252627[[#This Row],[Recuento]]*Tabla520212224252627[[#This Row],[Área neta]]</f>
        <v>0</v>
      </c>
      <c r="MS46" s="26"/>
      <c r="MU46"/>
      <c r="MV46"/>
      <c r="MW46"/>
      <c r="MX46"/>
      <c r="MY46"/>
      <c r="MZ46"/>
      <c r="NA46">
        <f>+Tabla520212224252627129[[#This Row],[Recuento]]*Tabla520212224252627129[[#This Row],[Volúmen bruto]]</f>
        <v>0</v>
      </c>
      <c r="NB46">
        <f>+Tabla520212224252627129[[#This Row],[Recuento]]*Tabla520212224252627129[[#This Row],[Área neta]]</f>
        <v>0</v>
      </c>
      <c r="NC46" s="26"/>
      <c r="NE46"/>
      <c r="NF46"/>
      <c r="NG46"/>
      <c r="NH46"/>
      <c r="NI46"/>
      <c r="NJ46"/>
      <c r="NK46">
        <f>+Tabla520212224252627129125[[#This Row],[Recuento]]*Tabla520212224252627129125[[#This Row],[Volúmen bruto]]</f>
        <v>0</v>
      </c>
      <c r="NL46">
        <f>+Tabla520212224252627129125[[#This Row],[Recuento]]*Tabla520212224252627129125[[#This Row],[Área neta]]</f>
        <v>0</v>
      </c>
      <c r="NM46" s="26"/>
      <c r="NO46"/>
      <c r="NP46"/>
      <c r="NQ46"/>
      <c r="NR46"/>
      <c r="NS46"/>
      <c r="NT46"/>
      <c r="NU46">
        <f>+Tabla520212224252627129125130[[#This Row],[Recuento]]*Tabla520212224252627129125130[[#This Row],[Volúmen bruto]]</f>
        <v>0</v>
      </c>
      <c r="NV46">
        <f>+Tabla520212224252627129125130[[#This Row],[Recuento]]*Tabla520212224252627129125130[[#This Row],[Área neta]]</f>
        <v>0</v>
      </c>
      <c r="NW46" s="26"/>
      <c r="NY46"/>
      <c r="NZ46"/>
      <c r="OA46"/>
      <c r="OB46"/>
      <c r="OC46"/>
      <c r="OD46"/>
      <c r="OE46">
        <f>+Tabla520212224252627129125130131[[#This Row],[Recuento]]*Tabla520212224252627129125130131[[#This Row],[Volúmen bruto]]</f>
        <v>0</v>
      </c>
      <c r="OF46">
        <f>+Tabla520212224252627129125130131[[#This Row],[Recuento]]*Tabla520212224252627129125130131[[#This Row],[Área neta]]</f>
        <v>0</v>
      </c>
      <c r="OG46" s="26"/>
      <c r="OI46"/>
      <c r="OJ46"/>
      <c r="OK46"/>
      <c r="OL46"/>
      <c r="OM46"/>
      <c r="ON46"/>
      <c r="OO46">
        <f>+Tabla520212224252627129125130131132[[#This Row],[Recuento]]*Tabla520212224252627129125130131132[[#This Row],[Volúmen bruto]]</f>
        <v>0</v>
      </c>
      <c r="OP46">
        <f>+Tabla520212224252627129125130131132[[#This Row],[Recuento]]*Tabla520212224252627129125130131132[[#This Row],[Área neta]]</f>
        <v>0</v>
      </c>
      <c r="OQ46" s="26"/>
      <c r="OS46"/>
      <c r="OT46"/>
      <c r="OU46"/>
      <c r="OV46"/>
      <c r="OW46"/>
      <c r="OX46"/>
      <c r="OY46">
        <f>+Tabla52021222425262728[[#This Row],[Recuento]]*Tabla52021222425262728[[#This Row],[Volúmen bruto]]</f>
        <v>0</v>
      </c>
      <c r="OZ46">
        <f>+Tabla52021222425262728[[#This Row],[Recuento]]*Tabla52021222425262728[[#This Row],[Área neta]]</f>
        <v>0</v>
      </c>
      <c r="PA46" s="26">
        <f t="shared" ref="PA46:PA67" si="32">+SUM(OZ48)</f>
        <v>0</v>
      </c>
      <c r="PC46" t="s">
        <v>1862</v>
      </c>
      <c r="PD46" t="s">
        <v>1525</v>
      </c>
      <c r="PE46" t="s">
        <v>1677</v>
      </c>
      <c r="PF46">
        <v>0</v>
      </c>
      <c r="PG46">
        <v>1.78</v>
      </c>
      <c r="PH46">
        <v>1</v>
      </c>
      <c r="PI46">
        <f>+Tabla52021222425262728133[[#This Row],[Recuento]]*Tabla52021222425262728133[[#This Row],[Volúmen bruto]]</f>
        <v>0</v>
      </c>
      <c r="PJ46">
        <f>+Tabla52021222425262728133[[#This Row],[Recuento]]*Tabla52021222425262728133[[#This Row],[Área neta]]</f>
        <v>1.78</v>
      </c>
      <c r="PK46" s="26"/>
      <c r="PM46"/>
      <c r="PN46"/>
      <c r="PO46"/>
      <c r="PP46"/>
      <c r="PQ46"/>
      <c r="PR46"/>
      <c r="PS46">
        <f>+Tabla5202122242526272893[[#This Row],[Recuento]]*Tabla5202122242526272893[[#This Row],[Volúmen bruto]]</f>
        <v>0</v>
      </c>
      <c r="PT46">
        <f>+Tabla5202122242526272893[[#This Row],[Recuento]]*Tabla5202122242526272893[[#This Row],[Área neta]]</f>
        <v>0</v>
      </c>
      <c r="PU46" s="26"/>
      <c r="PW46" t="s">
        <v>1863</v>
      </c>
      <c r="PX46" t="s">
        <v>1525</v>
      </c>
      <c r="PY46" t="s">
        <v>1788</v>
      </c>
      <c r="PZ46">
        <v>0.01</v>
      </c>
      <c r="QA46">
        <v>1.02</v>
      </c>
      <c r="QB46">
        <v>1</v>
      </c>
      <c r="QC46">
        <f>+Tabla520212224252627289349[[#This Row],[Recuento]]*Tabla520212224252627289349[[#This Row],[Volúmen bruto]]</f>
        <v>0.01</v>
      </c>
      <c r="QD46">
        <f>+Tabla520212224252627289349[[#This Row],[Recuento]]*Tabla520212224252627289349[[#This Row],[Área neta]]</f>
        <v>1.02</v>
      </c>
      <c r="QE46" s="26"/>
      <c r="QG46"/>
      <c r="QH46"/>
      <c r="QI46"/>
      <c r="QJ46"/>
      <c r="QK46"/>
      <c r="QL46"/>
      <c r="QM46">
        <f>+Tabla520212224252627289349134[[#This Row],[Recuento]]*Tabla520212224252627289349134[[#This Row],[Volúmen bruto]]</f>
        <v>0</v>
      </c>
      <c r="QN46">
        <f>+Tabla520212224252627289349134[[#This Row],[Recuento]]*Tabla520212224252627289349134[[#This Row],[Área neta]]</f>
        <v>0</v>
      </c>
      <c r="QO46" s="26"/>
      <c r="QQ46" t="s">
        <v>1863</v>
      </c>
      <c r="QR46" t="s">
        <v>1524</v>
      </c>
      <c r="QS46" t="s">
        <v>1726</v>
      </c>
      <c r="QT46">
        <v>0.12</v>
      </c>
      <c r="QU46">
        <v>0.59</v>
      </c>
      <c r="QV46">
        <v>1</v>
      </c>
      <c r="QW46">
        <v>1</v>
      </c>
      <c r="QX46">
        <f>+Tabla5202122242526272829[[#This Row],[Recuento]]*Tabla5202122242526272829[[#This Row],[Volúmen bruto]]</f>
        <v>0.12</v>
      </c>
      <c r="QY46">
        <f>+Tabla5202122242526272829[[#This Row],[Recuento]]*Tabla5202122242526272829[[#This Row],[Área neta]]</f>
        <v>0.59</v>
      </c>
      <c r="QZ46">
        <f>+Tabla5202122242526272829[[#This Row],[Recuento]]*Tabla5202122242526272829[[#This Row],[Longitud]]</f>
        <v>1</v>
      </c>
      <c r="RA46" s="26"/>
      <c r="RC46"/>
      <c r="RD46"/>
      <c r="RE46"/>
      <c r="RF46"/>
      <c r="RG46"/>
      <c r="RH46"/>
      <c r="RI46"/>
      <c r="RJ46"/>
      <c r="RK46" s="26"/>
      <c r="RM46"/>
      <c r="RN46"/>
      <c r="RO46"/>
      <c r="RP46"/>
      <c r="RQ46"/>
      <c r="RR46"/>
      <c r="RS46"/>
      <c r="RT46"/>
      <c r="RU46" s="26">
        <f t="shared" si="7"/>
        <v>0</v>
      </c>
      <c r="RW46"/>
      <c r="RX46"/>
      <c r="RY46"/>
      <c r="RZ46"/>
      <c r="SA46"/>
      <c r="SB46"/>
      <c r="SC46"/>
      <c r="SD46"/>
      <c r="SE46" s="26"/>
      <c r="SG46"/>
      <c r="SH46"/>
      <c r="SI46"/>
      <c r="SJ46"/>
      <c r="SK46"/>
      <c r="SL46"/>
      <c r="SM46"/>
      <c r="SN46"/>
      <c r="SO46" s="26"/>
      <c r="SQ46"/>
      <c r="SR46"/>
      <c r="SY46" s="36">
        <f t="shared" si="31"/>
        <v>0</v>
      </c>
      <c r="TA46"/>
      <c r="TB46"/>
      <c r="TI46" s="36">
        <f t="shared" si="8"/>
        <v>0</v>
      </c>
      <c r="TK46"/>
      <c r="TL46"/>
      <c r="TS46" s="36">
        <f t="shared" si="9"/>
        <v>0</v>
      </c>
      <c r="TU46"/>
      <c r="TV46"/>
      <c r="UC46" s="36">
        <f t="shared" si="10"/>
        <v>0</v>
      </c>
      <c r="UE46"/>
      <c r="UF46"/>
      <c r="UM46" s="36">
        <f t="shared" si="11"/>
        <v>0</v>
      </c>
      <c r="UO46"/>
      <c r="UP46"/>
      <c r="UW46" s="36">
        <f t="shared" si="12"/>
        <v>0</v>
      </c>
      <c r="UY46"/>
      <c r="UZ46"/>
      <c r="VG46" s="36">
        <f t="shared" si="13"/>
        <v>0</v>
      </c>
      <c r="VI46"/>
      <c r="VJ46"/>
      <c r="VQ46" s="36">
        <f t="shared" si="14"/>
        <v>0</v>
      </c>
      <c r="VS46"/>
      <c r="VT46"/>
      <c r="WA46" s="36">
        <f t="shared" si="15"/>
        <v>0</v>
      </c>
      <c r="WC46"/>
      <c r="WD46"/>
      <c r="WK46" s="36">
        <f t="shared" si="16"/>
        <v>0</v>
      </c>
      <c r="WM46"/>
      <c r="WN46"/>
      <c r="WU46" s="36">
        <f t="shared" si="17"/>
        <v>0</v>
      </c>
      <c r="WW46"/>
      <c r="WX46"/>
      <c r="XE46" s="36">
        <f t="shared" si="18"/>
        <v>0</v>
      </c>
      <c r="XG46"/>
      <c r="XH46"/>
      <c r="XO46" s="36">
        <f t="shared" si="22"/>
        <v>0</v>
      </c>
      <c r="XQ46"/>
      <c r="XR46"/>
      <c r="XY46" s="36">
        <f t="shared" si="23"/>
        <v>0</v>
      </c>
      <c r="YA46"/>
      <c r="YB46"/>
      <c r="YI46" s="36">
        <f t="shared" si="24"/>
        <v>0</v>
      </c>
      <c r="YJ46" s="36"/>
      <c r="YK46"/>
      <c r="YL46"/>
      <c r="YM46"/>
      <c r="YN46"/>
      <c r="YO46"/>
      <c r="YQ46"/>
      <c r="YR46"/>
      <c r="YY46" s="36">
        <f t="shared" si="25"/>
        <v>0</v>
      </c>
      <c r="ZA46"/>
      <c r="ZB46"/>
      <c r="ZI46" s="36">
        <f t="shared" si="26"/>
        <v>0</v>
      </c>
      <c r="ZK46"/>
      <c r="ZL46"/>
      <c r="ZS46" s="36">
        <f t="shared" si="27"/>
        <v>0</v>
      </c>
      <c r="ZU46"/>
      <c r="ZV46"/>
      <c r="AAC46" s="36">
        <f t="shared" si="28"/>
        <v>0</v>
      </c>
      <c r="AAE46"/>
      <c r="AAF46"/>
      <c r="AAM46" s="36">
        <f t="shared" si="29"/>
        <v>0</v>
      </c>
      <c r="AAY46"/>
      <c r="AAZ46"/>
      <c r="ABG46" s="36">
        <f t="shared" ref="ABG46:ABG51" si="33">+SUM(ABB46:ABB47)</f>
        <v>0</v>
      </c>
      <c r="ABI46"/>
      <c r="ABJ46"/>
      <c r="ABQ46" s="36">
        <f t="shared" ref="ABQ46:ABQ51" si="34">+SUM(ABL46:ABL47)</f>
        <v>0</v>
      </c>
      <c r="ABS46"/>
      <c r="ABT46"/>
      <c r="ACA46" s="36">
        <f t="shared" ref="ACA46:ACA51" si="35">+SUM(ABV46:ABV47)</f>
        <v>0</v>
      </c>
      <c r="ACC46"/>
      <c r="ACD46"/>
      <c r="ACK46" s="36">
        <f t="shared" ref="ACK46:ACK51" si="36">+SUM(ACF46:ACF47)</f>
        <v>0</v>
      </c>
      <c r="ACM46"/>
      <c r="ACN46"/>
      <c r="ACU46" s="36">
        <f t="shared" ref="ACU46:ACU51" si="37">+SUM(ACP46:ACP47)</f>
        <v>0</v>
      </c>
      <c r="ACW46" t="s">
        <v>1242</v>
      </c>
      <c r="ACY46" s="2"/>
      <c r="ADA46" s="38"/>
      <c r="ADB46" s="2">
        <f t="shared" si="21"/>
        <v>0</v>
      </c>
      <c r="ADD46" t="s">
        <v>1723</v>
      </c>
      <c r="ADE46">
        <v>0.8</v>
      </c>
      <c r="ADF46">
        <v>91</v>
      </c>
      <c r="ADG46" s="26">
        <f>+ADF46*ADE46</f>
        <v>72.8</v>
      </c>
      <c r="ADJ46"/>
      <c r="ADK46"/>
      <c r="ADL46"/>
      <c r="ADM46"/>
      <c r="ADN46"/>
      <c r="ADO46">
        <f>+Tabla578914151634353637383940414243444546474849505152535560[[#This Row],[G. Total]]*Tabla578914151634353637383940414243444546474849505152535560[[#This Row],[Recuento]]</f>
        <v>0</v>
      </c>
      <c r="ADP46" s="36"/>
      <c r="ADR46"/>
      <c r="ADS46"/>
      <c r="ADT46"/>
      <c r="ADU46"/>
      <c r="ADV46"/>
      <c r="ADW46" s="36"/>
      <c r="ADX46" s="36"/>
      <c r="ADY46"/>
      <c r="ADZ46"/>
      <c r="AEA46"/>
      <c r="AEB46"/>
      <c r="AEC46"/>
      <c r="AED46"/>
      <c r="AEE46" s="36"/>
      <c r="AEG46"/>
      <c r="AEH46"/>
      <c r="AEI46"/>
      <c r="AEJ46"/>
      <c r="AEK46"/>
      <c r="AEL46" s="36"/>
      <c r="AEM46" s="36"/>
      <c r="AEN46" t="s">
        <v>1522</v>
      </c>
      <c r="AEO46" t="s">
        <v>1524</v>
      </c>
      <c r="AEP46" t="s">
        <v>381</v>
      </c>
      <c r="AEQ46">
        <v>0.12</v>
      </c>
      <c r="AER46">
        <v>4</v>
      </c>
      <c r="AES46">
        <f>+Tabla5789141516343536373839404142434445464748495051525355606264[[#This Row],[G. Total]]*Tabla5789141516343536373839404142434445464748495051525355606264[[#This Row],[Recuento]]</f>
        <v>0.48</v>
      </c>
      <c r="AET46" s="35"/>
      <c r="AEV46"/>
      <c r="AEW46"/>
      <c r="AEX46"/>
      <c r="AEY46"/>
      <c r="AEZ46"/>
      <c r="AFA46" s="36"/>
      <c r="AFC46"/>
      <c r="AFD46"/>
      <c r="AFE46"/>
      <c r="AFF46"/>
      <c r="AFG46"/>
      <c r="AFH46"/>
      <c r="AFI46"/>
      <c r="AFJ46"/>
      <c r="AFK46"/>
      <c r="AFL46"/>
      <c r="AFM46"/>
      <c r="AFN46">
        <f>+Tabla578914151634353637383940414243444546474849505152535560626467[[#This Row],[G. Total]]*Tabla578914151634353637383940414243444546474849505152535560626467[[#This Row],[Recuento]]</f>
        <v>0</v>
      </c>
      <c r="AFO46" s="35"/>
    </row>
    <row r="47" spans="1:861" ht="14.2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 s="26">
        <f t="shared" si="30"/>
        <v>0</v>
      </c>
      <c r="V47"/>
      <c r="W47"/>
      <c r="X47"/>
      <c r="Y47"/>
      <c r="Z47"/>
      <c r="AA47"/>
      <c r="AB47"/>
      <c r="AC47"/>
      <c r="AD47"/>
      <c r="AE47"/>
      <c r="AF47"/>
      <c r="AG47" s="26">
        <f t="shared" si="4"/>
        <v>0</v>
      </c>
      <c r="AH47"/>
      <c r="AI47"/>
      <c r="AJ47"/>
      <c r="AK47"/>
      <c r="AL47"/>
      <c r="AM47"/>
      <c r="AN47"/>
      <c r="AO47"/>
      <c r="AP47"/>
      <c r="AQ47"/>
      <c r="AR47"/>
      <c r="AS47" s="26">
        <f t="shared" si="5"/>
        <v>0</v>
      </c>
      <c r="AT47"/>
      <c r="AU47"/>
      <c r="AV47"/>
      <c r="AW47"/>
      <c r="AX47"/>
      <c r="AY47"/>
      <c r="AZ47"/>
      <c r="BA47"/>
      <c r="BB47"/>
      <c r="BC47"/>
      <c r="BD47"/>
      <c r="BE47" s="26">
        <f t="shared" si="6"/>
        <v>0</v>
      </c>
      <c r="BF47">
        <v>10</v>
      </c>
      <c r="BG47" t="s">
        <v>1863</v>
      </c>
      <c r="BH47" t="s">
        <v>1524</v>
      </c>
      <c r="BI47" t="s">
        <v>1405</v>
      </c>
      <c r="BJ47">
        <v>2.1</v>
      </c>
      <c r="BK47">
        <v>2.5</v>
      </c>
      <c r="BL47">
        <f>+Tabla3102[[#This Row],[En culmo]]*BF47</f>
        <v>25</v>
      </c>
      <c r="BM47"/>
      <c r="BO47"/>
      <c r="BP47"/>
      <c r="BQ47"/>
      <c r="BR47"/>
      <c r="BS47"/>
      <c r="BT47">
        <f>+Tabla31069[[#This Row],[Longitud de eje]]*BN47</f>
        <v>0</v>
      </c>
      <c r="BU47">
        <f>+Tabla31069[[#This Row],[Longitud de eje]]*BO47</f>
        <v>0</v>
      </c>
      <c r="BV47"/>
      <c r="BW47"/>
      <c r="BX47"/>
      <c r="BY47"/>
      <c r="BZ47"/>
      <c r="CA47"/>
      <c r="CB47">
        <f>+Tabla31011[[#This Row],[Longitud de eje]]*BV47</f>
        <v>0</v>
      </c>
      <c r="CD47"/>
      <c r="CE47"/>
      <c r="CF47"/>
      <c r="CG47"/>
      <c r="CH47"/>
      <c r="CI47"/>
      <c r="CJ47">
        <f>+Tabla3101170[[#This Row],[En culmo]]*CD47</f>
        <v>0</v>
      </c>
      <c r="CK47"/>
      <c r="CL47"/>
      <c r="CM47"/>
      <c r="CN47"/>
      <c r="CO47"/>
      <c r="CP47"/>
      <c r="CQ47"/>
      <c r="CR47">
        <f>+Tabla31011116[[#This Row],[Longitud de eje]]*CL47</f>
        <v>0</v>
      </c>
      <c r="CT47"/>
      <c r="CU47"/>
      <c r="CV47"/>
      <c r="CW47"/>
      <c r="CX47"/>
      <c r="CY47"/>
      <c r="CZ47">
        <f>+Tabla3101170117[[#This Row],[En culmo]]*CT47</f>
        <v>0</v>
      </c>
      <c r="DA47"/>
      <c r="DB47"/>
      <c r="DC47"/>
      <c r="DD47"/>
      <c r="DE47"/>
      <c r="DF47"/>
      <c r="DG47">
        <f>+Tabla31011704[[#This Row],[Longitud de eje]]*DB47</f>
        <v>0</v>
      </c>
      <c r="DH47"/>
      <c r="DI47"/>
      <c r="DJ47"/>
      <c r="DK47"/>
      <c r="DL47"/>
      <c r="DM47"/>
      <c r="DN47">
        <f>+Tabla3101170411[[#This Row],[Longitud de eje]]*DI47</f>
        <v>0</v>
      </c>
      <c r="DO47"/>
      <c r="DP47"/>
      <c r="DQ47"/>
      <c r="DR47"/>
      <c r="DS47"/>
      <c r="DT47"/>
      <c r="DU47">
        <f>+Tabla3101170411120[[#This Row],[Longitud de eje]]*DP47</f>
        <v>0</v>
      </c>
      <c r="DV47"/>
      <c r="DW47"/>
      <c r="DX47"/>
      <c r="DY47"/>
      <c r="DZ47"/>
      <c r="EA47"/>
      <c r="EB47">
        <f>+Tabla3101170411120122[[#This Row],[Longitud de eje]]*DW47</f>
        <v>0</v>
      </c>
      <c r="EC47"/>
      <c r="ED47">
        <v>2</v>
      </c>
      <c r="EE47" t="s">
        <v>1862</v>
      </c>
      <c r="EF47" t="s">
        <v>1524</v>
      </c>
      <c r="EG47" t="s">
        <v>1406</v>
      </c>
      <c r="EH47">
        <v>2.12</v>
      </c>
      <c r="EI47">
        <v>2.5</v>
      </c>
      <c r="EJ47">
        <f>+Tabla3101112[[#This Row],[En culmo]]*ED47</f>
        <v>5</v>
      </c>
      <c r="EK47"/>
      <c r="EL47"/>
      <c r="EM47"/>
      <c r="EN47"/>
      <c r="EO47"/>
      <c r="EP47"/>
      <c r="EQ47"/>
      <c r="ER47">
        <f>+Tabla3101112123[[#This Row],[En culmo]]*EL47</f>
        <v>0</v>
      </c>
      <c r="ES47"/>
      <c r="ET47">
        <v>1</v>
      </c>
      <c r="EU47" t="s">
        <v>1862</v>
      </c>
      <c r="EV47" t="s">
        <v>1525</v>
      </c>
      <c r="EW47" t="s">
        <v>1406</v>
      </c>
      <c r="EX47">
        <v>1.51</v>
      </c>
      <c r="EY47">
        <v>2</v>
      </c>
      <c r="EZ47">
        <f>+Tabla310111257[[#This Row],[En culmo]]*ET47</f>
        <v>2</v>
      </c>
      <c r="FA47"/>
      <c r="FB47"/>
      <c r="FC47"/>
      <c r="FD47"/>
      <c r="FE47"/>
      <c r="FF47"/>
      <c r="FG47">
        <v>1.5</v>
      </c>
      <c r="FH47">
        <f>+Tabla310111257124[[#This Row],[En culmo]]*FB47</f>
        <v>0</v>
      </c>
      <c r="FI47"/>
      <c r="FK47"/>
      <c r="FL47"/>
      <c r="FM47"/>
      <c r="FN47"/>
      <c r="FO47"/>
      <c r="FP47"/>
      <c r="FQ47"/>
      <c r="FS47"/>
      <c r="FT47"/>
      <c r="FU47"/>
      <c r="FV47"/>
      <c r="FW47"/>
      <c r="FX47"/>
      <c r="FY47"/>
      <c r="GA47"/>
      <c r="GB47"/>
      <c r="GC47"/>
      <c r="GD47"/>
      <c r="GE47"/>
      <c r="GF47"/>
      <c r="GG47"/>
      <c r="GI47"/>
      <c r="GJ47"/>
      <c r="GK47"/>
      <c r="GL47"/>
      <c r="GM47"/>
      <c r="GN47"/>
      <c r="GO47"/>
      <c r="GQ47"/>
      <c r="GR47"/>
      <c r="GS47"/>
      <c r="GT47"/>
      <c r="GU47"/>
      <c r="GV47"/>
      <c r="GW47"/>
      <c r="GX47"/>
      <c r="GY47" s="36"/>
      <c r="HA47"/>
      <c r="HB47"/>
      <c r="HC47"/>
      <c r="HD47"/>
      <c r="HE47"/>
      <c r="HF47"/>
      <c r="HG47"/>
      <c r="HH47"/>
      <c r="HI47" s="36"/>
      <c r="HK47"/>
      <c r="HL47"/>
      <c r="HM47"/>
      <c r="HN47"/>
      <c r="HO47"/>
      <c r="HP47"/>
      <c r="HQ47"/>
      <c r="HR47"/>
      <c r="HS47" s="36"/>
      <c r="HU47"/>
      <c r="HV47"/>
      <c r="HW47"/>
      <c r="HX47"/>
      <c r="HY47"/>
      <c r="HZ47"/>
      <c r="IA47"/>
      <c r="IB47"/>
      <c r="IC47" s="36"/>
      <c r="IE47"/>
      <c r="IF47"/>
      <c r="IG47"/>
      <c r="IH47"/>
      <c r="II47"/>
      <c r="IJ47"/>
      <c r="IK47"/>
      <c r="IL47"/>
      <c r="IM47" s="36"/>
      <c r="IY47"/>
      <c r="IZ47"/>
      <c r="JA47"/>
      <c r="JB47"/>
      <c r="JC47"/>
      <c r="JD47">
        <v>1</v>
      </c>
      <c r="JE47">
        <f>+Tabla520212224[[#This Row],[Recuento]]*Tabla520212224[[#This Row],[Volúmen bruto]]</f>
        <v>0</v>
      </c>
      <c r="JF47">
        <f>+Tabla520212224[[#This Row],[Recuento]]*Tabla520212224[[#This Row],[Área neta]]</f>
        <v>0</v>
      </c>
      <c r="JG47" s="26"/>
      <c r="JI47" t="s">
        <v>1863</v>
      </c>
      <c r="JJ47" t="s">
        <v>1524</v>
      </c>
      <c r="JK47" t="s">
        <v>1628</v>
      </c>
      <c r="JL47">
        <v>0.03</v>
      </c>
      <c r="JM47">
        <v>1.73</v>
      </c>
      <c r="JN47">
        <v>2</v>
      </c>
      <c r="JO47">
        <f>+Tabla52021222425[[#This Row],[Recuento]]*Tabla52021222425[[#This Row],[Volúmen bruto]]</f>
        <v>0.06</v>
      </c>
      <c r="JP47">
        <f>+Tabla52021222425[[#This Row],[Recuento]]*Tabla52021222425[[#This Row],[Área neta]]</f>
        <v>3.46</v>
      </c>
      <c r="JQ47" s="26">
        <f>+SUM(JP47:JP50)</f>
        <v>47.48</v>
      </c>
      <c r="JS47" t="s">
        <v>1862</v>
      </c>
      <c r="JT47" t="s">
        <v>1524</v>
      </c>
      <c r="JU47" t="s">
        <v>1676</v>
      </c>
      <c r="JV47">
        <v>0.16</v>
      </c>
      <c r="JW47">
        <v>1.32</v>
      </c>
      <c r="JX47">
        <v>1</v>
      </c>
      <c r="JY47">
        <f>+Tabla5202122242526[[#This Row],[Recuento]]*Tabla5202122242526[[#This Row],[Volúmen bruto]]</f>
        <v>0.16</v>
      </c>
      <c r="JZ47">
        <f>+Tabla5202122242526[[#This Row],[Recuento]]*Tabla5202122242526[[#This Row],[Área neta]]</f>
        <v>1.32</v>
      </c>
      <c r="KA47" s="26"/>
      <c r="KC47"/>
      <c r="KD47"/>
      <c r="KE47"/>
      <c r="KF47"/>
      <c r="KG47"/>
      <c r="KH47"/>
      <c r="KI47">
        <f>+Tabla5202122242526104[[#This Row],[Recuento]]*Tabla5202122242526104[[#This Row],[Volúmen bruto]]</f>
        <v>0</v>
      </c>
      <c r="KJ47">
        <f>+Tabla5202122242526104[[#This Row],[Recuento]]*Tabla5202122242526104[[#This Row],[Área neta]]</f>
        <v>0</v>
      </c>
      <c r="KK47" s="26"/>
      <c r="KM47" t="s">
        <v>1862</v>
      </c>
      <c r="KN47" t="s">
        <v>1525</v>
      </c>
      <c r="KO47" t="s">
        <v>1679</v>
      </c>
      <c r="KP47">
        <v>0</v>
      </c>
      <c r="KQ47">
        <v>2.63</v>
      </c>
      <c r="KR47">
        <v>1</v>
      </c>
      <c r="KS47">
        <f>+Tabla5202122242526104110[[#This Row],[Recuento]]*Tabla5202122242526104110[[#This Row],[Volúmen bruto]]</f>
        <v>0</v>
      </c>
      <c r="KT47">
        <f>+Tabla5202122242526104110[[#This Row],[Recuento]]*Tabla5202122242526104110[[#This Row],[Área neta]]</f>
        <v>2.63</v>
      </c>
      <c r="KU47" s="26"/>
      <c r="KW47"/>
      <c r="KX47"/>
      <c r="KY47"/>
      <c r="KZ47"/>
      <c r="LA47"/>
      <c r="LB47"/>
      <c r="LC47">
        <f>+Tabla520212224252659[[#This Row],[Recuento]]*Tabla520212224252659[[#This Row],[Volúmen bruto]]</f>
        <v>0</v>
      </c>
      <c r="LD47">
        <f>+Tabla520212224252659[[#This Row],[Recuento]]*Tabla520212224252659[[#This Row],[Área neta]]</f>
        <v>0</v>
      </c>
      <c r="LE47" s="26"/>
      <c r="LG47"/>
      <c r="LH47"/>
      <c r="LI47"/>
      <c r="LJ47"/>
      <c r="LK47"/>
      <c r="LL47"/>
      <c r="LM47">
        <f>+Tabla520212224252659111[[#This Row],[Recuento]]*Tabla520212224252659111[[#This Row],[Volúmen bruto]]</f>
        <v>0</v>
      </c>
      <c r="LN47">
        <f>+Tabla520212224252659111[[#This Row],[Recuento]]*Tabla520212224252659111[[#This Row],[Área neta]]</f>
        <v>0</v>
      </c>
      <c r="LO47" s="26"/>
      <c r="LQ47"/>
      <c r="LR47"/>
      <c r="LS47"/>
      <c r="LT47"/>
      <c r="LU47"/>
      <c r="LV47"/>
      <c r="LW47">
        <f>+Tabla520212224252659111114[[#This Row],[Recuento]]*Tabla520212224252659111114[[#This Row],[Volúmen bruto]]</f>
        <v>0</v>
      </c>
      <c r="LX47">
        <f>+Tabla520212224252659111114[[#This Row],[Recuento]]*Tabla520212224252659111114[[#This Row],[Área neta]]</f>
        <v>0</v>
      </c>
      <c r="LY47" s="26"/>
      <c r="MA47" t="s">
        <v>1863</v>
      </c>
      <c r="MB47" t="s">
        <v>1524</v>
      </c>
      <c r="MC47" t="s">
        <v>98</v>
      </c>
      <c r="MD47">
        <v>0.01</v>
      </c>
      <c r="ME47">
        <v>4.71</v>
      </c>
      <c r="MF47">
        <v>1</v>
      </c>
      <c r="MG47">
        <f>+Tabla520212224252659111114128[[#This Row],[Recuento]]*Tabla520212224252659111114128[[#This Row],[Volúmen bruto]]</f>
        <v>0.01</v>
      </c>
      <c r="MH47">
        <f>+Tabla520212224252659111114128[[#This Row],[Recuento]]*Tabla520212224252659111114128[[#This Row],[Área neta]]</f>
        <v>4.71</v>
      </c>
      <c r="MI47" s="26">
        <f>+SUM(MH47:MH54)</f>
        <v>57.21</v>
      </c>
      <c r="MK47"/>
      <c r="ML47"/>
      <c r="MM47"/>
      <c r="MN47"/>
      <c r="MO47"/>
      <c r="MP47"/>
      <c r="MQ47">
        <f>+Tabla520212224252627[[#This Row],[Recuento]]*Tabla520212224252627[[#This Row],[Volúmen bruto]]</f>
        <v>0</v>
      </c>
      <c r="MR47">
        <f>+Tabla520212224252627[[#This Row],[Recuento]]*Tabla520212224252627[[#This Row],[Área neta]]</f>
        <v>0</v>
      </c>
      <c r="MS47" s="26"/>
      <c r="MU47"/>
      <c r="MV47"/>
      <c r="MW47"/>
      <c r="MX47"/>
      <c r="MY47"/>
      <c r="MZ47"/>
      <c r="NA47">
        <f>+Tabla520212224252627129[[#This Row],[Recuento]]*Tabla520212224252627129[[#This Row],[Volúmen bruto]]</f>
        <v>0</v>
      </c>
      <c r="NB47">
        <f>+Tabla520212224252627129[[#This Row],[Recuento]]*Tabla520212224252627129[[#This Row],[Área neta]]</f>
        <v>0</v>
      </c>
      <c r="NC47" s="26"/>
      <c r="NE47"/>
      <c r="NF47"/>
      <c r="NG47"/>
      <c r="NH47"/>
      <c r="NI47"/>
      <c r="NJ47"/>
      <c r="NK47">
        <f>+Tabla520212224252627129125[[#This Row],[Recuento]]*Tabla520212224252627129125[[#This Row],[Volúmen bruto]]</f>
        <v>0</v>
      </c>
      <c r="NL47">
        <f>+Tabla520212224252627129125[[#This Row],[Recuento]]*Tabla520212224252627129125[[#This Row],[Área neta]]</f>
        <v>0</v>
      </c>
      <c r="NM47" s="26"/>
      <c r="NO47"/>
      <c r="NP47"/>
      <c r="NQ47"/>
      <c r="NR47"/>
      <c r="NS47"/>
      <c r="NT47"/>
      <c r="NU47">
        <f>+Tabla520212224252627129125130[[#This Row],[Recuento]]*Tabla520212224252627129125130[[#This Row],[Volúmen bruto]]</f>
        <v>0</v>
      </c>
      <c r="NV47">
        <f>+Tabla520212224252627129125130[[#This Row],[Recuento]]*Tabla520212224252627129125130[[#This Row],[Área neta]]</f>
        <v>0</v>
      </c>
      <c r="NW47" s="26"/>
      <c r="NY47"/>
      <c r="NZ47"/>
      <c r="OA47"/>
      <c r="OB47"/>
      <c r="OC47"/>
      <c r="OD47"/>
      <c r="OE47">
        <f>+Tabla520212224252627129125130131[[#This Row],[Recuento]]*Tabla520212224252627129125130131[[#This Row],[Volúmen bruto]]</f>
        <v>0</v>
      </c>
      <c r="OF47">
        <f>+Tabla520212224252627129125130131[[#This Row],[Recuento]]*Tabla520212224252627129125130131[[#This Row],[Área neta]]</f>
        <v>0</v>
      </c>
      <c r="OG47" s="26"/>
      <c r="OI47"/>
      <c r="OJ47"/>
      <c r="OK47"/>
      <c r="OL47"/>
      <c r="OM47"/>
      <c r="ON47"/>
      <c r="OO47">
        <f>+Tabla520212224252627129125130131132[[#This Row],[Recuento]]*Tabla520212224252627129125130131132[[#This Row],[Volúmen bruto]]</f>
        <v>0</v>
      </c>
      <c r="OP47">
        <f>+Tabla520212224252627129125130131132[[#This Row],[Recuento]]*Tabla520212224252627129125130131132[[#This Row],[Área neta]]</f>
        <v>0</v>
      </c>
      <c r="OQ47" s="26"/>
      <c r="OS47"/>
      <c r="OT47"/>
      <c r="OU47"/>
      <c r="OV47"/>
      <c r="OW47"/>
      <c r="OX47"/>
      <c r="OY47">
        <f>+Tabla52021222425262728[[#This Row],[Recuento]]*Tabla52021222425262728[[#This Row],[Volúmen bruto]]</f>
        <v>0</v>
      </c>
      <c r="OZ47">
        <f>+Tabla52021222425262728[[#This Row],[Recuento]]*Tabla52021222425262728[[#This Row],[Área neta]]</f>
        <v>0</v>
      </c>
      <c r="PA47" s="26">
        <f t="shared" si="32"/>
        <v>0</v>
      </c>
      <c r="PC47" t="s">
        <v>1862</v>
      </c>
      <c r="PD47" t="s">
        <v>1525</v>
      </c>
      <c r="PE47" t="s">
        <v>1677</v>
      </c>
      <c r="PF47">
        <v>0</v>
      </c>
      <c r="PG47">
        <v>1.05</v>
      </c>
      <c r="PH47">
        <v>1</v>
      </c>
      <c r="PI47">
        <f>+Tabla52021222425262728133[[#This Row],[Recuento]]*Tabla52021222425262728133[[#This Row],[Volúmen bruto]]</f>
        <v>0</v>
      </c>
      <c r="PJ47">
        <f>+Tabla52021222425262728133[[#This Row],[Recuento]]*Tabla52021222425262728133[[#This Row],[Área neta]]</f>
        <v>1.05</v>
      </c>
      <c r="PK47" s="26"/>
      <c r="PM47"/>
      <c r="PN47"/>
      <c r="PO47"/>
      <c r="PP47"/>
      <c r="PQ47"/>
      <c r="PR47"/>
      <c r="PS47">
        <f>+Tabla5202122242526272893[[#This Row],[Recuento]]*Tabla5202122242526272893[[#This Row],[Volúmen bruto]]</f>
        <v>0</v>
      </c>
      <c r="PT47">
        <f>+Tabla5202122242526272893[[#This Row],[Recuento]]*Tabla5202122242526272893[[#This Row],[Área neta]]</f>
        <v>0</v>
      </c>
      <c r="PU47" s="26"/>
      <c r="PW47" t="s">
        <v>1863</v>
      </c>
      <c r="PX47" t="s">
        <v>1524</v>
      </c>
      <c r="PY47" t="s">
        <v>1628</v>
      </c>
      <c r="PZ47">
        <v>0.04</v>
      </c>
      <c r="QA47">
        <v>2.15</v>
      </c>
      <c r="QB47">
        <v>1</v>
      </c>
      <c r="QC47">
        <f>+Tabla520212224252627289349[[#This Row],[Recuento]]*Tabla520212224252627289349[[#This Row],[Volúmen bruto]]</f>
        <v>0.04</v>
      </c>
      <c r="QD47">
        <f>+Tabla520212224252627289349[[#This Row],[Recuento]]*Tabla520212224252627289349[[#This Row],[Área neta]]</f>
        <v>2.15</v>
      </c>
      <c r="QE47" s="26">
        <f>+SUM(QD47:QD51)</f>
        <v>8.94</v>
      </c>
      <c r="QG47"/>
      <c r="QH47"/>
      <c r="QI47"/>
      <c r="QJ47"/>
      <c r="QK47"/>
      <c r="QL47"/>
      <c r="QM47">
        <f>+Tabla520212224252627289349134[[#This Row],[Recuento]]*Tabla520212224252627289349134[[#This Row],[Volúmen bruto]]</f>
        <v>0</v>
      </c>
      <c r="QN47">
        <f>+Tabla520212224252627289349134[[#This Row],[Recuento]]*Tabla520212224252627289349134[[#This Row],[Área neta]]</f>
        <v>0</v>
      </c>
      <c r="QO47" s="26"/>
      <c r="QQ47" t="s">
        <v>1863</v>
      </c>
      <c r="QR47" t="s">
        <v>1524</v>
      </c>
      <c r="QS47" t="s">
        <v>1726</v>
      </c>
      <c r="QT47">
        <v>0.33</v>
      </c>
      <c r="QU47">
        <v>1.63</v>
      </c>
      <c r="QV47">
        <v>1</v>
      </c>
      <c r="QW47">
        <v>1</v>
      </c>
      <c r="QX47">
        <f>+Tabla5202122242526272829[[#This Row],[Recuento]]*Tabla5202122242526272829[[#This Row],[Volúmen bruto]]</f>
        <v>0.33</v>
      </c>
      <c r="QY47">
        <f>+Tabla5202122242526272829[[#This Row],[Recuento]]*Tabla5202122242526272829[[#This Row],[Área neta]]</f>
        <v>1.63</v>
      </c>
      <c r="QZ47">
        <f>+Tabla5202122242526272829[[#This Row],[Recuento]]*Tabla5202122242526272829[[#This Row],[Longitud]]</f>
        <v>1</v>
      </c>
      <c r="RA47" s="26"/>
      <c r="RC47"/>
      <c r="RD47"/>
      <c r="RE47"/>
      <c r="RF47"/>
      <c r="RG47"/>
      <c r="RH47"/>
      <c r="RI47"/>
      <c r="RJ47"/>
      <c r="RK47" s="26"/>
      <c r="RM47"/>
      <c r="RN47"/>
      <c r="RO47"/>
      <c r="RP47"/>
      <c r="RQ47"/>
      <c r="RR47"/>
      <c r="RS47"/>
      <c r="RT47"/>
      <c r="RU47" s="26">
        <f t="shared" si="7"/>
        <v>0</v>
      </c>
      <c r="RW47"/>
      <c r="RX47"/>
      <c r="RY47"/>
      <c r="RZ47"/>
      <c r="SA47"/>
      <c r="SB47"/>
      <c r="SC47"/>
      <c r="SD47"/>
      <c r="SE47" s="26"/>
      <c r="SG47"/>
      <c r="SH47"/>
      <c r="SI47"/>
      <c r="SJ47"/>
      <c r="SK47"/>
      <c r="SL47"/>
      <c r="SM47"/>
      <c r="SN47"/>
      <c r="SO47" s="26"/>
      <c r="SQ47"/>
      <c r="SR47"/>
      <c r="SY47" s="36">
        <f t="shared" si="31"/>
        <v>0</v>
      </c>
      <c r="TA47"/>
      <c r="TB47"/>
      <c r="TI47" s="36">
        <f t="shared" si="8"/>
        <v>0</v>
      </c>
      <c r="TK47"/>
      <c r="TL47"/>
      <c r="TS47" s="36">
        <f t="shared" si="9"/>
        <v>0</v>
      </c>
      <c r="TU47"/>
      <c r="TV47"/>
      <c r="UC47" s="36">
        <f t="shared" si="10"/>
        <v>0</v>
      </c>
      <c r="UE47"/>
      <c r="UF47"/>
      <c r="UM47" s="36">
        <f t="shared" si="11"/>
        <v>0</v>
      </c>
      <c r="UO47"/>
      <c r="UP47"/>
      <c r="UW47" s="36">
        <f t="shared" si="12"/>
        <v>0</v>
      </c>
      <c r="UY47"/>
      <c r="UZ47"/>
      <c r="VG47" s="36">
        <f t="shared" si="13"/>
        <v>0</v>
      </c>
      <c r="VI47"/>
      <c r="VJ47"/>
      <c r="VQ47" s="36">
        <f t="shared" si="14"/>
        <v>0</v>
      </c>
      <c r="VS47"/>
      <c r="VT47"/>
      <c r="WA47" s="36">
        <f t="shared" si="15"/>
        <v>0</v>
      </c>
      <c r="WC47"/>
      <c r="WD47"/>
      <c r="WK47" s="36">
        <f t="shared" si="16"/>
        <v>0</v>
      </c>
      <c r="WM47"/>
      <c r="WN47"/>
      <c r="WU47" s="36">
        <f t="shared" si="17"/>
        <v>0</v>
      </c>
      <c r="WW47"/>
      <c r="WX47"/>
      <c r="XE47" s="36">
        <f t="shared" si="18"/>
        <v>0</v>
      </c>
      <c r="XG47"/>
      <c r="XH47"/>
      <c r="XO47" s="36">
        <f t="shared" si="22"/>
        <v>0</v>
      </c>
      <c r="XQ47"/>
      <c r="XR47"/>
      <c r="XY47" s="36">
        <f t="shared" si="23"/>
        <v>0</v>
      </c>
      <c r="YA47"/>
      <c r="YB47"/>
      <c r="YI47" s="36">
        <f t="shared" si="24"/>
        <v>0</v>
      </c>
      <c r="YJ47" s="36"/>
      <c r="YK47"/>
      <c r="YL47"/>
      <c r="YM47"/>
      <c r="YN47"/>
      <c r="YO47"/>
      <c r="YQ47"/>
      <c r="YR47"/>
      <c r="YY47" s="36">
        <f t="shared" si="25"/>
        <v>0</v>
      </c>
      <c r="ZA47"/>
      <c r="ZB47"/>
      <c r="ZI47" s="36">
        <f t="shared" si="26"/>
        <v>0</v>
      </c>
      <c r="ZK47"/>
      <c r="ZL47"/>
      <c r="ZS47" s="36">
        <f t="shared" si="27"/>
        <v>0</v>
      </c>
      <c r="ZU47"/>
      <c r="ZV47"/>
      <c r="AAC47" s="36">
        <f t="shared" si="28"/>
        <v>0</v>
      </c>
      <c r="AAE47"/>
      <c r="AAF47"/>
      <c r="AAM47" s="36">
        <f t="shared" si="29"/>
        <v>0</v>
      </c>
      <c r="AAY47"/>
      <c r="AAZ47"/>
      <c r="ABG47" s="36">
        <f t="shared" si="33"/>
        <v>0</v>
      </c>
      <c r="ABI47"/>
      <c r="ABJ47"/>
      <c r="ABQ47" s="36">
        <f t="shared" si="34"/>
        <v>0</v>
      </c>
      <c r="ABS47"/>
      <c r="ABT47"/>
      <c r="ACA47" s="36">
        <f t="shared" si="35"/>
        <v>0</v>
      </c>
      <c r="ACC47"/>
      <c r="ACD47"/>
      <c r="ACK47" s="36">
        <f t="shared" si="36"/>
        <v>0</v>
      </c>
      <c r="ACM47"/>
      <c r="ACN47"/>
      <c r="ACU47" s="36">
        <f t="shared" si="37"/>
        <v>0</v>
      </c>
      <c r="ACW47" t="s">
        <v>1243</v>
      </c>
      <c r="ACY47" s="2"/>
      <c r="ADA47" s="38"/>
      <c r="ADB47" s="2">
        <f t="shared" si="21"/>
        <v>0</v>
      </c>
      <c r="ADD47"/>
      <c r="ADE47"/>
      <c r="ADF47"/>
      <c r="ADG47" s="26">
        <f t="shared" ref="ADG47:ADG60" si="38">+ADF47*ADE47</f>
        <v>0</v>
      </c>
      <c r="ADJ47"/>
      <c r="ADK47"/>
      <c r="ADL47"/>
      <c r="ADM47"/>
      <c r="ADN47"/>
      <c r="ADO47">
        <f>+Tabla578914151634353637383940414243444546474849505152535560[[#This Row],[G. Total]]*Tabla578914151634353637383940414243444546474849505152535560[[#This Row],[Recuento]]</f>
        <v>0</v>
      </c>
      <c r="ADP47" s="36"/>
      <c r="ADR47"/>
      <c r="ADS47"/>
      <c r="ADT47"/>
      <c r="ADU47"/>
      <c r="ADV47"/>
      <c r="ADW47" s="36"/>
      <c r="ADX47" s="36"/>
      <c r="ADY47"/>
      <c r="ADZ47"/>
      <c r="AEA47"/>
      <c r="AEB47"/>
      <c r="AEC47"/>
      <c r="AED47"/>
      <c r="AEE47" s="36"/>
      <c r="AEG47"/>
      <c r="AEH47"/>
      <c r="AEI47"/>
      <c r="AEJ47"/>
      <c r="AEK47"/>
      <c r="AEL47" s="36"/>
      <c r="AEM47" s="36"/>
      <c r="AEN47" t="s">
        <v>1522</v>
      </c>
      <c r="AEO47" t="s">
        <v>1524</v>
      </c>
      <c r="AEP47" t="s">
        <v>381</v>
      </c>
      <c r="AEQ47">
        <v>0.06</v>
      </c>
      <c r="AER47">
        <v>1</v>
      </c>
      <c r="AES47">
        <f>+Tabla5789141516343536373839404142434445464748495051525355606264[[#This Row],[G. Total]]*Tabla5789141516343536373839404142434445464748495051525355606264[[#This Row],[Recuento]]</f>
        <v>0.06</v>
      </c>
      <c r="AET47" s="35"/>
      <c r="AEV47"/>
      <c r="AEW47"/>
      <c r="AEX47"/>
      <c r="AEY47"/>
      <c r="AEZ47"/>
      <c r="AFA47" s="35"/>
      <c r="AFC47"/>
      <c r="AFD47"/>
      <c r="AFE47"/>
      <c r="AFF47"/>
      <c r="AFG47"/>
      <c r="AFH47"/>
      <c r="AFI47"/>
      <c r="AFJ47"/>
      <c r="AFK47"/>
      <c r="AFL47"/>
      <c r="AFM47"/>
      <c r="AFN47">
        <f>+Tabla578914151634353637383940414243444546474849505152535560626467[[#This Row],[G. Total]]*Tabla578914151634353637383940414243444546474849505152535560626467[[#This Row],[Recuento]]</f>
        <v>0</v>
      </c>
      <c r="AFO47" s="35"/>
    </row>
    <row r="48" spans="1:861" ht="1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 s="26">
        <f t="shared" si="30"/>
        <v>0</v>
      </c>
      <c r="V48"/>
      <c r="W48"/>
      <c r="X48"/>
      <c r="Y48"/>
      <c r="Z48"/>
      <c r="AA48"/>
      <c r="AB48"/>
      <c r="AC48"/>
      <c r="AD48"/>
      <c r="AE48"/>
      <c r="AF48"/>
      <c r="AG48" s="26">
        <f t="shared" si="4"/>
        <v>0</v>
      </c>
      <c r="AH48"/>
      <c r="AI48"/>
      <c r="AJ48"/>
      <c r="AK48"/>
      <c r="AL48"/>
      <c r="AM48"/>
      <c r="AN48"/>
      <c r="AO48"/>
      <c r="AP48"/>
      <c r="AQ48"/>
      <c r="AR48"/>
      <c r="AS48" s="26">
        <f t="shared" si="5"/>
        <v>0</v>
      </c>
      <c r="AT48"/>
      <c r="AU48"/>
      <c r="AV48"/>
      <c r="AW48"/>
      <c r="AX48"/>
      <c r="AY48"/>
      <c r="AZ48"/>
      <c r="BA48"/>
      <c r="BB48"/>
      <c r="BC48"/>
      <c r="BD48"/>
      <c r="BE48" s="26">
        <f t="shared" si="6"/>
        <v>0</v>
      </c>
      <c r="BF48">
        <v>10</v>
      </c>
      <c r="BG48" t="s">
        <v>1863</v>
      </c>
      <c r="BH48" t="s">
        <v>1524</v>
      </c>
      <c r="BI48" t="s">
        <v>1405</v>
      </c>
      <c r="BJ48">
        <v>2.0699999999999998</v>
      </c>
      <c r="BK48">
        <v>2.5</v>
      </c>
      <c r="BL48">
        <f>+Tabla3102[[#This Row],[En culmo]]*BF48</f>
        <v>25</v>
      </c>
      <c r="BM48"/>
      <c r="BO48"/>
      <c r="BP48"/>
      <c r="BQ48"/>
      <c r="BR48"/>
      <c r="BS48"/>
      <c r="BT48">
        <f>+Tabla31069[[#This Row],[Longitud de eje]]*BN48</f>
        <v>0</v>
      </c>
      <c r="BU48">
        <f>+Tabla31069[[#This Row],[Longitud de eje]]*BO48</f>
        <v>0</v>
      </c>
      <c r="BV48"/>
      <c r="BW48"/>
      <c r="BX48"/>
      <c r="BY48"/>
      <c r="BZ48"/>
      <c r="CA48"/>
      <c r="CB48">
        <f>+Tabla31011[[#This Row],[Longitud de eje]]*BV48</f>
        <v>0</v>
      </c>
      <c r="CD48"/>
      <c r="CE48"/>
      <c r="CF48"/>
      <c r="CG48"/>
      <c r="CH48"/>
      <c r="CI48"/>
      <c r="CJ48">
        <f>+Tabla3101170[[#This Row],[En culmo]]*CD48</f>
        <v>0</v>
      </c>
      <c r="CK48"/>
      <c r="CL48"/>
      <c r="CM48"/>
      <c r="CN48"/>
      <c r="CO48"/>
      <c r="CP48"/>
      <c r="CQ48"/>
      <c r="CR48">
        <f>+Tabla31011116[[#This Row],[Longitud de eje]]*CL48</f>
        <v>0</v>
      </c>
      <c r="CT48"/>
      <c r="CU48"/>
      <c r="CV48"/>
      <c r="CW48"/>
      <c r="CX48"/>
      <c r="CY48"/>
      <c r="CZ48">
        <f>+Tabla3101170117[[#This Row],[En culmo]]*CT48</f>
        <v>0</v>
      </c>
      <c r="DA48"/>
      <c r="DB48"/>
      <c r="DC48"/>
      <c r="DD48"/>
      <c r="DE48"/>
      <c r="DF48"/>
      <c r="DG48">
        <f>+Tabla31011704[[#This Row],[Longitud de eje]]*DB48</f>
        <v>0</v>
      </c>
      <c r="DH48"/>
      <c r="DI48"/>
      <c r="DJ48"/>
      <c r="DK48"/>
      <c r="DL48"/>
      <c r="DM48"/>
      <c r="DN48">
        <f>+Tabla3101170411[[#This Row],[Longitud de eje]]*DI48</f>
        <v>0</v>
      </c>
      <c r="DO48"/>
      <c r="DP48"/>
      <c r="DQ48"/>
      <c r="DR48"/>
      <c r="DS48"/>
      <c r="DT48"/>
      <c r="DU48">
        <f>+Tabla3101170411120[[#This Row],[Longitud de eje]]*DP48</f>
        <v>0</v>
      </c>
      <c r="DV48"/>
      <c r="DW48"/>
      <c r="DX48"/>
      <c r="DY48"/>
      <c r="DZ48"/>
      <c r="EA48"/>
      <c r="EB48">
        <f>+Tabla3101170411120122[[#This Row],[Longitud de eje]]*DW48</f>
        <v>0</v>
      </c>
      <c r="EC48"/>
      <c r="ED48">
        <v>1</v>
      </c>
      <c r="EE48" t="s">
        <v>1862</v>
      </c>
      <c r="EF48" t="s">
        <v>1524</v>
      </c>
      <c r="EG48" t="s">
        <v>1406</v>
      </c>
      <c r="EH48">
        <v>2.25</v>
      </c>
      <c r="EI48">
        <v>2.5</v>
      </c>
      <c r="EJ48">
        <f>+Tabla3101112[[#This Row],[En culmo]]*ED48</f>
        <v>2.5</v>
      </c>
      <c r="EK48"/>
      <c r="EL48"/>
      <c r="EM48"/>
      <c r="EN48"/>
      <c r="EO48"/>
      <c r="EP48"/>
      <c r="EQ48"/>
      <c r="ER48">
        <f>+Tabla3101112123[[#This Row],[En culmo]]*EL48</f>
        <v>0</v>
      </c>
      <c r="ES48"/>
      <c r="ET48">
        <v>2</v>
      </c>
      <c r="EU48" t="s">
        <v>1862</v>
      </c>
      <c r="EV48" t="s">
        <v>1525</v>
      </c>
      <c r="EW48" t="s">
        <v>1406</v>
      </c>
      <c r="EX48">
        <v>1.05</v>
      </c>
      <c r="EY48">
        <v>1.5</v>
      </c>
      <c r="EZ48">
        <f>+Tabla310111257[[#This Row],[En culmo]]*ET48</f>
        <v>3</v>
      </c>
      <c r="FA48"/>
      <c r="FB48"/>
      <c r="FC48"/>
      <c r="FD48"/>
      <c r="FE48"/>
      <c r="FF48"/>
      <c r="FG48">
        <v>1.5</v>
      </c>
      <c r="FH48">
        <f>+Tabla310111257124[[#This Row],[En culmo]]*FB48</f>
        <v>0</v>
      </c>
      <c r="FI48"/>
      <c r="FK48"/>
      <c r="FL48"/>
      <c r="FM48"/>
      <c r="FN48"/>
      <c r="FO48"/>
      <c r="FP48"/>
      <c r="FQ48"/>
      <c r="FS48"/>
      <c r="FT48"/>
      <c r="FU48"/>
      <c r="FV48"/>
      <c r="FW48"/>
      <c r="FX48"/>
      <c r="FY48"/>
      <c r="GA48"/>
      <c r="GB48"/>
      <c r="GC48"/>
      <c r="GD48"/>
      <c r="GE48"/>
      <c r="GF48"/>
      <c r="GG48"/>
      <c r="GI48"/>
      <c r="GJ48"/>
      <c r="GK48"/>
      <c r="GL48"/>
      <c r="GM48"/>
      <c r="GN48"/>
      <c r="GO48"/>
      <c r="GQ48"/>
      <c r="GR48"/>
      <c r="GS48"/>
      <c r="GT48"/>
      <c r="GU48"/>
      <c r="GV48"/>
      <c r="GW48"/>
      <c r="GX48"/>
      <c r="GY48" s="36"/>
      <c r="HA48"/>
      <c r="HB48"/>
      <c r="HC48"/>
      <c r="HD48"/>
      <c r="HE48"/>
      <c r="HF48"/>
      <c r="HG48"/>
      <c r="HH48"/>
      <c r="HI48" s="36"/>
      <c r="HK48"/>
      <c r="HL48"/>
      <c r="HM48"/>
      <c r="HN48"/>
      <c r="HO48"/>
      <c r="HP48"/>
      <c r="HQ48"/>
      <c r="HR48"/>
      <c r="HS48" s="36"/>
      <c r="HU48"/>
      <c r="HV48"/>
      <c r="HW48"/>
      <c r="HX48"/>
      <c r="HY48"/>
      <c r="HZ48"/>
      <c r="IA48"/>
      <c r="IB48"/>
      <c r="IC48" s="35"/>
      <c r="IE48"/>
      <c r="IF48"/>
      <c r="IG48"/>
      <c r="IH48"/>
      <c r="II48"/>
      <c r="IJ48"/>
      <c r="IK48"/>
      <c r="IL48"/>
      <c r="IM48" s="35"/>
      <c r="IY48"/>
      <c r="IZ48"/>
      <c r="JA48"/>
      <c r="JB48"/>
      <c r="JC48"/>
      <c r="JD48">
        <v>1</v>
      </c>
      <c r="JE48">
        <f>+Tabla520212224[[#This Row],[Recuento]]*Tabla520212224[[#This Row],[Volúmen bruto]]</f>
        <v>0</v>
      </c>
      <c r="JF48">
        <f>+Tabla520212224[[#This Row],[Recuento]]*Tabla520212224[[#This Row],[Área neta]]</f>
        <v>0</v>
      </c>
      <c r="JG48" s="26"/>
      <c r="JI48" t="s">
        <v>1863</v>
      </c>
      <c r="JJ48" t="s">
        <v>1524</v>
      </c>
      <c r="JK48" t="s">
        <v>1628</v>
      </c>
      <c r="JL48">
        <v>0.14000000000000001</v>
      </c>
      <c r="JM48">
        <v>4.8499999999999996</v>
      </c>
      <c r="JN48">
        <v>4</v>
      </c>
      <c r="JO48">
        <f>+Tabla52021222425[[#This Row],[Recuento]]*Tabla52021222425[[#This Row],[Volúmen bruto]]</f>
        <v>0.56000000000000005</v>
      </c>
      <c r="JP48">
        <f>+Tabla52021222425[[#This Row],[Recuento]]*Tabla52021222425[[#This Row],[Área neta]]</f>
        <v>19.399999999999999</v>
      </c>
      <c r="JQ48" s="26"/>
      <c r="JS48" t="s">
        <v>1862</v>
      </c>
      <c r="JT48" t="s">
        <v>1524</v>
      </c>
      <c r="JU48" t="s">
        <v>1676</v>
      </c>
      <c r="JV48">
        <v>0.05</v>
      </c>
      <c r="JW48">
        <v>0.41</v>
      </c>
      <c r="JX48">
        <v>1</v>
      </c>
      <c r="JY48">
        <f>+Tabla5202122242526[[#This Row],[Recuento]]*Tabla5202122242526[[#This Row],[Volúmen bruto]]</f>
        <v>0.05</v>
      </c>
      <c r="JZ48">
        <f>+Tabla5202122242526[[#This Row],[Recuento]]*Tabla5202122242526[[#This Row],[Área neta]]</f>
        <v>0.41</v>
      </c>
      <c r="KA48" s="26"/>
      <c r="KC48"/>
      <c r="KD48"/>
      <c r="KE48"/>
      <c r="KF48"/>
      <c r="KG48"/>
      <c r="KH48"/>
      <c r="KI48">
        <f>+Tabla5202122242526104[[#This Row],[Recuento]]*Tabla5202122242526104[[#This Row],[Volúmen bruto]]</f>
        <v>0</v>
      </c>
      <c r="KJ48">
        <f>+Tabla5202122242526104[[#This Row],[Recuento]]*Tabla5202122242526104[[#This Row],[Área neta]]</f>
        <v>0</v>
      </c>
      <c r="KK48" s="26"/>
      <c r="KM48" t="s">
        <v>1862</v>
      </c>
      <c r="KN48" t="s">
        <v>1525</v>
      </c>
      <c r="KO48" t="s">
        <v>1679</v>
      </c>
      <c r="KP48">
        <v>0</v>
      </c>
      <c r="KQ48">
        <v>0.69</v>
      </c>
      <c r="KR48">
        <v>1</v>
      </c>
      <c r="KS48">
        <f>+Tabla5202122242526104110[[#This Row],[Recuento]]*Tabla5202122242526104110[[#This Row],[Volúmen bruto]]</f>
        <v>0</v>
      </c>
      <c r="KT48">
        <f>+Tabla5202122242526104110[[#This Row],[Recuento]]*Tabla5202122242526104110[[#This Row],[Área neta]]</f>
        <v>0.69</v>
      </c>
      <c r="KU48" s="26"/>
      <c r="KW48"/>
      <c r="KX48"/>
      <c r="KY48"/>
      <c r="KZ48"/>
      <c r="LA48"/>
      <c r="LB48"/>
      <c r="LC48">
        <f>+Tabla520212224252659[[#This Row],[Recuento]]*Tabla520212224252659[[#This Row],[Volúmen bruto]]</f>
        <v>0</v>
      </c>
      <c r="LD48">
        <f>+Tabla520212224252659[[#This Row],[Recuento]]*Tabla520212224252659[[#This Row],[Área neta]]</f>
        <v>0</v>
      </c>
      <c r="LE48" s="26"/>
      <c r="LG48"/>
      <c r="LH48"/>
      <c r="LI48"/>
      <c r="LJ48"/>
      <c r="LK48"/>
      <c r="LL48"/>
      <c r="LM48">
        <f>+Tabla520212224252659111[[#This Row],[Recuento]]*Tabla520212224252659111[[#This Row],[Volúmen bruto]]</f>
        <v>0</v>
      </c>
      <c r="LN48">
        <f>+Tabla520212224252659111[[#This Row],[Recuento]]*Tabla520212224252659111[[#This Row],[Área neta]]</f>
        <v>0</v>
      </c>
      <c r="LO48" s="26"/>
      <c r="LQ48"/>
      <c r="LR48"/>
      <c r="LS48"/>
      <c r="LT48"/>
      <c r="LU48"/>
      <c r="LV48"/>
      <c r="LW48">
        <f>+Tabla520212224252659111114[[#This Row],[Recuento]]*Tabla520212224252659111114[[#This Row],[Volúmen bruto]]</f>
        <v>0</v>
      </c>
      <c r="LX48">
        <f>+Tabla520212224252659111114[[#This Row],[Recuento]]*Tabla520212224252659111114[[#This Row],[Área neta]]</f>
        <v>0</v>
      </c>
      <c r="LY48" s="26"/>
      <c r="MA48" t="s">
        <v>1863</v>
      </c>
      <c r="MB48" t="s">
        <v>1524</v>
      </c>
      <c r="MC48" t="s">
        <v>98</v>
      </c>
      <c r="MD48">
        <v>0.01</v>
      </c>
      <c r="ME48">
        <v>4.6100000000000003</v>
      </c>
      <c r="MF48">
        <v>1</v>
      </c>
      <c r="MG48">
        <f>+Tabla520212224252659111114128[[#This Row],[Recuento]]*Tabla520212224252659111114128[[#This Row],[Volúmen bruto]]</f>
        <v>0.01</v>
      </c>
      <c r="MH48">
        <f>+Tabla520212224252659111114128[[#This Row],[Recuento]]*Tabla520212224252659111114128[[#This Row],[Área neta]]</f>
        <v>4.6100000000000003</v>
      </c>
      <c r="MI48" s="26"/>
      <c r="MK48"/>
      <c r="ML48"/>
      <c r="MM48"/>
      <c r="MN48"/>
      <c r="MO48"/>
      <c r="MP48"/>
      <c r="MQ48">
        <f>+Tabla520212224252627[[#This Row],[Recuento]]*Tabla520212224252627[[#This Row],[Volúmen bruto]]</f>
        <v>0</v>
      </c>
      <c r="MR48">
        <f>+Tabla520212224252627[[#This Row],[Recuento]]*Tabla520212224252627[[#This Row],[Área neta]]</f>
        <v>0</v>
      </c>
      <c r="MS48" s="26"/>
      <c r="MU48"/>
      <c r="MV48"/>
      <c r="MW48"/>
      <c r="MX48"/>
      <c r="MY48"/>
      <c r="MZ48"/>
      <c r="NA48">
        <f>+Tabla520212224252627129[[#This Row],[Recuento]]*Tabla520212224252627129[[#This Row],[Volúmen bruto]]</f>
        <v>0</v>
      </c>
      <c r="NB48">
        <f>+Tabla520212224252627129[[#This Row],[Recuento]]*Tabla520212224252627129[[#This Row],[Área neta]]</f>
        <v>0</v>
      </c>
      <c r="NC48" s="26"/>
      <c r="NE48"/>
      <c r="NF48"/>
      <c r="NG48"/>
      <c r="NH48"/>
      <c r="NI48"/>
      <c r="NJ48"/>
      <c r="NK48">
        <f>+Tabla520212224252627129125[[#This Row],[Recuento]]*Tabla520212224252627129125[[#This Row],[Volúmen bruto]]</f>
        <v>0</v>
      </c>
      <c r="NL48">
        <f>+Tabla520212224252627129125[[#This Row],[Recuento]]*Tabla520212224252627129125[[#This Row],[Área neta]]</f>
        <v>0</v>
      </c>
      <c r="NM48" s="26"/>
      <c r="NO48"/>
      <c r="NP48"/>
      <c r="NQ48"/>
      <c r="NR48"/>
      <c r="NS48"/>
      <c r="NT48"/>
      <c r="NU48">
        <f>+Tabla520212224252627129125130[[#This Row],[Recuento]]*Tabla520212224252627129125130[[#This Row],[Volúmen bruto]]</f>
        <v>0</v>
      </c>
      <c r="NV48">
        <f>+Tabla520212224252627129125130[[#This Row],[Recuento]]*Tabla520212224252627129125130[[#This Row],[Área neta]]</f>
        <v>0</v>
      </c>
      <c r="NW48" s="26"/>
      <c r="NY48"/>
      <c r="NZ48"/>
      <c r="OA48"/>
      <c r="OB48"/>
      <c r="OC48"/>
      <c r="OD48"/>
      <c r="OE48">
        <f>+Tabla520212224252627129125130131[[#This Row],[Recuento]]*Tabla520212224252627129125130131[[#This Row],[Volúmen bruto]]</f>
        <v>0</v>
      </c>
      <c r="OF48">
        <f>+Tabla520212224252627129125130131[[#This Row],[Recuento]]*Tabla520212224252627129125130131[[#This Row],[Área neta]]</f>
        <v>0</v>
      </c>
      <c r="OG48" s="26"/>
      <c r="OI48"/>
      <c r="OJ48"/>
      <c r="OK48"/>
      <c r="OL48"/>
      <c r="OM48"/>
      <c r="ON48"/>
      <c r="OO48">
        <f>+Tabla520212224252627129125130131132[[#This Row],[Recuento]]*Tabla520212224252627129125130131132[[#This Row],[Volúmen bruto]]</f>
        <v>0</v>
      </c>
      <c r="OP48">
        <f>+Tabla520212224252627129125130131132[[#This Row],[Recuento]]*Tabla520212224252627129125130131132[[#This Row],[Área neta]]</f>
        <v>0</v>
      </c>
      <c r="OQ48" s="26"/>
      <c r="OS48"/>
      <c r="OT48"/>
      <c r="OU48"/>
      <c r="OV48"/>
      <c r="OW48"/>
      <c r="OX48"/>
      <c r="OY48">
        <f>+Tabla52021222425262728[[#This Row],[Recuento]]*Tabla52021222425262728[[#This Row],[Volúmen bruto]]</f>
        <v>0</v>
      </c>
      <c r="OZ48">
        <f>+Tabla52021222425262728[[#This Row],[Recuento]]*Tabla52021222425262728[[#This Row],[Área neta]]</f>
        <v>0</v>
      </c>
      <c r="PA48" s="26">
        <f t="shared" si="32"/>
        <v>0</v>
      </c>
      <c r="PC48" t="s">
        <v>1862</v>
      </c>
      <c r="PD48" t="s">
        <v>1525</v>
      </c>
      <c r="PE48" t="s">
        <v>1677</v>
      </c>
      <c r="PF48">
        <v>0</v>
      </c>
      <c r="PG48">
        <v>0.98</v>
      </c>
      <c r="PH48">
        <v>1</v>
      </c>
      <c r="PI48">
        <f>+Tabla52021222425262728133[[#This Row],[Recuento]]*Tabla52021222425262728133[[#This Row],[Volúmen bruto]]</f>
        <v>0</v>
      </c>
      <c r="PJ48">
        <f>+Tabla52021222425262728133[[#This Row],[Recuento]]*Tabla52021222425262728133[[#This Row],[Área neta]]</f>
        <v>0.98</v>
      </c>
      <c r="PK48" s="26"/>
      <c r="PM48"/>
      <c r="PN48"/>
      <c r="PO48"/>
      <c r="PP48"/>
      <c r="PQ48"/>
      <c r="PR48"/>
      <c r="PS48">
        <f>+Tabla5202122242526272893[[#This Row],[Recuento]]*Tabla5202122242526272893[[#This Row],[Volúmen bruto]]</f>
        <v>0</v>
      </c>
      <c r="PT48">
        <f>+Tabla5202122242526272893[[#This Row],[Recuento]]*Tabla5202122242526272893[[#This Row],[Área neta]]</f>
        <v>0</v>
      </c>
      <c r="PU48" s="26"/>
      <c r="PW48" t="s">
        <v>1863</v>
      </c>
      <c r="PX48" t="s">
        <v>1524</v>
      </c>
      <c r="PY48" t="s">
        <v>1628</v>
      </c>
      <c r="PZ48">
        <v>0.04</v>
      </c>
      <c r="QA48">
        <v>1.87</v>
      </c>
      <c r="QB48">
        <v>1</v>
      </c>
      <c r="QC48">
        <f>+Tabla520212224252627289349[[#This Row],[Recuento]]*Tabla520212224252627289349[[#This Row],[Volúmen bruto]]</f>
        <v>0.04</v>
      </c>
      <c r="QD48">
        <f>+Tabla520212224252627289349[[#This Row],[Recuento]]*Tabla520212224252627289349[[#This Row],[Área neta]]</f>
        <v>1.87</v>
      </c>
      <c r="QE48" s="26"/>
      <c r="QG48"/>
      <c r="QH48"/>
      <c r="QI48"/>
      <c r="QJ48"/>
      <c r="QK48"/>
      <c r="QL48"/>
      <c r="QM48">
        <f>+Tabla520212224252627289349134[[#This Row],[Recuento]]*Tabla520212224252627289349134[[#This Row],[Volúmen bruto]]</f>
        <v>0</v>
      </c>
      <c r="QN48">
        <f>+Tabla520212224252627289349134[[#This Row],[Recuento]]*Tabla520212224252627289349134[[#This Row],[Área neta]]</f>
        <v>0</v>
      </c>
      <c r="QO48" s="26"/>
      <c r="QQ48" t="s">
        <v>1863</v>
      </c>
      <c r="QR48" t="s">
        <v>1524</v>
      </c>
      <c r="QS48" t="s">
        <v>1726</v>
      </c>
      <c r="QT48">
        <v>0.26</v>
      </c>
      <c r="QU48">
        <v>1.32</v>
      </c>
      <c r="QV48">
        <v>1</v>
      </c>
      <c r="QW48">
        <v>1</v>
      </c>
      <c r="QX48">
        <f>+Tabla5202122242526272829[[#This Row],[Recuento]]*Tabla5202122242526272829[[#This Row],[Volúmen bruto]]</f>
        <v>0.26</v>
      </c>
      <c r="QY48">
        <f>+Tabla5202122242526272829[[#This Row],[Recuento]]*Tabla5202122242526272829[[#This Row],[Área neta]]</f>
        <v>1.32</v>
      </c>
      <c r="QZ48">
        <f>+Tabla5202122242526272829[[#This Row],[Recuento]]*Tabla5202122242526272829[[#This Row],[Longitud]]</f>
        <v>1</v>
      </c>
      <c r="RA48" s="26"/>
      <c r="RC48"/>
      <c r="RD48"/>
      <c r="RE48"/>
      <c r="RF48"/>
      <c r="RG48"/>
      <c r="RH48"/>
      <c r="RI48"/>
      <c r="RJ48"/>
      <c r="RK48" s="26"/>
      <c r="RM48"/>
      <c r="RN48"/>
      <c r="RO48"/>
      <c r="RP48"/>
      <c r="RQ48"/>
      <c r="RR48"/>
      <c r="RS48"/>
      <c r="RT48"/>
      <c r="RU48" s="26">
        <f t="shared" si="7"/>
        <v>0</v>
      </c>
      <c r="RW48"/>
      <c r="RX48"/>
      <c r="RY48"/>
      <c r="RZ48"/>
      <c r="SA48"/>
      <c r="SB48"/>
      <c r="SC48"/>
      <c r="SD48"/>
      <c r="SE48" s="26"/>
      <c r="SG48"/>
      <c r="SH48"/>
      <c r="SI48"/>
      <c r="SJ48"/>
      <c r="SK48"/>
      <c r="SL48"/>
      <c r="SM48"/>
      <c r="SN48"/>
      <c r="SO48" s="26"/>
      <c r="SQ48"/>
      <c r="SR48"/>
      <c r="SY48" s="36">
        <f t="shared" si="31"/>
        <v>0</v>
      </c>
      <c r="TA48"/>
      <c r="TB48"/>
      <c r="TI48" s="36">
        <f t="shared" si="8"/>
        <v>0</v>
      </c>
      <c r="TK48"/>
      <c r="TL48"/>
      <c r="TS48" s="36">
        <f t="shared" si="9"/>
        <v>0</v>
      </c>
      <c r="TU48"/>
      <c r="TV48"/>
      <c r="UC48" s="36">
        <f t="shared" si="10"/>
        <v>0</v>
      </c>
      <c r="UE48"/>
      <c r="UF48"/>
      <c r="UM48" s="36">
        <f t="shared" si="11"/>
        <v>0</v>
      </c>
      <c r="UO48"/>
      <c r="UP48"/>
      <c r="UW48" s="36">
        <f t="shared" si="12"/>
        <v>0</v>
      </c>
      <c r="UY48"/>
      <c r="UZ48"/>
      <c r="VG48" s="36">
        <f t="shared" si="13"/>
        <v>0</v>
      </c>
      <c r="VI48"/>
      <c r="VJ48"/>
      <c r="VQ48" s="36">
        <f t="shared" si="14"/>
        <v>0</v>
      </c>
      <c r="VS48"/>
      <c r="VT48"/>
      <c r="WA48" s="36">
        <f t="shared" si="15"/>
        <v>0</v>
      </c>
      <c r="WC48"/>
      <c r="WD48"/>
      <c r="WK48" s="36">
        <f t="shared" si="16"/>
        <v>0</v>
      </c>
      <c r="WM48"/>
      <c r="WN48"/>
      <c r="WU48" s="36">
        <f t="shared" si="17"/>
        <v>0</v>
      </c>
      <c r="WW48"/>
      <c r="WX48"/>
      <c r="XE48" s="36">
        <f t="shared" si="18"/>
        <v>0</v>
      </c>
      <c r="XG48"/>
      <c r="XH48"/>
      <c r="XO48" s="36">
        <f t="shared" si="22"/>
        <v>0</v>
      </c>
      <c r="XQ48"/>
      <c r="XR48"/>
      <c r="XY48" s="36">
        <f t="shared" si="23"/>
        <v>0</v>
      </c>
      <c r="YA48"/>
      <c r="YB48"/>
      <c r="YI48" s="36">
        <f t="shared" si="24"/>
        <v>0</v>
      </c>
      <c r="YJ48" s="36"/>
      <c r="YK48"/>
      <c r="YL48"/>
      <c r="YM48"/>
      <c r="YN48"/>
      <c r="YO48"/>
      <c r="YQ48"/>
      <c r="YR48"/>
      <c r="YY48" s="36">
        <f t="shared" si="25"/>
        <v>0</v>
      </c>
      <c r="ZA48"/>
      <c r="ZB48"/>
      <c r="ZI48" s="36">
        <f t="shared" si="26"/>
        <v>0</v>
      </c>
      <c r="ZK48"/>
      <c r="ZL48"/>
      <c r="ZS48" s="36">
        <f t="shared" si="27"/>
        <v>0</v>
      </c>
      <c r="ZU48"/>
      <c r="ZV48"/>
      <c r="AAC48" s="36">
        <f t="shared" si="28"/>
        <v>0</v>
      </c>
      <c r="AAE48"/>
      <c r="AAF48"/>
      <c r="AAM48" s="36">
        <f t="shared" si="29"/>
        <v>0</v>
      </c>
      <c r="AAY48"/>
      <c r="AAZ48"/>
      <c r="ABG48" s="36">
        <f t="shared" si="33"/>
        <v>0</v>
      </c>
      <c r="ABI48"/>
      <c r="ABJ48"/>
      <c r="ABQ48" s="36">
        <f t="shared" si="34"/>
        <v>0</v>
      </c>
      <c r="ABS48"/>
      <c r="ABT48"/>
      <c r="ACA48" s="36">
        <f t="shared" si="35"/>
        <v>0</v>
      </c>
      <c r="ACC48"/>
      <c r="ACD48"/>
      <c r="ACK48" s="36">
        <f t="shared" si="36"/>
        <v>0</v>
      </c>
      <c r="ACM48"/>
      <c r="ACN48"/>
      <c r="ACU48" s="36">
        <f t="shared" si="37"/>
        <v>0</v>
      </c>
      <c r="ACW48" t="s">
        <v>1244</v>
      </c>
      <c r="ACY48" s="2"/>
      <c r="ADA48" s="38"/>
      <c r="ADB48" s="2">
        <f t="shared" si="21"/>
        <v>0</v>
      </c>
      <c r="ADD48"/>
      <c r="ADE48"/>
      <c r="ADF48"/>
      <c r="ADG48" s="26">
        <f t="shared" si="38"/>
        <v>0</v>
      </c>
      <c r="ADJ48"/>
      <c r="ADK48"/>
      <c r="ADL48"/>
      <c r="ADM48"/>
      <c r="ADN48"/>
      <c r="ADO48">
        <f>+Tabla578914151634353637383940414243444546474849505152535560[[#This Row],[G. Total]]*Tabla578914151634353637383940414243444546474849505152535560[[#This Row],[Recuento]]</f>
        <v>0</v>
      </c>
      <c r="ADP48" s="36"/>
      <c r="ADR48"/>
      <c r="ADS48"/>
      <c r="ADT48"/>
      <c r="ADU48"/>
      <c r="ADV48"/>
      <c r="ADW48" s="35">
        <f>+SUM(ADR48:ADR50)</f>
        <v>0</v>
      </c>
      <c r="ADX48" s="35"/>
      <c r="ADY48"/>
      <c r="ADZ48"/>
      <c r="AEA48"/>
      <c r="AEB48"/>
      <c r="AEC48"/>
      <c r="AED48"/>
      <c r="AEE48" s="35"/>
      <c r="AEG48"/>
      <c r="AEH48"/>
      <c r="AEI48"/>
      <c r="AEJ48"/>
      <c r="AEK48"/>
      <c r="AEL48" s="36"/>
      <c r="AEM48" s="36"/>
      <c r="AEN48" t="s">
        <v>1522</v>
      </c>
      <c r="AEO48" t="s">
        <v>1524</v>
      </c>
      <c r="AEP48" t="s">
        <v>381</v>
      </c>
      <c r="AEQ48">
        <v>0.38</v>
      </c>
      <c r="AER48">
        <v>1</v>
      </c>
      <c r="AES48">
        <f>+Tabla5789141516343536373839404142434445464748495051525355606264[[#This Row],[G. Total]]*Tabla5789141516343536373839404142434445464748495051525355606264[[#This Row],[Recuento]]</f>
        <v>0.38</v>
      </c>
      <c r="AET48" s="36"/>
      <c r="AEV48"/>
      <c r="AEW48"/>
      <c r="AEX48"/>
      <c r="AEY48"/>
      <c r="AEZ48"/>
      <c r="AFA48" s="35">
        <f>+SUM(AEV48:AEV51)</f>
        <v>0</v>
      </c>
      <c r="AFC48"/>
      <c r="AFD48"/>
      <c r="AFE48"/>
      <c r="AFF48"/>
      <c r="AFG48"/>
      <c r="AFH48"/>
      <c r="AFI48"/>
      <c r="AFJ48"/>
      <c r="AFK48"/>
      <c r="AFL48"/>
      <c r="AFM48"/>
      <c r="AFN48">
        <f>+Tabla578914151634353637383940414243444546474849505152535560626467[[#This Row],[G. Total]]*Tabla578914151634353637383940414243444546474849505152535560626467[[#This Row],[Recuento]]</f>
        <v>0</v>
      </c>
      <c r="AFO48" s="36"/>
    </row>
    <row r="49" spans="1:847" ht="13.5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 s="26">
        <f t="shared" si="30"/>
        <v>0</v>
      </c>
      <c r="V49"/>
      <c r="W49"/>
      <c r="X49"/>
      <c r="Y49"/>
      <c r="Z49"/>
      <c r="AA49"/>
      <c r="AB49"/>
      <c r="AC49"/>
      <c r="AD49"/>
      <c r="AE49"/>
      <c r="AF49"/>
      <c r="AG49" s="26">
        <f t="shared" si="4"/>
        <v>0</v>
      </c>
      <c r="AH49"/>
      <c r="AI49"/>
      <c r="AJ49"/>
      <c r="AK49"/>
      <c r="AL49"/>
      <c r="AM49"/>
      <c r="AN49"/>
      <c r="AO49"/>
      <c r="AP49"/>
      <c r="AQ49"/>
      <c r="AR49"/>
      <c r="AS49" s="26">
        <f t="shared" si="5"/>
        <v>0</v>
      </c>
      <c r="AT49"/>
      <c r="AU49"/>
      <c r="AV49"/>
      <c r="AW49"/>
      <c r="AX49"/>
      <c r="AY49"/>
      <c r="AZ49"/>
      <c r="BA49"/>
      <c r="BB49"/>
      <c r="BC49"/>
      <c r="BD49"/>
      <c r="BE49" s="26">
        <f t="shared" si="6"/>
        <v>0</v>
      </c>
      <c r="BF49">
        <v>20</v>
      </c>
      <c r="BG49" t="s">
        <v>1863</v>
      </c>
      <c r="BH49" t="s">
        <v>1524</v>
      </c>
      <c r="BI49" t="s">
        <v>1405</v>
      </c>
      <c r="BJ49">
        <v>1.35</v>
      </c>
      <c r="BK49">
        <v>2</v>
      </c>
      <c r="BL49">
        <f>+Tabla3102[[#This Row],[En culmo]]*BF49</f>
        <v>40</v>
      </c>
      <c r="BM49"/>
      <c r="BO49"/>
      <c r="BP49"/>
      <c r="BQ49"/>
      <c r="BR49"/>
      <c r="BS49"/>
      <c r="BT49">
        <f>+Tabla31069[[#This Row],[Longitud de eje]]*BN49</f>
        <v>0</v>
      </c>
      <c r="BU49">
        <f>+Tabla31069[[#This Row],[Longitud de eje]]*BO49</f>
        <v>0</v>
      </c>
      <c r="BV49"/>
      <c r="BW49"/>
      <c r="BX49"/>
      <c r="BY49"/>
      <c r="BZ49"/>
      <c r="CA49"/>
      <c r="CB49">
        <f>+Tabla31011[[#This Row],[Longitud de eje]]*BV49</f>
        <v>0</v>
      </c>
      <c r="CD49"/>
      <c r="CE49"/>
      <c r="CF49"/>
      <c r="CG49"/>
      <c r="CH49"/>
      <c r="CI49"/>
      <c r="CJ49">
        <f>+Tabla3101170[[#This Row],[En culmo]]*CD49</f>
        <v>0</v>
      </c>
      <c r="CK49"/>
      <c r="CL49"/>
      <c r="CM49"/>
      <c r="CN49"/>
      <c r="CO49"/>
      <c r="CP49"/>
      <c r="CQ49"/>
      <c r="CR49">
        <f>+Tabla31011116[[#This Row],[Longitud de eje]]*CL49</f>
        <v>0</v>
      </c>
      <c r="CT49"/>
      <c r="CU49"/>
      <c r="CV49"/>
      <c r="CW49"/>
      <c r="CX49"/>
      <c r="CY49"/>
      <c r="CZ49">
        <f>+Tabla3101170117[[#This Row],[En culmo]]*CT49</f>
        <v>0</v>
      </c>
      <c r="DA49"/>
      <c r="DB49"/>
      <c r="DC49"/>
      <c r="DD49"/>
      <c r="DE49"/>
      <c r="DF49"/>
      <c r="DG49">
        <f>+Tabla31011704[[#This Row],[Longitud de eje]]*DB49</f>
        <v>0</v>
      </c>
      <c r="DH49"/>
      <c r="DI49"/>
      <c r="DJ49"/>
      <c r="DK49"/>
      <c r="DL49"/>
      <c r="DM49"/>
      <c r="DN49">
        <f>+Tabla3101170411[[#This Row],[Longitud de eje]]*DI49</f>
        <v>0</v>
      </c>
      <c r="DO49"/>
      <c r="DP49"/>
      <c r="DQ49"/>
      <c r="DR49"/>
      <c r="DS49"/>
      <c r="DT49"/>
      <c r="DU49">
        <f>+Tabla3101170411120[[#This Row],[Longitud de eje]]*DP49</f>
        <v>0</v>
      </c>
      <c r="DV49"/>
      <c r="DW49"/>
      <c r="DX49"/>
      <c r="DY49"/>
      <c r="DZ49"/>
      <c r="EA49"/>
      <c r="EB49">
        <f>+Tabla3101170411120122[[#This Row],[Longitud de eje]]*DW49</f>
        <v>0</v>
      </c>
      <c r="EC49"/>
      <c r="ED49">
        <v>2</v>
      </c>
      <c r="EE49" t="s">
        <v>1862</v>
      </c>
      <c r="EF49" t="s">
        <v>1524</v>
      </c>
      <c r="EG49" t="s">
        <v>1406</v>
      </c>
      <c r="EH49">
        <v>2.1800000000000002</v>
      </c>
      <c r="EI49">
        <v>2.5</v>
      </c>
      <c r="EJ49">
        <f>+Tabla3101112[[#This Row],[En culmo]]*ED49</f>
        <v>5</v>
      </c>
      <c r="EK49"/>
      <c r="EL49"/>
      <c r="EM49"/>
      <c r="EN49"/>
      <c r="EO49"/>
      <c r="EP49"/>
      <c r="EQ49"/>
      <c r="ER49">
        <f>+Tabla3101112123[[#This Row],[En culmo]]*EL49</f>
        <v>0</v>
      </c>
      <c r="ES49"/>
      <c r="ET49">
        <v>2</v>
      </c>
      <c r="EU49" t="s">
        <v>1862</v>
      </c>
      <c r="EV49" t="s">
        <v>1525</v>
      </c>
      <c r="EW49" t="s">
        <v>1406</v>
      </c>
      <c r="EX49">
        <v>3.27</v>
      </c>
      <c r="EY49">
        <v>3.5</v>
      </c>
      <c r="EZ49">
        <f>+Tabla310111257[[#This Row],[En culmo]]*ET49</f>
        <v>7</v>
      </c>
      <c r="FA49"/>
      <c r="FB49"/>
      <c r="FC49"/>
      <c r="FD49"/>
      <c r="FE49"/>
      <c r="FF49"/>
      <c r="FG49">
        <v>3.5</v>
      </c>
      <c r="FH49">
        <f>+Tabla310111257124[[#This Row],[En culmo]]*FB49</f>
        <v>0</v>
      </c>
      <c r="FI49"/>
      <c r="FK49"/>
      <c r="FL49"/>
      <c r="FM49"/>
      <c r="FN49"/>
      <c r="FO49"/>
      <c r="FP49"/>
      <c r="FQ49"/>
      <c r="FS49"/>
      <c r="FT49"/>
      <c r="FU49"/>
      <c r="FV49"/>
      <c r="FW49"/>
      <c r="FX49"/>
      <c r="FY49"/>
      <c r="GA49"/>
      <c r="GB49"/>
      <c r="GC49"/>
      <c r="GD49"/>
      <c r="GE49"/>
      <c r="GF49"/>
      <c r="GG49"/>
      <c r="GI49"/>
      <c r="GJ49"/>
      <c r="GK49"/>
      <c r="GL49"/>
      <c r="GM49"/>
      <c r="GN49"/>
      <c r="GO49"/>
      <c r="GQ49"/>
      <c r="GR49"/>
      <c r="GS49"/>
      <c r="GT49"/>
      <c r="GU49"/>
      <c r="GV49"/>
      <c r="GW49"/>
      <c r="GX49"/>
      <c r="GY49" s="36"/>
      <c r="HA49"/>
      <c r="HB49"/>
      <c r="HC49"/>
      <c r="HD49"/>
      <c r="HE49"/>
      <c r="HF49"/>
      <c r="HG49"/>
      <c r="HH49"/>
      <c r="HI49" s="36"/>
      <c r="HK49"/>
      <c r="HL49"/>
      <c r="HM49"/>
      <c r="HN49"/>
      <c r="HO49"/>
      <c r="HP49"/>
      <c r="HQ49"/>
      <c r="HR49"/>
      <c r="HS49" s="36"/>
      <c r="HU49"/>
      <c r="HV49"/>
      <c r="HW49"/>
      <c r="HX49"/>
      <c r="HY49"/>
      <c r="HZ49"/>
      <c r="IA49"/>
      <c r="IB49"/>
      <c r="IC49" s="36"/>
      <c r="IE49"/>
      <c r="IF49"/>
      <c r="IG49"/>
      <c r="IH49"/>
      <c r="II49"/>
      <c r="IJ49"/>
      <c r="IK49"/>
      <c r="IL49"/>
      <c r="IM49" s="36"/>
      <c r="IY49"/>
      <c r="IZ49"/>
      <c r="JA49"/>
      <c r="JB49"/>
      <c r="JC49"/>
      <c r="JD49">
        <v>1</v>
      </c>
      <c r="JE49">
        <f>+Tabla520212224[[#This Row],[Recuento]]*Tabla520212224[[#This Row],[Volúmen bruto]]</f>
        <v>0</v>
      </c>
      <c r="JF49">
        <f>+Tabla520212224[[#This Row],[Recuento]]*Tabla520212224[[#This Row],[Área neta]]</f>
        <v>0</v>
      </c>
      <c r="JG49" s="26"/>
      <c r="JI49" t="s">
        <v>1863</v>
      </c>
      <c r="JJ49" t="s">
        <v>1525</v>
      </c>
      <c r="JK49" t="s">
        <v>1628</v>
      </c>
      <c r="JL49">
        <v>0.26</v>
      </c>
      <c r="JM49">
        <v>12.76</v>
      </c>
      <c r="JN49">
        <v>1</v>
      </c>
      <c r="JO49">
        <f>+Tabla52021222425[[#This Row],[Recuento]]*Tabla52021222425[[#This Row],[Volúmen bruto]]</f>
        <v>0.26</v>
      </c>
      <c r="JP49">
        <f>+Tabla52021222425[[#This Row],[Recuento]]*Tabla52021222425[[#This Row],[Área neta]]</f>
        <v>12.76</v>
      </c>
      <c r="JQ49" s="26"/>
      <c r="JS49" t="s">
        <v>1862</v>
      </c>
      <c r="JT49" t="s">
        <v>1524</v>
      </c>
      <c r="JU49" t="s">
        <v>1676</v>
      </c>
      <c r="JV49">
        <v>0.05</v>
      </c>
      <c r="JW49">
        <v>0.41</v>
      </c>
      <c r="JX49">
        <v>1</v>
      </c>
      <c r="JY49">
        <f>+Tabla5202122242526[[#This Row],[Recuento]]*Tabla5202122242526[[#This Row],[Volúmen bruto]]</f>
        <v>0.05</v>
      </c>
      <c r="JZ49">
        <f>+Tabla5202122242526[[#This Row],[Recuento]]*Tabla5202122242526[[#This Row],[Área neta]]</f>
        <v>0.41</v>
      </c>
      <c r="KA49" s="26"/>
      <c r="KC49"/>
      <c r="KD49"/>
      <c r="KE49"/>
      <c r="KF49"/>
      <c r="KG49"/>
      <c r="KH49"/>
      <c r="KI49">
        <f>+Tabla5202122242526104[[#This Row],[Recuento]]*Tabla5202122242526104[[#This Row],[Volúmen bruto]]</f>
        <v>0</v>
      </c>
      <c r="KJ49">
        <f>+Tabla5202122242526104[[#This Row],[Recuento]]*Tabla5202122242526104[[#This Row],[Área neta]]</f>
        <v>0</v>
      </c>
      <c r="KK49" s="26"/>
      <c r="KM49" t="s">
        <v>1862</v>
      </c>
      <c r="KN49" t="s">
        <v>1525</v>
      </c>
      <c r="KO49" t="s">
        <v>1679</v>
      </c>
      <c r="KP49">
        <v>0.01</v>
      </c>
      <c r="KQ49">
        <v>6.73</v>
      </c>
      <c r="KR49">
        <v>1</v>
      </c>
      <c r="KS49">
        <f>+Tabla5202122242526104110[[#This Row],[Recuento]]*Tabla5202122242526104110[[#This Row],[Volúmen bruto]]</f>
        <v>0.01</v>
      </c>
      <c r="KT49">
        <f>+Tabla5202122242526104110[[#This Row],[Recuento]]*Tabla5202122242526104110[[#This Row],[Área neta]]</f>
        <v>6.73</v>
      </c>
      <c r="KU49" s="26"/>
      <c r="KW49"/>
      <c r="KX49"/>
      <c r="KY49"/>
      <c r="KZ49"/>
      <c r="LA49"/>
      <c r="LB49"/>
      <c r="LC49">
        <f>+Tabla520212224252659[[#This Row],[Recuento]]*Tabla520212224252659[[#This Row],[Volúmen bruto]]</f>
        <v>0</v>
      </c>
      <c r="LD49">
        <f>+Tabla520212224252659[[#This Row],[Recuento]]*Tabla520212224252659[[#This Row],[Área neta]]</f>
        <v>0</v>
      </c>
      <c r="LE49" s="26"/>
      <c r="LG49"/>
      <c r="LH49"/>
      <c r="LI49"/>
      <c r="LJ49"/>
      <c r="LK49"/>
      <c r="LL49"/>
      <c r="LM49">
        <f>+Tabla520212224252659111[[#This Row],[Recuento]]*Tabla520212224252659111[[#This Row],[Volúmen bruto]]</f>
        <v>0</v>
      </c>
      <c r="LN49">
        <f>+Tabla520212224252659111[[#This Row],[Recuento]]*Tabla520212224252659111[[#This Row],[Área neta]]</f>
        <v>0</v>
      </c>
      <c r="LO49" s="26"/>
      <c r="LQ49"/>
      <c r="LR49"/>
      <c r="LS49"/>
      <c r="LT49"/>
      <c r="LU49"/>
      <c r="LV49"/>
      <c r="LW49">
        <f>+Tabla520212224252659111114[[#This Row],[Recuento]]*Tabla520212224252659111114[[#This Row],[Volúmen bruto]]</f>
        <v>0</v>
      </c>
      <c r="LX49">
        <f>+Tabla520212224252659111114[[#This Row],[Recuento]]*Tabla520212224252659111114[[#This Row],[Área neta]]</f>
        <v>0</v>
      </c>
      <c r="LY49" s="26"/>
      <c r="MA49" t="s">
        <v>1863</v>
      </c>
      <c r="MB49" t="s">
        <v>1524</v>
      </c>
      <c r="MC49" t="s">
        <v>98</v>
      </c>
      <c r="MD49">
        <v>0.01</v>
      </c>
      <c r="ME49">
        <v>3.38</v>
      </c>
      <c r="MF49">
        <v>1</v>
      </c>
      <c r="MG49">
        <f>+Tabla520212224252659111114128[[#This Row],[Recuento]]*Tabla520212224252659111114128[[#This Row],[Volúmen bruto]]</f>
        <v>0.01</v>
      </c>
      <c r="MH49">
        <f>+Tabla520212224252659111114128[[#This Row],[Recuento]]*Tabla520212224252659111114128[[#This Row],[Área neta]]</f>
        <v>3.38</v>
      </c>
      <c r="MI49" s="26"/>
      <c r="MK49"/>
      <c r="ML49"/>
      <c r="MM49"/>
      <c r="MN49"/>
      <c r="MO49"/>
      <c r="MP49"/>
      <c r="MQ49">
        <f>+Tabla520212224252627[[#This Row],[Recuento]]*Tabla520212224252627[[#This Row],[Volúmen bruto]]</f>
        <v>0</v>
      </c>
      <c r="MR49">
        <f>+Tabla520212224252627[[#This Row],[Recuento]]*Tabla520212224252627[[#This Row],[Área neta]]</f>
        <v>0</v>
      </c>
      <c r="MS49" s="26"/>
      <c r="MU49"/>
      <c r="MV49"/>
      <c r="MW49"/>
      <c r="MX49"/>
      <c r="MY49"/>
      <c r="MZ49"/>
      <c r="NA49">
        <f>+Tabla520212224252627129[[#This Row],[Recuento]]*Tabla520212224252627129[[#This Row],[Volúmen bruto]]</f>
        <v>0</v>
      </c>
      <c r="NB49">
        <f>+Tabla520212224252627129[[#This Row],[Recuento]]*Tabla520212224252627129[[#This Row],[Área neta]]</f>
        <v>0</v>
      </c>
      <c r="NC49" s="26"/>
      <c r="NE49"/>
      <c r="NF49"/>
      <c r="NG49"/>
      <c r="NH49"/>
      <c r="NI49"/>
      <c r="NJ49"/>
      <c r="NK49">
        <f>+Tabla520212224252627129125[[#This Row],[Recuento]]*Tabla520212224252627129125[[#This Row],[Volúmen bruto]]</f>
        <v>0</v>
      </c>
      <c r="NL49">
        <f>+Tabla520212224252627129125[[#This Row],[Recuento]]*Tabla520212224252627129125[[#This Row],[Área neta]]</f>
        <v>0</v>
      </c>
      <c r="NM49" s="26"/>
      <c r="NO49"/>
      <c r="NP49"/>
      <c r="NQ49"/>
      <c r="NR49"/>
      <c r="NS49"/>
      <c r="NT49"/>
      <c r="NU49">
        <f>+Tabla520212224252627129125130[[#This Row],[Recuento]]*Tabla520212224252627129125130[[#This Row],[Volúmen bruto]]</f>
        <v>0</v>
      </c>
      <c r="NV49">
        <f>+Tabla520212224252627129125130[[#This Row],[Recuento]]*Tabla520212224252627129125130[[#This Row],[Área neta]]</f>
        <v>0</v>
      </c>
      <c r="NW49" s="26"/>
      <c r="NY49"/>
      <c r="NZ49"/>
      <c r="OA49"/>
      <c r="OB49"/>
      <c r="OC49"/>
      <c r="OD49"/>
      <c r="OE49">
        <f>+Tabla520212224252627129125130131[[#This Row],[Recuento]]*Tabla520212224252627129125130131[[#This Row],[Volúmen bruto]]</f>
        <v>0</v>
      </c>
      <c r="OF49">
        <f>+Tabla520212224252627129125130131[[#This Row],[Recuento]]*Tabla520212224252627129125130131[[#This Row],[Área neta]]</f>
        <v>0</v>
      </c>
      <c r="OG49" s="26"/>
      <c r="OI49"/>
      <c r="OJ49"/>
      <c r="OK49"/>
      <c r="OL49"/>
      <c r="OM49"/>
      <c r="ON49"/>
      <c r="OO49">
        <f>+Tabla520212224252627129125130131132[[#This Row],[Recuento]]*Tabla520212224252627129125130131132[[#This Row],[Volúmen bruto]]</f>
        <v>0</v>
      </c>
      <c r="OP49">
        <f>+Tabla520212224252627129125130131132[[#This Row],[Recuento]]*Tabla520212224252627129125130131132[[#This Row],[Área neta]]</f>
        <v>0</v>
      </c>
      <c r="OQ49" s="26"/>
      <c r="OS49"/>
      <c r="OT49"/>
      <c r="OU49"/>
      <c r="OV49"/>
      <c r="OW49"/>
      <c r="OX49"/>
      <c r="OY49">
        <f>+Tabla52021222425262728[[#This Row],[Recuento]]*Tabla52021222425262728[[#This Row],[Volúmen bruto]]</f>
        <v>0</v>
      </c>
      <c r="OZ49">
        <f>+Tabla52021222425262728[[#This Row],[Recuento]]*Tabla52021222425262728[[#This Row],[Área neta]]</f>
        <v>0</v>
      </c>
      <c r="PA49" s="26">
        <f t="shared" si="32"/>
        <v>0</v>
      </c>
      <c r="PC49" t="s">
        <v>1862</v>
      </c>
      <c r="PD49" t="s">
        <v>1525</v>
      </c>
      <c r="PE49" t="s">
        <v>1677</v>
      </c>
      <c r="PF49">
        <v>0</v>
      </c>
      <c r="PG49">
        <v>1.67</v>
      </c>
      <c r="PH49">
        <v>1</v>
      </c>
      <c r="PI49">
        <f>+Tabla52021222425262728133[[#This Row],[Recuento]]*Tabla52021222425262728133[[#This Row],[Volúmen bruto]]</f>
        <v>0</v>
      </c>
      <c r="PJ49">
        <f>+Tabla52021222425262728133[[#This Row],[Recuento]]*Tabla52021222425262728133[[#This Row],[Área neta]]</f>
        <v>1.67</v>
      </c>
      <c r="PK49" s="26"/>
      <c r="PM49"/>
      <c r="PN49"/>
      <c r="PO49"/>
      <c r="PP49"/>
      <c r="PQ49"/>
      <c r="PR49"/>
      <c r="PS49">
        <f>+Tabla5202122242526272893[[#This Row],[Recuento]]*Tabla5202122242526272893[[#This Row],[Volúmen bruto]]</f>
        <v>0</v>
      </c>
      <c r="PT49">
        <f>+Tabla5202122242526272893[[#This Row],[Recuento]]*Tabla5202122242526272893[[#This Row],[Área neta]]</f>
        <v>0</v>
      </c>
      <c r="PU49" s="26"/>
      <c r="PW49" t="s">
        <v>1863</v>
      </c>
      <c r="PX49" t="s">
        <v>1525</v>
      </c>
      <c r="PY49" t="s">
        <v>1628</v>
      </c>
      <c r="PZ49">
        <v>0.03</v>
      </c>
      <c r="QA49">
        <v>1.66</v>
      </c>
      <c r="QB49">
        <v>1</v>
      </c>
      <c r="QC49">
        <f>+Tabla520212224252627289349[[#This Row],[Recuento]]*Tabla520212224252627289349[[#This Row],[Volúmen bruto]]</f>
        <v>0.03</v>
      </c>
      <c r="QD49">
        <f>+Tabla520212224252627289349[[#This Row],[Recuento]]*Tabla520212224252627289349[[#This Row],[Área neta]]</f>
        <v>1.66</v>
      </c>
      <c r="QE49" s="26"/>
      <c r="QG49"/>
      <c r="QH49"/>
      <c r="QI49"/>
      <c r="QJ49"/>
      <c r="QK49"/>
      <c r="QL49"/>
      <c r="QM49">
        <f>+Tabla520212224252627289349134[[#This Row],[Recuento]]*Tabla520212224252627289349134[[#This Row],[Volúmen bruto]]</f>
        <v>0</v>
      </c>
      <c r="QN49">
        <f>+Tabla520212224252627289349134[[#This Row],[Recuento]]*Tabla520212224252627289349134[[#This Row],[Área neta]]</f>
        <v>0</v>
      </c>
      <c r="QO49" s="26"/>
      <c r="QQ49" t="s">
        <v>1863</v>
      </c>
      <c r="QR49" t="s">
        <v>1524</v>
      </c>
      <c r="QS49" t="s">
        <v>1726</v>
      </c>
      <c r="QT49">
        <v>0.49</v>
      </c>
      <c r="QU49">
        <v>2.4700000000000002</v>
      </c>
      <c r="QV49">
        <v>1</v>
      </c>
      <c r="QW49">
        <v>1</v>
      </c>
      <c r="QX49">
        <f>+Tabla5202122242526272829[[#This Row],[Recuento]]*Tabla5202122242526272829[[#This Row],[Volúmen bruto]]</f>
        <v>0.49</v>
      </c>
      <c r="QY49">
        <f>+Tabla5202122242526272829[[#This Row],[Recuento]]*Tabla5202122242526272829[[#This Row],[Área neta]]</f>
        <v>2.4700000000000002</v>
      </c>
      <c r="QZ49">
        <f>+Tabla5202122242526272829[[#This Row],[Recuento]]*Tabla5202122242526272829[[#This Row],[Longitud]]</f>
        <v>1</v>
      </c>
      <c r="RA49" s="26"/>
      <c r="RC49"/>
      <c r="RD49"/>
      <c r="RE49"/>
      <c r="RF49"/>
      <c r="RG49"/>
      <c r="RH49"/>
      <c r="RI49"/>
      <c r="RJ49"/>
      <c r="RK49" s="26"/>
      <c r="RM49"/>
      <c r="RN49"/>
      <c r="RO49"/>
      <c r="RP49"/>
      <c r="RQ49"/>
      <c r="RR49"/>
      <c r="RS49"/>
      <c r="RT49"/>
      <c r="RU49" s="26">
        <f t="shared" si="7"/>
        <v>0</v>
      </c>
      <c r="RW49"/>
      <c r="RX49"/>
      <c r="RY49"/>
      <c r="RZ49"/>
      <c r="SA49"/>
      <c r="SB49"/>
      <c r="SC49"/>
      <c r="SD49"/>
      <c r="SE49" s="26"/>
      <c r="SG49"/>
      <c r="SH49"/>
      <c r="SI49"/>
      <c r="SJ49"/>
      <c r="SK49"/>
      <c r="SL49"/>
      <c r="SM49"/>
      <c r="SN49"/>
      <c r="SO49" s="26"/>
      <c r="SQ49"/>
      <c r="SR49"/>
      <c r="SY49" s="36">
        <f t="shared" si="31"/>
        <v>0</v>
      </c>
      <c r="TA49"/>
      <c r="TB49"/>
      <c r="TI49" s="36">
        <f t="shared" si="8"/>
        <v>0</v>
      </c>
      <c r="TK49"/>
      <c r="TL49"/>
      <c r="TS49" s="36">
        <f t="shared" si="9"/>
        <v>0</v>
      </c>
      <c r="TU49"/>
      <c r="TV49"/>
      <c r="UC49" s="36">
        <f t="shared" si="10"/>
        <v>0</v>
      </c>
      <c r="UE49"/>
      <c r="UF49"/>
      <c r="UM49" s="36">
        <f t="shared" si="11"/>
        <v>0</v>
      </c>
      <c r="UO49"/>
      <c r="UP49"/>
      <c r="UW49" s="36">
        <f t="shared" si="12"/>
        <v>0</v>
      </c>
      <c r="UY49"/>
      <c r="UZ49"/>
      <c r="VG49" s="36">
        <f t="shared" si="13"/>
        <v>0</v>
      </c>
      <c r="VI49"/>
      <c r="VJ49"/>
      <c r="VQ49" s="36">
        <f t="shared" si="14"/>
        <v>0</v>
      </c>
      <c r="VS49"/>
      <c r="VT49"/>
      <c r="WA49" s="36">
        <f t="shared" si="15"/>
        <v>0</v>
      </c>
      <c r="WC49"/>
      <c r="WD49"/>
      <c r="WK49" s="36">
        <f t="shared" si="16"/>
        <v>0</v>
      </c>
      <c r="WM49"/>
      <c r="WN49"/>
      <c r="WU49" s="36">
        <f t="shared" si="17"/>
        <v>0</v>
      </c>
      <c r="WW49"/>
      <c r="WX49"/>
      <c r="XE49" s="36">
        <f t="shared" si="18"/>
        <v>0</v>
      </c>
      <c r="XG49"/>
      <c r="XH49"/>
      <c r="XO49" s="36">
        <f t="shared" si="22"/>
        <v>0</v>
      </c>
      <c r="XQ49"/>
      <c r="XR49"/>
      <c r="XY49" s="36">
        <f t="shared" si="23"/>
        <v>0</v>
      </c>
      <c r="YA49"/>
      <c r="YB49"/>
      <c r="YI49" s="36">
        <f t="shared" si="24"/>
        <v>0</v>
      </c>
      <c r="YJ49" s="36"/>
      <c r="YK49"/>
      <c r="YL49"/>
      <c r="YM49"/>
      <c r="YN49"/>
      <c r="YO49"/>
      <c r="YQ49"/>
      <c r="YR49"/>
      <c r="YY49" s="36">
        <f t="shared" si="25"/>
        <v>0</v>
      </c>
      <c r="ZA49"/>
      <c r="ZB49"/>
      <c r="ZI49" s="36">
        <f t="shared" si="26"/>
        <v>0</v>
      </c>
      <c r="ZK49"/>
      <c r="ZL49"/>
      <c r="ZS49" s="36">
        <f t="shared" si="27"/>
        <v>0</v>
      </c>
      <c r="ZU49"/>
      <c r="ZV49"/>
      <c r="AAC49" s="36">
        <f t="shared" si="28"/>
        <v>0</v>
      </c>
      <c r="AAE49"/>
      <c r="AAF49"/>
      <c r="AAM49" s="36">
        <f t="shared" si="29"/>
        <v>0</v>
      </c>
      <c r="AAY49"/>
      <c r="AAZ49"/>
      <c r="ABG49" s="36">
        <f t="shared" si="33"/>
        <v>0</v>
      </c>
      <c r="ABI49"/>
      <c r="ABJ49"/>
      <c r="ABQ49" s="36">
        <f t="shared" si="34"/>
        <v>0</v>
      </c>
      <c r="ABS49"/>
      <c r="ABT49"/>
      <c r="ACA49" s="36">
        <f t="shared" si="35"/>
        <v>0</v>
      </c>
      <c r="ACC49"/>
      <c r="ACD49"/>
      <c r="ACK49" s="36">
        <f t="shared" si="36"/>
        <v>0</v>
      </c>
      <c r="ACM49"/>
      <c r="ACN49"/>
      <c r="ACU49" s="36">
        <f t="shared" si="37"/>
        <v>0</v>
      </c>
      <c r="ACW49" t="s">
        <v>1245</v>
      </c>
      <c r="ACY49" s="2"/>
      <c r="ADA49" s="38"/>
      <c r="ADB49" s="2">
        <f t="shared" si="21"/>
        <v>0</v>
      </c>
      <c r="ADD49"/>
      <c r="ADE49"/>
      <c r="ADF49"/>
      <c r="ADG49" s="26">
        <f t="shared" si="38"/>
        <v>0</v>
      </c>
      <c r="ADJ49"/>
      <c r="ADK49"/>
      <c r="ADL49"/>
      <c r="ADM49"/>
      <c r="ADN49"/>
      <c r="ADO49"/>
      <c r="ADP49" s="36"/>
      <c r="ADR49"/>
      <c r="ADS49"/>
      <c r="ADT49"/>
      <c r="ADU49"/>
      <c r="ADV49"/>
      <c r="ADW49" s="36"/>
      <c r="ADX49" s="36"/>
      <c r="ADY49"/>
      <c r="ADZ49"/>
      <c r="AEA49"/>
      <c r="AEB49"/>
      <c r="AEC49"/>
      <c r="AED49"/>
      <c r="AEE49" s="36"/>
      <c r="AEG49"/>
      <c r="AEH49"/>
      <c r="AEI49"/>
      <c r="AEJ49"/>
      <c r="AEK49"/>
      <c r="AEL49" s="36"/>
      <c r="AEM49" s="36"/>
      <c r="AEN49" t="s">
        <v>1522</v>
      </c>
      <c r="AEO49" t="s">
        <v>1524</v>
      </c>
      <c r="AEP49" t="s">
        <v>381</v>
      </c>
      <c r="AEQ49">
        <v>0.98</v>
      </c>
      <c r="AER49">
        <v>1</v>
      </c>
      <c r="AES49">
        <f>+Tabla5789141516343536373839404142434445464748495051525355606264[[#This Row],[G. Total]]*Tabla5789141516343536373839404142434445464748495051525355606264[[#This Row],[Recuento]]</f>
        <v>0.98</v>
      </c>
      <c r="AET49" s="36"/>
      <c r="AEV49"/>
      <c r="AEW49"/>
      <c r="AEX49"/>
      <c r="AEY49"/>
      <c r="AEZ49"/>
      <c r="AFA49" s="35"/>
      <c r="AFC49"/>
      <c r="AFD49"/>
      <c r="AFE49"/>
      <c r="AFF49"/>
      <c r="AFG49"/>
      <c r="AFH49"/>
      <c r="AFI49"/>
      <c r="AFJ49"/>
      <c r="AFK49"/>
      <c r="AFL49"/>
      <c r="AFM49"/>
      <c r="AFN49">
        <f>+Tabla578914151634353637383940414243444546474849505152535560626467[[#This Row],[G. Total]]*Tabla578914151634353637383940414243444546474849505152535560626467[[#This Row],[Recuento]]</f>
        <v>0</v>
      </c>
      <c r="AFO49" s="36"/>
    </row>
    <row r="50" spans="1:847" ht="18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 s="26">
        <f t="shared" si="30"/>
        <v>0</v>
      </c>
      <c r="V50"/>
      <c r="W50"/>
      <c r="X50"/>
      <c r="Y50"/>
      <c r="Z50"/>
      <c r="AA50"/>
      <c r="AB50"/>
      <c r="AC50"/>
      <c r="AD50"/>
      <c r="AE50"/>
      <c r="AF50"/>
      <c r="AG50" s="26">
        <f t="shared" si="4"/>
        <v>0</v>
      </c>
      <c r="AH50"/>
      <c r="AI50"/>
      <c r="AJ50"/>
      <c r="AK50"/>
      <c r="AL50"/>
      <c r="AM50"/>
      <c r="AN50"/>
      <c r="AO50"/>
      <c r="AP50"/>
      <c r="AQ50"/>
      <c r="AR50"/>
      <c r="AS50" s="26">
        <f t="shared" si="5"/>
        <v>0</v>
      </c>
      <c r="AT50"/>
      <c r="AU50"/>
      <c r="AV50"/>
      <c r="AW50"/>
      <c r="AX50"/>
      <c r="AY50"/>
      <c r="AZ50"/>
      <c r="BA50"/>
      <c r="BB50"/>
      <c r="BC50"/>
      <c r="BD50"/>
      <c r="BE50" s="26">
        <f t="shared" si="6"/>
        <v>0</v>
      </c>
      <c r="BF50">
        <v>2</v>
      </c>
      <c r="BG50" t="s">
        <v>1863</v>
      </c>
      <c r="BH50" t="s">
        <v>1524</v>
      </c>
      <c r="BI50" t="s">
        <v>1406</v>
      </c>
      <c r="BJ50">
        <v>1.7</v>
      </c>
      <c r="BK50">
        <v>2</v>
      </c>
      <c r="BL50">
        <f>+Tabla3102[[#This Row],[Longitud de eje]]*BF50</f>
        <v>3.4</v>
      </c>
      <c r="BM50"/>
      <c r="BO50"/>
      <c r="BP50"/>
      <c r="BQ50"/>
      <c r="BR50"/>
      <c r="BS50"/>
      <c r="BT50">
        <f>+Tabla31069[[#This Row],[Longitud de eje]]*BN50</f>
        <v>0</v>
      </c>
      <c r="BU50">
        <f>+Tabla31069[[#This Row],[Longitud de eje]]*BO50</f>
        <v>0</v>
      </c>
      <c r="BV50"/>
      <c r="BW50"/>
      <c r="BX50"/>
      <c r="BY50"/>
      <c r="BZ50"/>
      <c r="CA50"/>
      <c r="CB50">
        <f>+Tabla31011[[#This Row],[Longitud de eje]]*BV50</f>
        <v>0</v>
      </c>
      <c r="CD50"/>
      <c r="CE50"/>
      <c r="CF50"/>
      <c r="CG50"/>
      <c r="CH50"/>
      <c r="CI50"/>
      <c r="CJ50">
        <f>+Tabla3101170[[#This Row],[En culmo]]*CD50</f>
        <v>0</v>
      </c>
      <c r="CK50"/>
      <c r="CL50"/>
      <c r="CM50"/>
      <c r="CN50"/>
      <c r="CO50"/>
      <c r="CP50"/>
      <c r="CQ50"/>
      <c r="CR50">
        <f>+Tabla31011116[[#This Row],[Longitud de eje]]*CL50</f>
        <v>0</v>
      </c>
      <c r="CT50"/>
      <c r="CU50"/>
      <c r="CV50"/>
      <c r="CW50"/>
      <c r="CX50"/>
      <c r="CY50"/>
      <c r="CZ50">
        <f>+Tabla3101170117[[#This Row],[En culmo]]*CT50</f>
        <v>0</v>
      </c>
      <c r="DA50"/>
      <c r="DB50"/>
      <c r="DC50"/>
      <c r="DD50"/>
      <c r="DE50"/>
      <c r="DF50"/>
      <c r="DG50">
        <f>+Tabla31011704[[#This Row],[Longitud de eje]]*DB50</f>
        <v>0</v>
      </c>
      <c r="DH50"/>
      <c r="DI50"/>
      <c r="DJ50"/>
      <c r="DK50"/>
      <c r="DL50"/>
      <c r="DM50"/>
      <c r="DN50">
        <f>+Tabla3101170411[[#This Row],[Longitud de eje]]*DI50</f>
        <v>0</v>
      </c>
      <c r="DO50"/>
      <c r="DP50"/>
      <c r="DQ50"/>
      <c r="DR50"/>
      <c r="DS50"/>
      <c r="DT50"/>
      <c r="DU50">
        <f>+Tabla3101170411120[[#This Row],[Longitud de eje]]*DP50</f>
        <v>0</v>
      </c>
      <c r="DV50"/>
      <c r="DW50"/>
      <c r="DX50"/>
      <c r="DY50"/>
      <c r="DZ50"/>
      <c r="EA50"/>
      <c r="EB50">
        <f>+Tabla3101170411120122[[#This Row],[Longitud de eje]]*DW50</f>
        <v>0</v>
      </c>
      <c r="EC50"/>
      <c r="ED50">
        <v>1</v>
      </c>
      <c r="EE50" t="s">
        <v>1862</v>
      </c>
      <c r="EF50" t="s">
        <v>1524</v>
      </c>
      <c r="EG50" t="s">
        <v>1406</v>
      </c>
      <c r="EH50">
        <v>2.34</v>
      </c>
      <c r="EI50">
        <v>2.5</v>
      </c>
      <c r="EJ50">
        <f>+Tabla3101112[[#This Row],[En culmo]]*ED50</f>
        <v>2.5</v>
      </c>
      <c r="EK50"/>
      <c r="EL50"/>
      <c r="EM50"/>
      <c r="EN50"/>
      <c r="EO50"/>
      <c r="EP50"/>
      <c r="EQ50"/>
      <c r="ER50">
        <f>+Tabla3101112123[[#This Row],[En culmo]]*EL50</f>
        <v>0</v>
      </c>
      <c r="ES50"/>
      <c r="ET50">
        <v>1</v>
      </c>
      <c r="EU50" t="s">
        <v>1862</v>
      </c>
      <c r="EV50" t="s">
        <v>1525</v>
      </c>
      <c r="EW50" t="s">
        <v>1406</v>
      </c>
      <c r="EX50">
        <v>3.11</v>
      </c>
      <c r="EY50">
        <v>3.5</v>
      </c>
      <c r="EZ50">
        <f>+Tabla310111257[[#This Row],[En culmo]]*ET50</f>
        <v>3.5</v>
      </c>
      <c r="FA50"/>
      <c r="FB50"/>
      <c r="FC50"/>
      <c r="FD50"/>
      <c r="FE50"/>
      <c r="FF50"/>
      <c r="FG50">
        <v>4</v>
      </c>
      <c r="FH50">
        <f>+Tabla310111257124[[#This Row],[En culmo]]*FB50</f>
        <v>0</v>
      </c>
      <c r="FI50"/>
      <c r="FK50"/>
      <c r="FL50"/>
      <c r="FM50"/>
      <c r="FN50"/>
      <c r="FO50"/>
      <c r="FP50"/>
      <c r="FQ50"/>
      <c r="FS50"/>
      <c r="FT50"/>
      <c r="FU50"/>
      <c r="FV50"/>
      <c r="FW50"/>
      <c r="FX50"/>
      <c r="FY50"/>
      <c r="GA50"/>
      <c r="GB50"/>
      <c r="GC50"/>
      <c r="GD50"/>
      <c r="GE50"/>
      <c r="GF50"/>
      <c r="GG50"/>
      <c r="GI50"/>
      <c r="GJ50"/>
      <c r="GK50"/>
      <c r="GL50"/>
      <c r="GM50"/>
      <c r="GN50"/>
      <c r="GO50"/>
      <c r="GQ50"/>
      <c r="GR50"/>
      <c r="GS50"/>
      <c r="GT50"/>
      <c r="GU50"/>
      <c r="GV50"/>
      <c r="GW50"/>
      <c r="GX50"/>
      <c r="GY50" s="36"/>
      <c r="HA50"/>
      <c r="HB50"/>
      <c r="HC50"/>
      <c r="HD50"/>
      <c r="HE50"/>
      <c r="HF50"/>
      <c r="HG50"/>
      <c r="HH50"/>
      <c r="HI50" s="36"/>
      <c r="HK50"/>
      <c r="HL50"/>
      <c r="HM50"/>
      <c r="HN50"/>
      <c r="HO50"/>
      <c r="HP50"/>
      <c r="HQ50"/>
      <c r="HR50"/>
      <c r="HS50" s="36"/>
      <c r="HU50"/>
      <c r="HV50"/>
      <c r="HW50"/>
      <c r="HX50"/>
      <c r="HY50"/>
      <c r="HZ50"/>
      <c r="IA50"/>
      <c r="IB50"/>
      <c r="IC50" s="36"/>
      <c r="IE50"/>
      <c r="IF50"/>
      <c r="IG50"/>
      <c r="IH50"/>
      <c r="II50"/>
      <c r="IJ50"/>
      <c r="IK50"/>
      <c r="IL50"/>
      <c r="IM50" s="36"/>
      <c r="IY50"/>
      <c r="IZ50"/>
      <c r="JA50"/>
      <c r="JB50"/>
      <c r="JC50"/>
      <c r="JD50">
        <v>1</v>
      </c>
      <c r="JE50">
        <f>+Tabla520212224[[#This Row],[Recuento]]*Tabla520212224[[#This Row],[Volúmen bruto]]</f>
        <v>0</v>
      </c>
      <c r="JF50">
        <f>+Tabla520212224[[#This Row],[Recuento]]*Tabla520212224[[#This Row],[Área neta]]</f>
        <v>0</v>
      </c>
      <c r="JG50" s="26"/>
      <c r="JI50" t="s">
        <v>1863</v>
      </c>
      <c r="JJ50" t="s">
        <v>1525</v>
      </c>
      <c r="JK50" t="s">
        <v>1628</v>
      </c>
      <c r="JL50">
        <v>0.24</v>
      </c>
      <c r="JM50">
        <v>11.86</v>
      </c>
      <c r="JN50">
        <v>1</v>
      </c>
      <c r="JO50">
        <f>+Tabla52021222425[[#This Row],[Recuento]]*Tabla52021222425[[#This Row],[Volúmen bruto]]</f>
        <v>0.24</v>
      </c>
      <c r="JP50">
        <f>+Tabla52021222425[[#This Row],[Recuento]]*Tabla52021222425[[#This Row],[Área neta]]</f>
        <v>11.86</v>
      </c>
      <c r="JQ50" s="26"/>
      <c r="JS50" t="s">
        <v>1862</v>
      </c>
      <c r="JT50" t="s">
        <v>1525</v>
      </c>
      <c r="JU50" t="s">
        <v>1676</v>
      </c>
      <c r="JV50">
        <v>0.42</v>
      </c>
      <c r="JW50">
        <v>3.04</v>
      </c>
      <c r="JX50">
        <v>1</v>
      </c>
      <c r="JY50">
        <f>+Tabla5202122242526[[#This Row],[Recuento]]*Tabla5202122242526[[#This Row],[Volúmen bruto]]</f>
        <v>0.42</v>
      </c>
      <c r="JZ50">
        <f>+Tabla5202122242526[[#This Row],[Recuento]]*Tabla5202122242526[[#This Row],[Área neta]]</f>
        <v>3.04</v>
      </c>
      <c r="KA50" s="26"/>
      <c r="KC50"/>
      <c r="KD50"/>
      <c r="KE50"/>
      <c r="KF50"/>
      <c r="KG50"/>
      <c r="KH50"/>
      <c r="KI50">
        <f>+Tabla5202122242526104[[#This Row],[Recuento]]*Tabla5202122242526104[[#This Row],[Volúmen bruto]]</f>
        <v>0</v>
      </c>
      <c r="KJ50">
        <f>+Tabla5202122242526104[[#This Row],[Recuento]]*Tabla5202122242526104[[#This Row],[Área neta]]</f>
        <v>0</v>
      </c>
      <c r="KK50" s="26"/>
      <c r="KM50" t="s">
        <v>1862</v>
      </c>
      <c r="KN50" t="s">
        <v>1524</v>
      </c>
      <c r="KO50" t="s">
        <v>1680</v>
      </c>
      <c r="KP50">
        <v>0.01</v>
      </c>
      <c r="KQ50">
        <v>0.54</v>
      </c>
      <c r="KR50">
        <v>1</v>
      </c>
      <c r="KS50">
        <f>+Tabla5202122242526104110[[#This Row],[Recuento]]*Tabla5202122242526104110[[#This Row],[Volúmen bruto]]</f>
        <v>0.01</v>
      </c>
      <c r="KT50">
        <f>+Tabla5202122242526104110[[#This Row],[Recuento]]*Tabla5202122242526104110[[#This Row],[Área neta]]</f>
        <v>0.54</v>
      </c>
      <c r="KU50" s="26">
        <f>+SUM(KT50:KT57)</f>
        <v>22.36</v>
      </c>
      <c r="KW50"/>
      <c r="KX50"/>
      <c r="KY50"/>
      <c r="KZ50"/>
      <c r="LA50"/>
      <c r="LB50"/>
      <c r="LC50">
        <f>+Tabla520212224252659[[#This Row],[Recuento]]*Tabla520212224252659[[#This Row],[Volúmen bruto]]</f>
        <v>0</v>
      </c>
      <c r="LD50">
        <f>+Tabla520212224252659[[#This Row],[Recuento]]*Tabla520212224252659[[#This Row],[Área neta]]</f>
        <v>0</v>
      </c>
      <c r="LE50" s="26"/>
      <c r="LG50"/>
      <c r="LH50"/>
      <c r="LI50"/>
      <c r="LJ50"/>
      <c r="LK50"/>
      <c r="LL50"/>
      <c r="LM50">
        <f>+Tabla520212224252659111[[#This Row],[Recuento]]*Tabla520212224252659111[[#This Row],[Volúmen bruto]]</f>
        <v>0</v>
      </c>
      <c r="LN50">
        <f>+Tabla520212224252659111[[#This Row],[Recuento]]*Tabla520212224252659111[[#This Row],[Área neta]]</f>
        <v>0</v>
      </c>
      <c r="LO50" s="26"/>
      <c r="LQ50"/>
      <c r="LR50"/>
      <c r="LS50"/>
      <c r="LT50"/>
      <c r="LU50"/>
      <c r="LV50"/>
      <c r="LW50">
        <f>+Tabla520212224252659111114[[#This Row],[Recuento]]*Tabla520212224252659111114[[#This Row],[Volúmen bruto]]</f>
        <v>0</v>
      </c>
      <c r="LX50">
        <f>+Tabla520212224252659111114[[#This Row],[Recuento]]*Tabla520212224252659111114[[#This Row],[Área neta]]</f>
        <v>0</v>
      </c>
      <c r="LY50" s="26"/>
      <c r="MA50" t="s">
        <v>1863</v>
      </c>
      <c r="MB50" t="s">
        <v>1524</v>
      </c>
      <c r="MC50" t="s">
        <v>98</v>
      </c>
      <c r="MD50">
        <v>0.01</v>
      </c>
      <c r="ME50">
        <v>2.2000000000000002</v>
      </c>
      <c r="MF50">
        <v>1</v>
      </c>
      <c r="MG50">
        <f>+Tabla520212224252659111114128[[#This Row],[Recuento]]*Tabla520212224252659111114128[[#This Row],[Volúmen bruto]]</f>
        <v>0.01</v>
      </c>
      <c r="MH50">
        <f>+Tabla520212224252659111114128[[#This Row],[Recuento]]*Tabla520212224252659111114128[[#This Row],[Área neta]]</f>
        <v>2.2000000000000002</v>
      </c>
      <c r="MI50" s="26"/>
      <c r="MK50"/>
      <c r="ML50"/>
      <c r="MM50"/>
      <c r="MN50"/>
      <c r="MO50"/>
      <c r="MP50"/>
      <c r="MQ50">
        <f>+Tabla520212224252627[[#This Row],[Recuento]]*Tabla520212224252627[[#This Row],[Volúmen bruto]]</f>
        <v>0</v>
      </c>
      <c r="MR50">
        <f>+Tabla520212224252627[[#This Row],[Recuento]]*Tabla520212224252627[[#This Row],[Área neta]]</f>
        <v>0</v>
      </c>
      <c r="MS50" s="26"/>
      <c r="MU50"/>
      <c r="MV50"/>
      <c r="MW50"/>
      <c r="MX50"/>
      <c r="MY50"/>
      <c r="MZ50"/>
      <c r="NA50">
        <f>+Tabla520212224252627129[[#This Row],[Recuento]]*Tabla520212224252627129[[#This Row],[Volúmen bruto]]</f>
        <v>0</v>
      </c>
      <c r="NB50">
        <f>+Tabla520212224252627129[[#This Row],[Recuento]]*Tabla520212224252627129[[#This Row],[Área neta]]</f>
        <v>0</v>
      </c>
      <c r="NC50" s="26"/>
      <c r="NE50"/>
      <c r="NF50"/>
      <c r="NG50"/>
      <c r="NH50"/>
      <c r="NI50"/>
      <c r="NJ50"/>
      <c r="NK50">
        <f>+Tabla520212224252627129125[[#This Row],[Recuento]]*Tabla520212224252627129125[[#This Row],[Volúmen bruto]]</f>
        <v>0</v>
      </c>
      <c r="NL50">
        <f>+Tabla520212224252627129125[[#This Row],[Recuento]]*Tabla520212224252627129125[[#This Row],[Área neta]]</f>
        <v>0</v>
      </c>
      <c r="NM50" s="26"/>
      <c r="NO50"/>
      <c r="NP50"/>
      <c r="NQ50"/>
      <c r="NR50"/>
      <c r="NS50"/>
      <c r="NT50"/>
      <c r="NU50">
        <f>+Tabla520212224252627129125130[[#This Row],[Recuento]]*Tabla520212224252627129125130[[#This Row],[Volúmen bruto]]</f>
        <v>0</v>
      </c>
      <c r="NV50">
        <f>+Tabla520212224252627129125130[[#This Row],[Recuento]]*Tabla520212224252627129125130[[#This Row],[Área neta]]</f>
        <v>0</v>
      </c>
      <c r="NW50" s="26"/>
      <c r="NY50"/>
      <c r="NZ50"/>
      <c r="OA50"/>
      <c r="OB50"/>
      <c r="OC50"/>
      <c r="OD50"/>
      <c r="OE50">
        <f>+Tabla520212224252627129125130131[[#This Row],[Recuento]]*Tabla520212224252627129125130131[[#This Row],[Volúmen bruto]]</f>
        <v>0</v>
      </c>
      <c r="OF50">
        <f>+Tabla520212224252627129125130131[[#This Row],[Recuento]]*Tabla520212224252627129125130131[[#This Row],[Área neta]]</f>
        <v>0</v>
      </c>
      <c r="OG50" s="26"/>
      <c r="OI50"/>
      <c r="OJ50"/>
      <c r="OK50"/>
      <c r="OL50"/>
      <c r="OM50"/>
      <c r="ON50"/>
      <c r="OO50">
        <f>+Tabla520212224252627129125130131132[[#This Row],[Recuento]]*Tabla520212224252627129125130131132[[#This Row],[Volúmen bruto]]</f>
        <v>0</v>
      </c>
      <c r="OP50">
        <f>+Tabla520212224252627129125130131132[[#This Row],[Recuento]]*Tabla520212224252627129125130131132[[#This Row],[Área neta]]</f>
        <v>0</v>
      </c>
      <c r="OQ50" s="26"/>
      <c r="OS50"/>
      <c r="OT50"/>
      <c r="OU50"/>
      <c r="OV50"/>
      <c r="OW50"/>
      <c r="OX50"/>
      <c r="OY50">
        <f>+Tabla52021222425262728[[#This Row],[Recuento]]*Tabla52021222425262728[[#This Row],[Volúmen bruto]]</f>
        <v>0</v>
      </c>
      <c r="OZ50">
        <f>+Tabla52021222425262728[[#This Row],[Recuento]]*Tabla52021222425262728[[#This Row],[Área neta]]</f>
        <v>0</v>
      </c>
      <c r="PA50" s="26">
        <f t="shared" si="32"/>
        <v>0</v>
      </c>
      <c r="PC50" t="s">
        <v>1862</v>
      </c>
      <c r="PD50" t="s">
        <v>1525</v>
      </c>
      <c r="PE50" t="s">
        <v>1676</v>
      </c>
      <c r="PF50">
        <v>7.0000000000000007E-2</v>
      </c>
      <c r="PG50">
        <v>0.6</v>
      </c>
      <c r="PH50">
        <v>1</v>
      </c>
      <c r="PI50">
        <f>+Tabla52021222425262728133[[#This Row],[Recuento]]*Tabla52021222425262728133[[#This Row],[Volúmen bruto]]</f>
        <v>7.0000000000000007E-2</v>
      </c>
      <c r="PJ50">
        <f>+Tabla52021222425262728133[[#This Row],[Recuento]]*Tabla52021222425262728133[[#This Row],[Área neta]]</f>
        <v>0.6</v>
      </c>
      <c r="PK50" s="26">
        <f>+SUM(PJ50:PJ57)</f>
        <v>12.74</v>
      </c>
      <c r="PM50"/>
      <c r="PN50"/>
      <c r="PO50"/>
      <c r="PP50"/>
      <c r="PQ50"/>
      <c r="PR50"/>
      <c r="PS50">
        <f>+Tabla5202122242526272893[[#This Row],[Recuento]]*Tabla5202122242526272893[[#This Row],[Volúmen bruto]]</f>
        <v>0</v>
      </c>
      <c r="PT50">
        <f>+Tabla5202122242526272893[[#This Row],[Recuento]]*Tabla5202122242526272893[[#This Row],[Área neta]]</f>
        <v>0</v>
      </c>
      <c r="PU50" s="26"/>
      <c r="PW50" t="s">
        <v>1863</v>
      </c>
      <c r="PX50" t="s">
        <v>1525</v>
      </c>
      <c r="PY50" t="s">
        <v>1628</v>
      </c>
      <c r="PZ50">
        <v>0.02</v>
      </c>
      <c r="QA50">
        <v>1.22</v>
      </c>
      <c r="QB50">
        <v>1</v>
      </c>
      <c r="QC50">
        <f>+Tabla520212224252627289349[[#This Row],[Recuento]]*Tabla520212224252627289349[[#This Row],[Volúmen bruto]]</f>
        <v>0.02</v>
      </c>
      <c r="QD50">
        <f>+Tabla520212224252627289349[[#This Row],[Recuento]]*Tabla520212224252627289349[[#This Row],[Área neta]]</f>
        <v>1.22</v>
      </c>
      <c r="QE50" s="26"/>
      <c r="QG50"/>
      <c r="QH50"/>
      <c r="QI50"/>
      <c r="QJ50"/>
      <c r="QK50"/>
      <c r="QL50"/>
      <c r="QM50">
        <f>+Tabla520212224252627289349134[[#This Row],[Recuento]]*Tabla520212224252627289349134[[#This Row],[Volúmen bruto]]</f>
        <v>0</v>
      </c>
      <c r="QN50">
        <f>+Tabla520212224252627289349134[[#This Row],[Recuento]]*Tabla520212224252627289349134[[#This Row],[Área neta]]</f>
        <v>0</v>
      </c>
      <c r="QO50" s="26"/>
      <c r="QQ50" t="s">
        <v>1863</v>
      </c>
      <c r="QR50" t="s">
        <v>1524</v>
      </c>
      <c r="QS50" t="s">
        <v>1726</v>
      </c>
      <c r="QT50">
        <v>0.11</v>
      </c>
      <c r="QU50">
        <v>0.54</v>
      </c>
      <c r="QV50">
        <v>1</v>
      </c>
      <c r="QW50">
        <v>1</v>
      </c>
      <c r="QX50">
        <f>+Tabla5202122242526272829[[#This Row],[Recuento]]*Tabla5202122242526272829[[#This Row],[Volúmen bruto]]</f>
        <v>0.11</v>
      </c>
      <c r="QY50">
        <f>+Tabla5202122242526272829[[#This Row],[Recuento]]*Tabla5202122242526272829[[#This Row],[Área neta]]</f>
        <v>0.54</v>
      </c>
      <c r="QZ50">
        <f>+Tabla5202122242526272829[[#This Row],[Recuento]]*Tabla5202122242526272829[[#This Row],[Longitud]]</f>
        <v>1</v>
      </c>
      <c r="RA50" s="26"/>
      <c r="RC50"/>
      <c r="RD50"/>
      <c r="RE50"/>
      <c r="RF50"/>
      <c r="RG50"/>
      <c r="RH50"/>
      <c r="RI50"/>
      <c r="RJ50"/>
      <c r="RK50" s="26"/>
      <c r="RM50"/>
      <c r="RN50"/>
      <c r="RO50"/>
      <c r="RP50"/>
      <c r="RQ50"/>
      <c r="RR50"/>
      <c r="RS50"/>
      <c r="RT50"/>
      <c r="RU50" s="26">
        <f t="shared" si="7"/>
        <v>0</v>
      </c>
      <c r="RW50"/>
      <c r="RX50"/>
      <c r="RY50"/>
      <c r="RZ50"/>
      <c r="SA50"/>
      <c r="SB50"/>
      <c r="SC50"/>
      <c r="SD50"/>
      <c r="SE50" s="26"/>
      <c r="SG50"/>
      <c r="SH50"/>
      <c r="SI50"/>
      <c r="SJ50"/>
      <c r="SK50"/>
      <c r="SL50"/>
      <c r="SM50"/>
      <c r="SN50"/>
      <c r="SO50" s="26"/>
      <c r="SQ50"/>
      <c r="SR50"/>
      <c r="SY50" s="36">
        <f t="shared" si="31"/>
        <v>0</v>
      </c>
      <c r="TK50"/>
      <c r="TL50"/>
      <c r="TS50" s="36">
        <f t="shared" si="9"/>
        <v>0</v>
      </c>
      <c r="TU50"/>
      <c r="TV50"/>
      <c r="UC50" s="36">
        <f t="shared" si="10"/>
        <v>0</v>
      </c>
      <c r="UE50"/>
      <c r="UF50"/>
      <c r="UM50" s="36">
        <f t="shared" si="11"/>
        <v>0</v>
      </c>
      <c r="UO50"/>
      <c r="UP50"/>
      <c r="UW50" s="36">
        <f t="shared" si="12"/>
        <v>0</v>
      </c>
      <c r="UY50"/>
      <c r="UZ50"/>
      <c r="VG50" s="36">
        <f t="shared" si="13"/>
        <v>0</v>
      </c>
      <c r="VI50"/>
      <c r="VJ50"/>
      <c r="VQ50" s="36">
        <f t="shared" si="14"/>
        <v>0</v>
      </c>
      <c r="VS50"/>
      <c r="VT50"/>
      <c r="WA50" s="36">
        <f t="shared" si="15"/>
        <v>0</v>
      </c>
      <c r="WC50"/>
      <c r="WD50"/>
      <c r="WK50" s="36">
        <f t="shared" si="16"/>
        <v>0</v>
      </c>
      <c r="WM50"/>
      <c r="WN50"/>
      <c r="WU50" s="36">
        <f t="shared" si="17"/>
        <v>0</v>
      </c>
      <c r="WW50"/>
      <c r="WX50"/>
      <c r="XE50" s="36">
        <f t="shared" si="18"/>
        <v>0</v>
      </c>
      <c r="XG50"/>
      <c r="XH50"/>
      <c r="XO50" s="36">
        <f t="shared" si="22"/>
        <v>0</v>
      </c>
      <c r="XQ50"/>
      <c r="XR50"/>
      <c r="XY50" s="36">
        <f t="shared" si="23"/>
        <v>0</v>
      </c>
      <c r="YA50"/>
      <c r="YB50"/>
      <c r="YI50" s="36">
        <f t="shared" si="24"/>
        <v>0</v>
      </c>
      <c r="YJ50" s="36"/>
      <c r="YK50"/>
      <c r="YL50"/>
      <c r="YM50"/>
      <c r="YN50"/>
      <c r="YO50"/>
      <c r="YQ50"/>
      <c r="YR50"/>
      <c r="YY50" s="36">
        <f t="shared" si="25"/>
        <v>0</v>
      </c>
      <c r="ZA50"/>
      <c r="ZB50"/>
      <c r="ZI50" s="36">
        <f t="shared" si="26"/>
        <v>0</v>
      </c>
      <c r="ZK50"/>
      <c r="ZL50"/>
      <c r="ZS50" s="36">
        <f t="shared" si="27"/>
        <v>0</v>
      </c>
      <c r="ZU50"/>
      <c r="ZV50"/>
      <c r="AAC50" s="36">
        <f t="shared" si="28"/>
        <v>0</v>
      </c>
      <c r="AAE50"/>
      <c r="AAF50"/>
      <c r="AAM50" s="36">
        <f t="shared" si="29"/>
        <v>0</v>
      </c>
      <c r="AAY50"/>
      <c r="AAZ50"/>
      <c r="ABG50" s="36">
        <f t="shared" si="33"/>
        <v>0</v>
      </c>
      <c r="ABI50"/>
      <c r="ABJ50"/>
      <c r="ABQ50" s="36">
        <f t="shared" si="34"/>
        <v>0</v>
      </c>
      <c r="ABS50"/>
      <c r="ABT50"/>
      <c r="ACA50" s="36">
        <f t="shared" si="35"/>
        <v>0</v>
      </c>
      <c r="ACC50"/>
      <c r="ACD50"/>
      <c r="ACK50" s="36">
        <f t="shared" si="36"/>
        <v>0</v>
      </c>
      <c r="ACM50"/>
      <c r="ACN50"/>
      <c r="ACU50" s="36">
        <f t="shared" si="37"/>
        <v>0</v>
      </c>
      <c r="ACW50" t="s">
        <v>1246</v>
      </c>
      <c r="ACY50" s="2"/>
      <c r="ADA50" s="38"/>
      <c r="ADB50" s="2">
        <f t="shared" si="21"/>
        <v>0</v>
      </c>
      <c r="ADD50"/>
      <c r="ADE50"/>
      <c r="ADF50"/>
      <c r="ADG50" s="26">
        <f t="shared" si="38"/>
        <v>0</v>
      </c>
      <c r="ADJ50"/>
      <c r="ADK50"/>
      <c r="ADL50"/>
      <c r="ADM50"/>
      <c r="ADN50"/>
      <c r="ADO50"/>
      <c r="ADP50" s="36"/>
      <c r="ADR50"/>
      <c r="ADS50"/>
      <c r="ADT50"/>
      <c r="ADU50"/>
      <c r="ADV50"/>
      <c r="ADW50" s="36"/>
      <c r="ADX50" s="36"/>
      <c r="ADY50"/>
      <c r="ADZ50"/>
      <c r="AEA50"/>
      <c r="AEB50"/>
      <c r="AEC50"/>
      <c r="AED50"/>
      <c r="AEE50" s="36"/>
      <c r="AEG50"/>
      <c r="AEH50"/>
      <c r="AEI50"/>
      <c r="AEJ50"/>
      <c r="AEK50"/>
      <c r="AEL50" s="35">
        <f>+SUM(AEG50:AEG52)</f>
        <v>0</v>
      </c>
      <c r="AEM50" s="35"/>
      <c r="AEN50" t="s">
        <v>1522</v>
      </c>
      <c r="AEO50" t="s">
        <v>1524</v>
      </c>
      <c r="AEP50" t="s">
        <v>381</v>
      </c>
      <c r="AEQ50">
        <v>0.9</v>
      </c>
      <c r="AER50">
        <v>1</v>
      </c>
      <c r="AES50">
        <f>+Tabla5789141516343536373839404142434445464748495051525355606264[[#This Row],[G. Total]]*Tabla5789141516343536373839404142434445464748495051525355606264[[#This Row],[Recuento]]</f>
        <v>0.9</v>
      </c>
      <c r="AET50" s="36"/>
      <c r="AEV50"/>
      <c r="AEW50"/>
      <c r="AEX50"/>
      <c r="AEY50"/>
      <c r="AEZ50"/>
      <c r="AFA50" s="35"/>
      <c r="AFC50"/>
      <c r="AFD50"/>
      <c r="AFE50"/>
      <c r="AFF50"/>
      <c r="AFG50"/>
      <c r="AFH50"/>
      <c r="AFI50"/>
      <c r="AFJ50"/>
      <c r="AFK50"/>
      <c r="AFL50"/>
      <c r="AFM50"/>
      <c r="AFN50">
        <f>+Tabla578914151634353637383940414243444546474849505152535560626467[[#This Row],[G. Total]]*Tabla578914151634353637383940414243444546474849505152535560626467[[#This Row],[Recuento]]</f>
        <v>0</v>
      </c>
      <c r="AFO50" s="36"/>
    </row>
    <row r="51" spans="1:847" ht="12.75" customHeight="1" x14ac:dyDescent="0.25">
      <c r="A51"/>
      <c r="B51"/>
      <c r="C51"/>
      <c r="D51"/>
      <c r="E51"/>
      <c r="F51"/>
      <c r="G51"/>
      <c r="H51"/>
      <c r="I51"/>
      <c r="J51"/>
      <c r="K51"/>
      <c r="M51"/>
      <c r="N51"/>
      <c r="O51"/>
      <c r="P51"/>
      <c r="Q51"/>
      <c r="R51"/>
      <c r="S51"/>
      <c r="T51"/>
      <c r="U51" s="26">
        <f t="shared" si="30"/>
        <v>0</v>
      </c>
      <c r="V51"/>
      <c r="W51"/>
      <c r="Y51"/>
      <c r="Z51"/>
      <c r="AA51"/>
      <c r="AB51"/>
      <c r="AC51"/>
      <c r="AD51"/>
      <c r="AE51"/>
      <c r="AF51"/>
      <c r="AG51" s="26">
        <f t="shared" si="4"/>
        <v>0</v>
      </c>
      <c r="AH51"/>
      <c r="AI51"/>
      <c r="AK51"/>
      <c r="AL51"/>
      <c r="AM51"/>
      <c r="AN51"/>
      <c r="AO51"/>
      <c r="AP51"/>
      <c r="AQ51"/>
      <c r="AR51"/>
      <c r="AS51" s="26">
        <f t="shared" si="5"/>
        <v>0</v>
      </c>
      <c r="AT51"/>
      <c r="AU51"/>
      <c r="AW51"/>
      <c r="AX51"/>
      <c r="AY51"/>
      <c r="AZ51"/>
      <c r="BA51"/>
      <c r="BB51"/>
      <c r="BC51"/>
      <c r="BD51"/>
      <c r="BE51" s="26">
        <f t="shared" si="6"/>
        <v>0</v>
      </c>
      <c r="BF51">
        <v>1</v>
      </c>
      <c r="BG51" t="s">
        <v>1863</v>
      </c>
      <c r="BH51" t="s">
        <v>1524</v>
      </c>
      <c r="BI51" t="s">
        <v>1406</v>
      </c>
      <c r="BJ51">
        <v>3.37</v>
      </c>
      <c r="BK51">
        <v>4</v>
      </c>
      <c r="BL51">
        <f>+Tabla3102[[#This Row],[Longitud de eje]]*BF51</f>
        <v>3.37</v>
      </c>
      <c r="BM51"/>
      <c r="BO51"/>
      <c r="BP51"/>
      <c r="BQ51"/>
      <c r="BR51"/>
      <c r="BS51"/>
      <c r="BT51">
        <f>+Tabla31069[[#This Row],[Longitud de eje]]*BN51</f>
        <v>0</v>
      </c>
      <c r="BU51">
        <f>+Tabla31069[[#This Row],[Longitud de eje]]*BO51</f>
        <v>0</v>
      </c>
      <c r="BV51"/>
      <c r="BW51"/>
      <c r="BX51"/>
      <c r="BY51"/>
      <c r="BZ51"/>
      <c r="CA51"/>
      <c r="CB51">
        <f>+Tabla31011[[#This Row],[Longitud de eje]]*BV51</f>
        <v>0</v>
      </c>
      <c r="CD51"/>
      <c r="CE51"/>
      <c r="CF51"/>
      <c r="CG51"/>
      <c r="CH51"/>
      <c r="CI51"/>
      <c r="CJ51">
        <f>+Tabla3101170[[#This Row],[En culmo]]*CD51</f>
        <v>0</v>
      </c>
      <c r="CK51"/>
      <c r="CL51"/>
      <c r="CM51"/>
      <c r="CN51"/>
      <c r="CO51"/>
      <c r="CP51"/>
      <c r="CQ51"/>
      <c r="CR51">
        <f>+Tabla31011116[[#This Row],[Longitud de eje]]*CL51</f>
        <v>0</v>
      </c>
      <c r="CT51"/>
      <c r="CU51"/>
      <c r="CV51"/>
      <c r="CW51"/>
      <c r="CX51"/>
      <c r="CY51"/>
      <c r="CZ51">
        <f>+Tabla3101170117[[#This Row],[En culmo]]*CT51</f>
        <v>0</v>
      </c>
      <c r="DA51"/>
      <c r="DB51"/>
      <c r="DC51"/>
      <c r="DD51"/>
      <c r="DE51"/>
      <c r="DF51"/>
      <c r="DG51">
        <f>+Tabla31011704[[#This Row],[Longitud de eje]]*DB51</f>
        <v>0</v>
      </c>
      <c r="DH51"/>
      <c r="DI51"/>
      <c r="DJ51"/>
      <c r="DK51"/>
      <c r="DL51"/>
      <c r="DM51"/>
      <c r="DN51">
        <f>+Tabla3101170411[[#This Row],[Longitud de eje]]*DI51</f>
        <v>0</v>
      </c>
      <c r="DO51"/>
      <c r="DP51"/>
      <c r="DQ51"/>
      <c r="DR51"/>
      <c r="DS51"/>
      <c r="DT51"/>
      <c r="DU51">
        <f>+Tabla3101170411120[[#This Row],[Longitud de eje]]*DP51</f>
        <v>0</v>
      </c>
      <c r="DV51"/>
      <c r="DW51"/>
      <c r="DX51"/>
      <c r="DY51"/>
      <c r="DZ51"/>
      <c r="EA51"/>
      <c r="EB51">
        <f>+Tabla3101170411120122[[#This Row],[Longitud de eje]]*DW51</f>
        <v>0</v>
      </c>
      <c r="EC51"/>
      <c r="ED51">
        <v>1</v>
      </c>
      <c r="EE51" t="s">
        <v>1862</v>
      </c>
      <c r="EF51" t="s">
        <v>1524</v>
      </c>
      <c r="EG51" t="s">
        <v>1406</v>
      </c>
      <c r="EH51">
        <v>2.33</v>
      </c>
      <c r="EI51">
        <v>2.5</v>
      </c>
      <c r="EJ51">
        <f>+Tabla3101112[[#This Row],[En culmo]]*ED51</f>
        <v>2.5</v>
      </c>
      <c r="EK51"/>
      <c r="EL51"/>
      <c r="EM51"/>
      <c r="EN51"/>
      <c r="EO51"/>
      <c r="EP51"/>
      <c r="EQ51"/>
      <c r="ER51">
        <f>+Tabla3101112123[[#This Row],[En culmo]]*EL51</f>
        <v>0</v>
      </c>
      <c r="ES51"/>
      <c r="ET51">
        <v>1</v>
      </c>
      <c r="EU51" t="s">
        <v>1862</v>
      </c>
      <c r="EV51" t="s">
        <v>1525</v>
      </c>
      <c r="EW51" t="s">
        <v>1406</v>
      </c>
      <c r="EX51">
        <v>3.45</v>
      </c>
      <c r="EY51">
        <v>4</v>
      </c>
      <c r="EZ51">
        <f>+Tabla310111257[[#This Row],[En culmo]]*ET51</f>
        <v>4</v>
      </c>
      <c r="FA51"/>
      <c r="FB51"/>
      <c r="FC51"/>
      <c r="FD51"/>
      <c r="FE51"/>
      <c r="FF51"/>
      <c r="FG51">
        <v>3.5</v>
      </c>
      <c r="FH51">
        <f>+Tabla310111257124[[#This Row],[En culmo]]*FB51</f>
        <v>0</v>
      </c>
      <c r="FI51"/>
      <c r="FK51"/>
      <c r="FL51"/>
      <c r="FM51"/>
      <c r="FN51"/>
      <c r="FO51"/>
      <c r="FP51"/>
      <c r="FQ51"/>
      <c r="FS51"/>
      <c r="FT51"/>
      <c r="FU51"/>
      <c r="FV51"/>
      <c r="FW51"/>
      <c r="FX51"/>
      <c r="FY51"/>
      <c r="GA51"/>
      <c r="GB51"/>
      <c r="GC51"/>
      <c r="GD51"/>
      <c r="GE51"/>
      <c r="GF51"/>
      <c r="GG51"/>
      <c r="GI51"/>
      <c r="GJ51"/>
      <c r="GK51"/>
      <c r="GL51"/>
      <c r="GM51"/>
      <c r="GN51"/>
      <c r="GO51"/>
      <c r="GQ51"/>
      <c r="GR51"/>
      <c r="GS51"/>
      <c r="GT51"/>
      <c r="GU51"/>
      <c r="GV51"/>
      <c r="GW51"/>
      <c r="GX51"/>
      <c r="GY51" s="35"/>
      <c r="HA51"/>
      <c r="HB51"/>
      <c r="HC51"/>
      <c r="HD51"/>
      <c r="HE51"/>
      <c r="HF51"/>
      <c r="HG51"/>
      <c r="HH51"/>
      <c r="HI51" s="35"/>
      <c r="HK51"/>
      <c r="HL51"/>
      <c r="HM51"/>
      <c r="HN51"/>
      <c r="HO51"/>
      <c r="HP51"/>
      <c r="HQ51"/>
      <c r="HR51"/>
      <c r="HS51" s="35"/>
      <c r="HU51"/>
      <c r="HV51"/>
      <c r="HW51"/>
      <c r="HX51"/>
      <c r="HY51"/>
      <c r="HZ51"/>
      <c r="IA51"/>
      <c r="IB51"/>
      <c r="IC51" s="36"/>
      <c r="IE51"/>
      <c r="IF51"/>
      <c r="IG51"/>
      <c r="IH51"/>
      <c r="II51"/>
      <c r="IJ51"/>
      <c r="IK51"/>
      <c r="IL51"/>
      <c r="IM51" s="36"/>
      <c r="IY51"/>
      <c r="IZ51"/>
      <c r="JA51"/>
      <c r="JB51"/>
      <c r="JC51"/>
      <c r="JD51">
        <v>1</v>
      </c>
      <c r="JE51">
        <f>+Tabla520212224[[#This Row],[Recuento]]*Tabla520212224[[#This Row],[Volúmen bruto]]</f>
        <v>0</v>
      </c>
      <c r="JF51">
        <f>+Tabla520212224[[#This Row],[Recuento]]*Tabla520212224[[#This Row],[Área neta]]</f>
        <v>0</v>
      </c>
      <c r="JG51" s="26"/>
      <c r="JI51" t="s">
        <v>1863</v>
      </c>
      <c r="JJ51" t="s">
        <v>1524</v>
      </c>
      <c r="JK51" t="s">
        <v>97</v>
      </c>
      <c r="JL51">
        <v>0.03</v>
      </c>
      <c r="JM51">
        <v>1.73</v>
      </c>
      <c r="JN51">
        <v>2</v>
      </c>
      <c r="JO51">
        <f>+Tabla52021222425[[#This Row],[Recuento]]*Tabla52021222425[[#This Row],[Volúmen bruto]]</f>
        <v>0.06</v>
      </c>
      <c r="JP51">
        <f>+Tabla52021222425[[#This Row],[Recuento]]*Tabla52021222425[[#This Row],[Área neta]]</f>
        <v>3.46</v>
      </c>
      <c r="JQ51" s="26">
        <f>+SUM(JP51:JP54)</f>
        <v>47.480000000000004</v>
      </c>
      <c r="JS51" t="s">
        <v>1862</v>
      </c>
      <c r="JT51" t="s">
        <v>1525</v>
      </c>
      <c r="JU51" t="s">
        <v>1676</v>
      </c>
      <c r="JV51">
        <v>0.36</v>
      </c>
      <c r="JW51">
        <v>2.33</v>
      </c>
      <c r="JX51">
        <v>1</v>
      </c>
      <c r="JY51">
        <f>+Tabla5202122242526[[#This Row],[Recuento]]*Tabla5202122242526[[#This Row],[Volúmen bruto]]</f>
        <v>0.36</v>
      </c>
      <c r="JZ51">
        <f>+Tabla5202122242526[[#This Row],[Recuento]]*Tabla5202122242526[[#This Row],[Área neta]]</f>
        <v>2.33</v>
      </c>
      <c r="KA51" s="26"/>
      <c r="KC51"/>
      <c r="KD51"/>
      <c r="KE51"/>
      <c r="KF51"/>
      <c r="KG51"/>
      <c r="KH51"/>
      <c r="KI51">
        <f>+Tabla5202122242526104[[#This Row],[Recuento]]*Tabla5202122242526104[[#This Row],[Volúmen bruto]]</f>
        <v>0</v>
      </c>
      <c r="KJ51">
        <f>+Tabla5202122242526104[[#This Row],[Recuento]]*Tabla5202122242526104[[#This Row],[Área neta]]</f>
        <v>0</v>
      </c>
      <c r="KK51" s="26"/>
      <c r="KM51" t="s">
        <v>1862</v>
      </c>
      <c r="KN51" t="s">
        <v>1524</v>
      </c>
      <c r="KO51" t="s">
        <v>1680</v>
      </c>
      <c r="KP51">
        <v>0.01</v>
      </c>
      <c r="KQ51">
        <v>1.82</v>
      </c>
      <c r="KR51">
        <v>1</v>
      </c>
      <c r="KS51">
        <f>+Tabla5202122242526104110[[#This Row],[Recuento]]*Tabla5202122242526104110[[#This Row],[Volúmen bruto]]</f>
        <v>0.01</v>
      </c>
      <c r="KT51">
        <f>+Tabla5202122242526104110[[#This Row],[Recuento]]*Tabla5202122242526104110[[#This Row],[Área neta]]</f>
        <v>1.82</v>
      </c>
      <c r="KU51" s="26"/>
      <c r="KW51"/>
      <c r="KX51"/>
      <c r="KY51"/>
      <c r="KZ51"/>
      <c r="LA51"/>
      <c r="LB51"/>
      <c r="LC51">
        <f>+Tabla520212224252659[[#This Row],[Recuento]]*Tabla520212224252659[[#This Row],[Volúmen bruto]]</f>
        <v>0</v>
      </c>
      <c r="LD51">
        <f>+Tabla520212224252659[[#This Row],[Recuento]]*Tabla520212224252659[[#This Row],[Área neta]]</f>
        <v>0</v>
      </c>
      <c r="LE51" s="26"/>
      <c r="LG51"/>
      <c r="LH51"/>
      <c r="LI51"/>
      <c r="LJ51"/>
      <c r="LK51"/>
      <c r="LL51"/>
      <c r="LM51">
        <f>+Tabla520212224252659111[[#This Row],[Recuento]]*Tabla520212224252659111[[#This Row],[Volúmen bruto]]</f>
        <v>0</v>
      </c>
      <c r="LN51">
        <f>+Tabla520212224252659111[[#This Row],[Recuento]]*Tabla520212224252659111[[#This Row],[Área neta]]</f>
        <v>0</v>
      </c>
      <c r="LO51" s="26"/>
      <c r="LQ51"/>
      <c r="LR51"/>
      <c r="LS51"/>
      <c r="LT51"/>
      <c r="LU51"/>
      <c r="LV51"/>
      <c r="LW51">
        <f>+Tabla520212224252659111114[[#This Row],[Recuento]]*Tabla520212224252659111114[[#This Row],[Volúmen bruto]]</f>
        <v>0</v>
      </c>
      <c r="LX51">
        <f>+Tabla520212224252659111114[[#This Row],[Recuento]]*Tabla520212224252659111114[[#This Row],[Área neta]]</f>
        <v>0</v>
      </c>
      <c r="LY51" s="26"/>
      <c r="MA51" t="s">
        <v>1863</v>
      </c>
      <c r="MB51" t="s">
        <v>1525</v>
      </c>
      <c r="MC51" t="s">
        <v>98</v>
      </c>
      <c r="MD51">
        <v>0.01</v>
      </c>
      <c r="ME51">
        <v>5.83</v>
      </c>
      <c r="MF51">
        <v>1</v>
      </c>
      <c r="MG51">
        <f>+Tabla520212224252659111114128[[#This Row],[Recuento]]*Tabla520212224252659111114128[[#This Row],[Volúmen bruto]]</f>
        <v>0.01</v>
      </c>
      <c r="MH51">
        <f>+Tabla520212224252659111114128[[#This Row],[Recuento]]*Tabla520212224252659111114128[[#This Row],[Área neta]]</f>
        <v>5.83</v>
      </c>
      <c r="MI51" s="26"/>
      <c r="MK51"/>
      <c r="ML51"/>
      <c r="MM51"/>
      <c r="MN51"/>
      <c r="MO51"/>
      <c r="MP51"/>
      <c r="MQ51">
        <f>+Tabla520212224252627[[#This Row],[Recuento]]*Tabla520212224252627[[#This Row],[Volúmen bruto]]</f>
        <v>0</v>
      </c>
      <c r="MR51">
        <f>+Tabla520212224252627[[#This Row],[Recuento]]*Tabla520212224252627[[#This Row],[Área neta]]</f>
        <v>0</v>
      </c>
      <c r="MS51" s="26"/>
      <c r="MU51"/>
      <c r="MV51"/>
      <c r="MW51"/>
      <c r="MX51"/>
      <c r="MY51"/>
      <c r="MZ51"/>
      <c r="NA51">
        <f>+Tabla520212224252627129[[#This Row],[Recuento]]*Tabla520212224252627129[[#This Row],[Volúmen bruto]]</f>
        <v>0</v>
      </c>
      <c r="NB51">
        <f>+Tabla520212224252627129[[#This Row],[Recuento]]*Tabla520212224252627129[[#This Row],[Área neta]]</f>
        <v>0</v>
      </c>
      <c r="NC51" s="26"/>
      <c r="NE51"/>
      <c r="NF51"/>
      <c r="NG51"/>
      <c r="NH51"/>
      <c r="NI51"/>
      <c r="NJ51"/>
      <c r="NK51">
        <f>+Tabla520212224252627129125[[#This Row],[Recuento]]*Tabla520212224252627129125[[#This Row],[Volúmen bruto]]</f>
        <v>0</v>
      </c>
      <c r="NL51">
        <f>+Tabla520212224252627129125[[#This Row],[Recuento]]*Tabla520212224252627129125[[#This Row],[Área neta]]</f>
        <v>0</v>
      </c>
      <c r="NM51" s="26"/>
      <c r="NO51"/>
      <c r="NP51"/>
      <c r="NQ51"/>
      <c r="NR51"/>
      <c r="NS51"/>
      <c r="NT51"/>
      <c r="NU51">
        <f>+Tabla520212224252627129125130[[#This Row],[Recuento]]*Tabla520212224252627129125130[[#This Row],[Volúmen bruto]]</f>
        <v>0</v>
      </c>
      <c r="NV51">
        <f>+Tabla520212224252627129125130[[#This Row],[Recuento]]*Tabla520212224252627129125130[[#This Row],[Área neta]]</f>
        <v>0</v>
      </c>
      <c r="NW51" s="26"/>
      <c r="NY51"/>
      <c r="NZ51"/>
      <c r="OA51"/>
      <c r="OB51"/>
      <c r="OC51"/>
      <c r="OD51"/>
      <c r="OE51">
        <f>+Tabla520212224252627129125130131[[#This Row],[Recuento]]*Tabla520212224252627129125130131[[#This Row],[Volúmen bruto]]</f>
        <v>0</v>
      </c>
      <c r="OF51">
        <f>+Tabla520212224252627129125130131[[#This Row],[Recuento]]*Tabla520212224252627129125130131[[#This Row],[Área neta]]</f>
        <v>0</v>
      </c>
      <c r="OG51" s="26"/>
      <c r="OI51"/>
      <c r="OJ51"/>
      <c r="OK51"/>
      <c r="OL51"/>
      <c r="OM51"/>
      <c r="ON51"/>
      <c r="OO51">
        <f>+Tabla520212224252627129125130131132[[#This Row],[Recuento]]*Tabla520212224252627129125130131132[[#This Row],[Volúmen bruto]]</f>
        <v>0</v>
      </c>
      <c r="OP51">
        <f>+Tabla520212224252627129125130131132[[#This Row],[Recuento]]*Tabla520212224252627129125130131132[[#This Row],[Área neta]]</f>
        <v>0</v>
      </c>
      <c r="OQ51" s="26"/>
      <c r="OS51"/>
      <c r="OT51"/>
      <c r="OU51"/>
      <c r="OV51"/>
      <c r="OW51"/>
      <c r="OX51"/>
      <c r="OY51">
        <f>+Tabla52021222425262728[[#This Row],[Recuento]]*Tabla52021222425262728[[#This Row],[Volúmen bruto]]</f>
        <v>0</v>
      </c>
      <c r="OZ51">
        <f>+Tabla52021222425262728[[#This Row],[Recuento]]*Tabla52021222425262728[[#This Row],[Área neta]]</f>
        <v>0</v>
      </c>
      <c r="PA51" s="26">
        <f t="shared" si="32"/>
        <v>0</v>
      </c>
      <c r="PC51" t="s">
        <v>1862</v>
      </c>
      <c r="PD51" t="s">
        <v>1525</v>
      </c>
      <c r="PE51" t="s">
        <v>1676</v>
      </c>
      <c r="PF51">
        <v>0.11</v>
      </c>
      <c r="PG51">
        <v>0.89</v>
      </c>
      <c r="PH51">
        <v>1</v>
      </c>
      <c r="PI51">
        <f>+Tabla52021222425262728133[[#This Row],[Recuento]]*Tabla52021222425262728133[[#This Row],[Volúmen bruto]]</f>
        <v>0.11</v>
      </c>
      <c r="PJ51">
        <f>+Tabla52021222425262728133[[#This Row],[Recuento]]*Tabla52021222425262728133[[#This Row],[Área neta]]</f>
        <v>0.89</v>
      </c>
      <c r="PK51" s="26"/>
      <c r="PM51"/>
      <c r="PN51"/>
      <c r="PO51"/>
      <c r="PP51"/>
      <c r="PQ51"/>
      <c r="PR51"/>
      <c r="PS51">
        <f>+Tabla5202122242526272893[[#This Row],[Recuento]]*Tabla5202122242526272893[[#This Row],[Volúmen bruto]]</f>
        <v>0</v>
      </c>
      <c r="PT51">
        <f>+Tabla5202122242526272893[[#This Row],[Recuento]]*Tabla5202122242526272893[[#This Row],[Área neta]]</f>
        <v>0</v>
      </c>
      <c r="PU51" s="26"/>
      <c r="PW51" t="s">
        <v>1863</v>
      </c>
      <c r="PX51" t="s">
        <v>1525</v>
      </c>
      <c r="PY51" t="s">
        <v>1628</v>
      </c>
      <c r="PZ51">
        <v>0.02</v>
      </c>
      <c r="QA51">
        <v>1.02</v>
      </c>
      <c r="QB51">
        <v>2</v>
      </c>
      <c r="QC51">
        <f>+Tabla520212224252627289349[[#This Row],[Recuento]]*Tabla520212224252627289349[[#This Row],[Volúmen bruto]]</f>
        <v>0.04</v>
      </c>
      <c r="QD51">
        <f>+Tabla520212224252627289349[[#This Row],[Recuento]]*Tabla520212224252627289349[[#This Row],[Área neta]]</f>
        <v>2.04</v>
      </c>
      <c r="QE51" s="26"/>
      <c r="QG51"/>
      <c r="QH51"/>
      <c r="QI51"/>
      <c r="QJ51"/>
      <c r="QK51"/>
      <c r="QL51"/>
      <c r="QM51">
        <f>+Tabla520212224252627289349134[[#This Row],[Recuento]]*Tabla520212224252627289349134[[#This Row],[Volúmen bruto]]</f>
        <v>0</v>
      </c>
      <c r="QN51">
        <f>+Tabla520212224252627289349134[[#This Row],[Recuento]]*Tabla520212224252627289349134[[#This Row],[Área neta]]</f>
        <v>0</v>
      </c>
      <c r="QO51" s="26"/>
      <c r="QQ51" t="s">
        <v>1863</v>
      </c>
      <c r="QR51" t="s">
        <v>1524</v>
      </c>
      <c r="QS51" t="s">
        <v>1726</v>
      </c>
      <c r="QT51">
        <v>0.11</v>
      </c>
      <c r="QU51">
        <v>0.53</v>
      </c>
      <c r="QV51">
        <v>1</v>
      </c>
      <c r="QW51">
        <v>1</v>
      </c>
      <c r="QX51">
        <f>+Tabla5202122242526272829[[#This Row],[Recuento]]*Tabla5202122242526272829[[#This Row],[Volúmen bruto]]</f>
        <v>0.11</v>
      </c>
      <c r="QY51">
        <f>+Tabla5202122242526272829[[#This Row],[Recuento]]*Tabla5202122242526272829[[#This Row],[Área neta]]</f>
        <v>0.53</v>
      </c>
      <c r="QZ51">
        <f>+Tabla5202122242526272829[[#This Row],[Recuento]]*Tabla5202122242526272829[[#This Row],[Longitud]]</f>
        <v>1</v>
      </c>
      <c r="RA51" s="26"/>
      <c r="RC51"/>
      <c r="RD51"/>
      <c r="RE51"/>
      <c r="RF51"/>
      <c r="RG51"/>
      <c r="RH51"/>
      <c r="RI51"/>
      <c r="RJ51"/>
      <c r="RK51" s="26"/>
      <c r="RM51"/>
      <c r="RN51"/>
      <c r="RO51"/>
      <c r="RP51"/>
      <c r="RQ51"/>
      <c r="RR51"/>
      <c r="RS51"/>
      <c r="RT51"/>
      <c r="RU51" s="26">
        <f t="shared" si="7"/>
        <v>0</v>
      </c>
      <c r="RW51"/>
      <c r="RX51"/>
      <c r="RY51"/>
      <c r="RZ51"/>
      <c r="SA51"/>
      <c r="SB51"/>
      <c r="SC51"/>
      <c r="SD51"/>
      <c r="SE51" s="26"/>
      <c r="SG51"/>
      <c r="SH51"/>
      <c r="SI51"/>
      <c r="SJ51"/>
      <c r="SK51"/>
      <c r="SL51"/>
      <c r="SM51"/>
      <c r="SN51"/>
      <c r="SO51" s="26"/>
      <c r="SQ51"/>
      <c r="SR51"/>
      <c r="SY51" s="36">
        <f t="shared" si="31"/>
        <v>0</v>
      </c>
      <c r="TK51"/>
      <c r="TL51"/>
      <c r="TS51" s="36">
        <f t="shared" si="9"/>
        <v>0</v>
      </c>
      <c r="TU51"/>
      <c r="TV51"/>
      <c r="UC51" s="36">
        <f t="shared" si="10"/>
        <v>0</v>
      </c>
      <c r="UE51"/>
      <c r="UF51"/>
      <c r="UM51" s="36">
        <f t="shared" si="11"/>
        <v>0</v>
      </c>
      <c r="UO51"/>
      <c r="UP51"/>
      <c r="UW51" s="36">
        <f t="shared" si="12"/>
        <v>0</v>
      </c>
      <c r="UY51"/>
      <c r="UZ51"/>
      <c r="VG51" s="36">
        <f t="shared" si="13"/>
        <v>0</v>
      </c>
      <c r="VI51"/>
      <c r="VJ51"/>
      <c r="VQ51" s="36">
        <f t="shared" si="14"/>
        <v>0</v>
      </c>
      <c r="VS51"/>
      <c r="VT51"/>
      <c r="WA51" s="36">
        <f t="shared" si="15"/>
        <v>0</v>
      </c>
      <c r="WC51"/>
      <c r="WD51"/>
      <c r="WK51" s="36">
        <f t="shared" si="16"/>
        <v>0</v>
      </c>
      <c r="WM51"/>
      <c r="WN51"/>
      <c r="WU51" s="36">
        <f t="shared" si="17"/>
        <v>0</v>
      </c>
      <c r="WW51"/>
      <c r="WX51"/>
      <c r="XE51" s="36">
        <f t="shared" si="18"/>
        <v>0</v>
      </c>
      <c r="XG51"/>
      <c r="XH51"/>
      <c r="XO51" s="36">
        <f t="shared" si="22"/>
        <v>0</v>
      </c>
      <c r="XQ51"/>
      <c r="XR51"/>
      <c r="XY51" s="36">
        <f t="shared" si="23"/>
        <v>0</v>
      </c>
      <c r="YA51"/>
      <c r="YB51"/>
      <c r="YI51" s="36">
        <f t="shared" si="24"/>
        <v>0</v>
      </c>
      <c r="YJ51" s="36"/>
      <c r="YK51"/>
      <c r="YL51"/>
      <c r="YM51"/>
      <c r="YN51"/>
      <c r="YO51"/>
      <c r="YQ51"/>
      <c r="YR51"/>
      <c r="YY51" s="36">
        <f t="shared" si="25"/>
        <v>0</v>
      </c>
      <c r="ZA51"/>
      <c r="ZB51"/>
      <c r="ZI51" s="36">
        <f t="shared" si="26"/>
        <v>0</v>
      </c>
      <c r="ZK51"/>
      <c r="ZL51"/>
      <c r="ZS51" s="36">
        <f t="shared" si="27"/>
        <v>0</v>
      </c>
      <c r="ZU51"/>
      <c r="ZV51"/>
      <c r="AAC51" s="36">
        <f t="shared" si="28"/>
        <v>0</v>
      </c>
      <c r="AAE51"/>
      <c r="AAF51"/>
      <c r="AAM51" s="36">
        <f t="shared" si="29"/>
        <v>0</v>
      </c>
      <c r="AAY51"/>
      <c r="AAZ51"/>
      <c r="ABG51" s="36">
        <f t="shared" si="33"/>
        <v>0</v>
      </c>
      <c r="ABI51"/>
      <c r="ABJ51"/>
      <c r="ABQ51" s="36">
        <f t="shared" si="34"/>
        <v>0</v>
      </c>
      <c r="ABS51"/>
      <c r="ABT51"/>
      <c r="ACA51" s="36">
        <f t="shared" si="35"/>
        <v>0</v>
      </c>
      <c r="ACC51"/>
      <c r="ACD51"/>
      <c r="ACK51" s="36">
        <f t="shared" si="36"/>
        <v>0</v>
      </c>
      <c r="ACM51"/>
      <c r="ACN51"/>
      <c r="ACU51" s="36">
        <f t="shared" si="37"/>
        <v>0</v>
      </c>
      <c r="ACW51" t="s">
        <v>1238</v>
      </c>
      <c r="ACX51" s="1">
        <v>2</v>
      </c>
      <c r="ACY51" s="2">
        <v>2.4</v>
      </c>
      <c r="ACZ51" s="2">
        <v>2.1</v>
      </c>
      <c r="ADA51">
        <v>2</v>
      </c>
      <c r="ADB51" s="2">
        <f>+(ACZ51*ACY51)*ADA51</f>
        <v>10.08</v>
      </c>
      <c r="ADD51"/>
      <c r="ADE51"/>
      <c r="ADF51"/>
      <c r="ADG51" s="26">
        <f t="shared" si="38"/>
        <v>0</v>
      </c>
      <c r="ADJ51"/>
      <c r="ADK51"/>
      <c r="ADL51"/>
      <c r="ADM51"/>
      <c r="ADN51"/>
      <c r="ADO51"/>
      <c r="ADP51" s="36"/>
      <c r="ADR51"/>
      <c r="ADS51"/>
      <c r="ADT51"/>
      <c r="ADU51"/>
      <c r="ADV51"/>
      <c r="ADW51" s="35">
        <f>+SUM(ADR51:ADR52)</f>
        <v>0</v>
      </c>
      <c r="ADX51" s="35"/>
      <c r="ADY51"/>
      <c r="ADZ51"/>
      <c r="AEA51"/>
      <c r="AEB51"/>
      <c r="AEC51"/>
      <c r="AED51"/>
      <c r="AEE51" s="36"/>
      <c r="AEG51"/>
      <c r="AEH51"/>
      <c r="AEI51"/>
      <c r="AEJ51"/>
      <c r="AEK51"/>
      <c r="AEL51" s="36"/>
      <c r="AEM51" s="36"/>
      <c r="AEN51" t="s">
        <v>1522</v>
      </c>
      <c r="AEO51" t="s">
        <v>1524</v>
      </c>
      <c r="AEP51" t="s">
        <v>381</v>
      </c>
      <c r="AEQ51">
        <v>0.2</v>
      </c>
      <c r="AER51">
        <v>1</v>
      </c>
      <c r="AES51">
        <f>+Tabla5789141516343536373839404142434445464748495051525355606264[[#This Row],[G. Total]]*Tabla5789141516343536373839404142434445464748495051525355606264[[#This Row],[Recuento]]</f>
        <v>0.2</v>
      </c>
      <c r="AET51" s="36"/>
      <c r="AEV51"/>
      <c r="AEW51"/>
      <c r="AEX51"/>
      <c r="AEY51"/>
      <c r="AEZ51"/>
      <c r="AFA51" s="36"/>
      <c r="AFC51"/>
      <c r="AFD51"/>
      <c r="AFE51"/>
      <c r="AFF51"/>
      <c r="AFG51"/>
      <c r="AFH51"/>
      <c r="AFI51"/>
      <c r="AFJ51"/>
      <c r="AFK51"/>
      <c r="AFL51"/>
      <c r="AFM51"/>
      <c r="AFN51">
        <f>+Tabla578914151634353637383940414243444546474849505152535560626467[[#This Row],[G. Total]]*Tabla578914151634353637383940414243444546474849505152535560626467[[#This Row],[Recuento]]</f>
        <v>0</v>
      </c>
      <c r="AFO51" s="36"/>
    </row>
    <row r="52" spans="1:847" ht="15.75" customHeight="1" x14ac:dyDescent="0.25">
      <c r="A52"/>
      <c r="B52"/>
      <c r="C52"/>
      <c r="D52"/>
      <c r="E52"/>
      <c r="F52"/>
      <c r="G52"/>
      <c r="H52"/>
      <c r="I52"/>
      <c r="J52"/>
      <c r="K52"/>
      <c r="M52"/>
      <c r="N52"/>
      <c r="O52"/>
      <c r="P52"/>
      <c r="Q52"/>
      <c r="R52"/>
      <c r="S52"/>
      <c r="T52"/>
      <c r="U52" s="26">
        <f t="shared" si="30"/>
        <v>0</v>
      </c>
      <c r="V52"/>
      <c r="W52"/>
      <c r="Y52"/>
      <c r="Z52"/>
      <c r="AA52"/>
      <c r="AB52"/>
      <c r="AC52"/>
      <c r="AD52"/>
      <c r="AE52"/>
      <c r="AF52"/>
      <c r="AG52" s="26">
        <f t="shared" si="4"/>
        <v>0</v>
      </c>
      <c r="AH52"/>
      <c r="AI52"/>
      <c r="AK52"/>
      <c r="AL52"/>
      <c r="AM52"/>
      <c r="AN52"/>
      <c r="AO52"/>
      <c r="AP52"/>
      <c r="AQ52"/>
      <c r="AR52"/>
      <c r="AS52" s="26">
        <f t="shared" si="5"/>
        <v>0</v>
      </c>
      <c r="AT52"/>
      <c r="AU52"/>
      <c r="AW52"/>
      <c r="AX52"/>
      <c r="AY52"/>
      <c r="AZ52"/>
      <c r="BA52"/>
      <c r="BB52"/>
      <c r="BC52"/>
      <c r="BD52"/>
      <c r="BE52" s="26">
        <f t="shared" si="6"/>
        <v>0</v>
      </c>
      <c r="BF52">
        <v>4</v>
      </c>
      <c r="BG52" t="s">
        <v>1863</v>
      </c>
      <c r="BH52" t="s">
        <v>1524</v>
      </c>
      <c r="BI52" t="s">
        <v>1406</v>
      </c>
      <c r="BJ52">
        <v>1.5</v>
      </c>
      <c r="BK52">
        <v>2</v>
      </c>
      <c r="BL52">
        <f>+Tabla3102[[#This Row],[Longitud de eje]]*BF52</f>
        <v>6</v>
      </c>
      <c r="BM52"/>
      <c r="BO52"/>
      <c r="BP52"/>
      <c r="BQ52"/>
      <c r="BR52"/>
      <c r="BS52"/>
      <c r="BT52">
        <f>+Tabla31069[[#This Row],[Longitud de eje]]*BN52</f>
        <v>0</v>
      </c>
      <c r="BU52">
        <f>+Tabla31069[[#This Row],[Longitud de eje]]*BO52</f>
        <v>0</v>
      </c>
      <c r="BV52"/>
      <c r="BW52"/>
      <c r="BX52"/>
      <c r="BY52"/>
      <c r="BZ52"/>
      <c r="CA52"/>
      <c r="CB52">
        <f>+Tabla31011[[#This Row],[Longitud de eje]]*BV52</f>
        <v>0</v>
      </c>
      <c r="CD52"/>
      <c r="CE52"/>
      <c r="CF52"/>
      <c r="CG52"/>
      <c r="CH52"/>
      <c r="CI52"/>
      <c r="CJ52">
        <f>+Tabla3101170[[#This Row],[En culmo]]*CD52</f>
        <v>0</v>
      </c>
      <c r="CK52"/>
      <c r="CL52"/>
      <c r="CM52"/>
      <c r="CN52"/>
      <c r="CO52"/>
      <c r="CP52"/>
      <c r="CQ52"/>
      <c r="CR52">
        <f>+Tabla31011116[[#This Row],[Longitud de eje]]*CL52</f>
        <v>0</v>
      </c>
      <c r="CT52"/>
      <c r="CU52"/>
      <c r="CV52"/>
      <c r="CW52"/>
      <c r="CX52"/>
      <c r="CY52"/>
      <c r="CZ52">
        <f>+Tabla3101170117[[#This Row],[En culmo]]*CT52</f>
        <v>0</v>
      </c>
      <c r="DA52"/>
      <c r="DB52"/>
      <c r="DC52"/>
      <c r="DD52"/>
      <c r="DE52"/>
      <c r="DF52"/>
      <c r="DG52">
        <f>+Tabla31011704[[#This Row],[Longitud de eje]]*DB52</f>
        <v>0</v>
      </c>
      <c r="DH52"/>
      <c r="DI52"/>
      <c r="DJ52"/>
      <c r="DK52"/>
      <c r="DL52"/>
      <c r="DM52"/>
      <c r="DN52">
        <f>+Tabla3101170411[[#This Row],[Longitud de eje]]*DI52</f>
        <v>0</v>
      </c>
      <c r="DO52"/>
      <c r="DP52"/>
      <c r="DQ52"/>
      <c r="DR52"/>
      <c r="DS52"/>
      <c r="DT52"/>
      <c r="DU52">
        <f>+Tabla3101170411120[[#This Row],[Longitud de eje]]*DP52</f>
        <v>0</v>
      </c>
      <c r="DV52"/>
      <c r="DW52"/>
      <c r="DX52"/>
      <c r="DY52"/>
      <c r="DZ52"/>
      <c r="EA52"/>
      <c r="EB52">
        <f>+Tabla3101170411120122[[#This Row],[Longitud de eje]]*DW52</f>
        <v>0</v>
      </c>
      <c r="EC52"/>
      <c r="ED52">
        <v>1</v>
      </c>
      <c r="EE52" t="s">
        <v>1862</v>
      </c>
      <c r="EF52" t="s">
        <v>1524</v>
      </c>
      <c r="EG52" t="s">
        <v>1406</v>
      </c>
      <c r="EH52">
        <v>1.84</v>
      </c>
      <c r="EI52">
        <v>2</v>
      </c>
      <c r="EJ52">
        <f>+Tabla3101112[[#This Row],[En culmo]]*ED52</f>
        <v>2</v>
      </c>
      <c r="EK52"/>
      <c r="EL52"/>
      <c r="EM52"/>
      <c r="EN52"/>
      <c r="EO52"/>
      <c r="EP52"/>
      <c r="EQ52"/>
      <c r="ER52">
        <f>+Tabla3101112123[[#This Row],[En culmo]]*EL52</f>
        <v>0</v>
      </c>
      <c r="ES52"/>
      <c r="ET52">
        <v>4</v>
      </c>
      <c r="EU52" t="s">
        <v>1862</v>
      </c>
      <c r="EV52" t="s">
        <v>1525</v>
      </c>
      <c r="EW52" t="s">
        <v>1406</v>
      </c>
      <c r="EX52">
        <v>2.5</v>
      </c>
      <c r="EY52">
        <v>3</v>
      </c>
      <c r="EZ52">
        <f>+Tabla310111257[[#This Row],[En culmo]]*ET52</f>
        <v>12</v>
      </c>
      <c r="FA52"/>
      <c r="FB52"/>
      <c r="FC52"/>
      <c r="FD52"/>
      <c r="FE52"/>
      <c r="FF52"/>
      <c r="FG52">
        <v>3</v>
      </c>
      <c r="FH52">
        <f>+Tabla310111257124[[#This Row],[En culmo]]*FB52</f>
        <v>0</v>
      </c>
      <c r="FI52"/>
      <c r="FK52"/>
      <c r="FL52"/>
      <c r="FM52"/>
      <c r="FN52"/>
      <c r="FO52"/>
      <c r="FP52"/>
      <c r="FQ52"/>
      <c r="FS52"/>
      <c r="FT52"/>
      <c r="FU52"/>
      <c r="FV52"/>
      <c r="FW52"/>
      <c r="FX52"/>
      <c r="FY52"/>
      <c r="GA52"/>
      <c r="GB52"/>
      <c r="GC52"/>
      <c r="GD52"/>
      <c r="GE52"/>
      <c r="GF52"/>
      <c r="GG52"/>
      <c r="GI52"/>
      <c r="GJ52"/>
      <c r="GK52"/>
      <c r="GL52"/>
      <c r="GM52"/>
      <c r="GN52"/>
      <c r="GO52"/>
      <c r="GQ52"/>
      <c r="GR52"/>
      <c r="GS52"/>
      <c r="GT52"/>
      <c r="GU52"/>
      <c r="GV52"/>
      <c r="GW52"/>
      <c r="GX52"/>
      <c r="GY52" s="36"/>
      <c r="HA52"/>
      <c r="HB52"/>
      <c r="HC52"/>
      <c r="HD52"/>
      <c r="HE52"/>
      <c r="HF52"/>
      <c r="HG52"/>
      <c r="HH52"/>
      <c r="HI52" s="36"/>
      <c r="HK52"/>
      <c r="HL52"/>
      <c r="HM52"/>
      <c r="HN52"/>
      <c r="HO52"/>
      <c r="HP52"/>
      <c r="HQ52"/>
      <c r="HR52"/>
      <c r="HS52" s="36"/>
      <c r="HU52"/>
      <c r="HV52"/>
      <c r="HW52"/>
      <c r="HX52"/>
      <c r="HY52"/>
      <c r="HZ52"/>
      <c r="IA52"/>
      <c r="IB52"/>
      <c r="IC52" s="36"/>
      <c r="IE52"/>
      <c r="IF52"/>
      <c r="IG52"/>
      <c r="IH52"/>
      <c r="II52"/>
      <c r="IJ52"/>
      <c r="IK52"/>
      <c r="IL52"/>
      <c r="IM52" s="36"/>
      <c r="IY52"/>
      <c r="IZ52"/>
      <c r="JA52"/>
      <c r="JB52"/>
      <c r="JC52"/>
      <c r="JD52">
        <v>1</v>
      </c>
      <c r="JE52">
        <f>+Tabla520212224[[#This Row],[Recuento]]*Tabla520212224[[#This Row],[Volúmen bruto]]</f>
        <v>0</v>
      </c>
      <c r="JF52">
        <f>+Tabla520212224[[#This Row],[Recuento]]*Tabla520212224[[#This Row],[Área neta]]</f>
        <v>0</v>
      </c>
      <c r="JG52" s="26"/>
      <c r="JI52" t="s">
        <v>1863</v>
      </c>
      <c r="JJ52" t="s">
        <v>1524</v>
      </c>
      <c r="JK52" t="s">
        <v>97</v>
      </c>
      <c r="JL52">
        <v>0.14000000000000001</v>
      </c>
      <c r="JM52">
        <v>4.8499999999999996</v>
      </c>
      <c r="JN52">
        <v>4</v>
      </c>
      <c r="JO52">
        <f>+Tabla52021222425[[#This Row],[Recuento]]*Tabla52021222425[[#This Row],[Volúmen bruto]]</f>
        <v>0.56000000000000005</v>
      </c>
      <c r="JP52">
        <f>+Tabla52021222425[[#This Row],[Recuento]]*Tabla52021222425[[#This Row],[Área neta]]</f>
        <v>19.399999999999999</v>
      </c>
      <c r="JQ52" s="415"/>
      <c r="JS52" t="s">
        <v>1862</v>
      </c>
      <c r="JT52" t="s">
        <v>1525</v>
      </c>
      <c r="JU52" t="s">
        <v>1676</v>
      </c>
      <c r="JV52">
        <v>0.28000000000000003</v>
      </c>
      <c r="JW52">
        <v>1.65</v>
      </c>
      <c r="JX52">
        <v>1</v>
      </c>
      <c r="JY52">
        <f>+Tabla5202122242526[[#This Row],[Recuento]]*Tabla5202122242526[[#This Row],[Volúmen bruto]]</f>
        <v>0.28000000000000003</v>
      </c>
      <c r="JZ52">
        <f>+Tabla5202122242526[[#This Row],[Recuento]]*Tabla5202122242526[[#This Row],[Área neta]]</f>
        <v>1.65</v>
      </c>
      <c r="KA52" s="26"/>
      <c r="KC52"/>
      <c r="KD52"/>
      <c r="KE52"/>
      <c r="KF52"/>
      <c r="KG52"/>
      <c r="KH52"/>
      <c r="KI52">
        <f>+Tabla5202122242526104[[#This Row],[Recuento]]*Tabla5202122242526104[[#This Row],[Volúmen bruto]]</f>
        <v>0</v>
      </c>
      <c r="KJ52">
        <f>+Tabla5202122242526104[[#This Row],[Recuento]]*Tabla5202122242526104[[#This Row],[Área neta]]</f>
        <v>0</v>
      </c>
      <c r="KK52" s="26"/>
      <c r="KM52" t="s">
        <v>1862</v>
      </c>
      <c r="KN52" t="s">
        <v>1525</v>
      </c>
      <c r="KO52" t="s">
        <v>1680</v>
      </c>
      <c r="KP52">
        <v>0.02</v>
      </c>
      <c r="KQ52">
        <v>1.51</v>
      </c>
      <c r="KR52">
        <v>1</v>
      </c>
      <c r="KS52">
        <f>+Tabla5202122242526104110[[#This Row],[Recuento]]*Tabla5202122242526104110[[#This Row],[Volúmen bruto]]</f>
        <v>0.02</v>
      </c>
      <c r="KT52">
        <f>+Tabla5202122242526104110[[#This Row],[Recuento]]*Tabla5202122242526104110[[#This Row],[Área neta]]</f>
        <v>1.51</v>
      </c>
      <c r="KU52" s="26"/>
      <c r="KW52"/>
      <c r="KX52"/>
      <c r="KY52"/>
      <c r="KZ52"/>
      <c r="LA52"/>
      <c r="LB52"/>
      <c r="LC52">
        <f>+Tabla520212224252659[[#This Row],[Recuento]]*Tabla520212224252659[[#This Row],[Volúmen bruto]]</f>
        <v>0</v>
      </c>
      <c r="LD52">
        <f>+Tabla520212224252659[[#This Row],[Recuento]]*Tabla520212224252659[[#This Row],[Área neta]]</f>
        <v>0</v>
      </c>
      <c r="LE52" s="26"/>
      <c r="LG52"/>
      <c r="LH52"/>
      <c r="LI52"/>
      <c r="LJ52"/>
      <c r="LK52"/>
      <c r="LL52"/>
      <c r="LM52">
        <f>+Tabla520212224252659111[[#This Row],[Recuento]]*Tabla520212224252659111[[#This Row],[Volúmen bruto]]</f>
        <v>0</v>
      </c>
      <c r="LN52">
        <f>+Tabla520212224252659111[[#This Row],[Recuento]]*Tabla520212224252659111[[#This Row],[Área neta]]</f>
        <v>0</v>
      </c>
      <c r="LO52" s="26"/>
      <c r="LQ52"/>
      <c r="LR52"/>
      <c r="LS52"/>
      <c r="LT52"/>
      <c r="LU52"/>
      <c r="LV52"/>
      <c r="LW52">
        <f>+Tabla520212224252659111114[[#This Row],[Recuento]]*Tabla520212224252659111114[[#This Row],[Volúmen bruto]]</f>
        <v>0</v>
      </c>
      <c r="LX52">
        <f>+Tabla520212224252659111114[[#This Row],[Recuento]]*Tabla520212224252659111114[[#This Row],[Área neta]]</f>
        <v>0</v>
      </c>
      <c r="LY52" s="26"/>
      <c r="MA52" t="s">
        <v>1863</v>
      </c>
      <c r="MB52" t="s">
        <v>1525</v>
      </c>
      <c r="MC52" t="s">
        <v>98</v>
      </c>
      <c r="MD52">
        <v>0.01</v>
      </c>
      <c r="ME52">
        <v>5.73</v>
      </c>
      <c r="MF52">
        <v>1</v>
      </c>
      <c r="MG52">
        <f>+Tabla520212224252659111114128[[#This Row],[Recuento]]*Tabla520212224252659111114128[[#This Row],[Volúmen bruto]]</f>
        <v>0.01</v>
      </c>
      <c r="MH52">
        <f>+Tabla520212224252659111114128[[#This Row],[Recuento]]*Tabla520212224252659111114128[[#This Row],[Área neta]]</f>
        <v>5.73</v>
      </c>
      <c r="MI52" s="26"/>
      <c r="MK52"/>
      <c r="ML52"/>
      <c r="MM52"/>
      <c r="MN52"/>
      <c r="MO52"/>
      <c r="MP52"/>
      <c r="MQ52">
        <f>+Tabla520212224252627[[#This Row],[Recuento]]*Tabla520212224252627[[#This Row],[Volúmen bruto]]</f>
        <v>0</v>
      </c>
      <c r="MR52">
        <f>+Tabla520212224252627[[#This Row],[Recuento]]*Tabla520212224252627[[#This Row],[Área neta]]</f>
        <v>0</v>
      </c>
      <c r="MS52" s="26">
        <f>+SUM(MR52:MR59)</f>
        <v>0</v>
      </c>
      <c r="MU52"/>
      <c r="MV52"/>
      <c r="MW52"/>
      <c r="MX52"/>
      <c r="MY52"/>
      <c r="MZ52"/>
      <c r="NA52">
        <f>+Tabla520212224252627129[[#This Row],[Recuento]]*Tabla520212224252627129[[#This Row],[Volúmen bruto]]</f>
        <v>0</v>
      </c>
      <c r="NB52">
        <f>+Tabla520212224252627129[[#This Row],[Recuento]]*Tabla520212224252627129[[#This Row],[Área neta]]</f>
        <v>0</v>
      </c>
      <c r="NC52" s="26">
        <f>+SUM(NB52:NB59)</f>
        <v>0</v>
      </c>
      <c r="NE52"/>
      <c r="NF52"/>
      <c r="NG52"/>
      <c r="NH52"/>
      <c r="NI52"/>
      <c r="NJ52"/>
      <c r="NK52">
        <f>+Tabla520212224252627129125[[#This Row],[Recuento]]*Tabla520212224252627129125[[#This Row],[Volúmen bruto]]</f>
        <v>0</v>
      </c>
      <c r="NL52">
        <f>+Tabla520212224252627129125[[#This Row],[Recuento]]*Tabla520212224252627129125[[#This Row],[Área neta]]</f>
        <v>0</v>
      </c>
      <c r="NM52" s="26">
        <f>+SUM(NL52:NL59)</f>
        <v>0</v>
      </c>
      <c r="NO52"/>
      <c r="NP52"/>
      <c r="NQ52"/>
      <c r="NR52"/>
      <c r="NS52"/>
      <c r="NT52"/>
      <c r="NU52">
        <f>+Tabla520212224252627129125130[[#This Row],[Recuento]]*Tabla520212224252627129125130[[#This Row],[Volúmen bruto]]</f>
        <v>0</v>
      </c>
      <c r="NV52">
        <f>+Tabla520212224252627129125130[[#This Row],[Recuento]]*Tabla520212224252627129125130[[#This Row],[Área neta]]</f>
        <v>0</v>
      </c>
      <c r="NW52" s="26">
        <f>+SUM(NV52:NV59)</f>
        <v>0</v>
      </c>
      <c r="NY52"/>
      <c r="NZ52"/>
      <c r="OA52"/>
      <c r="OB52"/>
      <c r="OC52"/>
      <c r="OD52"/>
      <c r="OE52">
        <f>+Tabla520212224252627129125130131[[#This Row],[Recuento]]*Tabla520212224252627129125130131[[#This Row],[Volúmen bruto]]</f>
        <v>0</v>
      </c>
      <c r="OF52">
        <f>+Tabla520212224252627129125130131[[#This Row],[Recuento]]*Tabla520212224252627129125130131[[#This Row],[Área neta]]</f>
        <v>0</v>
      </c>
      <c r="OG52" s="26">
        <f>+SUM(OF52:OF59)</f>
        <v>0</v>
      </c>
      <c r="OI52"/>
      <c r="OJ52"/>
      <c r="OK52"/>
      <c r="OL52"/>
      <c r="OM52"/>
      <c r="ON52"/>
      <c r="OO52">
        <f>+Tabla520212224252627129125130131132[[#This Row],[Recuento]]*Tabla520212224252627129125130131132[[#This Row],[Volúmen bruto]]</f>
        <v>0</v>
      </c>
      <c r="OP52">
        <f>+Tabla520212224252627129125130131132[[#This Row],[Recuento]]*Tabla520212224252627129125130131132[[#This Row],[Área neta]]</f>
        <v>0</v>
      </c>
      <c r="OQ52" s="26">
        <f>+SUM(OP52:OP59)</f>
        <v>0</v>
      </c>
      <c r="OS52"/>
      <c r="OT52"/>
      <c r="OU52"/>
      <c r="OV52"/>
      <c r="OW52"/>
      <c r="OX52"/>
      <c r="OY52">
        <f>+Tabla52021222425262728[[#This Row],[Recuento]]*Tabla52021222425262728[[#This Row],[Volúmen bruto]]</f>
        <v>0</v>
      </c>
      <c r="OZ52">
        <f>+Tabla52021222425262728[[#This Row],[Recuento]]*Tabla52021222425262728[[#This Row],[Área neta]]</f>
        <v>0</v>
      </c>
      <c r="PA52" s="26">
        <f t="shared" si="32"/>
        <v>0</v>
      </c>
      <c r="PC52" t="s">
        <v>1862</v>
      </c>
      <c r="PD52" t="s">
        <v>1525</v>
      </c>
      <c r="PE52" t="s">
        <v>1676</v>
      </c>
      <c r="PF52">
        <v>0.4</v>
      </c>
      <c r="PG52">
        <v>3.33</v>
      </c>
      <c r="PH52">
        <v>1</v>
      </c>
      <c r="PI52">
        <f>+Tabla52021222425262728133[[#This Row],[Recuento]]*Tabla52021222425262728133[[#This Row],[Volúmen bruto]]</f>
        <v>0.4</v>
      </c>
      <c r="PJ52">
        <f>+Tabla52021222425262728133[[#This Row],[Recuento]]*Tabla52021222425262728133[[#This Row],[Área neta]]</f>
        <v>3.33</v>
      </c>
      <c r="PK52" s="415"/>
      <c r="PM52"/>
      <c r="PN52"/>
      <c r="PO52"/>
      <c r="PP52"/>
      <c r="PQ52"/>
      <c r="PR52"/>
      <c r="PS52">
        <f>+Tabla5202122242526272893[[#This Row],[Recuento]]*Tabla5202122242526272893[[#This Row],[Volúmen bruto]]</f>
        <v>0</v>
      </c>
      <c r="PT52">
        <f>+Tabla5202122242526272893[[#This Row],[Recuento]]*Tabla5202122242526272893[[#This Row],[Área neta]]</f>
        <v>0</v>
      </c>
      <c r="PU52" s="26"/>
      <c r="PW52" t="s">
        <v>1863</v>
      </c>
      <c r="PX52" t="s">
        <v>1524</v>
      </c>
      <c r="PY52" t="s">
        <v>97</v>
      </c>
      <c r="PZ52">
        <v>0.04</v>
      </c>
      <c r="QA52">
        <v>2.19</v>
      </c>
      <c r="QB52">
        <v>1</v>
      </c>
      <c r="QC52">
        <f>+Tabla520212224252627289349[[#This Row],[Recuento]]*Tabla520212224252627289349[[#This Row],[Volúmen bruto]]</f>
        <v>0.04</v>
      </c>
      <c r="QD52">
        <f>+Tabla520212224252627289349[[#This Row],[Recuento]]*Tabla520212224252627289349[[#This Row],[Área neta]]</f>
        <v>2.19</v>
      </c>
      <c r="QE52" s="26">
        <f>+SUM(QD52:QD56)</f>
        <v>8.9400000000000013</v>
      </c>
      <c r="QG52"/>
      <c r="QH52"/>
      <c r="QI52"/>
      <c r="QJ52"/>
      <c r="QK52"/>
      <c r="QL52"/>
      <c r="QM52">
        <f>+Tabla520212224252627289349134[[#This Row],[Recuento]]*Tabla520212224252627289349134[[#This Row],[Volúmen bruto]]</f>
        <v>0</v>
      </c>
      <c r="QN52">
        <f>+Tabla520212224252627289349134[[#This Row],[Recuento]]*Tabla520212224252627289349134[[#This Row],[Área neta]]</f>
        <v>0</v>
      </c>
      <c r="QO52" s="26"/>
      <c r="QQ52" t="s">
        <v>1863</v>
      </c>
      <c r="QR52" t="s">
        <v>1524</v>
      </c>
      <c r="QS52" t="s">
        <v>1726</v>
      </c>
      <c r="QT52">
        <v>1.1299999999999999</v>
      </c>
      <c r="QU52">
        <v>5.64</v>
      </c>
      <c r="QV52">
        <v>1</v>
      </c>
      <c r="QW52">
        <v>1</v>
      </c>
      <c r="QX52">
        <f>+Tabla5202122242526272829[[#This Row],[Recuento]]*Tabla5202122242526272829[[#This Row],[Volúmen bruto]]</f>
        <v>1.1299999999999999</v>
      </c>
      <c r="QY52">
        <f>+Tabla5202122242526272829[[#This Row],[Recuento]]*Tabla5202122242526272829[[#This Row],[Área neta]]</f>
        <v>5.64</v>
      </c>
      <c r="QZ52">
        <f>+Tabla5202122242526272829[[#This Row],[Recuento]]*Tabla5202122242526272829[[#This Row],[Longitud]]</f>
        <v>1</v>
      </c>
      <c r="RA52" s="26"/>
      <c r="RC52"/>
      <c r="RD52"/>
      <c r="RE52"/>
      <c r="RF52"/>
      <c r="RG52"/>
      <c r="RH52"/>
      <c r="RI52"/>
      <c r="RJ52"/>
      <c r="RK52" s="26"/>
      <c r="RM52"/>
      <c r="RN52"/>
      <c r="RO52"/>
      <c r="RP52"/>
      <c r="RQ52"/>
      <c r="RR52"/>
      <c r="RS52"/>
      <c r="RT52"/>
      <c r="RU52" s="26">
        <f t="shared" si="7"/>
        <v>0</v>
      </c>
      <c r="RW52"/>
      <c r="RX52"/>
      <c r="RY52"/>
      <c r="RZ52"/>
      <c r="SA52"/>
      <c r="SB52"/>
      <c r="SC52"/>
      <c r="SD52"/>
      <c r="SE52" s="26"/>
      <c r="SG52"/>
      <c r="SH52"/>
      <c r="SI52"/>
      <c r="SJ52"/>
      <c r="SK52"/>
      <c r="SL52"/>
      <c r="SM52"/>
      <c r="SN52"/>
      <c r="SO52" s="26"/>
      <c r="YK52"/>
      <c r="YL52"/>
      <c r="YM52"/>
      <c r="YN52"/>
      <c r="YO52"/>
      <c r="ACW52" s="75" t="s">
        <v>1237</v>
      </c>
      <c r="ACX52" s="1">
        <v>2</v>
      </c>
      <c r="ACY52" s="2">
        <v>2.0499999999999998</v>
      </c>
      <c r="ACZ52" s="2">
        <v>1.5</v>
      </c>
      <c r="ADA52">
        <v>1</v>
      </c>
      <c r="ADB52" s="2">
        <f>+(ACZ52*ACY52)*ADA52</f>
        <v>3.0749999999999997</v>
      </c>
      <c r="ADD52"/>
      <c r="ADE52"/>
      <c r="ADF52"/>
      <c r="ADG52" s="26">
        <f t="shared" si="38"/>
        <v>0</v>
      </c>
      <c r="ADJ52"/>
      <c r="ADK52"/>
      <c r="ADL52"/>
      <c r="ADM52"/>
      <c r="ADN52"/>
      <c r="ADO52"/>
      <c r="ADP52" s="36"/>
      <c r="ADR52"/>
      <c r="ADS52"/>
      <c r="ADT52"/>
      <c r="ADU52"/>
      <c r="ADV52"/>
      <c r="ADW52" s="36"/>
      <c r="ADX52" s="36"/>
      <c r="ADY52"/>
      <c r="ADZ52"/>
      <c r="AEA52"/>
      <c r="AEB52"/>
      <c r="AEC52"/>
      <c r="AED52"/>
      <c r="AEE52" s="36"/>
      <c r="AEG52"/>
      <c r="AEH52"/>
      <c r="AEI52"/>
      <c r="AEJ52"/>
      <c r="AEK52"/>
      <c r="AEL52" s="36"/>
      <c r="AEM52" s="36"/>
      <c r="AEN52" t="s">
        <v>1522</v>
      </c>
      <c r="AEO52" t="s">
        <v>1524</v>
      </c>
      <c r="AEP52" t="s">
        <v>381</v>
      </c>
      <c r="AEQ52">
        <v>0.43</v>
      </c>
      <c r="AER52">
        <v>2</v>
      </c>
      <c r="AES52">
        <f>+Tabla5789141516343536373839404142434445464748495051525355606264[[#This Row],[G. Total]]*Tabla5789141516343536373839404142434445464748495051525355606264[[#This Row],[Recuento]]</f>
        <v>0.86</v>
      </c>
      <c r="AET52" s="36"/>
      <c r="AEV52"/>
      <c r="AEW52"/>
      <c r="AEX52"/>
      <c r="AEY52"/>
      <c r="AEZ52"/>
      <c r="AFA52" s="35">
        <f>+SUM(AEV52:AEV53)</f>
        <v>0</v>
      </c>
      <c r="AFC52"/>
      <c r="AFD52"/>
      <c r="AFE52"/>
      <c r="AFF52"/>
      <c r="AFG52"/>
      <c r="AFH52"/>
      <c r="AFI52"/>
      <c r="AFJ52"/>
      <c r="AFK52"/>
      <c r="AFL52"/>
      <c r="AFM52"/>
      <c r="AFN52">
        <f>+Tabla578914151634353637383940414243444546474849505152535560626467[[#This Row],[G. Total]]*Tabla578914151634353637383940414243444546474849505152535560626467[[#This Row],[Recuento]]</f>
        <v>0</v>
      </c>
      <c r="AFO52" s="35"/>
    </row>
    <row r="53" spans="1:847" ht="15.75" customHeight="1" x14ac:dyDescent="0.25">
      <c r="A53"/>
      <c r="B53"/>
      <c r="C53"/>
      <c r="D53"/>
      <c r="E53"/>
      <c r="F53"/>
      <c r="G53"/>
      <c r="H53"/>
      <c r="I53"/>
      <c r="J53"/>
      <c r="V53"/>
      <c r="AH53"/>
      <c r="AT53"/>
      <c r="BF53">
        <v>2</v>
      </c>
      <c r="BG53" t="s">
        <v>1863</v>
      </c>
      <c r="BH53" t="s">
        <v>1524</v>
      </c>
      <c r="BI53" t="s">
        <v>1406</v>
      </c>
      <c r="BJ53">
        <v>2.0499999999999998</v>
      </c>
      <c r="BK53">
        <v>2.5</v>
      </c>
      <c r="BL53">
        <f>+Tabla3102[[#This Row],[Longitud de eje]]*BF53</f>
        <v>4.0999999999999996</v>
      </c>
      <c r="BM53"/>
      <c r="BO53"/>
      <c r="BP53"/>
      <c r="BQ53"/>
      <c r="BR53"/>
      <c r="BS53"/>
      <c r="BT53">
        <f>+Tabla31069[[#This Row],[Longitud de eje]]*BN53</f>
        <v>0</v>
      </c>
      <c r="BU53">
        <f>+Tabla31069[[#This Row],[Longitud de eje]]*BO53</f>
        <v>0</v>
      </c>
      <c r="BV53"/>
      <c r="BW53"/>
      <c r="BX53"/>
      <c r="BY53"/>
      <c r="BZ53"/>
      <c r="CA53"/>
      <c r="CB53">
        <f>+Tabla31011[[#This Row],[Longitud de eje]]*BV53</f>
        <v>0</v>
      </c>
      <c r="CD53"/>
      <c r="CE53"/>
      <c r="CF53"/>
      <c r="CG53"/>
      <c r="CH53"/>
      <c r="CI53"/>
      <c r="CJ53">
        <f>+Tabla3101170[[#This Row],[En culmo]]*CD53</f>
        <v>0</v>
      </c>
      <c r="CK53"/>
      <c r="CL53"/>
      <c r="CM53"/>
      <c r="CN53"/>
      <c r="CO53"/>
      <c r="CP53"/>
      <c r="CQ53"/>
      <c r="CR53">
        <f>+Tabla31011116[[#This Row],[Longitud de eje]]*CL53</f>
        <v>0</v>
      </c>
      <c r="CT53"/>
      <c r="CU53"/>
      <c r="CV53"/>
      <c r="CW53"/>
      <c r="CX53"/>
      <c r="CY53"/>
      <c r="CZ53">
        <f>+Tabla3101170117[[#This Row],[En culmo]]*CT53</f>
        <v>0</v>
      </c>
      <c r="DA53"/>
      <c r="DB53"/>
      <c r="DC53"/>
      <c r="DD53"/>
      <c r="DE53"/>
      <c r="DF53"/>
      <c r="DG53">
        <f>+Tabla31011704[[#This Row],[Longitud de eje]]*DB53</f>
        <v>0</v>
      </c>
      <c r="DH53"/>
      <c r="DI53"/>
      <c r="DJ53"/>
      <c r="DK53"/>
      <c r="DL53"/>
      <c r="DM53"/>
      <c r="DN53">
        <f>+Tabla3101170411[[#This Row],[Longitud de eje]]*DI53</f>
        <v>0</v>
      </c>
      <c r="DO53"/>
      <c r="DP53"/>
      <c r="DQ53"/>
      <c r="DR53"/>
      <c r="DS53"/>
      <c r="DT53"/>
      <c r="DU53">
        <f>+Tabla3101170411120[[#This Row],[Longitud de eje]]*DP53</f>
        <v>0</v>
      </c>
      <c r="DV53"/>
      <c r="DW53"/>
      <c r="DX53"/>
      <c r="DY53"/>
      <c r="DZ53"/>
      <c r="EA53"/>
      <c r="EB53">
        <f>+Tabla3101170411120122[[#This Row],[Longitud de eje]]*DW53</f>
        <v>0</v>
      </c>
      <c r="EC53"/>
      <c r="ED53">
        <v>2</v>
      </c>
      <c r="EE53" t="s">
        <v>1862</v>
      </c>
      <c r="EF53" t="s">
        <v>1524</v>
      </c>
      <c r="EG53" t="s">
        <v>1406</v>
      </c>
      <c r="EH53">
        <v>1.18</v>
      </c>
      <c r="EI53">
        <v>1.5</v>
      </c>
      <c r="EJ53">
        <f>+Tabla3101112[[#This Row],[En culmo]]*ED53</f>
        <v>3</v>
      </c>
      <c r="EK53"/>
      <c r="EL53"/>
      <c r="EM53"/>
      <c r="EN53"/>
      <c r="EO53"/>
      <c r="EP53"/>
      <c r="EQ53"/>
      <c r="ER53">
        <f>+Tabla3101112123[[#This Row],[En culmo]]*EL53</f>
        <v>0</v>
      </c>
      <c r="ES53"/>
      <c r="ET53">
        <v>5</v>
      </c>
      <c r="EU53" t="s">
        <v>1862</v>
      </c>
      <c r="EV53" t="s">
        <v>1525</v>
      </c>
      <c r="EW53" t="s">
        <v>1406</v>
      </c>
      <c r="EX53">
        <v>2.66</v>
      </c>
      <c r="EY53">
        <v>3</v>
      </c>
      <c r="EZ53">
        <f>+Tabla310111257[[#This Row],[En culmo]]*ET53</f>
        <v>15</v>
      </c>
      <c r="FA53"/>
      <c r="FB53"/>
      <c r="FC53"/>
      <c r="FD53"/>
      <c r="FE53"/>
      <c r="FF53"/>
      <c r="FG53">
        <v>3</v>
      </c>
      <c r="FH53">
        <f>+Tabla310111257124[[#This Row],[En culmo]]*FB53</f>
        <v>0</v>
      </c>
      <c r="FI53"/>
      <c r="FK53"/>
      <c r="FL53"/>
      <c r="FM53"/>
      <c r="FN53"/>
      <c r="FO53"/>
      <c r="FP53"/>
      <c r="FQ53"/>
      <c r="FS53"/>
      <c r="FT53"/>
      <c r="FU53"/>
      <c r="FV53"/>
      <c r="FW53"/>
      <c r="FX53"/>
      <c r="FY53"/>
      <c r="GA53"/>
      <c r="GB53"/>
      <c r="GC53"/>
      <c r="GD53"/>
      <c r="GE53"/>
      <c r="GF53"/>
      <c r="GG53"/>
      <c r="GI53"/>
      <c r="GJ53"/>
      <c r="GK53"/>
      <c r="GL53"/>
      <c r="GM53"/>
      <c r="GN53"/>
      <c r="GO53"/>
      <c r="GQ53"/>
      <c r="GR53"/>
      <c r="GS53"/>
      <c r="GT53"/>
      <c r="GU53"/>
      <c r="GV53"/>
      <c r="GW53"/>
      <c r="GX53"/>
      <c r="GY53" s="36"/>
      <c r="HA53"/>
      <c r="HB53"/>
      <c r="HC53"/>
      <c r="HD53"/>
      <c r="HE53"/>
      <c r="HF53"/>
      <c r="HG53"/>
      <c r="HH53"/>
      <c r="HI53" s="36"/>
      <c r="HK53"/>
      <c r="HL53"/>
      <c r="HM53"/>
      <c r="HN53"/>
      <c r="HO53"/>
      <c r="HP53"/>
      <c r="HQ53"/>
      <c r="HR53"/>
      <c r="HS53" s="36"/>
      <c r="HU53"/>
      <c r="HV53"/>
      <c r="HW53"/>
      <c r="HX53"/>
      <c r="HY53"/>
      <c r="HZ53"/>
      <c r="IA53"/>
      <c r="IB53"/>
      <c r="IC53" s="36"/>
      <c r="IE53"/>
      <c r="IF53"/>
      <c r="IG53"/>
      <c r="IH53"/>
      <c r="II53"/>
      <c r="IJ53"/>
      <c r="IK53"/>
      <c r="IL53"/>
      <c r="IM53" s="36"/>
      <c r="IY53"/>
      <c r="IZ53"/>
      <c r="JA53"/>
      <c r="JB53"/>
      <c r="JC53"/>
      <c r="JD53">
        <v>1</v>
      </c>
      <c r="JE53">
        <f>+Tabla520212224[[#This Row],[Recuento]]*Tabla520212224[[#This Row],[Volúmen bruto]]</f>
        <v>0</v>
      </c>
      <c r="JF53">
        <f>+Tabla520212224[[#This Row],[Recuento]]*Tabla520212224[[#This Row],[Área neta]]</f>
        <v>0</v>
      </c>
      <c r="JG53" s="26"/>
      <c r="JI53" t="s">
        <v>1863</v>
      </c>
      <c r="JJ53" t="s">
        <v>1525</v>
      </c>
      <c r="JK53" t="s">
        <v>97</v>
      </c>
      <c r="JL53">
        <v>0.26</v>
      </c>
      <c r="JM53">
        <v>12.89</v>
      </c>
      <c r="JN53">
        <v>1</v>
      </c>
      <c r="JO53">
        <f>+Tabla52021222425[[#This Row],[Recuento]]*Tabla52021222425[[#This Row],[Volúmen bruto]]</f>
        <v>0.26</v>
      </c>
      <c r="JP53">
        <f>+Tabla52021222425[[#This Row],[Recuento]]*Tabla52021222425[[#This Row],[Área neta]]</f>
        <v>12.89</v>
      </c>
      <c r="JQ53" s="26"/>
      <c r="JS53" t="s">
        <v>1862</v>
      </c>
      <c r="JT53" t="s">
        <v>1525</v>
      </c>
      <c r="JU53" t="s">
        <v>1676</v>
      </c>
      <c r="JV53">
        <v>0.08</v>
      </c>
      <c r="JW53">
        <v>0.68</v>
      </c>
      <c r="JX53">
        <v>1</v>
      </c>
      <c r="JY53">
        <f>+Tabla5202122242526[[#This Row],[Recuento]]*Tabla5202122242526[[#This Row],[Volúmen bruto]]</f>
        <v>0.08</v>
      </c>
      <c r="JZ53">
        <f>+Tabla5202122242526[[#This Row],[Recuento]]*Tabla5202122242526[[#This Row],[Área neta]]</f>
        <v>0.68</v>
      </c>
      <c r="KA53" s="26"/>
      <c r="KC53"/>
      <c r="KD53"/>
      <c r="KE53"/>
      <c r="KF53"/>
      <c r="KG53"/>
      <c r="KH53"/>
      <c r="KI53">
        <f>+Tabla5202122242526104[[#This Row],[Recuento]]*Tabla5202122242526104[[#This Row],[Volúmen bruto]]</f>
        <v>0</v>
      </c>
      <c r="KJ53">
        <f>+Tabla5202122242526104[[#This Row],[Recuento]]*Tabla5202122242526104[[#This Row],[Área neta]]</f>
        <v>0</v>
      </c>
      <c r="KK53" s="26"/>
      <c r="KM53" t="s">
        <v>1862</v>
      </c>
      <c r="KN53" t="s">
        <v>1525</v>
      </c>
      <c r="KO53" t="s">
        <v>1680</v>
      </c>
      <c r="KP53">
        <v>0.02</v>
      </c>
      <c r="KQ53">
        <v>4.22</v>
      </c>
      <c r="KR53">
        <v>1</v>
      </c>
      <c r="KS53">
        <f>+Tabla5202122242526104110[[#This Row],[Recuento]]*Tabla5202122242526104110[[#This Row],[Volúmen bruto]]</f>
        <v>0.02</v>
      </c>
      <c r="KT53">
        <f>+Tabla5202122242526104110[[#This Row],[Recuento]]*Tabla5202122242526104110[[#This Row],[Área neta]]</f>
        <v>4.22</v>
      </c>
      <c r="KU53" s="26"/>
      <c r="KW53"/>
      <c r="KX53"/>
      <c r="KY53"/>
      <c r="KZ53"/>
      <c r="LA53"/>
      <c r="LB53"/>
      <c r="LC53">
        <f>+Tabla520212224252659[[#This Row],[Recuento]]*Tabla520212224252659[[#This Row],[Volúmen bruto]]</f>
        <v>0</v>
      </c>
      <c r="LD53">
        <f>+Tabla520212224252659[[#This Row],[Recuento]]*Tabla520212224252659[[#This Row],[Área neta]]</f>
        <v>0</v>
      </c>
      <c r="LE53" s="26"/>
      <c r="LG53"/>
      <c r="LH53"/>
      <c r="LI53"/>
      <c r="LJ53"/>
      <c r="LK53"/>
      <c r="LL53"/>
      <c r="LM53">
        <f>+Tabla520212224252659111[[#This Row],[Recuento]]*Tabla520212224252659111[[#This Row],[Volúmen bruto]]</f>
        <v>0</v>
      </c>
      <c r="LN53">
        <f>+Tabla520212224252659111[[#This Row],[Recuento]]*Tabla520212224252659111[[#This Row],[Área neta]]</f>
        <v>0</v>
      </c>
      <c r="LO53" s="26"/>
      <c r="LQ53"/>
      <c r="LR53"/>
      <c r="LS53"/>
      <c r="LT53"/>
      <c r="LU53"/>
      <c r="LV53"/>
      <c r="LW53">
        <f>+Tabla520212224252659111114[[#This Row],[Recuento]]*Tabla520212224252659111114[[#This Row],[Volúmen bruto]]</f>
        <v>0</v>
      </c>
      <c r="LX53">
        <f>+Tabla520212224252659111114[[#This Row],[Recuento]]*Tabla520212224252659111114[[#This Row],[Área neta]]</f>
        <v>0</v>
      </c>
      <c r="LY53" s="26"/>
      <c r="MA53" t="s">
        <v>1863</v>
      </c>
      <c r="MB53" t="s">
        <v>1525</v>
      </c>
      <c r="MC53" t="s">
        <v>98</v>
      </c>
      <c r="MD53">
        <v>0.02</v>
      </c>
      <c r="ME53">
        <v>15.44</v>
      </c>
      <c r="MF53">
        <v>1</v>
      </c>
      <c r="MG53">
        <f>+Tabla520212224252659111114128[[#This Row],[Recuento]]*Tabla520212224252659111114128[[#This Row],[Volúmen bruto]]</f>
        <v>0.02</v>
      </c>
      <c r="MH53">
        <f>+Tabla520212224252659111114128[[#This Row],[Recuento]]*Tabla520212224252659111114128[[#This Row],[Área neta]]</f>
        <v>15.44</v>
      </c>
      <c r="MI53" s="26"/>
      <c r="MK53"/>
      <c r="ML53"/>
      <c r="MM53"/>
      <c r="MN53"/>
      <c r="MO53"/>
      <c r="MP53"/>
      <c r="MQ53">
        <f>+Tabla520212224252627[[#This Row],[Recuento]]*Tabla520212224252627[[#This Row],[Volúmen bruto]]</f>
        <v>0</v>
      </c>
      <c r="MR53">
        <f>+Tabla520212224252627[[#This Row],[Recuento]]*Tabla520212224252627[[#This Row],[Área neta]]</f>
        <v>0</v>
      </c>
      <c r="MS53" s="26"/>
      <c r="MU53"/>
      <c r="MV53"/>
      <c r="MW53"/>
      <c r="MX53"/>
      <c r="MY53"/>
      <c r="MZ53"/>
      <c r="NA53">
        <f>+Tabla520212224252627129[[#This Row],[Recuento]]*Tabla520212224252627129[[#This Row],[Volúmen bruto]]</f>
        <v>0</v>
      </c>
      <c r="NB53">
        <f>+Tabla520212224252627129[[#This Row],[Recuento]]*Tabla520212224252627129[[#This Row],[Área neta]]</f>
        <v>0</v>
      </c>
      <c r="NC53" s="26"/>
      <c r="NE53"/>
      <c r="NF53"/>
      <c r="NG53"/>
      <c r="NH53"/>
      <c r="NI53"/>
      <c r="NJ53"/>
      <c r="NK53">
        <f>+Tabla520212224252627129125[[#This Row],[Recuento]]*Tabla520212224252627129125[[#This Row],[Volúmen bruto]]</f>
        <v>0</v>
      </c>
      <c r="NL53">
        <f>+Tabla520212224252627129125[[#This Row],[Recuento]]*Tabla520212224252627129125[[#This Row],[Área neta]]</f>
        <v>0</v>
      </c>
      <c r="NM53" s="26"/>
      <c r="NO53"/>
      <c r="NP53"/>
      <c r="NQ53"/>
      <c r="NR53"/>
      <c r="NS53"/>
      <c r="NT53"/>
      <c r="NU53">
        <f>+Tabla520212224252627129125130[[#This Row],[Recuento]]*Tabla520212224252627129125130[[#This Row],[Volúmen bruto]]</f>
        <v>0</v>
      </c>
      <c r="NV53">
        <f>+Tabla520212224252627129125130[[#This Row],[Recuento]]*Tabla520212224252627129125130[[#This Row],[Área neta]]</f>
        <v>0</v>
      </c>
      <c r="NW53" s="26"/>
      <c r="NY53"/>
      <c r="NZ53"/>
      <c r="OA53"/>
      <c r="OB53"/>
      <c r="OC53"/>
      <c r="OD53"/>
      <c r="OE53">
        <f>+Tabla520212224252627129125130131[[#This Row],[Recuento]]*Tabla520212224252627129125130131[[#This Row],[Volúmen bruto]]</f>
        <v>0</v>
      </c>
      <c r="OF53">
        <f>+Tabla520212224252627129125130131[[#This Row],[Recuento]]*Tabla520212224252627129125130131[[#This Row],[Área neta]]</f>
        <v>0</v>
      </c>
      <c r="OG53" s="26"/>
      <c r="OI53"/>
      <c r="OJ53"/>
      <c r="OK53"/>
      <c r="OL53"/>
      <c r="OM53"/>
      <c r="ON53"/>
      <c r="OO53">
        <f>+Tabla520212224252627129125130131132[[#This Row],[Recuento]]*Tabla520212224252627129125130131132[[#This Row],[Volúmen bruto]]</f>
        <v>0</v>
      </c>
      <c r="OP53">
        <f>+Tabla520212224252627129125130131132[[#This Row],[Recuento]]*Tabla520212224252627129125130131132[[#This Row],[Área neta]]</f>
        <v>0</v>
      </c>
      <c r="OQ53" s="26"/>
      <c r="OS53"/>
      <c r="OT53"/>
      <c r="OU53"/>
      <c r="OV53"/>
      <c r="OW53"/>
      <c r="OX53"/>
      <c r="OY53">
        <f>+Tabla52021222425262728[[#This Row],[Recuento]]*Tabla52021222425262728[[#This Row],[Volúmen bruto]]</f>
        <v>0</v>
      </c>
      <c r="OZ53">
        <f>+Tabla52021222425262728[[#This Row],[Recuento]]*Tabla52021222425262728[[#This Row],[Área neta]]</f>
        <v>0</v>
      </c>
      <c r="PA53" s="26">
        <f t="shared" si="32"/>
        <v>0</v>
      </c>
      <c r="PC53" t="s">
        <v>1862</v>
      </c>
      <c r="PD53" t="s">
        <v>1525</v>
      </c>
      <c r="PE53" t="s">
        <v>1676</v>
      </c>
      <c r="PF53">
        <v>0.55000000000000004</v>
      </c>
      <c r="PG53">
        <v>3.45</v>
      </c>
      <c r="PH53">
        <v>1</v>
      </c>
      <c r="PI53">
        <f>+Tabla52021222425262728133[[#This Row],[Recuento]]*Tabla52021222425262728133[[#This Row],[Volúmen bruto]]</f>
        <v>0.55000000000000004</v>
      </c>
      <c r="PJ53">
        <f>+Tabla52021222425262728133[[#This Row],[Recuento]]*Tabla52021222425262728133[[#This Row],[Área neta]]</f>
        <v>3.45</v>
      </c>
      <c r="PK53" s="26"/>
      <c r="PM53"/>
      <c r="PN53"/>
      <c r="PO53"/>
      <c r="PP53"/>
      <c r="PQ53"/>
      <c r="PR53"/>
      <c r="PS53">
        <f>+Tabla5202122242526272893[[#This Row],[Recuento]]*Tabla5202122242526272893[[#This Row],[Volúmen bruto]]</f>
        <v>0</v>
      </c>
      <c r="PT53">
        <f>+Tabla5202122242526272893[[#This Row],[Recuento]]*Tabla5202122242526272893[[#This Row],[Área neta]]</f>
        <v>0</v>
      </c>
      <c r="PU53" s="26"/>
      <c r="PW53" t="s">
        <v>1863</v>
      </c>
      <c r="PX53" t="s">
        <v>1524</v>
      </c>
      <c r="PY53" t="s">
        <v>97</v>
      </c>
      <c r="PZ53">
        <v>0.04</v>
      </c>
      <c r="QA53">
        <v>1.83</v>
      </c>
      <c r="QB53">
        <v>1</v>
      </c>
      <c r="QC53">
        <f>+Tabla520212224252627289349[[#This Row],[Recuento]]*Tabla520212224252627289349[[#This Row],[Volúmen bruto]]</f>
        <v>0.04</v>
      </c>
      <c r="QD53">
        <f>+Tabla520212224252627289349[[#This Row],[Recuento]]*Tabla520212224252627289349[[#This Row],[Área neta]]</f>
        <v>1.83</v>
      </c>
      <c r="QE53" s="26"/>
      <c r="QG53"/>
      <c r="QH53"/>
      <c r="QI53"/>
      <c r="QJ53"/>
      <c r="QK53"/>
      <c r="QL53"/>
      <c r="QM53">
        <f>+Tabla520212224252627289349134[[#This Row],[Recuento]]*Tabla520212224252627289349134[[#This Row],[Volúmen bruto]]</f>
        <v>0</v>
      </c>
      <c r="QN53">
        <f>+Tabla520212224252627289349134[[#This Row],[Recuento]]*Tabla520212224252627289349134[[#This Row],[Área neta]]</f>
        <v>0</v>
      </c>
      <c r="QO53" s="26"/>
      <c r="QQ53" t="s">
        <v>1863</v>
      </c>
      <c r="QR53"/>
      <c r="QS53" t="s">
        <v>1726</v>
      </c>
      <c r="QT53">
        <v>0.1</v>
      </c>
      <c r="QU53">
        <v>0.49</v>
      </c>
      <c r="QV53">
        <v>1</v>
      </c>
      <c r="QW53">
        <v>1</v>
      </c>
      <c r="QX53">
        <f>+Tabla5202122242526272829[[#This Row],[Recuento]]*Tabla5202122242526272829[[#This Row],[Volúmen bruto]]</f>
        <v>0.1</v>
      </c>
      <c r="QY53">
        <f>+Tabla5202122242526272829[[#This Row],[Recuento]]*Tabla5202122242526272829[[#This Row],[Área neta]]</f>
        <v>0.49</v>
      </c>
      <c r="QZ53">
        <f>+Tabla5202122242526272829[[#This Row],[Recuento]]*Tabla5202122242526272829[[#This Row],[Longitud]]</f>
        <v>1</v>
      </c>
      <c r="RA53" s="26"/>
      <c r="RC53"/>
      <c r="RD53"/>
      <c r="RE53"/>
      <c r="RF53"/>
      <c r="RG53"/>
      <c r="RH53"/>
      <c r="RI53"/>
      <c r="RJ53"/>
      <c r="RK53" s="26"/>
      <c r="RM53"/>
      <c r="RN53"/>
      <c r="RO53"/>
      <c r="RP53"/>
      <c r="RQ53"/>
      <c r="RR53"/>
      <c r="RS53"/>
      <c r="RT53"/>
      <c r="RU53" s="26">
        <f t="shared" si="7"/>
        <v>0</v>
      </c>
      <c r="RW53"/>
      <c r="RX53"/>
      <c r="RY53"/>
      <c r="RZ53"/>
      <c r="SA53"/>
      <c r="SB53"/>
      <c r="SC53"/>
      <c r="SD53"/>
      <c r="SE53" s="26"/>
      <c r="SG53"/>
      <c r="SH53"/>
      <c r="SI53"/>
      <c r="SJ53"/>
      <c r="SK53"/>
      <c r="SL53"/>
      <c r="SM53"/>
      <c r="SN53"/>
      <c r="SO53" s="26"/>
      <c r="YK53"/>
      <c r="YL53"/>
      <c r="YM53"/>
      <c r="YN53"/>
      <c r="YO53"/>
      <c r="ACW53" t="s">
        <v>1236</v>
      </c>
      <c r="ACX53" s="1">
        <v>2</v>
      </c>
      <c r="ACY53" s="2"/>
      <c r="ADA53"/>
      <c r="ADB53" s="2">
        <f>+(ACZ53*ACY53)*ADA53</f>
        <v>0</v>
      </c>
      <c r="ADD53"/>
      <c r="ADE53"/>
      <c r="ADF53"/>
      <c r="ADG53" s="26">
        <f t="shared" si="38"/>
        <v>0</v>
      </c>
      <c r="ADJ53"/>
      <c r="ADK53"/>
      <c r="ADL53"/>
      <c r="ADM53"/>
      <c r="ADN53"/>
      <c r="ADO53"/>
      <c r="ADP53" s="36"/>
      <c r="ADR53"/>
      <c r="ADS53"/>
      <c r="ADT53"/>
      <c r="ADU53"/>
      <c r="ADV53"/>
      <c r="ADW53" s="35">
        <f>+SUM(ADR53:ADR70)</f>
        <v>0</v>
      </c>
      <c r="ADX53" s="35"/>
      <c r="ADY53"/>
      <c r="ADZ53"/>
      <c r="AEA53"/>
      <c r="AEB53"/>
      <c r="AEC53"/>
      <c r="AED53"/>
      <c r="AEE53" s="36"/>
      <c r="AEG53"/>
      <c r="AEH53"/>
      <c r="AEI53"/>
      <c r="AEJ53"/>
      <c r="AEK53"/>
      <c r="AEL53" s="35">
        <f>+SUM(AEG53)</f>
        <v>0</v>
      </c>
      <c r="AEM53" s="35"/>
      <c r="AEN53" t="s">
        <v>1522</v>
      </c>
      <c r="AEO53" t="s">
        <v>1524</v>
      </c>
      <c r="AEP53" t="s">
        <v>381</v>
      </c>
      <c r="AEQ53">
        <v>1.41</v>
      </c>
      <c r="AER53">
        <v>1</v>
      </c>
      <c r="AES53">
        <f>+Tabla5789141516343536373839404142434445464748495051525355606264[[#This Row],[G. Total]]*Tabla5789141516343536373839404142434445464748495051525355606264[[#This Row],[Recuento]]</f>
        <v>1.41</v>
      </c>
      <c r="AET53" s="36"/>
      <c r="AEV53"/>
      <c r="AEW53"/>
      <c r="AEX53"/>
      <c r="AEY53"/>
      <c r="AEZ53"/>
      <c r="AFA53" s="36"/>
      <c r="AFC53"/>
      <c r="AFD53"/>
      <c r="AFE53"/>
      <c r="AFF53"/>
      <c r="AFG53"/>
      <c r="AFH53"/>
      <c r="AFI53"/>
      <c r="AFJ53"/>
      <c r="AFK53"/>
      <c r="AFL53"/>
      <c r="AFM53"/>
      <c r="AFN53">
        <f>+Tabla578914151634353637383940414243444546474849505152535560626467[[#This Row],[G. Total]]*Tabla578914151634353637383940414243444546474849505152535560626467[[#This Row],[Recuento]]</f>
        <v>0</v>
      </c>
      <c r="AFO53" s="35"/>
    </row>
    <row r="54" spans="1:847" ht="15" customHeight="1" x14ac:dyDescent="0.25">
      <c r="A54"/>
      <c r="B54"/>
      <c r="C54"/>
      <c r="D54"/>
      <c r="E54"/>
      <c r="F54"/>
      <c r="G54"/>
      <c r="H54"/>
      <c r="I54"/>
      <c r="J54"/>
      <c r="V54"/>
      <c r="AH54"/>
      <c r="AT54"/>
      <c r="BF54">
        <v>4</v>
      </c>
      <c r="BG54" t="s">
        <v>1863</v>
      </c>
      <c r="BH54" t="s">
        <v>1524</v>
      </c>
      <c r="BI54" t="s">
        <v>1406</v>
      </c>
      <c r="BJ54">
        <v>1.4</v>
      </c>
      <c r="BK54">
        <v>2</v>
      </c>
      <c r="BL54">
        <f>+Tabla3102[[#This Row],[Longitud de eje]]*BF54</f>
        <v>5.6</v>
      </c>
      <c r="BM54"/>
      <c r="BO54"/>
      <c r="BP54"/>
      <c r="BQ54"/>
      <c r="BR54"/>
      <c r="BS54"/>
      <c r="BT54">
        <f>+Tabla31069[[#This Row],[Longitud de eje]]*BN54</f>
        <v>0</v>
      </c>
      <c r="BU54">
        <f>+Tabla31069[[#This Row],[Longitud de eje]]*BO54</f>
        <v>0</v>
      </c>
      <c r="BV54"/>
      <c r="BW54"/>
      <c r="BX54"/>
      <c r="BY54"/>
      <c r="BZ54"/>
      <c r="CA54"/>
      <c r="CB54">
        <f>+Tabla31011[[#This Row],[Longitud de eje]]*BV54</f>
        <v>0</v>
      </c>
      <c r="CD54"/>
      <c r="CE54"/>
      <c r="CF54"/>
      <c r="CG54"/>
      <c r="CH54"/>
      <c r="CI54"/>
      <c r="CJ54">
        <f>+Tabla3101170[[#This Row],[En culmo]]*CD54</f>
        <v>0</v>
      </c>
      <c r="CK54"/>
      <c r="CL54"/>
      <c r="CM54"/>
      <c r="CN54"/>
      <c r="CO54"/>
      <c r="CP54"/>
      <c r="CQ54"/>
      <c r="CR54">
        <f>+Tabla31011116[[#This Row],[Longitud de eje]]*CL54</f>
        <v>0</v>
      </c>
      <c r="CT54"/>
      <c r="CU54"/>
      <c r="CV54"/>
      <c r="CW54"/>
      <c r="CX54"/>
      <c r="CY54"/>
      <c r="CZ54">
        <f>+Tabla3101170117[[#This Row],[En culmo]]*CT54</f>
        <v>0</v>
      </c>
      <c r="DA54"/>
      <c r="DB54"/>
      <c r="DC54"/>
      <c r="DD54"/>
      <c r="DE54"/>
      <c r="DF54"/>
      <c r="DG54">
        <f>+Tabla31011704[[#This Row],[Longitud de eje]]*DB54</f>
        <v>0</v>
      </c>
      <c r="DH54"/>
      <c r="DI54"/>
      <c r="DJ54"/>
      <c r="DK54"/>
      <c r="DL54"/>
      <c r="DM54"/>
      <c r="DN54">
        <f>+Tabla3101170411[[#This Row],[Longitud de eje]]*DI54</f>
        <v>0</v>
      </c>
      <c r="DO54"/>
      <c r="DP54"/>
      <c r="DQ54"/>
      <c r="DR54"/>
      <c r="DS54"/>
      <c r="DT54"/>
      <c r="DU54">
        <f>+Tabla3101170411120[[#This Row],[Longitud de eje]]*DP54</f>
        <v>0</v>
      </c>
      <c r="DV54"/>
      <c r="DW54"/>
      <c r="DX54"/>
      <c r="DY54"/>
      <c r="DZ54"/>
      <c r="EA54"/>
      <c r="EB54">
        <f>+Tabla3101170411120122[[#This Row],[Longitud de eje]]*DW54</f>
        <v>0</v>
      </c>
      <c r="EC54"/>
      <c r="ED54">
        <v>1</v>
      </c>
      <c r="EE54" t="s">
        <v>1862</v>
      </c>
      <c r="EF54" t="s">
        <v>1524</v>
      </c>
      <c r="EG54" t="s">
        <v>1406</v>
      </c>
      <c r="EH54">
        <v>2.15</v>
      </c>
      <c r="EI54">
        <v>2.5</v>
      </c>
      <c r="EJ54">
        <f>+Tabla3101112[[#This Row],[En culmo]]*ED54</f>
        <v>2.5</v>
      </c>
      <c r="EK54"/>
      <c r="EL54"/>
      <c r="EM54"/>
      <c r="EN54"/>
      <c r="EO54"/>
      <c r="EP54"/>
      <c r="EQ54"/>
      <c r="ER54">
        <f>+Tabla3101112123[[#This Row],[En culmo]]*EL54</f>
        <v>0</v>
      </c>
      <c r="ES54"/>
      <c r="ET54">
        <v>2</v>
      </c>
      <c r="EU54" t="s">
        <v>1862</v>
      </c>
      <c r="EV54" t="s">
        <v>1525</v>
      </c>
      <c r="EW54" t="s">
        <v>1406</v>
      </c>
      <c r="EX54">
        <v>2.0499999999999998</v>
      </c>
      <c r="EY54">
        <v>2.5</v>
      </c>
      <c r="EZ54">
        <f>+Tabla310111257[[#This Row],[En culmo]]*ET54</f>
        <v>5</v>
      </c>
      <c r="FA54"/>
      <c r="FB54"/>
      <c r="FC54"/>
      <c r="FD54"/>
      <c r="FE54"/>
      <c r="FF54"/>
      <c r="FG54">
        <v>2.5</v>
      </c>
      <c r="FH54">
        <f>+Tabla310111257124[[#This Row],[En culmo]]*FB54</f>
        <v>0</v>
      </c>
      <c r="FI54"/>
      <c r="FK54"/>
      <c r="FL54"/>
      <c r="FM54"/>
      <c r="FN54"/>
      <c r="FO54"/>
      <c r="FP54"/>
      <c r="FQ54"/>
      <c r="FS54"/>
      <c r="FT54"/>
      <c r="FU54"/>
      <c r="FV54"/>
      <c r="FW54"/>
      <c r="FX54"/>
      <c r="FY54"/>
      <c r="GA54"/>
      <c r="GB54"/>
      <c r="GC54"/>
      <c r="GD54"/>
      <c r="GE54"/>
      <c r="GF54"/>
      <c r="GG54"/>
      <c r="GI54"/>
      <c r="GJ54"/>
      <c r="GK54"/>
      <c r="GL54"/>
      <c r="GM54"/>
      <c r="GN54"/>
      <c r="GO54"/>
      <c r="GQ54"/>
      <c r="GR54"/>
      <c r="GS54"/>
      <c r="GT54"/>
      <c r="GU54"/>
      <c r="GV54"/>
      <c r="GW54"/>
      <c r="GX54"/>
      <c r="GY54" s="36"/>
      <c r="HA54"/>
      <c r="HB54"/>
      <c r="HC54"/>
      <c r="HD54"/>
      <c r="HE54"/>
      <c r="HF54"/>
      <c r="HG54"/>
      <c r="HH54"/>
      <c r="HI54" s="36"/>
      <c r="HK54"/>
      <c r="HL54"/>
      <c r="HM54"/>
      <c r="HN54"/>
      <c r="HO54"/>
      <c r="HP54"/>
      <c r="HQ54"/>
      <c r="HR54"/>
      <c r="HS54" s="36"/>
      <c r="HU54"/>
      <c r="HV54"/>
      <c r="HW54"/>
      <c r="HX54"/>
      <c r="HY54"/>
      <c r="HZ54"/>
      <c r="IA54"/>
      <c r="IB54"/>
      <c r="IC54" s="36"/>
      <c r="IE54"/>
      <c r="IF54"/>
      <c r="IG54"/>
      <c r="IH54"/>
      <c r="II54"/>
      <c r="IJ54"/>
      <c r="IK54"/>
      <c r="IL54"/>
      <c r="IM54" s="36"/>
      <c r="IY54"/>
      <c r="IZ54"/>
      <c r="JA54"/>
      <c r="JB54"/>
      <c r="JC54"/>
      <c r="JD54">
        <v>6</v>
      </c>
      <c r="JE54">
        <f>+Tabla520212224[[#This Row],[Recuento]]*Tabla520212224[[#This Row],[Volúmen bruto]]</f>
        <v>0</v>
      </c>
      <c r="JF54">
        <f>+Tabla520212224[[#This Row],[Recuento]]*Tabla520212224[[#This Row],[Área neta]]</f>
        <v>0</v>
      </c>
      <c r="JG54" s="26"/>
      <c r="JI54" t="s">
        <v>1863</v>
      </c>
      <c r="JJ54" t="s">
        <v>1525</v>
      </c>
      <c r="JK54" t="s">
        <v>97</v>
      </c>
      <c r="JL54">
        <v>0.23</v>
      </c>
      <c r="JM54">
        <v>11.73</v>
      </c>
      <c r="JN54">
        <v>1</v>
      </c>
      <c r="JO54">
        <f>+Tabla52021222425[[#This Row],[Recuento]]*Tabla52021222425[[#This Row],[Volúmen bruto]]</f>
        <v>0.23</v>
      </c>
      <c r="JP54">
        <f>+Tabla52021222425[[#This Row],[Recuento]]*Tabla52021222425[[#This Row],[Área neta]]</f>
        <v>11.73</v>
      </c>
      <c r="JQ54" s="26"/>
      <c r="JS54" t="s">
        <v>1863</v>
      </c>
      <c r="JT54" t="s">
        <v>1524</v>
      </c>
      <c r="JU54" t="s">
        <v>1628</v>
      </c>
      <c r="JV54">
        <v>0.02</v>
      </c>
      <c r="JW54">
        <v>1.19</v>
      </c>
      <c r="JX54">
        <v>2</v>
      </c>
      <c r="JY54">
        <f>+Tabla5202122242526[[#This Row],[Recuento]]*Tabla5202122242526[[#This Row],[Volúmen bruto]]</f>
        <v>0.04</v>
      </c>
      <c r="JZ54">
        <f>+Tabla5202122242526[[#This Row],[Recuento]]*Tabla5202122242526[[#This Row],[Área neta]]</f>
        <v>2.38</v>
      </c>
      <c r="KA54" s="26">
        <f>+SUM(JZ54:JZ58)</f>
        <v>11.7</v>
      </c>
      <c r="KC54"/>
      <c r="KD54"/>
      <c r="KE54"/>
      <c r="KF54"/>
      <c r="KG54"/>
      <c r="KH54"/>
      <c r="KI54">
        <f>+Tabla5202122242526104[[#This Row],[Recuento]]*Tabla5202122242526104[[#This Row],[Volúmen bruto]]</f>
        <v>0</v>
      </c>
      <c r="KJ54">
        <f>+Tabla5202122242526104[[#This Row],[Recuento]]*Tabla5202122242526104[[#This Row],[Área neta]]</f>
        <v>0</v>
      </c>
      <c r="KK54" s="26"/>
      <c r="KM54" t="s">
        <v>1862</v>
      </c>
      <c r="KN54" t="s">
        <v>1525</v>
      </c>
      <c r="KO54" t="s">
        <v>1680</v>
      </c>
      <c r="KP54">
        <v>0.02</v>
      </c>
      <c r="KQ54">
        <v>4.21</v>
      </c>
      <c r="KR54">
        <v>1</v>
      </c>
      <c r="KS54">
        <f>+Tabla5202122242526104110[[#This Row],[Recuento]]*Tabla5202122242526104110[[#This Row],[Volúmen bruto]]</f>
        <v>0.02</v>
      </c>
      <c r="KT54">
        <f>+Tabla5202122242526104110[[#This Row],[Recuento]]*Tabla5202122242526104110[[#This Row],[Área neta]]</f>
        <v>4.21</v>
      </c>
      <c r="KU54" s="26"/>
      <c r="KW54"/>
      <c r="KX54"/>
      <c r="KY54"/>
      <c r="KZ54"/>
      <c r="LA54"/>
      <c r="LB54"/>
      <c r="LC54">
        <f>+Tabla520212224252659[[#This Row],[Recuento]]*Tabla520212224252659[[#This Row],[Volúmen bruto]]</f>
        <v>0</v>
      </c>
      <c r="LD54">
        <f>+Tabla520212224252659[[#This Row],[Recuento]]*Tabla520212224252659[[#This Row],[Área neta]]</f>
        <v>0</v>
      </c>
      <c r="LE54" s="26"/>
      <c r="LG54"/>
      <c r="LH54"/>
      <c r="LI54"/>
      <c r="LJ54"/>
      <c r="LK54"/>
      <c r="LL54"/>
      <c r="LM54">
        <f>+Tabla520212224252659111[[#This Row],[Recuento]]*Tabla520212224252659111[[#This Row],[Volúmen bruto]]</f>
        <v>0</v>
      </c>
      <c r="LN54">
        <f>+Tabla520212224252659111[[#This Row],[Recuento]]*Tabla520212224252659111[[#This Row],[Área neta]]</f>
        <v>0</v>
      </c>
      <c r="LO54" s="26"/>
      <c r="LQ54"/>
      <c r="LR54"/>
      <c r="LS54"/>
      <c r="LT54"/>
      <c r="LU54"/>
      <c r="LV54"/>
      <c r="LW54">
        <f>+Tabla520212224252659111114[[#This Row],[Recuento]]*Tabla520212224252659111114[[#This Row],[Volúmen bruto]]</f>
        <v>0</v>
      </c>
      <c r="LX54">
        <f>+Tabla520212224252659111114[[#This Row],[Recuento]]*Tabla520212224252659111114[[#This Row],[Área neta]]</f>
        <v>0</v>
      </c>
      <c r="LY54" s="26"/>
      <c r="MA54" t="s">
        <v>1863</v>
      </c>
      <c r="MB54" t="s">
        <v>1525</v>
      </c>
      <c r="MC54" t="s">
        <v>98</v>
      </c>
      <c r="MD54">
        <v>0.02</v>
      </c>
      <c r="ME54">
        <v>15.31</v>
      </c>
      <c r="MF54">
        <v>1</v>
      </c>
      <c r="MG54">
        <f>+Tabla520212224252659111114128[[#This Row],[Recuento]]*Tabla520212224252659111114128[[#This Row],[Volúmen bruto]]</f>
        <v>0.02</v>
      </c>
      <c r="MH54">
        <f>+Tabla520212224252659111114128[[#This Row],[Recuento]]*Tabla520212224252659111114128[[#This Row],[Área neta]]</f>
        <v>15.31</v>
      </c>
      <c r="MI54" s="26"/>
      <c r="MK54"/>
      <c r="ML54"/>
      <c r="MM54"/>
      <c r="MN54"/>
      <c r="MO54"/>
      <c r="MP54"/>
      <c r="MQ54">
        <f>+Tabla520212224252627[[#This Row],[Recuento]]*Tabla520212224252627[[#This Row],[Volúmen bruto]]</f>
        <v>0</v>
      </c>
      <c r="MR54">
        <f>+Tabla520212224252627[[#This Row],[Recuento]]*Tabla520212224252627[[#This Row],[Área neta]]</f>
        <v>0</v>
      </c>
      <c r="MS54" s="26"/>
      <c r="MU54"/>
      <c r="MV54"/>
      <c r="MW54"/>
      <c r="MX54"/>
      <c r="MY54"/>
      <c r="MZ54"/>
      <c r="NA54">
        <f>+Tabla520212224252627129[[#This Row],[Recuento]]*Tabla520212224252627129[[#This Row],[Volúmen bruto]]</f>
        <v>0</v>
      </c>
      <c r="NB54">
        <f>+Tabla520212224252627129[[#This Row],[Recuento]]*Tabla520212224252627129[[#This Row],[Área neta]]</f>
        <v>0</v>
      </c>
      <c r="NC54" s="26"/>
      <c r="NE54"/>
      <c r="NF54"/>
      <c r="NG54"/>
      <c r="NH54"/>
      <c r="NI54"/>
      <c r="NJ54"/>
      <c r="NK54">
        <f>+Tabla520212224252627129125[[#This Row],[Recuento]]*Tabla520212224252627129125[[#This Row],[Volúmen bruto]]</f>
        <v>0</v>
      </c>
      <c r="NL54">
        <f>+Tabla520212224252627129125[[#This Row],[Recuento]]*Tabla520212224252627129125[[#This Row],[Área neta]]</f>
        <v>0</v>
      </c>
      <c r="NM54" s="26"/>
      <c r="NO54"/>
      <c r="NP54"/>
      <c r="NQ54"/>
      <c r="NR54"/>
      <c r="NS54"/>
      <c r="NT54"/>
      <c r="NU54">
        <f>+Tabla520212224252627129125130[[#This Row],[Recuento]]*Tabla520212224252627129125130[[#This Row],[Volúmen bruto]]</f>
        <v>0</v>
      </c>
      <c r="NV54">
        <f>+Tabla520212224252627129125130[[#This Row],[Recuento]]*Tabla520212224252627129125130[[#This Row],[Área neta]]</f>
        <v>0</v>
      </c>
      <c r="NW54" s="26"/>
      <c r="NY54"/>
      <c r="NZ54"/>
      <c r="OA54"/>
      <c r="OB54"/>
      <c r="OC54"/>
      <c r="OD54"/>
      <c r="OE54">
        <f>+Tabla520212224252627129125130131[[#This Row],[Recuento]]*Tabla520212224252627129125130131[[#This Row],[Volúmen bruto]]</f>
        <v>0</v>
      </c>
      <c r="OF54">
        <f>+Tabla520212224252627129125130131[[#This Row],[Recuento]]*Tabla520212224252627129125130131[[#This Row],[Área neta]]</f>
        <v>0</v>
      </c>
      <c r="OG54" s="26"/>
      <c r="OI54"/>
      <c r="OJ54"/>
      <c r="OK54"/>
      <c r="OL54"/>
      <c r="OM54"/>
      <c r="ON54"/>
      <c r="OO54">
        <f>+Tabla520212224252627129125130131132[[#This Row],[Recuento]]*Tabla520212224252627129125130131132[[#This Row],[Volúmen bruto]]</f>
        <v>0</v>
      </c>
      <c r="OP54">
        <f>+Tabla520212224252627129125130131132[[#This Row],[Recuento]]*Tabla520212224252627129125130131132[[#This Row],[Área neta]]</f>
        <v>0</v>
      </c>
      <c r="OQ54" s="26"/>
      <c r="OS54"/>
      <c r="OT54"/>
      <c r="OU54"/>
      <c r="OV54"/>
      <c r="OW54"/>
      <c r="OX54"/>
      <c r="OY54">
        <f>+Tabla52021222425262728[[#This Row],[Recuento]]*Tabla52021222425262728[[#This Row],[Volúmen bruto]]</f>
        <v>0</v>
      </c>
      <c r="OZ54">
        <f>+Tabla52021222425262728[[#This Row],[Recuento]]*Tabla52021222425262728[[#This Row],[Área neta]]</f>
        <v>0</v>
      </c>
      <c r="PA54" s="26">
        <f t="shared" si="32"/>
        <v>0</v>
      </c>
      <c r="PC54" t="s">
        <v>1862</v>
      </c>
      <c r="PD54" t="s">
        <v>1525</v>
      </c>
      <c r="PE54" t="s">
        <v>1676</v>
      </c>
      <c r="PF54">
        <v>0.14000000000000001</v>
      </c>
      <c r="PG54">
        <v>1.1399999999999999</v>
      </c>
      <c r="PH54">
        <v>1</v>
      </c>
      <c r="PI54">
        <f>+Tabla52021222425262728133[[#This Row],[Recuento]]*Tabla52021222425262728133[[#This Row],[Volúmen bruto]]</f>
        <v>0.14000000000000001</v>
      </c>
      <c r="PJ54">
        <f>+Tabla52021222425262728133[[#This Row],[Recuento]]*Tabla52021222425262728133[[#This Row],[Área neta]]</f>
        <v>1.1399999999999999</v>
      </c>
      <c r="PK54" s="26"/>
      <c r="PM54"/>
      <c r="PN54"/>
      <c r="PO54"/>
      <c r="PP54"/>
      <c r="PQ54"/>
      <c r="PR54"/>
      <c r="PS54">
        <f>+Tabla5202122242526272893[[#This Row],[Recuento]]*Tabla5202122242526272893[[#This Row],[Volúmen bruto]]</f>
        <v>0</v>
      </c>
      <c r="PT54">
        <f>+Tabla5202122242526272893[[#This Row],[Recuento]]*Tabla5202122242526272893[[#This Row],[Área neta]]</f>
        <v>0</v>
      </c>
      <c r="PU54" s="26"/>
      <c r="PW54" t="s">
        <v>1863</v>
      </c>
      <c r="PX54" t="s">
        <v>1525</v>
      </c>
      <c r="PY54" t="s">
        <v>97</v>
      </c>
      <c r="PZ54">
        <v>0.03</v>
      </c>
      <c r="QA54">
        <v>1.73</v>
      </c>
      <c r="QB54">
        <v>1</v>
      </c>
      <c r="QC54">
        <f>+Tabla520212224252627289349[[#This Row],[Recuento]]*Tabla520212224252627289349[[#This Row],[Volúmen bruto]]</f>
        <v>0.03</v>
      </c>
      <c r="QD54">
        <f>+Tabla520212224252627289349[[#This Row],[Recuento]]*Tabla520212224252627289349[[#This Row],[Área neta]]</f>
        <v>1.73</v>
      </c>
      <c r="QE54" s="415"/>
      <c r="QG54"/>
      <c r="QH54"/>
      <c r="QI54"/>
      <c r="QJ54"/>
      <c r="QK54"/>
      <c r="QL54"/>
      <c r="QM54">
        <f>+Tabla520212224252627289349134[[#This Row],[Recuento]]*Tabla520212224252627289349134[[#This Row],[Volúmen bruto]]</f>
        <v>0</v>
      </c>
      <c r="QN54">
        <f>+Tabla520212224252627289349134[[#This Row],[Recuento]]*Tabla520212224252627289349134[[#This Row],[Área neta]]</f>
        <v>0</v>
      </c>
      <c r="QO54" s="26"/>
      <c r="QQ54"/>
      <c r="QR54"/>
      <c r="QS54"/>
      <c r="QT54"/>
      <c r="QU54"/>
      <c r="QV54"/>
      <c r="QW54"/>
      <c r="QX54"/>
      <c r="QY54"/>
      <c r="QZ54"/>
      <c r="RA54" s="26"/>
      <c r="RC54"/>
      <c r="RD54"/>
      <c r="RE54"/>
      <c r="RF54"/>
      <c r="RG54"/>
      <c r="RH54"/>
      <c r="RI54"/>
      <c r="RJ54"/>
      <c r="RK54" s="26"/>
      <c r="RM54"/>
      <c r="RN54"/>
      <c r="RO54"/>
      <c r="RP54"/>
      <c r="RQ54"/>
      <c r="RR54"/>
      <c r="RS54"/>
      <c r="RT54"/>
      <c r="RU54" s="26">
        <f t="shared" si="7"/>
        <v>0</v>
      </c>
      <c r="RW54"/>
      <c r="RX54"/>
      <c r="RY54"/>
      <c r="RZ54"/>
      <c r="SA54"/>
      <c r="SB54"/>
      <c r="SC54"/>
      <c r="SD54"/>
      <c r="SE54" s="26"/>
      <c r="SG54"/>
      <c r="SH54"/>
      <c r="SI54"/>
      <c r="SJ54"/>
      <c r="SK54"/>
      <c r="SL54"/>
      <c r="SM54"/>
      <c r="SN54"/>
      <c r="SO54" s="26"/>
      <c r="YK54"/>
      <c r="YL54"/>
      <c r="YM54"/>
      <c r="YN54"/>
      <c r="YO54"/>
      <c r="ACW54" t="s">
        <v>1247</v>
      </c>
      <c r="ACX54" s="1">
        <v>2</v>
      </c>
      <c r="ACY54" s="2"/>
      <c r="ADA54" s="38"/>
      <c r="ADB54" s="2">
        <f>+(ACZ54*ACY54)*ADA54</f>
        <v>0</v>
      </c>
      <c r="ADD54"/>
      <c r="ADE54"/>
      <c r="ADF54"/>
      <c r="ADG54" s="26">
        <f t="shared" si="38"/>
        <v>0</v>
      </c>
      <c r="ADJ54"/>
      <c r="ADK54"/>
      <c r="ADL54"/>
      <c r="ADM54"/>
      <c r="ADN54"/>
      <c r="ADO54"/>
      <c r="ADP54" s="36"/>
      <c r="ADR54"/>
      <c r="ADS54"/>
      <c r="ADT54"/>
      <c r="ADU54"/>
      <c r="ADV54"/>
      <c r="ADW54" s="35"/>
      <c r="ADX54" s="35"/>
      <c r="ADY54"/>
      <c r="ADZ54"/>
      <c r="AEA54"/>
      <c r="AEB54"/>
      <c r="AEC54"/>
      <c r="AED54"/>
      <c r="AEE54" s="36"/>
      <c r="AEG54"/>
      <c r="AEH54"/>
      <c r="AEI54"/>
      <c r="AEJ54"/>
      <c r="AEK54"/>
      <c r="AEL54" s="35">
        <f>+SUM(AEG54:AEG69)</f>
        <v>0</v>
      </c>
      <c r="AEM54" s="35"/>
      <c r="AEN54" t="s">
        <v>1522</v>
      </c>
      <c r="AEO54" t="s">
        <v>1524</v>
      </c>
      <c r="AEP54" t="s">
        <v>381</v>
      </c>
      <c r="AEQ54">
        <v>0.96</v>
      </c>
      <c r="AER54">
        <v>2</v>
      </c>
      <c r="AES54">
        <f>+Tabla5789141516343536373839404142434445464748495051525355606264[[#This Row],[G. Total]]*Tabla5789141516343536373839404142434445464748495051525355606264[[#This Row],[Recuento]]</f>
        <v>1.92</v>
      </c>
      <c r="AET54" s="36"/>
      <c r="AEV54"/>
      <c r="AEW54"/>
      <c r="AEX54"/>
      <c r="AEY54"/>
      <c r="AEZ54"/>
      <c r="AFA54" s="35">
        <f>+SUM(AEV54:AEV56)</f>
        <v>0</v>
      </c>
      <c r="AFC54"/>
      <c r="AFD54"/>
      <c r="AFE54"/>
      <c r="AFF54"/>
      <c r="AFG54"/>
      <c r="AFH54"/>
      <c r="AFI54"/>
      <c r="AFJ54"/>
      <c r="AFK54"/>
      <c r="AFL54"/>
      <c r="AFM54"/>
      <c r="AFN54">
        <f>+Tabla578914151634353637383940414243444546474849505152535560626467[[#This Row],[G. Total]]*Tabla578914151634353637383940414243444546474849505152535560626467[[#This Row],[Recuento]]</f>
        <v>0</v>
      </c>
      <c r="AFO54" s="36"/>
    </row>
    <row r="55" spans="1:847" ht="14.25" customHeight="1" x14ac:dyDescent="0.25">
      <c r="A55"/>
      <c r="B55"/>
      <c r="C55"/>
      <c r="D55"/>
      <c r="E55"/>
      <c r="F55"/>
      <c r="G55"/>
      <c r="H55"/>
      <c r="I55"/>
      <c r="J55"/>
      <c r="V55"/>
      <c r="AH55"/>
      <c r="AT55"/>
      <c r="BF55">
        <v>3</v>
      </c>
      <c r="BG55" t="s">
        <v>1863</v>
      </c>
      <c r="BH55" t="s">
        <v>1524</v>
      </c>
      <c r="BI55" t="s">
        <v>1406</v>
      </c>
      <c r="BJ55">
        <v>2.2000000000000002</v>
      </c>
      <c r="BK55">
        <v>2.5</v>
      </c>
      <c r="BL55">
        <f>+Tabla3102[[#This Row],[Longitud de eje]]*BF55</f>
        <v>6.6000000000000005</v>
      </c>
      <c r="BM55"/>
      <c r="BO55"/>
      <c r="BP55"/>
      <c r="BQ55"/>
      <c r="BR55"/>
      <c r="BS55"/>
      <c r="BT55">
        <f>+Tabla31069[[#This Row],[Longitud de eje]]*BN55</f>
        <v>0</v>
      </c>
      <c r="BU55">
        <f>+Tabla31069[[#This Row],[Longitud de eje]]*BO55</f>
        <v>0</v>
      </c>
      <c r="BV55"/>
      <c r="BW55"/>
      <c r="BX55"/>
      <c r="BY55"/>
      <c r="BZ55"/>
      <c r="CA55"/>
      <c r="CB55">
        <f>+Tabla31011[[#This Row],[Longitud de eje]]*BV55</f>
        <v>0</v>
      </c>
      <c r="CD55"/>
      <c r="CE55"/>
      <c r="CF55"/>
      <c r="CG55"/>
      <c r="CH55"/>
      <c r="CI55"/>
      <c r="CJ55">
        <f>+Tabla3101170[[#This Row],[En culmo]]*CD55</f>
        <v>0</v>
      </c>
      <c r="CK55"/>
      <c r="CL55"/>
      <c r="CM55"/>
      <c r="CN55"/>
      <c r="CO55"/>
      <c r="CP55"/>
      <c r="CQ55"/>
      <c r="CR55">
        <f>+Tabla31011116[[#This Row],[Longitud de eje]]*CL55</f>
        <v>0</v>
      </c>
      <c r="CT55"/>
      <c r="CU55"/>
      <c r="CV55"/>
      <c r="CW55"/>
      <c r="CX55"/>
      <c r="CY55"/>
      <c r="CZ55">
        <f>+Tabla3101170117[[#This Row],[En culmo]]*CT55</f>
        <v>0</v>
      </c>
      <c r="DA55"/>
      <c r="DB55"/>
      <c r="DC55"/>
      <c r="DD55"/>
      <c r="DE55"/>
      <c r="DF55"/>
      <c r="DG55">
        <f>+Tabla31011704[[#This Row],[Longitud de eje]]*DB55</f>
        <v>0</v>
      </c>
      <c r="DH55"/>
      <c r="DI55"/>
      <c r="DJ55"/>
      <c r="DK55"/>
      <c r="DL55"/>
      <c r="DM55"/>
      <c r="DN55">
        <f>+Tabla3101170411[[#This Row],[Longitud de eje]]*DI55</f>
        <v>0</v>
      </c>
      <c r="DO55"/>
      <c r="DP55"/>
      <c r="DQ55"/>
      <c r="DR55"/>
      <c r="DS55"/>
      <c r="DT55"/>
      <c r="DU55">
        <f>+Tabla3101170411120[[#This Row],[Longitud de eje]]*DP55</f>
        <v>0</v>
      </c>
      <c r="DV55"/>
      <c r="DW55"/>
      <c r="DX55"/>
      <c r="DY55"/>
      <c r="DZ55"/>
      <c r="EA55"/>
      <c r="EB55">
        <f>+Tabla3101170411120122[[#This Row],[Longitud de eje]]*DW55</f>
        <v>0</v>
      </c>
      <c r="EC55"/>
      <c r="ED55">
        <v>1</v>
      </c>
      <c r="EE55" t="s">
        <v>1862</v>
      </c>
      <c r="EF55" t="s">
        <v>1524</v>
      </c>
      <c r="EG55" t="s">
        <v>1406</v>
      </c>
      <c r="EH55">
        <v>2.2000000000000002</v>
      </c>
      <c r="EI55">
        <v>2.5</v>
      </c>
      <c r="EJ55">
        <f>+Tabla3101112[[#This Row],[En culmo]]*ED55</f>
        <v>2.5</v>
      </c>
      <c r="EK55"/>
      <c r="EL55"/>
      <c r="EM55"/>
      <c r="EN55"/>
      <c r="EO55"/>
      <c r="EP55"/>
      <c r="EQ55"/>
      <c r="ER55">
        <f>+Tabla3101112123[[#This Row],[En culmo]]*EL55</f>
        <v>0</v>
      </c>
      <c r="ES55"/>
      <c r="ET55">
        <v>2</v>
      </c>
      <c r="EU55" t="s">
        <v>1862</v>
      </c>
      <c r="EV55" t="s">
        <v>1525</v>
      </c>
      <c r="EW55" t="s">
        <v>1406</v>
      </c>
      <c r="EX55">
        <v>3.26</v>
      </c>
      <c r="EY55">
        <v>3.5</v>
      </c>
      <c r="EZ55">
        <f>+Tabla310111257[[#This Row],[En culmo]]*ET55</f>
        <v>7</v>
      </c>
      <c r="FA55"/>
      <c r="FB55"/>
      <c r="FC55"/>
      <c r="FD55"/>
      <c r="FE55"/>
      <c r="FF55"/>
      <c r="FG55">
        <v>3.5</v>
      </c>
      <c r="FH55">
        <f>+Tabla310111257124[[#This Row],[En culmo]]*FB55</f>
        <v>0</v>
      </c>
      <c r="FI55"/>
      <c r="FK55"/>
      <c r="FL55"/>
      <c r="FM55"/>
      <c r="FN55"/>
      <c r="FO55"/>
      <c r="FP55"/>
      <c r="FQ55"/>
      <c r="FS55"/>
      <c r="FT55"/>
      <c r="FU55"/>
      <c r="FV55"/>
      <c r="FW55"/>
      <c r="FX55"/>
      <c r="FY55"/>
      <c r="GA55"/>
      <c r="GB55"/>
      <c r="GC55"/>
      <c r="GD55"/>
      <c r="GE55"/>
      <c r="GF55"/>
      <c r="GG55"/>
      <c r="GI55"/>
      <c r="GJ55"/>
      <c r="GK55"/>
      <c r="GL55"/>
      <c r="GM55"/>
      <c r="GN55"/>
      <c r="GO55"/>
      <c r="GQ55"/>
      <c r="GR55"/>
      <c r="GS55"/>
      <c r="GT55"/>
      <c r="GU55"/>
      <c r="GV55"/>
      <c r="GW55"/>
      <c r="GX55"/>
      <c r="GY55" s="36"/>
      <c r="HA55"/>
      <c r="HB55"/>
      <c r="HC55"/>
      <c r="HD55"/>
      <c r="HE55"/>
      <c r="HF55"/>
      <c r="HG55"/>
      <c r="HH55"/>
      <c r="HI55" s="36"/>
      <c r="HK55"/>
      <c r="HL55"/>
      <c r="HM55"/>
      <c r="HN55"/>
      <c r="HO55"/>
      <c r="HP55"/>
      <c r="HQ55"/>
      <c r="HR55"/>
      <c r="HS55" s="36"/>
      <c r="HU55"/>
      <c r="HV55"/>
      <c r="HW55"/>
      <c r="HX55"/>
      <c r="HY55"/>
      <c r="HZ55"/>
      <c r="IA55"/>
      <c r="IB55"/>
      <c r="IC55" s="35"/>
      <c r="IE55"/>
      <c r="IF55"/>
      <c r="IG55"/>
      <c r="IH55"/>
      <c r="II55"/>
      <c r="IJ55"/>
      <c r="IK55"/>
      <c r="IL55"/>
      <c r="IM55" s="35"/>
      <c r="IY55"/>
      <c r="IZ55"/>
      <c r="JA55"/>
      <c r="JB55"/>
      <c r="JC55"/>
      <c r="JD55">
        <v>12</v>
      </c>
      <c r="JE55">
        <f>+Tabla520212224[[#This Row],[Recuento]]*Tabla520212224[[#This Row],[Volúmen bruto]]</f>
        <v>0</v>
      </c>
      <c r="JF55">
        <f>+Tabla520212224[[#This Row],[Recuento]]*Tabla520212224[[#This Row],[Área neta]]</f>
        <v>0</v>
      </c>
      <c r="JG55" s="26"/>
      <c r="JI55" t="s">
        <v>1863</v>
      </c>
      <c r="JJ55" t="s">
        <v>1524</v>
      </c>
      <c r="JK55" t="s">
        <v>98</v>
      </c>
      <c r="JL55">
        <v>0</v>
      </c>
      <c r="JM55">
        <v>1.73</v>
      </c>
      <c r="JN55">
        <v>1</v>
      </c>
      <c r="JO55">
        <f>+Tabla52021222425[[#This Row],[Recuento]]*Tabla52021222425[[#This Row],[Volúmen bruto]]</f>
        <v>0</v>
      </c>
      <c r="JP55">
        <f>+Tabla52021222425[[#This Row],[Recuento]]*Tabla52021222425[[#This Row],[Área neta]]</f>
        <v>1.73</v>
      </c>
      <c r="JQ55" s="26">
        <f>+SUM(JP55:JP57)</f>
        <v>23.1</v>
      </c>
      <c r="JS55" t="s">
        <v>1863</v>
      </c>
      <c r="JT55" t="s">
        <v>1524</v>
      </c>
      <c r="JU55" t="s">
        <v>1628</v>
      </c>
      <c r="JV55">
        <v>0.05</v>
      </c>
      <c r="JW55">
        <v>0.8</v>
      </c>
      <c r="JX55">
        <v>2</v>
      </c>
      <c r="JY55">
        <f>+Tabla5202122242526[[#This Row],[Recuento]]*Tabla5202122242526[[#This Row],[Volúmen bruto]]</f>
        <v>0.1</v>
      </c>
      <c r="JZ55">
        <f>+Tabla5202122242526[[#This Row],[Recuento]]*Tabla5202122242526[[#This Row],[Área neta]]</f>
        <v>1.6</v>
      </c>
      <c r="KA55" s="26"/>
      <c r="KC55"/>
      <c r="KD55"/>
      <c r="KE55"/>
      <c r="KF55"/>
      <c r="KG55"/>
      <c r="KH55"/>
      <c r="KI55">
        <f>+Tabla5202122242526104[[#This Row],[Recuento]]*Tabla5202122242526104[[#This Row],[Volúmen bruto]]</f>
        <v>0</v>
      </c>
      <c r="KJ55">
        <f>+Tabla5202122242526104[[#This Row],[Recuento]]*Tabla5202122242526104[[#This Row],[Área neta]]</f>
        <v>0</v>
      </c>
      <c r="KK55" s="26"/>
      <c r="KM55" t="s">
        <v>1862</v>
      </c>
      <c r="KN55" t="s">
        <v>1525</v>
      </c>
      <c r="KO55" t="s">
        <v>1680</v>
      </c>
      <c r="KP55">
        <v>0.02</v>
      </c>
      <c r="KQ55">
        <v>2.64</v>
      </c>
      <c r="KR55">
        <v>1</v>
      </c>
      <c r="KS55">
        <f>+Tabla5202122242526104110[[#This Row],[Recuento]]*Tabla5202122242526104110[[#This Row],[Volúmen bruto]]</f>
        <v>0.02</v>
      </c>
      <c r="KT55">
        <f>+Tabla5202122242526104110[[#This Row],[Recuento]]*Tabla5202122242526104110[[#This Row],[Área neta]]</f>
        <v>2.64</v>
      </c>
      <c r="KU55" s="26"/>
      <c r="KW55"/>
      <c r="KX55"/>
      <c r="KY55"/>
      <c r="KZ55"/>
      <c r="LA55"/>
      <c r="LB55"/>
      <c r="LC55">
        <f>+Tabla520212224252659[[#This Row],[Recuento]]*Tabla520212224252659[[#This Row],[Volúmen bruto]]</f>
        <v>0</v>
      </c>
      <c r="LD55">
        <f>+Tabla520212224252659[[#This Row],[Recuento]]*Tabla520212224252659[[#This Row],[Área neta]]</f>
        <v>0</v>
      </c>
      <c r="LE55" s="26"/>
      <c r="LG55"/>
      <c r="LH55"/>
      <c r="LI55"/>
      <c r="LJ55"/>
      <c r="LK55"/>
      <c r="LL55"/>
      <c r="LM55">
        <f>+Tabla520212224252659111[[#This Row],[Recuento]]*Tabla520212224252659111[[#This Row],[Volúmen bruto]]</f>
        <v>0</v>
      </c>
      <c r="LN55">
        <f>+Tabla520212224252659111[[#This Row],[Recuento]]*Tabla520212224252659111[[#This Row],[Área neta]]</f>
        <v>0</v>
      </c>
      <c r="LO55" s="26"/>
      <c r="LQ55"/>
      <c r="LR55"/>
      <c r="LS55"/>
      <c r="LT55"/>
      <c r="LU55"/>
      <c r="LV55"/>
      <c r="LW55">
        <f>+Tabla520212224252659111114[[#This Row],[Recuento]]*Tabla520212224252659111114[[#This Row],[Volúmen bruto]]</f>
        <v>0</v>
      </c>
      <c r="LX55">
        <f>+Tabla520212224252659111114[[#This Row],[Recuento]]*Tabla520212224252659111114[[#This Row],[Área neta]]</f>
        <v>0</v>
      </c>
      <c r="LY55" s="26"/>
      <c r="MA55"/>
      <c r="MB55"/>
      <c r="MC55"/>
      <c r="MD55"/>
      <c r="ME55"/>
      <c r="MF55"/>
      <c r="MG55">
        <f>+Tabla520212224252659111114128[[#This Row],[Recuento]]*Tabla520212224252659111114128[[#This Row],[Volúmen bruto]]</f>
        <v>0</v>
      </c>
      <c r="MH55">
        <f>+Tabla520212224252659111114128[[#This Row],[Recuento]]*Tabla520212224252659111114128[[#This Row],[Área neta]]</f>
        <v>0</v>
      </c>
      <c r="MI55" s="26"/>
      <c r="MK55"/>
      <c r="ML55"/>
      <c r="MM55"/>
      <c r="MN55"/>
      <c r="MO55"/>
      <c r="MP55"/>
      <c r="MQ55">
        <f>+Tabla520212224252627[[#This Row],[Recuento]]*Tabla520212224252627[[#This Row],[Volúmen bruto]]</f>
        <v>0</v>
      </c>
      <c r="MR55">
        <f>+Tabla520212224252627[[#This Row],[Recuento]]*Tabla520212224252627[[#This Row],[Área neta]]</f>
        <v>0</v>
      </c>
      <c r="MS55" s="26"/>
      <c r="MU55"/>
      <c r="MV55"/>
      <c r="MW55"/>
      <c r="MX55"/>
      <c r="MY55"/>
      <c r="MZ55"/>
      <c r="NA55">
        <f>+Tabla520212224252627129[[#This Row],[Recuento]]*Tabla520212224252627129[[#This Row],[Volúmen bruto]]</f>
        <v>0</v>
      </c>
      <c r="NB55">
        <f>+Tabla520212224252627129[[#This Row],[Recuento]]*Tabla520212224252627129[[#This Row],[Área neta]]</f>
        <v>0</v>
      </c>
      <c r="NC55" s="26"/>
      <c r="NE55"/>
      <c r="NF55"/>
      <c r="NG55"/>
      <c r="NH55"/>
      <c r="NI55"/>
      <c r="NJ55"/>
      <c r="NK55">
        <f>+Tabla520212224252627129125[[#This Row],[Recuento]]*Tabla520212224252627129125[[#This Row],[Volúmen bruto]]</f>
        <v>0</v>
      </c>
      <c r="NL55">
        <f>+Tabla520212224252627129125[[#This Row],[Recuento]]*Tabla520212224252627129125[[#This Row],[Área neta]]</f>
        <v>0</v>
      </c>
      <c r="NM55" s="26"/>
      <c r="NO55"/>
      <c r="NP55"/>
      <c r="NQ55"/>
      <c r="NR55"/>
      <c r="NS55"/>
      <c r="NT55"/>
      <c r="NU55">
        <f>+Tabla520212224252627129125130[[#This Row],[Recuento]]*Tabla520212224252627129125130[[#This Row],[Volúmen bruto]]</f>
        <v>0</v>
      </c>
      <c r="NV55">
        <f>+Tabla520212224252627129125130[[#This Row],[Recuento]]*Tabla520212224252627129125130[[#This Row],[Área neta]]</f>
        <v>0</v>
      </c>
      <c r="NW55" s="26"/>
      <c r="NY55"/>
      <c r="NZ55"/>
      <c r="OA55"/>
      <c r="OB55"/>
      <c r="OC55"/>
      <c r="OD55"/>
      <c r="OE55">
        <f>+Tabla520212224252627129125130131[[#This Row],[Recuento]]*Tabla520212224252627129125130131[[#This Row],[Volúmen bruto]]</f>
        <v>0</v>
      </c>
      <c r="OF55">
        <f>+Tabla520212224252627129125130131[[#This Row],[Recuento]]*Tabla520212224252627129125130131[[#This Row],[Área neta]]</f>
        <v>0</v>
      </c>
      <c r="OG55" s="26"/>
      <c r="OI55"/>
      <c r="OJ55"/>
      <c r="OK55"/>
      <c r="OL55"/>
      <c r="OM55"/>
      <c r="ON55"/>
      <c r="OO55">
        <f>+Tabla520212224252627129125130131132[[#This Row],[Recuento]]*Tabla520212224252627129125130131132[[#This Row],[Volúmen bruto]]</f>
        <v>0</v>
      </c>
      <c r="OP55">
        <f>+Tabla520212224252627129125130131132[[#This Row],[Recuento]]*Tabla520212224252627129125130131132[[#This Row],[Área neta]]</f>
        <v>0</v>
      </c>
      <c r="OQ55" s="26"/>
      <c r="OS55"/>
      <c r="OT55"/>
      <c r="OU55"/>
      <c r="OV55"/>
      <c r="OW55"/>
      <c r="OX55"/>
      <c r="OY55">
        <f>+Tabla52021222425262728[[#This Row],[Recuento]]*Tabla52021222425262728[[#This Row],[Volúmen bruto]]</f>
        <v>0</v>
      </c>
      <c r="OZ55">
        <f>+Tabla52021222425262728[[#This Row],[Recuento]]*Tabla52021222425262728[[#This Row],[Área neta]]</f>
        <v>0</v>
      </c>
      <c r="PA55" s="26">
        <f t="shared" si="32"/>
        <v>0</v>
      </c>
      <c r="PC55" t="s">
        <v>1862</v>
      </c>
      <c r="PD55" t="s">
        <v>1525</v>
      </c>
      <c r="PE55" t="s">
        <v>1676</v>
      </c>
      <c r="PF55">
        <v>0.11</v>
      </c>
      <c r="PG55">
        <v>0.95</v>
      </c>
      <c r="PH55">
        <v>1</v>
      </c>
      <c r="PI55">
        <f>+Tabla52021222425262728133[[#This Row],[Recuento]]*Tabla52021222425262728133[[#This Row],[Volúmen bruto]]</f>
        <v>0.11</v>
      </c>
      <c r="PJ55">
        <f>+Tabla52021222425262728133[[#This Row],[Recuento]]*Tabla52021222425262728133[[#This Row],[Área neta]]</f>
        <v>0.95</v>
      </c>
      <c r="PK55" s="26"/>
      <c r="PM55"/>
      <c r="PN55"/>
      <c r="PO55"/>
      <c r="PP55"/>
      <c r="PQ55"/>
      <c r="PR55"/>
      <c r="PS55">
        <f>+Tabla5202122242526272893[[#This Row],[Recuento]]*Tabla5202122242526272893[[#This Row],[Volúmen bruto]]</f>
        <v>0</v>
      </c>
      <c r="PT55">
        <f>+Tabla5202122242526272893[[#This Row],[Recuento]]*Tabla5202122242526272893[[#This Row],[Área neta]]</f>
        <v>0</v>
      </c>
      <c r="PU55" s="26"/>
      <c r="PW55" t="s">
        <v>1863</v>
      </c>
      <c r="PX55" t="s">
        <v>1525</v>
      </c>
      <c r="PY55" t="s">
        <v>97</v>
      </c>
      <c r="PZ55">
        <v>0.02</v>
      </c>
      <c r="QA55">
        <v>1.1499999999999999</v>
      </c>
      <c r="QB55">
        <v>1</v>
      </c>
      <c r="QC55">
        <f>+Tabla520212224252627289349[[#This Row],[Recuento]]*Tabla520212224252627289349[[#This Row],[Volúmen bruto]]</f>
        <v>0.02</v>
      </c>
      <c r="QD55">
        <f>+Tabla520212224252627289349[[#This Row],[Recuento]]*Tabla520212224252627289349[[#This Row],[Área neta]]</f>
        <v>1.1499999999999999</v>
      </c>
      <c r="QE55" s="26"/>
      <c r="QG55"/>
      <c r="QH55"/>
      <c r="QI55"/>
      <c r="QJ55"/>
      <c r="QK55"/>
      <c r="QL55"/>
      <c r="QM55">
        <f>+Tabla520212224252627289349134[[#This Row],[Recuento]]*Tabla520212224252627289349134[[#This Row],[Volúmen bruto]]</f>
        <v>0</v>
      </c>
      <c r="QN55">
        <f>+Tabla520212224252627289349134[[#This Row],[Recuento]]*Tabla520212224252627289349134[[#This Row],[Área neta]]</f>
        <v>0</v>
      </c>
      <c r="QO55" s="26"/>
      <c r="QQ55"/>
      <c r="QR55"/>
      <c r="QS55"/>
      <c r="QT55"/>
      <c r="QU55"/>
      <c r="QV55"/>
      <c r="QW55"/>
      <c r="QX55"/>
      <c r="QY55"/>
      <c r="QZ55"/>
      <c r="RA55" s="26"/>
      <c r="RC55"/>
      <c r="RD55"/>
      <c r="RE55"/>
      <c r="RF55"/>
      <c r="RG55"/>
      <c r="RH55"/>
      <c r="RI55"/>
      <c r="RJ55"/>
      <c r="RK55" s="26"/>
      <c r="RM55"/>
      <c r="RN55"/>
      <c r="RO55"/>
      <c r="RP55"/>
      <c r="RQ55"/>
      <c r="RR55"/>
      <c r="RS55"/>
      <c r="RT55"/>
      <c r="RU55" s="26">
        <f t="shared" si="7"/>
        <v>0</v>
      </c>
      <c r="RW55"/>
      <c r="RX55"/>
      <c r="RY55"/>
      <c r="RZ55"/>
      <c r="SA55"/>
      <c r="SB55"/>
      <c r="SC55"/>
      <c r="SD55"/>
      <c r="SE55" s="26"/>
      <c r="SG55"/>
      <c r="SH55"/>
      <c r="SI55"/>
      <c r="SJ55"/>
      <c r="SK55"/>
      <c r="SL55"/>
      <c r="SM55"/>
      <c r="SN55"/>
      <c r="SO55" s="26"/>
      <c r="YK55"/>
      <c r="YL55"/>
      <c r="YM55"/>
      <c r="YN55"/>
      <c r="YO55"/>
      <c r="ACW55" t="s">
        <v>1248</v>
      </c>
      <c r="ACX55" s="1">
        <v>2</v>
      </c>
      <c r="ACY55" s="2"/>
      <c r="ADA55" s="38"/>
      <c r="ADB55" s="2">
        <f t="shared" ref="ADB55:ADB63" si="39">+(ACZ55*ACY55)*ADA55</f>
        <v>0</v>
      </c>
      <c r="ADD55"/>
      <c r="ADE55"/>
      <c r="ADF55"/>
      <c r="ADG55" s="26">
        <f t="shared" si="38"/>
        <v>0</v>
      </c>
      <c r="ADJ55"/>
      <c r="ADK55"/>
      <c r="ADL55"/>
      <c r="ADM55"/>
      <c r="ADN55"/>
      <c r="ADO55"/>
      <c r="ADP55" s="36"/>
      <c r="ADR55"/>
      <c r="ADS55"/>
      <c r="ADT55"/>
      <c r="ADU55"/>
      <c r="ADV55"/>
      <c r="ADW55" s="35"/>
      <c r="ADX55" s="35"/>
      <c r="ADY55"/>
      <c r="ADZ55"/>
      <c r="AEA55"/>
      <c r="AEB55"/>
      <c r="AEC55"/>
      <c r="AED55"/>
      <c r="AEE55" s="36"/>
      <c r="AEG55"/>
      <c r="AEH55"/>
      <c r="AEI55"/>
      <c r="AEJ55"/>
      <c r="AEK55"/>
      <c r="AEL55" s="35"/>
      <c r="AEM55" s="35"/>
      <c r="AEN55" t="s">
        <v>1522</v>
      </c>
      <c r="AEO55" t="s">
        <v>1524</v>
      </c>
      <c r="AEP55" t="s">
        <v>381</v>
      </c>
      <c r="AEQ55">
        <v>0.03</v>
      </c>
      <c r="AER55">
        <v>1</v>
      </c>
      <c r="AES55">
        <f>+Tabla5789141516343536373839404142434445464748495051525355606264[[#This Row],[G. Total]]*Tabla5789141516343536373839404142434445464748495051525355606264[[#This Row],[Recuento]]</f>
        <v>0.03</v>
      </c>
      <c r="AET55" s="36"/>
      <c r="AEV55"/>
      <c r="AEW55"/>
      <c r="AEX55"/>
      <c r="AEY55"/>
      <c r="AEZ55"/>
      <c r="AFA55" s="35"/>
      <c r="AFC55"/>
      <c r="AFD55"/>
      <c r="AFE55"/>
      <c r="AFF55"/>
      <c r="AFG55"/>
      <c r="AFH55"/>
      <c r="AFI55"/>
      <c r="AFJ55"/>
      <c r="AFK55"/>
      <c r="AFL55"/>
      <c r="AFM55"/>
      <c r="AFN55">
        <f>+Tabla578914151634353637383940414243444546474849505152535560626467[[#This Row],[G. Total]]*Tabla578914151634353637383940414243444546474849505152535560626467[[#This Row],[Recuento]]</f>
        <v>0</v>
      </c>
      <c r="AFO55" s="36"/>
    </row>
    <row r="56" spans="1:847" ht="18" customHeight="1" x14ac:dyDescent="0.25">
      <c r="A56"/>
      <c r="B56"/>
      <c r="C56"/>
      <c r="D56"/>
      <c r="E56"/>
      <c r="F56"/>
      <c r="G56"/>
      <c r="H56"/>
      <c r="I56"/>
      <c r="J56"/>
      <c r="V56"/>
      <c r="AH56"/>
      <c r="AT56"/>
      <c r="BF56">
        <v>6</v>
      </c>
      <c r="BG56" t="s">
        <v>1863</v>
      </c>
      <c r="BH56" t="s">
        <v>1524</v>
      </c>
      <c r="BI56" t="s">
        <v>1406</v>
      </c>
      <c r="BJ56">
        <v>0.5</v>
      </c>
      <c r="BK56">
        <v>1</v>
      </c>
      <c r="BL56">
        <f>+Tabla3102[[#This Row],[Longitud de eje]]*BF56</f>
        <v>3</v>
      </c>
      <c r="BM56"/>
      <c r="BO56"/>
      <c r="BP56"/>
      <c r="BQ56"/>
      <c r="BR56"/>
      <c r="BS56"/>
      <c r="BT56">
        <f>+Tabla31069[[#This Row],[Longitud de eje]]*BN56</f>
        <v>0</v>
      </c>
      <c r="BU56">
        <f>+Tabla31069[[#This Row],[Longitud de eje]]*BO56</f>
        <v>0</v>
      </c>
      <c r="BV56"/>
      <c r="BW56"/>
      <c r="BX56"/>
      <c r="BY56"/>
      <c r="BZ56"/>
      <c r="CA56"/>
      <c r="CB56">
        <f>+Tabla31011[[#This Row],[Longitud de eje]]*BV56</f>
        <v>0</v>
      </c>
      <c r="CD56"/>
      <c r="CE56"/>
      <c r="CF56"/>
      <c r="CG56"/>
      <c r="CH56"/>
      <c r="CI56"/>
      <c r="CJ56">
        <f>+Tabla3101170[[#This Row],[En culmo]]*CD56</f>
        <v>0</v>
      </c>
      <c r="CK56"/>
      <c r="CL56"/>
      <c r="CM56"/>
      <c r="CN56"/>
      <c r="CO56"/>
      <c r="CP56"/>
      <c r="CQ56"/>
      <c r="CR56">
        <f>+Tabla31011116[[#This Row],[Longitud de eje]]*CL56</f>
        <v>0</v>
      </c>
      <c r="CT56"/>
      <c r="CU56"/>
      <c r="CV56"/>
      <c r="CW56"/>
      <c r="CX56"/>
      <c r="CY56"/>
      <c r="CZ56">
        <f>+Tabla3101170117[[#This Row],[En culmo]]*CT56</f>
        <v>0</v>
      </c>
      <c r="DA56"/>
      <c r="DB56"/>
      <c r="DC56"/>
      <c r="DD56"/>
      <c r="DE56"/>
      <c r="DF56"/>
      <c r="DG56">
        <f>+Tabla31011704[[#This Row],[Longitud de eje]]*DB56</f>
        <v>0</v>
      </c>
      <c r="DH56"/>
      <c r="DI56"/>
      <c r="DJ56"/>
      <c r="DK56"/>
      <c r="DL56"/>
      <c r="DM56"/>
      <c r="DN56">
        <f>+Tabla3101170411[[#This Row],[Longitud de eje]]*DI56</f>
        <v>0</v>
      </c>
      <c r="DO56"/>
      <c r="DP56"/>
      <c r="DQ56"/>
      <c r="DR56"/>
      <c r="DS56"/>
      <c r="DT56"/>
      <c r="DU56">
        <f>+Tabla3101170411120[[#This Row],[Longitud de eje]]*DP56</f>
        <v>0</v>
      </c>
      <c r="DV56"/>
      <c r="DW56"/>
      <c r="DX56"/>
      <c r="DY56"/>
      <c r="DZ56"/>
      <c r="EA56"/>
      <c r="EB56">
        <f>+Tabla3101170411120122[[#This Row],[Longitud de eje]]*DW56</f>
        <v>0</v>
      </c>
      <c r="EC56"/>
      <c r="ED56">
        <v>2</v>
      </c>
      <c r="EE56" t="s">
        <v>1862</v>
      </c>
      <c r="EF56" t="s">
        <v>1524</v>
      </c>
      <c r="EG56" t="s">
        <v>1406</v>
      </c>
      <c r="EH56">
        <v>5.0999999999999996</v>
      </c>
      <c r="EI56">
        <v>5.5</v>
      </c>
      <c r="EJ56">
        <f>+Tabla3101112[[#This Row],[En culmo]]*ED56</f>
        <v>11</v>
      </c>
      <c r="EK56"/>
      <c r="EL56"/>
      <c r="EM56"/>
      <c r="EN56"/>
      <c r="EO56"/>
      <c r="EP56"/>
      <c r="EQ56"/>
      <c r="ER56">
        <f>+Tabla3101112123[[#This Row],[En culmo]]*EL56</f>
        <v>0</v>
      </c>
      <c r="ES56"/>
      <c r="ET56">
        <v>13</v>
      </c>
      <c r="EU56" t="s">
        <v>1862</v>
      </c>
      <c r="EV56" t="s">
        <v>1525</v>
      </c>
      <c r="EW56" t="s">
        <v>1406</v>
      </c>
      <c r="EX56">
        <v>0.52</v>
      </c>
      <c r="EY56">
        <v>1</v>
      </c>
      <c r="EZ56">
        <f>+Tabla310111257[[#This Row],[En culmo]]*ET56</f>
        <v>13</v>
      </c>
      <c r="FA56"/>
      <c r="FB56"/>
      <c r="FC56"/>
      <c r="FD56"/>
      <c r="FE56"/>
      <c r="FF56"/>
      <c r="FG56">
        <v>1</v>
      </c>
      <c r="FH56">
        <f>+Tabla310111257124[[#This Row],[En culmo]]*FB56</f>
        <v>0</v>
      </c>
      <c r="FI56"/>
      <c r="FK56"/>
      <c r="FL56"/>
      <c r="FM56"/>
      <c r="FN56"/>
      <c r="FO56"/>
      <c r="FP56"/>
      <c r="FQ56"/>
      <c r="FS56"/>
      <c r="FT56"/>
      <c r="FU56"/>
      <c r="FV56"/>
      <c r="FW56"/>
      <c r="FX56"/>
      <c r="FY56"/>
      <c r="GA56"/>
      <c r="GB56"/>
      <c r="GC56"/>
      <c r="GD56"/>
      <c r="GE56"/>
      <c r="GF56"/>
      <c r="GG56"/>
      <c r="GI56"/>
      <c r="GJ56"/>
      <c r="GK56"/>
      <c r="GL56"/>
      <c r="GM56"/>
      <c r="GN56"/>
      <c r="GO56"/>
      <c r="GQ56"/>
      <c r="GR56"/>
      <c r="GS56"/>
      <c r="GT56"/>
      <c r="GU56"/>
      <c r="GV56"/>
      <c r="GW56"/>
      <c r="GX56"/>
      <c r="GY56" s="36"/>
      <c r="HA56"/>
      <c r="HB56"/>
      <c r="HC56"/>
      <c r="HD56"/>
      <c r="HE56"/>
      <c r="HF56"/>
      <c r="HG56"/>
      <c r="HH56"/>
      <c r="HI56" s="36"/>
      <c r="HK56"/>
      <c r="HL56"/>
      <c r="HM56"/>
      <c r="HN56"/>
      <c r="HO56"/>
      <c r="HP56"/>
      <c r="HQ56"/>
      <c r="HR56"/>
      <c r="HS56" s="36"/>
      <c r="HU56"/>
      <c r="HV56"/>
      <c r="HW56"/>
      <c r="HX56"/>
      <c r="HY56"/>
      <c r="HZ56"/>
      <c r="IA56"/>
      <c r="IB56"/>
      <c r="IC56" s="36"/>
      <c r="IE56"/>
      <c r="IF56"/>
      <c r="IG56"/>
      <c r="IH56"/>
      <c r="II56"/>
      <c r="IJ56"/>
      <c r="IK56"/>
      <c r="IL56"/>
      <c r="IM56" s="36"/>
      <c r="IY56"/>
      <c r="IZ56"/>
      <c r="JA56"/>
      <c r="JB56"/>
      <c r="JC56"/>
      <c r="JD56">
        <v>6</v>
      </c>
      <c r="JE56">
        <f>+Tabla520212224[[#This Row],[Recuento]]*Tabla520212224[[#This Row],[Volúmen bruto]]</f>
        <v>0</v>
      </c>
      <c r="JF56">
        <f>+Tabla520212224[[#This Row],[Recuento]]*Tabla520212224[[#This Row],[Área neta]]</f>
        <v>0</v>
      </c>
      <c r="JG56" s="26"/>
      <c r="JI56" t="s">
        <v>1863</v>
      </c>
      <c r="JJ56" t="s">
        <v>1524</v>
      </c>
      <c r="JK56" t="s">
        <v>98</v>
      </c>
      <c r="JL56">
        <v>0.01</v>
      </c>
      <c r="JM56">
        <v>4.8499999999999996</v>
      </c>
      <c r="JN56">
        <v>2</v>
      </c>
      <c r="JO56">
        <f>+Tabla52021222425[[#This Row],[Recuento]]*Tabla52021222425[[#This Row],[Volúmen bruto]]</f>
        <v>0.02</v>
      </c>
      <c r="JP56">
        <f>+Tabla52021222425[[#This Row],[Recuento]]*Tabla52021222425[[#This Row],[Área neta]]</f>
        <v>9.6999999999999993</v>
      </c>
      <c r="JQ56" s="26"/>
      <c r="JS56" t="s">
        <v>1863</v>
      </c>
      <c r="JT56" t="s">
        <v>1524</v>
      </c>
      <c r="JU56" t="s">
        <v>1628</v>
      </c>
      <c r="JV56">
        <v>0.04</v>
      </c>
      <c r="JW56">
        <v>0.46</v>
      </c>
      <c r="JX56">
        <v>2</v>
      </c>
      <c r="JY56">
        <f>+Tabla5202122242526[[#This Row],[Recuento]]*Tabla5202122242526[[#This Row],[Volúmen bruto]]</f>
        <v>0.08</v>
      </c>
      <c r="JZ56">
        <f>+Tabla5202122242526[[#This Row],[Recuento]]*Tabla5202122242526[[#This Row],[Área neta]]</f>
        <v>0.92</v>
      </c>
      <c r="KA56" s="26"/>
      <c r="KC56"/>
      <c r="KD56"/>
      <c r="KE56"/>
      <c r="KF56"/>
      <c r="KG56"/>
      <c r="KH56"/>
      <c r="KI56">
        <f>+Tabla5202122242526104[[#This Row],[Recuento]]*Tabla5202122242526104[[#This Row],[Volúmen bruto]]</f>
        <v>0</v>
      </c>
      <c r="KJ56">
        <f>+Tabla5202122242526104[[#This Row],[Recuento]]*Tabla5202122242526104[[#This Row],[Área neta]]</f>
        <v>0</v>
      </c>
      <c r="KK56" s="26"/>
      <c r="KM56" t="s">
        <v>1862</v>
      </c>
      <c r="KN56" t="s">
        <v>1525</v>
      </c>
      <c r="KO56" t="s">
        <v>1680</v>
      </c>
      <c r="KP56">
        <v>0</v>
      </c>
      <c r="KQ56">
        <v>0.69</v>
      </c>
      <c r="KR56">
        <v>1</v>
      </c>
      <c r="KS56">
        <f>+Tabla5202122242526104110[[#This Row],[Recuento]]*Tabla5202122242526104110[[#This Row],[Volúmen bruto]]</f>
        <v>0</v>
      </c>
      <c r="KT56">
        <f>+Tabla5202122242526104110[[#This Row],[Recuento]]*Tabla5202122242526104110[[#This Row],[Área neta]]</f>
        <v>0.69</v>
      </c>
      <c r="KU56" s="26"/>
      <c r="KW56"/>
      <c r="KX56"/>
      <c r="KY56"/>
      <c r="KZ56"/>
      <c r="LA56"/>
      <c r="LB56"/>
      <c r="LC56">
        <f>+Tabla520212224252659[[#This Row],[Recuento]]*Tabla520212224252659[[#This Row],[Volúmen bruto]]</f>
        <v>0</v>
      </c>
      <c r="LD56">
        <f>+Tabla520212224252659[[#This Row],[Recuento]]*Tabla520212224252659[[#This Row],[Área neta]]</f>
        <v>0</v>
      </c>
      <c r="LE56" s="26"/>
      <c r="LG56"/>
      <c r="LH56"/>
      <c r="LI56"/>
      <c r="LJ56"/>
      <c r="LK56"/>
      <c r="LL56"/>
      <c r="LM56">
        <f>+Tabla520212224252659111[[#This Row],[Recuento]]*Tabla520212224252659111[[#This Row],[Volúmen bruto]]</f>
        <v>0</v>
      </c>
      <c r="LN56">
        <f>+Tabla520212224252659111[[#This Row],[Recuento]]*Tabla520212224252659111[[#This Row],[Área neta]]</f>
        <v>0</v>
      </c>
      <c r="LO56" s="26"/>
      <c r="LQ56"/>
      <c r="LR56"/>
      <c r="LS56"/>
      <c r="LT56"/>
      <c r="LU56"/>
      <c r="LV56"/>
      <c r="LW56">
        <f>+Tabla520212224252659111114[[#This Row],[Recuento]]*Tabla520212224252659111114[[#This Row],[Volúmen bruto]]</f>
        <v>0</v>
      </c>
      <c r="LX56">
        <f>+Tabla520212224252659111114[[#This Row],[Recuento]]*Tabla520212224252659111114[[#This Row],[Área neta]]</f>
        <v>0</v>
      </c>
      <c r="LY56" s="26"/>
      <c r="MA56"/>
      <c r="MB56"/>
      <c r="MC56"/>
      <c r="MD56"/>
      <c r="ME56"/>
      <c r="MF56"/>
      <c r="MG56">
        <f>+Tabla520212224252659111114128[[#This Row],[Recuento]]*Tabla520212224252659111114128[[#This Row],[Volúmen bruto]]</f>
        <v>0</v>
      </c>
      <c r="MH56">
        <f>+Tabla520212224252659111114128[[#This Row],[Recuento]]*Tabla520212224252659111114128[[#This Row],[Área neta]]</f>
        <v>0</v>
      </c>
      <c r="MI56" s="26"/>
      <c r="MK56"/>
      <c r="ML56"/>
      <c r="MM56"/>
      <c r="MN56"/>
      <c r="MO56"/>
      <c r="MP56"/>
      <c r="MQ56">
        <f>+Tabla520212224252627[[#This Row],[Recuento]]*Tabla520212224252627[[#This Row],[Volúmen bruto]]</f>
        <v>0</v>
      </c>
      <c r="MR56">
        <f>+Tabla520212224252627[[#This Row],[Recuento]]*Tabla520212224252627[[#This Row],[Área neta]]</f>
        <v>0</v>
      </c>
      <c r="MS56" s="26"/>
      <c r="MU56"/>
      <c r="MV56"/>
      <c r="MW56"/>
      <c r="MX56"/>
      <c r="MY56"/>
      <c r="MZ56"/>
      <c r="NA56">
        <f>+Tabla520212224252627129[[#This Row],[Recuento]]*Tabla520212224252627129[[#This Row],[Volúmen bruto]]</f>
        <v>0</v>
      </c>
      <c r="NB56">
        <f>+Tabla520212224252627129[[#This Row],[Recuento]]*Tabla520212224252627129[[#This Row],[Área neta]]</f>
        <v>0</v>
      </c>
      <c r="NC56" s="26"/>
      <c r="NE56"/>
      <c r="NF56"/>
      <c r="NG56"/>
      <c r="NH56"/>
      <c r="NI56"/>
      <c r="NJ56"/>
      <c r="NK56">
        <f>+Tabla520212224252627129125[[#This Row],[Recuento]]*Tabla520212224252627129125[[#This Row],[Volúmen bruto]]</f>
        <v>0</v>
      </c>
      <c r="NL56">
        <f>+Tabla520212224252627129125[[#This Row],[Recuento]]*Tabla520212224252627129125[[#This Row],[Área neta]]</f>
        <v>0</v>
      </c>
      <c r="NM56" s="26"/>
      <c r="NO56"/>
      <c r="NP56"/>
      <c r="NQ56"/>
      <c r="NR56"/>
      <c r="NS56"/>
      <c r="NT56"/>
      <c r="NU56">
        <f>+Tabla520212224252627129125130[[#This Row],[Recuento]]*Tabla520212224252627129125130[[#This Row],[Volúmen bruto]]</f>
        <v>0</v>
      </c>
      <c r="NV56">
        <f>+Tabla520212224252627129125130[[#This Row],[Recuento]]*Tabla520212224252627129125130[[#This Row],[Área neta]]</f>
        <v>0</v>
      </c>
      <c r="NW56" s="26"/>
      <c r="NY56"/>
      <c r="NZ56"/>
      <c r="OA56"/>
      <c r="OB56"/>
      <c r="OC56"/>
      <c r="OD56"/>
      <c r="OE56">
        <f>+Tabla520212224252627129125130131[[#This Row],[Recuento]]*Tabla520212224252627129125130131[[#This Row],[Volúmen bruto]]</f>
        <v>0</v>
      </c>
      <c r="OF56">
        <f>+Tabla520212224252627129125130131[[#This Row],[Recuento]]*Tabla520212224252627129125130131[[#This Row],[Área neta]]</f>
        <v>0</v>
      </c>
      <c r="OG56" s="26"/>
      <c r="OI56"/>
      <c r="OJ56"/>
      <c r="OK56"/>
      <c r="OL56"/>
      <c r="OM56"/>
      <c r="ON56"/>
      <c r="OO56">
        <f>+Tabla520212224252627129125130131132[[#This Row],[Recuento]]*Tabla520212224252627129125130131132[[#This Row],[Volúmen bruto]]</f>
        <v>0</v>
      </c>
      <c r="OP56">
        <f>+Tabla520212224252627129125130131132[[#This Row],[Recuento]]*Tabla520212224252627129125130131132[[#This Row],[Área neta]]</f>
        <v>0</v>
      </c>
      <c r="OQ56" s="26"/>
      <c r="OS56"/>
      <c r="OT56"/>
      <c r="OU56"/>
      <c r="OV56"/>
      <c r="OW56"/>
      <c r="OX56"/>
      <c r="OY56">
        <f>+Tabla52021222425262728[[#This Row],[Recuento]]*Tabla52021222425262728[[#This Row],[Volúmen bruto]]</f>
        <v>0</v>
      </c>
      <c r="OZ56">
        <f>+Tabla52021222425262728[[#This Row],[Recuento]]*Tabla52021222425262728[[#This Row],[Área neta]]</f>
        <v>0</v>
      </c>
      <c r="PA56" s="26">
        <f t="shared" si="32"/>
        <v>0</v>
      </c>
      <c r="PC56" t="s">
        <v>1862</v>
      </c>
      <c r="PD56" t="s">
        <v>1525</v>
      </c>
      <c r="PE56" t="s">
        <v>1676</v>
      </c>
      <c r="PF56">
        <v>0.11</v>
      </c>
      <c r="PG56">
        <v>0.89</v>
      </c>
      <c r="PH56">
        <v>1</v>
      </c>
      <c r="PI56">
        <f>+Tabla52021222425262728133[[#This Row],[Recuento]]*Tabla52021222425262728133[[#This Row],[Volúmen bruto]]</f>
        <v>0.11</v>
      </c>
      <c r="PJ56">
        <f>+Tabla52021222425262728133[[#This Row],[Recuento]]*Tabla52021222425262728133[[#This Row],[Área neta]]</f>
        <v>0.89</v>
      </c>
      <c r="PK56" s="26"/>
      <c r="PM56"/>
      <c r="PN56"/>
      <c r="PO56"/>
      <c r="PP56"/>
      <c r="PQ56"/>
      <c r="PR56"/>
      <c r="PS56">
        <f>+Tabla5202122242526272893[[#This Row],[Recuento]]*Tabla5202122242526272893[[#This Row],[Volúmen bruto]]</f>
        <v>0</v>
      </c>
      <c r="PT56">
        <f>+Tabla5202122242526272893[[#This Row],[Recuento]]*Tabla5202122242526272893[[#This Row],[Área neta]]</f>
        <v>0</v>
      </c>
      <c r="PU56" s="26"/>
      <c r="PW56" t="s">
        <v>1863</v>
      </c>
      <c r="PX56" t="s">
        <v>1525</v>
      </c>
      <c r="PY56" t="s">
        <v>97</v>
      </c>
      <c r="PZ56">
        <v>0.02</v>
      </c>
      <c r="QA56">
        <v>1.02</v>
      </c>
      <c r="QB56">
        <v>2</v>
      </c>
      <c r="QC56">
        <f>+Tabla520212224252627289349[[#This Row],[Recuento]]*Tabla520212224252627289349[[#This Row],[Volúmen bruto]]</f>
        <v>0.04</v>
      </c>
      <c r="QD56">
        <f>+Tabla520212224252627289349[[#This Row],[Recuento]]*Tabla520212224252627289349[[#This Row],[Área neta]]</f>
        <v>2.04</v>
      </c>
      <c r="QE56" s="26"/>
      <c r="QG56"/>
      <c r="QH56"/>
      <c r="QI56"/>
      <c r="QJ56"/>
      <c r="QK56"/>
      <c r="QL56"/>
      <c r="QM56">
        <f>+Tabla520212224252627289349134[[#This Row],[Recuento]]*Tabla520212224252627289349134[[#This Row],[Volúmen bruto]]</f>
        <v>0</v>
      </c>
      <c r="QN56">
        <f>+Tabla520212224252627289349134[[#This Row],[Recuento]]*Tabla520212224252627289349134[[#This Row],[Área neta]]</f>
        <v>0</v>
      </c>
      <c r="QO56" s="26"/>
      <c r="QQ56"/>
      <c r="QR56"/>
      <c r="QS56"/>
      <c r="QT56"/>
      <c r="QU56"/>
      <c r="QV56"/>
      <c r="QW56"/>
      <c r="QX56"/>
      <c r="QY56"/>
      <c r="QZ56"/>
      <c r="RA56" s="26"/>
      <c r="RC56"/>
      <c r="RD56"/>
      <c r="RE56"/>
      <c r="RF56"/>
      <c r="RG56"/>
      <c r="RH56"/>
      <c r="RI56"/>
      <c r="RJ56"/>
      <c r="RK56" s="26"/>
      <c r="RM56"/>
      <c r="RN56"/>
      <c r="RO56"/>
      <c r="RP56"/>
      <c r="RQ56"/>
      <c r="RR56"/>
      <c r="RS56"/>
      <c r="RT56"/>
      <c r="RU56" s="26">
        <f t="shared" si="7"/>
        <v>0</v>
      </c>
      <c r="RW56"/>
      <c r="RX56"/>
      <c r="RY56"/>
      <c r="RZ56"/>
      <c r="SA56"/>
      <c r="SB56"/>
      <c r="SC56"/>
      <c r="SD56"/>
      <c r="SE56" s="26"/>
      <c r="SG56"/>
      <c r="SH56"/>
      <c r="SI56"/>
      <c r="SJ56"/>
      <c r="SK56"/>
      <c r="SL56"/>
      <c r="SM56"/>
      <c r="SN56"/>
      <c r="SO56" s="26"/>
      <c r="YK56"/>
      <c r="YL56"/>
      <c r="YM56"/>
      <c r="YN56"/>
      <c r="YO56"/>
      <c r="ACW56" t="s">
        <v>1229</v>
      </c>
      <c r="ACX56" s="1">
        <v>2</v>
      </c>
      <c r="ACY56" s="2"/>
      <c r="ADA56"/>
      <c r="ADB56" s="2">
        <f>+(ACZ56*ACY56)*ADA56</f>
        <v>0</v>
      </c>
      <c r="ADD56"/>
      <c r="ADE56"/>
      <c r="ADF56"/>
      <c r="ADG56" s="26">
        <f t="shared" si="38"/>
        <v>0</v>
      </c>
      <c r="ADJ56"/>
      <c r="ADK56"/>
      <c r="ADL56"/>
      <c r="ADM56"/>
      <c r="ADN56"/>
      <c r="ADO56"/>
      <c r="ADP56" s="35"/>
      <c r="ADR56"/>
      <c r="ADS56"/>
      <c r="ADT56"/>
      <c r="ADU56"/>
      <c r="ADV56"/>
      <c r="ADW56" s="35"/>
      <c r="ADX56" s="35"/>
      <c r="ADY56"/>
      <c r="ADZ56"/>
      <c r="AEA56"/>
      <c r="AEB56"/>
      <c r="AEC56"/>
      <c r="AED56"/>
      <c r="AEE56" s="35"/>
      <c r="AEG56"/>
      <c r="AEH56"/>
      <c r="AEI56"/>
      <c r="AEJ56"/>
      <c r="AEK56"/>
      <c r="AEL56" s="35"/>
      <c r="AEM56" s="35"/>
      <c r="AEN56" t="s">
        <v>1522</v>
      </c>
      <c r="AEO56" t="s">
        <v>1524</v>
      </c>
      <c r="AEP56" t="s">
        <v>381</v>
      </c>
      <c r="AEQ56">
        <v>0.32</v>
      </c>
      <c r="AER56">
        <v>5</v>
      </c>
      <c r="AES56">
        <f>+Tabla5789141516343536373839404142434445464748495051525355606264[[#This Row],[G. Total]]*Tabla5789141516343536373839404142434445464748495051525355606264[[#This Row],[Recuento]]</f>
        <v>1.6</v>
      </c>
      <c r="AET56" s="35"/>
      <c r="AEV56"/>
      <c r="AEW56"/>
      <c r="AEX56"/>
      <c r="AEY56"/>
      <c r="AEZ56"/>
      <c r="AFA56" s="35"/>
      <c r="AFC56"/>
      <c r="AFD56"/>
      <c r="AFE56"/>
      <c r="AFF56"/>
      <c r="AFG56"/>
      <c r="AFH56"/>
      <c r="AFI56"/>
      <c r="AFJ56"/>
      <c r="AFK56"/>
      <c r="AFL56"/>
      <c r="AFM56"/>
      <c r="AFN56">
        <f>+Tabla578914151634353637383940414243444546474849505152535560626467[[#This Row],[G. Total]]*Tabla578914151634353637383940414243444546474849505152535560626467[[#This Row],[Recuento]]</f>
        <v>0</v>
      </c>
      <c r="AFO56" s="35"/>
    </row>
    <row r="57" spans="1:847" ht="17.25" customHeight="1" x14ac:dyDescent="0.25">
      <c r="A57"/>
      <c r="B57"/>
      <c r="C57"/>
      <c r="D57"/>
      <c r="E57"/>
      <c r="F57"/>
      <c r="G57"/>
      <c r="H57"/>
      <c r="I57"/>
      <c r="J57"/>
      <c r="V57"/>
      <c r="AH57"/>
      <c r="AT57"/>
      <c r="BF57">
        <v>1</v>
      </c>
      <c r="BG57" t="s">
        <v>1863</v>
      </c>
      <c r="BH57" t="s">
        <v>1524</v>
      </c>
      <c r="BI57" t="s">
        <v>1406</v>
      </c>
      <c r="BJ57">
        <v>1</v>
      </c>
      <c r="BK57">
        <v>1.5</v>
      </c>
      <c r="BL57">
        <f>+Tabla3102[[#This Row],[Longitud de eje]]*BF57</f>
        <v>1</v>
      </c>
      <c r="BM57"/>
      <c r="BO57"/>
      <c r="BP57"/>
      <c r="BQ57"/>
      <c r="BR57"/>
      <c r="BS57"/>
      <c r="BT57">
        <f>+Tabla31069[[#This Row],[Longitud de eje]]*BN57</f>
        <v>0</v>
      </c>
      <c r="BU57">
        <f>+Tabla31069[[#This Row],[Longitud de eje]]*BO57</f>
        <v>0</v>
      </c>
      <c r="BV57"/>
      <c r="BW57"/>
      <c r="BX57"/>
      <c r="BY57"/>
      <c r="BZ57"/>
      <c r="CA57"/>
      <c r="CB57">
        <f>+Tabla31011[[#This Row],[Longitud de eje]]*BV57</f>
        <v>0</v>
      </c>
      <c r="CD57"/>
      <c r="CE57"/>
      <c r="CF57"/>
      <c r="CG57"/>
      <c r="CH57"/>
      <c r="CI57"/>
      <c r="CJ57">
        <f>+Tabla3101170[[#This Row],[En culmo]]*CD57</f>
        <v>0</v>
      </c>
      <c r="CK57"/>
      <c r="CL57"/>
      <c r="CM57"/>
      <c r="CN57"/>
      <c r="CO57"/>
      <c r="CP57"/>
      <c r="CQ57"/>
      <c r="CR57">
        <f>+Tabla31011116[[#This Row],[Longitud de eje]]*CL57</f>
        <v>0</v>
      </c>
      <c r="CT57"/>
      <c r="CU57"/>
      <c r="CV57"/>
      <c r="CW57"/>
      <c r="CX57"/>
      <c r="CY57"/>
      <c r="CZ57">
        <f>+Tabla3101170117[[#This Row],[En culmo]]*CT57</f>
        <v>0</v>
      </c>
      <c r="DA57"/>
      <c r="DB57"/>
      <c r="DC57"/>
      <c r="DD57"/>
      <c r="DE57"/>
      <c r="DF57"/>
      <c r="DG57">
        <f>+Tabla31011704[[#This Row],[Longitud de eje]]*DB57</f>
        <v>0</v>
      </c>
      <c r="DH57"/>
      <c r="DI57"/>
      <c r="DJ57"/>
      <c r="DK57"/>
      <c r="DL57"/>
      <c r="DM57"/>
      <c r="DN57">
        <f>+Tabla3101170411[[#This Row],[Longitud de eje]]*DI57</f>
        <v>0</v>
      </c>
      <c r="DO57"/>
      <c r="DP57"/>
      <c r="DQ57"/>
      <c r="DR57"/>
      <c r="DS57"/>
      <c r="DT57"/>
      <c r="DU57">
        <f>+Tabla3101170411120[[#This Row],[Longitud de eje]]*DP57</f>
        <v>0</v>
      </c>
      <c r="DV57"/>
      <c r="DW57"/>
      <c r="DX57"/>
      <c r="DY57"/>
      <c r="DZ57"/>
      <c r="EA57"/>
      <c r="EB57">
        <f>+Tabla3101170411120122[[#This Row],[Longitud de eje]]*DW57</f>
        <v>0</v>
      </c>
      <c r="EC57"/>
      <c r="ED57">
        <v>3</v>
      </c>
      <c r="EE57" t="s">
        <v>1862</v>
      </c>
      <c r="EF57" t="s">
        <v>1524</v>
      </c>
      <c r="EG57" t="s">
        <v>1406</v>
      </c>
      <c r="EH57">
        <v>1.39</v>
      </c>
      <c r="EI57">
        <v>2</v>
      </c>
      <c r="EJ57">
        <f>+Tabla3101112[[#This Row],[En culmo]]*ED57</f>
        <v>6</v>
      </c>
      <c r="EK57"/>
      <c r="EL57"/>
      <c r="EM57"/>
      <c r="EN57"/>
      <c r="EO57"/>
      <c r="EP57"/>
      <c r="EQ57"/>
      <c r="ER57">
        <f>+Tabla3101112123[[#This Row],[En culmo]]*EL57</f>
        <v>0</v>
      </c>
      <c r="ES57"/>
      <c r="ET57">
        <v>2</v>
      </c>
      <c r="EU57" t="s">
        <v>1862</v>
      </c>
      <c r="EV57" t="s">
        <v>1525</v>
      </c>
      <c r="EW57" t="s">
        <v>1406</v>
      </c>
      <c r="EX57">
        <v>3</v>
      </c>
      <c r="EY57">
        <v>3.5</v>
      </c>
      <c r="EZ57">
        <f>+Tabla310111257[[#This Row],[En culmo]]*ET57</f>
        <v>7</v>
      </c>
      <c r="FA57"/>
      <c r="FB57"/>
      <c r="FC57"/>
      <c r="FD57"/>
      <c r="FE57"/>
      <c r="FF57"/>
      <c r="FG57">
        <v>2</v>
      </c>
      <c r="FH57">
        <f>+Tabla310111257124[[#This Row],[En culmo]]*FB57</f>
        <v>0</v>
      </c>
      <c r="FI57"/>
      <c r="FK57"/>
      <c r="FL57"/>
      <c r="FM57"/>
      <c r="FN57"/>
      <c r="FO57"/>
      <c r="FP57"/>
      <c r="FQ57"/>
      <c r="FS57"/>
      <c r="FT57"/>
      <c r="FU57"/>
      <c r="FV57"/>
      <c r="FW57"/>
      <c r="FX57"/>
      <c r="FY57"/>
      <c r="GA57"/>
      <c r="GB57"/>
      <c r="GC57"/>
      <c r="GD57"/>
      <c r="GE57"/>
      <c r="GF57"/>
      <c r="GG57"/>
      <c r="GI57"/>
      <c r="GJ57"/>
      <c r="GK57"/>
      <c r="GL57"/>
      <c r="GM57"/>
      <c r="GN57"/>
      <c r="GO57"/>
      <c r="GQ57"/>
      <c r="GR57"/>
      <c r="GS57"/>
      <c r="GT57"/>
      <c r="GU57"/>
      <c r="GV57"/>
      <c r="GW57"/>
      <c r="GX57"/>
      <c r="GY57" s="36"/>
      <c r="HA57"/>
      <c r="HB57"/>
      <c r="HC57"/>
      <c r="HD57"/>
      <c r="HE57"/>
      <c r="HF57"/>
      <c r="HG57"/>
      <c r="HH57"/>
      <c r="HI57" s="36"/>
      <c r="HK57"/>
      <c r="HL57"/>
      <c r="HM57"/>
      <c r="HN57"/>
      <c r="HO57"/>
      <c r="HP57"/>
      <c r="HQ57"/>
      <c r="HR57"/>
      <c r="HS57" s="36"/>
      <c r="HU57"/>
      <c r="HV57"/>
      <c r="HW57"/>
      <c r="HX57"/>
      <c r="HY57"/>
      <c r="HZ57"/>
      <c r="IA57"/>
      <c r="IB57"/>
      <c r="IC57" s="36"/>
      <c r="IE57"/>
      <c r="IF57"/>
      <c r="IG57"/>
      <c r="IH57"/>
      <c r="II57"/>
      <c r="IJ57"/>
      <c r="IK57"/>
      <c r="IL57"/>
      <c r="IM57" s="36"/>
      <c r="IY57"/>
      <c r="IZ57"/>
      <c r="JA57"/>
      <c r="JB57"/>
      <c r="JC57"/>
      <c r="JD57">
        <v>12</v>
      </c>
      <c r="JE57">
        <f>+Tabla520212224[[#This Row],[Recuento]]*Tabla520212224[[#This Row],[Volúmen bruto]]</f>
        <v>0</v>
      </c>
      <c r="JF57">
        <f>+Tabla520212224[[#This Row],[Recuento]]*Tabla520212224[[#This Row],[Área neta]]</f>
        <v>0</v>
      </c>
      <c r="JG57" s="26"/>
      <c r="JI57" t="s">
        <v>1863</v>
      </c>
      <c r="JJ57" t="s">
        <v>1525</v>
      </c>
      <c r="JK57" t="s">
        <v>98</v>
      </c>
      <c r="JL57">
        <v>0.01</v>
      </c>
      <c r="JM57">
        <v>11.67</v>
      </c>
      <c r="JN57">
        <v>1</v>
      </c>
      <c r="JO57">
        <f>+Tabla52021222425[[#This Row],[Recuento]]*Tabla52021222425[[#This Row],[Volúmen bruto]]</f>
        <v>0.01</v>
      </c>
      <c r="JP57">
        <f>+Tabla52021222425[[#This Row],[Recuento]]*Tabla52021222425[[#This Row],[Área neta]]</f>
        <v>11.67</v>
      </c>
      <c r="JQ57" s="26"/>
      <c r="JS57" t="s">
        <v>1863</v>
      </c>
      <c r="JT57" t="s">
        <v>1524</v>
      </c>
      <c r="JU57" t="s">
        <v>1628</v>
      </c>
      <c r="JV57">
        <v>0.02</v>
      </c>
      <c r="JW57">
        <v>1.05</v>
      </c>
      <c r="JX57">
        <v>2</v>
      </c>
      <c r="JY57">
        <f>+Tabla5202122242526[[#This Row],[Recuento]]*Tabla5202122242526[[#This Row],[Volúmen bruto]]</f>
        <v>0.04</v>
      </c>
      <c r="JZ57">
        <f>+Tabla5202122242526[[#This Row],[Recuento]]*Tabla5202122242526[[#This Row],[Área neta]]</f>
        <v>2.1</v>
      </c>
      <c r="KA57" s="415"/>
      <c r="KC57"/>
      <c r="KD57"/>
      <c r="KE57"/>
      <c r="KF57"/>
      <c r="KG57"/>
      <c r="KH57"/>
      <c r="KI57">
        <f>+Tabla5202122242526104[[#This Row],[Recuento]]*Tabla5202122242526104[[#This Row],[Volúmen bruto]]</f>
        <v>0</v>
      </c>
      <c r="KJ57">
        <f>+Tabla5202122242526104[[#This Row],[Recuento]]*Tabla5202122242526104[[#This Row],[Área neta]]</f>
        <v>0</v>
      </c>
      <c r="KK57" s="26"/>
      <c r="KM57" t="s">
        <v>1862</v>
      </c>
      <c r="KN57" t="s">
        <v>1525</v>
      </c>
      <c r="KO57" t="s">
        <v>1680</v>
      </c>
      <c r="KP57">
        <v>0.04</v>
      </c>
      <c r="KQ57">
        <v>6.73</v>
      </c>
      <c r="KR57">
        <v>1</v>
      </c>
      <c r="KS57">
        <f>+Tabla5202122242526104110[[#This Row],[Recuento]]*Tabla5202122242526104110[[#This Row],[Volúmen bruto]]</f>
        <v>0.04</v>
      </c>
      <c r="KT57">
        <f>+Tabla5202122242526104110[[#This Row],[Recuento]]*Tabla5202122242526104110[[#This Row],[Área neta]]</f>
        <v>6.73</v>
      </c>
      <c r="KU57" s="415"/>
      <c r="KW57"/>
      <c r="KX57"/>
      <c r="KY57"/>
      <c r="KZ57"/>
      <c r="LA57"/>
      <c r="LB57"/>
      <c r="LC57">
        <f>+Tabla520212224252659[[#This Row],[Recuento]]*Tabla520212224252659[[#This Row],[Volúmen bruto]]</f>
        <v>0</v>
      </c>
      <c r="LD57">
        <f>+Tabla520212224252659[[#This Row],[Recuento]]*Tabla520212224252659[[#This Row],[Área neta]]</f>
        <v>0</v>
      </c>
      <c r="LE57" s="26"/>
      <c r="LG57"/>
      <c r="LH57"/>
      <c r="LI57"/>
      <c r="LJ57"/>
      <c r="LK57"/>
      <c r="LL57"/>
      <c r="LM57">
        <f>+Tabla520212224252659111[[#This Row],[Recuento]]*Tabla520212224252659111[[#This Row],[Volúmen bruto]]</f>
        <v>0</v>
      </c>
      <c r="LN57">
        <f>+Tabla520212224252659111[[#This Row],[Recuento]]*Tabla520212224252659111[[#This Row],[Área neta]]</f>
        <v>0</v>
      </c>
      <c r="LO57" s="26"/>
      <c r="LQ57"/>
      <c r="LR57"/>
      <c r="LS57"/>
      <c r="LT57"/>
      <c r="LU57"/>
      <c r="LV57"/>
      <c r="LW57">
        <f>+Tabla520212224252659111114[[#This Row],[Recuento]]*Tabla520212224252659111114[[#This Row],[Volúmen bruto]]</f>
        <v>0</v>
      </c>
      <c r="LX57">
        <f>+Tabla520212224252659111114[[#This Row],[Recuento]]*Tabla520212224252659111114[[#This Row],[Área neta]]</f>
        <v>0</v>
      </c>
      <c r="LY57" s="26"/>
      <c r="MA57"/>
      <c r="MB57"/>
      <c r="MC57"/>
      <c r="MD57"/>
      <c r="ME57"/>
      <c r="MF57"/>
      <c r="MG57">
        <f>+Tabla520212224252659111114128[[#This Row],[Recuento]]*Tabla520212224252659111114128[[#This Row],[Volúmen bruto]]</f>
        <v>0</v>
      </c>
      <c r="MH57">
        <f>+Tabla520212224252659111114128[[#This Row],[Recuento]]*Tabla520212224252659111114128[[#This Row],[Área neta]]</f>
        <v>0</v>
      </c>
      <c r="MI57" s="26"/>
      <c r="MK57"/>
      <c r="ML57"/>
      <c r="MM57"/>
      <c r="MN57"/>
      <c r="MO57"/>
      <c r="MP57"/>
      <c r="MQ57">
        <f>+Tabla520212224252627[[#This Row],[Recuento]]*Tabla520212224252627[[#This Row],[Volúmen bruto]]</f>
        <v>0</v>
      </c>
      <c r="MR57">
        <f>+Tabla520212224252627[[#This Row],[Recuento]]*Tabla520212224252627[[#This Row],[Área neta]]</f>
        <v>0</v>
      </c>
      <c r="MS57" s="26"/>
      <c r="MU57"/>
      <c r="MV57"/>
      <c r="MW57"/>
      <c r="MX57"/>
      <c r="MY57"/>
      <c r="MZ57"/>
      <c r="NA57">
        <f>+Tabla520212224252627129[[#This Row],[Recuento]]*Tabla520212224252627129[[#This Row],[Volúmen bruto]]</f>
        <v>0</v>
      </c>
      <c r="NB57">
        <f>+Tabla520212224252627129[[#This Row],[Recuento]]*Tabla520212224252627129[[#This Row],[Área neta]]</f>
        <v>0</v>
      </c>
      <c r="NC57" s="26"/>
      <c r="NE57"/>
      <c r="NF57"/>
      <c r="NG57"/>
      <c r="NH57"/>
      <c r="NI57"/>
      <c r="NJ57"/>
      <c r="NK57">
        <f>+Tabla520212224252627129125[[#This Row],[Recuento]]*Tabla520212224252627129125[[#This Row],[Volúmen bruto]]</f>
        <v>0</v>
      </c>
      <c r="NL57">
        <f>+Tabla520212224252627129125[[#This Row],[Recuento]]*Tabla520212224252627129125[[#This Row],[Área neta]]</f>
        <v>0</v>
      </c>
      <c r="NM57" s="26"/>
      <c r="NO57"/>
      <c r="NP57"/>
      <c r="NQ57"/>
      <c r="NR57"/>
      <c r="NS57"/>
      <c r="NT57"/>
      <c r="NU57">
        <f>+Tabla520212224252627129125130[[#This Row],[Recuento]]*Tabla520212224252627129125130[[#This Row],[Volúmen bruto]]</f>
        <v>0</v>
      </c>
      <c r="NV57">
        <f>+Tabla520212224252627129125130[[#This Row],[Recuento]]*Tabla520212224252627129125130[[#This Row],[Área neta]]</f>
        <v>0</v>
      </c>
      <c r="NW57" s="26"/>
      <c r="NY57"/>
      <c r="NZ57"/>
      <c r="OA57"/>
      <c r="OB57"/>
      <c r="OC57"/>
      <c r="OD57"/>
      <c r="OE57">
        <f>+Tabla520212224252627129125130131[[#This Row],[Recuento]]*Tabla520212224252627129125130131[[#This Row],[Volúmen bruto]]</f>
        <v>0</v>
      </c>
      <c r="OF57">
        <f>+Tabla520212224252627129125130131[[#This Row],[Recuento]]*Tabla520212224252627129125130131[[#This Row],[Área neta]]</f>
        <v>0</v>
      </c>
      <c r="OG57" s="26"/>
      <c r="OI57"/>
      <c r="OJ57"/>
      <c r="OK57"/>
      <c r="OL57"/>
      <c r="OM57"/>
      <c r="ON57"/>
      <c r="OO57">
        <f>+Tabla520212224252627129125130131132[[#This Row],[Recuento]]*Tabla520212224252627129125130131132[[#This Row],[Volúmen bruto]]</f>
        <v>0</v>
      </c>
      <c r="OP57">
        <f>+Tabla520212224252627129125130131132[[#This Row],[Recuento]]*Tabla520212224252627129125130131132[[#This Row],[Área neta]]</f>
        <v>0</v>
      </c>
      <c r="OQ57" s="26"/>
      <c r="OS57"/>
      <c r="OT57"/>
      <c r="OU57"/>
      <c r="OV57"/>
      <c r="OW57"/>
      <c r="OX57"/>
      <c r="OY57">
        <f>+Tabla52021222425262728[[#This Row],[Recuento]]*Tabla52021222425262728[[#This Row],[Volúmen bruto]]</f>
        <v>0</v>
      </c>
      <c r="OZ57">
        <f>+Tabla52021222425262728[[#This Row],[Recuento]]*Tabla52021222425262728[[#This Row],[Área neta]]</f>
        <v>0</v>
      </c>
      <c r="PA57" s="26">
        <f t="shared" si="32"/>
        <v>0</v>
      </c>
      <c r="PC57" t="s">
        <v>1862</v>
      </c>
      <c r="PD57" t="s">
        <v>1525</v>
      </c>
      <c r="PE57" t="s">
        <v>1676</v>
      </c>
      <c r="PF57">
        <v>0.18</v>
      </c>
      <c r="PG57">
        <v>1.49</v>
      </c>
      <c r="PH57">
        <v>1</v>
      </c>
      <c r="PI57">
        <f>+Tabla52021222425262728133[[#This Row],[Recuento]]*Tabla52021222425262728133[[#This Row],[Volúmen bruto]]</f>
        <v>0.18</v>
      </c>
      <c r="PJ57">
        <f>+Tabla52021222425262728133[[#This Row],[Recuento]]*Tabla52021222425262728133[[#This Row],[Área neta]]</f>
        <v>1.49</v>
      </c>
      <c r="PK57" s="26"/>
      <c r="PM57"/>
      <c r="PN57"/>
      <c r="PO57"/>
      <c r="PP57"/>
      <c r="PQ57"/>
      <c r="PR57"/>
      <c r="PS57">
        <f>+Tabla5202122242526272893[[#This Row],[Recuento]]*Tabla5202122242526272893[[#This Row],[Volúmen bruto]]</f>
        <v>0</v>
      </c>
      <c r="PT57">
        <f>+Tabla5202122242526272893[[#This Row],[Recuento]]*Tabla5202122242526272893[[#This Row],[Área neta]]</f>
        <v>0</v>
      </c>
      <c r="PU57" s="26"/>
      <c r="PW57" t="s">
        <v>1863</v>
      </c>
      <c r="PX57" t="s">
        <v>1524</v>
      </c>
      <c r="PY57" t="s">
        <v>98</v>
      </c>
      <c r="PZ57">
        <v>0</v>
      </c>
      <c r="QA57">
        <v>2.21</v>
      </c>
      <c r="QB57">
        <v>1</v>
      </c>
      <c r="QC57">
        <f>+Tabla520212224252627289349[[#This Row],[Recuento]]*Tabla520212224252627289349[[#This Row],[Volúmen bruto]]</f>
        <v>0</v>
      </c>
      <c r="QD57">
        <f>+Tabla520212224252627289349[[#This Row],[Recuento]]*Tabla520212224252627289349[[#This Row],[Área neta]]</f>
        <v>2.21</v>
      </c>
      <c r="QE57" s="26">
        <f>+SUM(QD57:QD59)</f>
        <v>4.99</v>
      </c>
      <c r="QG57"/>
      <c r="QH57"/>
      <c r="QI57"/>
      <c r="QJ57"/>
      <c r="QK57"/>
      <c r="QL57"/>
      <c r="QM57">
        <f>+Tabla520212224252627289349134[[#This Row],[Recuento]]*Tabla520212224252627289349134[[#This Row],[Volúmen bruto]]</f>
        <v>0</v>
      </c>
      <c r="QN57">
        <f>+Tabla520212224252627289349134[[#This Row],[Recuento]]*Tabla520212224252627289349134[[#This Row],[Área neta]]</f>
        <v>0</v>
      </c>
      <c r="QO57" s="26"/>
      <c r="QQ57"/>
      <c r="QR57"/>
      <c r="QS57"/>
      <c r="QT57"/>
      <c r="QU57"/>
      <c r="QV57"/>
      <c r="QW57"/>
      <c r="QX57"/>
      <c r="QY57"/>
      <c r="QZ57"/>
      <c r="RA57" s="26"/>
      <c r="RC57"/>
      <c r="RD57"/>
      <c r="RE57"/>
      <c r="RF57"/>
      <c r="RG57"/>
      <c r="RH57"/>
      <c r="RI57"/>
      <c r="RJ57"/>
      <c r="RK57" s="26"/>
      <c r="RM57"/>
      <c r="RN57"/>
      <c r="RO57"/>
      <c r="RP57"/>
      <c r="RQ57"/>
      <c r="RR57"/>
      <c r="RS57"/>
      <c r="RT57"/>
      <c r="RU57" s="26">
        <f t="shared" si="7"/>
        <v>0</v>
      </c>
      <c r="RW57"/>
      <c r="RX57"/>
      <c r="RY57"/>
      <c r="RZ57"/>
      <c r="SA57"/>
      <c r="SB57"/>
      <c r="SC57"/>
      <c r="SD57"/>
      <c r="SE57" s="26"/>
      <c r="SG57"/>
      <c r="SH57"/>
      <c r="SI57"/>
      <c r="SJ57"/>
      <c r="SK57"/>
      <c r="SL57"/>
      <c r="SM57"/>
      <c r="SN57"/>
      <c r="SO57" s="26"/>
      <c r="YK57"/>
      <c r="YL57"/>
      <c r="YM57"/>
      <c r="YN57"/>
      <c r="YO57"/>
      <c r="ACW57" t="s">
        <v>1249</v>
      </c>
      <c r="ACX57" s="1">
        <v>2</v>
      </c>
      <c r="ACY57" s="2"/>
      <c r="ADA57" s="38"/>
      <c r="ADB57" s="2">
        <f t="shared" ref="ADB57:ADB63" si="40">+(ACZ57*ACY57)*ADA57</f>
        <v>0</v>
      </c>
      <c r="ADD57"/>
      <c r="ADE57"/>
      <c r="ADF57"/>
      <c r="ADG57" s="26">
        <f t="shared" si="38"/>
        <v>0</v>
      </c>
      <c r="ADJ57"/>
      <c r="ADK57"/>
      <c r="ADL57"/>
      <c r="ADM57"/>
      <c r="ADN57"/>
      <c r="ADO57"/>
      <c r="ADP57" s="36"/>
      <c r="ADR57"/>
      <c r="ADS57"/>
      <c r="ADT57"/>
      <c r="ADU57"/>
      <c r="ADV57"/>
      <c r="ADW57" s="35"/>
      <c r="ADX57" s="35"/>
      <c r="ADY57"/>
      <c r="ADZ57"/>
      <c r="AEA57"/>
      <c r="AEB57"/>
      <c r="AEC57"/>
      <c r="AED57"/>
      <c r="AEE57" s="36"/>
      <c r="AEG57"/>
      <c r="AEH57"/>
      <c r="AEI57"/>
      <c r="AEJ57"/>
      <c r="AEK57"/>
      <c r="AEL57" s="35"/>
      <c r="AEM57" s="35"/>
      <c r="AEN57" t="s">
        <v>1522</v>
      </c>
      <c r="AEO57" t="s">
        <v>1524</v>
      </c>
      <c r="AEP57" t="s">
        <v>381</v>
      </c>
      <c r="AEQ57">
        <v>0.49</v>
      </c>
      <c r="AER57">
        <v>2</v>
      </c>
      <c r="AES57">
        <f>+Tabla5789141516343536373839404142434445464748495051525355606264[[#This Row],[G. Total]]*Tabla5789141516343536373839404142434445464748495051525355606264[[#This Row],[Recuento]]</f>
        <v>0.98</v>
      </c>
      <c r="AET57" s="36"/>
      <c r="AEV57"/>
      <c r="AEW57"/>
      <c r="AEX57"/>
      <c r="AEY57"/>
      <c r="AEZ57"/>
      <c r="AFA57" s="35">
        <f>+SUM(AEV57:AEV69)</f>
        <v>0</v>
      </c>
      <c r="AFC57"/>
      <c r="AFD57"/>
      <c r="AFE57"/>
      <c r="AFF57"/>
      <c r="AFG57"/>
      <c r="AFH57"/>
      <c r="AFI57"/>
      <c r="AFJ57"/>
      <c r="AFK57"/>
      <c r="AFL57"/>
      <c r="AFM57"/>
      <c r="AFN57">
        <f>+Tabla578914151634353637383940414243444546474849505152535560626467[[#This Row],[G. Total]]*Tabla578914151634353637383940414243444546474849505152535560626467[[#This Row],[Recuento]]</f>
        <v>0</v>
      </c>
      <c r="AFO57" s="35"/>
    </row>
    <row r="58" spans="1:847" ht="18" customHeight="1" x14ac:dyDescent="0.25">
      <c r="A58"/>
      <c r="B58"/>
      <c r="C58"/>
      <c r="D58"/>
      <c r="E58"/>
      <c r="F58"/>
      <c r="G58"/>
      <c r="H58"/>
      <c r="I58"/>
      <c r="J58"/>
      <c r="V58"/>
      <c r="AH58"/>
      <c r="AT58"/>
      <c r="BF58">
        <v>1</v>
      </c>
      <c r="BG58" t="s">
        <v>1863</v>
      </c>
      <c r="BH58" t="s">
        <v>1524</v>
      </c>
      <c r="BI58" t="s">
        <v>1406</v>
      </c>
      <c r="BJ58">
        <v>1.55</v>
      </c>
      <c r="BK58">
        <v>2</v>
      </c>
      <c r="BL58">
        <f>+Tabla3102[[#This Row],[Longitud de eje]]*BF58</f>
        <v>1.55</v>
      </c>
      <c r="BM58"/>
      <c r="BO58"/>
      <c r="BP58"/>
      <c r="BQ58"/>
      <c r="BR58"/>
      <c r="BS58"/>
      <c r="BT58">
        <f>+Tabla31069[[#This Row],[Longitud de eje]]*BN58</f>
        <v>0</v>
      </c>
      <c r="BU58">
        <f>+Tabla31069[[#This Row],[Longitud de eje]]*BO58</f>
        <v>0</v>
      </c>
      <c r="BV58"/>
      <c r="BW58"/>
      <c r="BX58"/>
      <c r="BY58"/>
      <c r="BZ58"/>
      <c r="CA58"/>
      <c r="CB58">
        <f>+Tabla31011[[#This Row],[Longitud de eje]]*BV58</f>
        <v>0</v>
      </c>
      <c r="CD58"/>
      <c r="CE58"/>
      <c r="CF58"/>
      <c r="CG58"/>
      <c r="CH58"/>
      <c r="CI58"/>
      <c r="CJ58">
        <f>+Tabla3101170[[#This Row],[En culmo]]*CD58</f>
        <v>0</v>
      </c>
      <c r="CK58"/>
      <c r="CL58"/>
      <c r="CM58"/>
      <c r="CN58"/>
      <c r="CO58"/>
      <c r="CP58"/>
      <c r="CQ58"/>
      <c r="CR58">
        <f>+Tabla31011116[[#This Row],[Longitud de eje]]*CL58</f>
        <v>0</v>
      </c>
      <c r="CT58"/>
      <c r="CU58"/>
      <c r="CV58"/>
      <c r="CW58"/>
      <c r="CX58"/>
      <c r="CY58"/>
      <c r="CZ58">
        <f>+Tabla3101170117[[#This Row],[En culmo]]*CT58</f>
        <v>0</v>
      </c>
      <c r="DA58"/>
      <c r="DB58"/>
      <c r="DC58"/>
      <c r="DD58"/>
      <c r="DE58"/>
      <c r="DF58"/>
      <c r="DG58">
        <f>+Tabla31011704[[#This Row],[Longitud de eje]]*DB58</f>
        <v>0</v>
      </c>
      <c r="DH58"/>
      <c r="DI58"/>
      <c r="DJ58"/>
      <c r="DK58"/>
      <c r="DL58"/>
      <c r="DM58"/>
      <c r="DN58">
        <f>+Tabla3101170411[[#This Row],[Longitud de eje]]*DI58</f>
        <v>0</v>
      </c>
      <c r="DO58"/>
      <c r="DP58"/>
      <c r="DQ58"/>
      <c r="DR58"/>
      <c r="DS58"/>
      <c r="DT58"/>
      <c r="DU58">
        <f>+Tabla3101170411120[[#This Row],[Longitud de eje]]*DP58</f>
        <v>0</v>
      </c>
      <c r="DV58"/>
      <c r="DW58"/>
      <c r="DX58"/>
      <c r="DY58"/>
      <c r="DZ58"/>
      <c r="EA58"/>
      <c r="EB58">
        <f>+Tabla3101170411120122[[#This Row],[Longitud de eje]]*DW58</f>
        <v>0</v>
      </c>
      <c r="EC58"/>
      <c r="ED58">
        <v>2</v>
      </c>
      <c r="EE58" t="s">
        <v>1862</v>
      </c>
      <c r="EF58" t="s">
        <v>1524</v>
      </c>
      <c r="EG58" t="s">
        <v>1406</v>
      </c>
      <c r="EH58">
        <v>0.4</v>
      </c>
      <c r="EI58">
        <v>1</v>
      </c>
      <c r="EJ58">
        <f>+Tabla3101112[[#This Row],[En culmo]]*ED58</f>
        <v>2</v>
      </c>
      <c r="EK58"/>
      <c r="EL58"/>
      <c r="EM58"/>
      <c r="EN58"/>
      <c r="EO58"/>
      <c r="EP58"/>
      <c r="EQ58"/>
      <c r="ER58">
        <f>+Tabla3101112123[[#This Row],[En culmo]]*EL58</f>
        <v>0</v>
      </c>
      <c r="ES58"/>
      <c r="ET58">
        <v>3</v>
      </c>
      <c r="EU58" t="s">
        <v>1862</v>
      </c>
      <c r="EV58" t="s">
        <v>1525</v>
      </c>
      <c r="EW58" t="s">
        <v>1406</v>
      </c>
      <c r="EX58">
        <v>1.86</v>
      </c>
      <c r="EY58">
        <v>2</v>
      </c>
      <c r="EZ58">
        <f>+Tabla310111257[[#This Row],[En culmo]]*ET58</f>
        <v>6</v>
      </c>
      <c r="FA58"/>
      <c r="FB58"/>
      <c r="FC58"/>
      <c r="FD58"/>
      <c r="FE58"/>
      <c r="FF58"/>
      <c r="FG58">
        <v>3.5</v>
      </c>
      <c r="FH58">
        <f>+Tabla310111257124[[#This Row],[En culmo]]*FB58</f>
        <v>0</v>
      </c>
      <c r="FI58"/>
      <c r="FK58"/>
      <c r="FL58"/>
      <c r="FM58"/>
      <c r="FN58"/>
      <c r="FO58"/>
      <c r="FP58"/>
      <c r="FQ58"/>
      <c r="FS58"/>
      <c r="FT58"/>
      <c r="FU58"/>
      <c r="FV58"/>
      <c r="FW58"/>
      <c r="FX58"/>
      <c r="FY58"/>
      <c r="GA58"/>
      <c r="GB58"/>
      <c r="GC58"/>
      <c r="GD58"/>
      <c r="GE58"/>
      <c r="GF58"/>
      <c r="GG58"/>
      <c r="GI58"/>
      <c r="GJ58"/>
      <c r="GK58"/>
      <c r="GL58"/>
      <c r="GM58"/>
      <c r="GN58"/>
      <c r="GO58"/>
      <c r="GQ58"/>
      <c r="GR58"/>
      <c r="GS58"/>
      <c r="GT58"/>
      <c r="GU58"/>
      <c r="GV58"/>
      <c r="GW58"/>
      <c r="GX58"/>
      <c r="GY58" s="36"/>
      <c r="HA58"/>
      <c r="HB58"/>
      <c r="HC58"/>
      <c r="HD58"/>
      <c r="HE58"/>
      <c r="HF58"/>
      <c r="HG58"/>
      <c r="HH58"/>
      <c r="HI58" s="36"/>
      <c r="HK58"/>
      <c r="HL58"/>
      <c r="HM58"/>
      <c r="HN58"/>
      <c r="HO58"/>
      <c r="HP58"/>
      <c r="HQ58"/>
      <c r="HR58"/>
      <c r="HS58" s="36"/>
      <c r="HU58"/>
      <c r="HV58"/>
      <c r="HW58"/>
      <c r="HX58"/>
      <c r="HY58"/>
      <c r="HZ58"/>
      <c r="IA58"/>
      <c r="IB58"/>
      <c r="IC58" s="36"/>
      <c r="IE58"/>
      <c r="IF58"/>
      <c r="IG58"/>
      <c r="IH58"/>
      <c r="II58"/>
      <c r="IJ58"/>
      <c r="IK58"/>
      <c r="IL58"/>
      <c r="IM58" s="36"/>
      <c r="IY58"/>
      <c r="IZ58"/>
      <c r="JA58"/>
      <c r="JB58"/>
      <c r="JC58"/>
      <c r="JD58">
        <v>6</v>
      </c>
      <c r="JE58">
        <f>+Tabla520212224[[#This Row],[Recuento]]*Tabla520212224[[#This Row],[Volúmen bruto]]</f>
        <v>0</v>
      </c>
      <c r="JF58">
        <f>+Tabla520212224[[#This Row],[Recuento]]*Tabla520212224[[#This Row],[Área neta]]</f>
        <v>0</v>
      </c>
      <c r="JG58" s="26"/>
      <c r="JI58" t="s">
        <v>1863</v>
      </c>
      <c r="JJ58" t="s">
        <v>1524</v>
      </c>
      <c r="JK58" t="s">
        <v>1677</v>
      </c>
      <c r="JL58">
        <v>0</v>
      </c>
      <c r="JM58">
        <v>1.73</v>
      </c>
      <c r="JN58">
        <v>1</v>
      </c>
      <c r="JO58">
        <f>+Tabla52021222425[[#This Row],[Recuento]]*Tabla52021222425[[#This Row],[Volúmen bruto]]</f>
        <v>0</v>
      </c>
      <c r="JP58">
        <f>+Tabla52021222425[[#This Row],[Recuento]]*Tabla52021222425[[#This Row],[Área neta]]</f>
        <v>1.73</v>
      </c>
      <c r="JQ58" s="26">
        <f>+SUM(JP58:JP60)</f>
        <v>24.39</v>
      </c>
      <c r="JS58" t="s">
        <v>1863</v>
      </c>
      <c r="JT58" t="s">
        <v>1525</v>
      </c>
      <c r="JU58" t="s">
        <v>1628</v>
      </c>
      <c r="JV58">
        <v>0.05</v>
      </c>
      <c r="JW58">
        <v>2.35</v>
      </c>
      <c r="JX58">
        <v>2</v>
      </c>
      <c r="JY58">
        <f>+Tabla5202122242526[[#This Row],[Recuento]]*Tabla5202122242526[[#This Row],[Volúmen bruto]]</f>
        <v>0.1</v>
      </c>
      <c r="JZ58">
        <f>+Tabla5202122242526[[#This Row],[Recuento]]*Tabla5202122242526[[#This Row],[Área neta]]</f>
        <v>4.7</v>
      </c>
      <c r="KA58" s="26"/>
      <c r="KC58"/>
      <c r="KD58"/>
      <c r="KE58"/>
      <c r="KF58"/>
      <c r="KG58"/>
      <c r="KH58"/>
      <c r="KI58">
        <f>+Tabla5202122242526104[[#This Row],[Recuento]]*Tabla5202122242526104[[#This Row],[Volúmen bruto]]</f>
        <v>0</v>
      </c>
      <c r="KJ58">
        <f>+Tabla5202122242526104[[#This Row],[Recuento]]*Tabla5202122242526104[[#This Row],[Área neta]]</f>
        <v>0</v>
      </c>
      <c r="KK58" s="26"/>
      <c r="KM58" t="s">
        <v>1862</v>
      </c>
      <c r="KN58" t="s">
        <v>1524</v>
      </c>
      <c r="KO58" t="s">
        <v>1676</v>
      </c>
      <c r="KP58">
        <v>0.33</v>
      </c>
      <c r="KQ58">
        <v>0.79</v>
      </c>
      <c r="KR58">
        <v>1</v>
      </c>
      <c r="KS58">
        <f>+Tabla5202122242526104110[[#This Row],[Recuento]]*Tabla5202122242526104110[[#This Row],[Volúmen bruto]]</f>
        <v>0.33</v>
      </c>
      <c r="KT58">
        <f>+Tabla5202122242526104110[[#This Row],[Recuento]]*Tabla5202122242526104110[[#This Row],[Área neta]]</f>
        <v>0.79</v>
      </c>
      <c r="KU58" s="26">
        <f>+SUM(KT58:KT65)</f>
        <v>22.810000000000002</v>
      </c>
      <c r="KW58"/>
      <c r="KX58"/>
      <c r="KY58"/>
      <c r="KZ58"/>
      <c r="LA58"/>
      <c r="LB58"/>
      <c r="LC58">
        <f>+Tabla520212224252659[[#This Row],[Recuento]]*Tabla520212224252659[[#This Row],[Volúmen bruto]]</f>
        <v>0</v>
      </c>
      <c r="LD58">
        <f>+Tabla520212224252659[[#This Row],[Recuento]]*Tabla520212224252659[[#This Row],[Área neta]]</f>
        <v>0</v>
      </c>
      <c r="LE58" s="26"/>
      <c r="LG58"/>
      <c r="LH58"/>
      <c r="LI58"/>
      <c r="LJ58"/>
      <c r="LK58"/>
      <c r="LL58"/>
      <c r="LM58">
        <f>+Tabla520212224252659111[[#This Row],[Recuento]]*Tabla520212224252659111[[#This Row],[Volúmen bruto]]</f>
        <v>0</v>
      </c>
      <c r="LN58">
        <f>+Tabla520212224252659111[[#This Row],[Recuento]]*Tabla520212224252659111[[#This Row],[Área neta]]</f>
        <v>0</v>
      </c>
      <c r="LO58" s="26"/>
      <c r="LQ58"/>
      <c r="LR58"/>
      <c r="LS58"/>
      <c r="LT58"/>
      <c r="LU58"/>
      <c r="LV58"/>
      <c r="LW58">
        <f>+Tabla520212224252659111114[[#This Row],[Recuento]]*Tabla520212224252659111114[[#This Row],[Volúmen bruto]]</f>
        <v>0</v>
      </c>
      <c r="LX58">
        <f>+Tabla520212224252659111114[[#This Row],[Recuento]]*Tabla520212224252659111114[[#This Row],[Área neta]]</f>
        <v>0</v>
      </c>
      <c r="LY58" s="26"/>
      <c r="MA58"/>
      <c r="MB58"/>
      <c r="MC58"/>
      <c r="MD58"/>
      <c r="ME58"/>
      <c r="MF58"/>
      <c r="MG58">
        <f>+Tabla520212224252659111114128[[#This Row],[Recuento]]*Tabla520212224252659111114128[[#This Row],[Volúmen bruto]]</f>
        <v>0</v>
      </c>
      <c r="MH58">
        <f>+Tabla520212224252659111114128[[#This Row],[Recuento]]*Tabla520212224252659111114128[[#This Row],[Área neta]]</f>
        <v>0</v>
      </c>
      <c r="MI58" s="26"/>
      <c r="MK58"/>
      <c r="ML58"/>
      <c r="MM58"/>
      <c r="MN58"/>
      <c r="MO58"/>
      <c r="MP58"/>
      <c r="MQ58">
        <f>+Tabla520212224252627[[#This Row],[Recuento]]*Tabla520212224252627[[#This Row],[Volúmen bruto]]</f>
        <v>0</v>
      </c>
      <c r="MR58">
        <f>+Tabla520212224252627[[#This Row],[Recuento]]*Tabla520212224252627[[#This Row],[Área neta]]</f>
        <v>0</v>
      </c>
      <c r="MS58" s="26"/>
      <c r="MU58"/>
      <c r="MV58"/>
      <c r="MW58"/>
      <c r="MX58"/>
      <c r="MY58"/>
      <c r="MZ58"/>
      <c r="NA58">
        <f>+Tabla520212224252627129[[#This Row],[Recuento]]*Tabla520212224252627129[[#This Row],[Volúmen bruto]]</f>
        <v>0</v>
      </c>
      <c r="NB58">
        <f>+Tabla520212224252627129[[#This Row],[Recuento]]*Tabla520212224252627129[[#This Row],[Área neta]]</f>
        <v>0</v>
      </c>
      <c r="NC58" s="26"/>
      <c r="NE58"/>
      <c r="NF58"/>
      <c r="NG58"/>
      <c r="NH58"/>
      <c r="NI58"/>
      <c r="NJ58"/>
      <c r="NK58">
        <f>+Tabla520212224252627129125[[#This Row],[Recuento]]*Tabla520212224252627129125[[#This Row],[Volúmen bruto]]</f>
        <v>0</v>
      </c>
      <c r="NL58">
        <f>+Tabla520212224252627129125[[#This Row],[Recuento]]*Tabla520212224252627129125[[#This Row],[Área neta]]</f>
        <v>0</v>
      </c>
      <c r="NM58" s="26"/>
      <c r="NO58"/>
      <c r="NP58"/>
      <c r="NQ58"/>
      <c r="NR58"/>
      <c r="NS58"/>
      <c r="NT58"/>
      <c r="NU58">
        <f>+Tabla520212224252627129125130[[#This Row],[Recuento]]*Tabla520212224252627129125130[[#This Row],[Volúmen bruto]]</f>
        <v>0</v>
      </c>
      <c r="NV58">
        <f>+Tabla520212224252627129125130[[#This Row],[Recuento]]*Tabla520212224252627129125130[[#This Row],[Área neta]]</f>
        <v>0</v>
      </c>
      <c r="NW58" s="26"/>
      <c r="NY58"/>
      <c r="NZ58"/>
      <c r="OA58"/>
      <c r="OB58"/>
      <c r="OC58"/>
      <c r="OD58"/>
      <c r="OE58">
        <f>+Tabla520212224252627129125130131[[#This Row],[Recuento]]*Tabla520212224252627129125130131[[#This Row],[Volúmen bruto]]</f>
        <v>0</v>
      </c>
      <c r="OF58">
        <f>+Tabla520212224252627129125130131[[#This Row],[Recuento]]*Tabla520212224252627129125130131[[#This Row],[Área neta]]</f>
        <v>0</v>
      </c>
      <c r="OG58" s="26"/>
      <c r="OI58"/>
      <c r="OJ58"/>
      <c r="OK58"/>
      <c r="OL58"/>
      <c r="OM58"/>
      <c r="ON58"/>
      <c r="OO58">
        <f>+Tabla520212224252627129125130131132[[#This Row],[Recuento]]*Tabla520212224252627129125130131132[[#This Row],[Volúmen bruto]]</f>
        <v>0</v>
      </c>
      <c r="OP58">
        <f>+Tabla520212224252627129125130131132[[#This Row],[Recuento]]*Tabla520212224252627129125130131132[[#This Row],[Área neta]]</f>
        <v>0</v>
      </c>
      <c r="OQ58" s="26"/>
      <c r="OS58"/>
      <c r="OT58"/>
      <c r="OU58"/>
      <c r="OV58"/>
      <c r="OW58"/>
      <c r="OX58"/>
      <c r="OY58">
        <f>+Tabla52021222425262728[[#This Row],[Recuento]]*Tabla52021222425262728[[#This Row],[Volúmen bruto]]</f>
        <v>0</v>
      </c>
      <c r="OZ58">
        <f>+Tabla52021222425262728[[#This Row],[Recuento]]*Tabla52021222425262728[[#This Row],[Área neta]]</f>
        <v>0</v>
      </c>
      <c r="PA58" s="26">
        <f t="shared" si="32"/>
        <v>0</v>
      </c>
      <c r="PC58" t="s">
        <v>1863</v>
      </c>
      <c r="PD58" t="s">
        <v>1524</v>
      </c>
      <c r="PE58" t="s">
        <v>1788</v>
      </c>
      <c r="PF58">
        <v>0.01</v>
      </c>
      <c r="PG58">
        <v>2.42</v>
      </c>
      <c r="PH58">
        <v>2</v>
      </c>
      <c r="PI58">
        <f>+Tabla52021222425262728133[[#This Row],[Recuento]]*Tabla52021222425262728133[[#This Row],[Volúmen bruto]]</f>
        <v>0.02</v>
      </c>
      <c r="PJ58">
        <f>+Tabla52021222425262728133[[#This Row],[Recuento]]*Tabla52021222425262728133[[#This Row],[Área neta]]</f>
        <v>4.84</v>
      </c>
      <c r="PK58" s="26">
        <f>+SUM(PJ58:PJ59)</f>
        <v>6.22</v>
      </c>
      <c r="PM58"/>
      <c r="PN58"/>
      <c r="PO58"/>
      <c r="PP58"/>
      <c r="PQ58"/>
      <c r="PR58"/>
      <c r="PS58">
        <f>+Tabla5202122242526272893[[#This Row],[Recuento]]*Tabla5202122242526272893[[#This Row],[Volúmen bruto]]</f>
        <v>0</v>
      </c>
      <c r="PT58">
        <f>+Tabla5202122242526272893[[#This Row],[Recuento]]*Tabla5202122242526272893[[#This Row],[Área neta]]</f>
        <v>0</v>
      </c>
      <c r="PU58" s="26"/>
      <c r="PW58" t="s">
        <v>1863</v>
      </c>
      <c r="PX58" t="s">
        <v>1525</v>
      </c>
      <c r="PY58" t="s">
        <v>98</v>
      </c>
      <c r="PZ58">
        <v>0</v>
      </c>
      <c r="QA58">
        <v>1.76</v>
      </c>
      <c r="QB58">
        <v>1</v>
      </c>
      <c r="QC58">
        <f>+Tabla520212224252627289349[[#This Row],[Recuento]]*Tabla520212224252627289349[[#This Row],[Volúmen bruto]]</f>
        <v>0</v>
      </c>
      <c r="QD58">
        <f>+Tabla520212224252627289349[[#This Row],[Recuento]]*Tabla520212224252627289349[[#This Row],[Área neta]]</f>
        <v>1.76</v>
      </c>
      <c r="QE58" s="26"/>
      <c r="QG58"/>
      <c r="QH58"/>
      <c r="QI58"/>
      <c r="QJ58"/>
      <c r="QK58"/>
      <c r="QL58"/>
      <c r="QM58">
        <f>+Tabla520212224252627289349134[[#This Row],[Recuento]]*Tabla520212224252627289349134[[#This Row],[Volúmen bruto]]</f>
        <v>0</v>
      </c>
      <c r="QN58">
        <f>+Tabla520212224252627289349134[[#This Row],[Recuento]]*Tabla520212224252627289349134[[#This Row],[Área neta]]</f>
        <v>0</v>
      </c>
      <c r="QO58" s="26"/>
      <c r="QQ58"/>
      <c r="QR58"/>
      <c r="QS58"/>
      <c r="QT58"/>
      <c r="QU58"/>
      <c r="QV58"/>
      <c r="QW58"/>
      <c r="QX58"/>
      <c r="QY58"/>
      <c r="QZ58"/>
      <c r="RA58" s="26"/>
      <c r="RC58"/>
      <c r="RD58"/>
      <c r="RE58"/>
      <c r="RF58"/>
      <c r="RG58"/>
      <c r="RH58"/>
      <c r="RI58"/>
      <c r="RJ58"/>
      <c r="RK58" s="26"/>
      <c r="RM58"/>
      <c r="RN58"/>
      <c r="RO58"/>
      <c r="RP58"/>
      <c r="RQ58"/>
      <c r="RR58"/>
      <c r="RS58"/>
      <c r="RT58"/>
      <c r="RU58" s="26">
        <f t="shared" si="7"/>
        <v>0</v>
      </c>
      <c r="RW58"/>
      <c r="RX58"/>
      <c r="RY58"/>
      <c r="RZ58"/>
      <c r="SA58"/>
      <c r="SB58"/>
      <c r="SC58"/>
      <c r="SD58"/>
      <c r="SE58" s="26"/>
      <c r="SG58"/>
      <c r="SH58"/>
      <c r="SI58"/>
      <c r="SJ58"/>
      <c r="SK58"/>
      <c r="SL58"/>
      <c r="SM58"/>
      <c r="SN58"/>
      <c r="SO58" s="26"/>
      <c r="YK58"/>
      <c r="YL58"/>
      <c r="YM58"/>
      <c r="YN58"/>
      <c r="YO58"/>
      <c r="ACW58" t="s">
        <v>1250</v>
      </c>
      <c r="ACX58" s="1">
        <v>2</v>
      </c>
      <c r="ACY58" s="2"/>
      <c r="ADA58" s="38"/>
      <c r="ADB58" s="2">
        <f t="shared" si="40"/>
        <v>0</v>
      </c>
      <c r="ADD58"/>
      <c r="ADE58"/>
      <c r="ADF58"/>
      <c r="ADG58" s="26">
        <f t="shared" si="38"/>
        <v>0</v>
      </c>
      <c r="ADJ58"/>
      <c r="ADK58"/>
      <c r="ADL58"/>
      <c r="ADM58"/>
      <c r="ADN58"/>
      <c r="ADO58"/>
      <c r="ADP58" s="36"/>
      <c r="ADR58"/>
      <c r="ADS58"/>
      <c r="ADT58"/>
      <c r="ADU58"/>
      <c r="ADV58"/>
      <c r="ADW58" s="35"/>
      <c r="ADX58" s="35"/>
      <c r="ADY58"/>
      <c r="ADZ58"/>
      <c r="AEA58"/>
      <c r="AEB58"/>
      <c r="AEC58"/>
      <c r="AED58"/>
      <c r="AEE58" s="36"/>
      <c r="AEG58"/>
      <c r="AEH58"/>
      <c r="AEI58"/>
      <c r="AEJ58"/>
      <c r="AEK58"/>
      <c r="AEL58" s="35"/>
      <c r="AEM58" s="35"/>
      <c r="AEN58" t="s">
        <v>1522</v>
      </c>
      <c r="AEO58" t="s">
        <v>1524</v>
      </c>
      <c r="AEP58" t="s">
        <v>381</v>
      </c>
      <c r="AEQ58">
        <v>0.57999999999999996</v>
      </c>
      <c r="AER58">
        <v>1</v>
      </c>
      <c r="AES58">
        <f>+Tabla5789141516343536373839404142434445464748495051525355606264[[#This Row],[G. Total]]*Tabla5789141516343536373839404142434445464748495051525355606264[[#This Row],[Recuento]]</f>
        <v>0.57999999999999996</v>
      </c>
      <c r="AET58" s="36"/>
      <c r="AEV58"/>
      <c r="AEW58"/>
      <c r="AEX58"/>
      <c r="AEY58"/>
      <c r="AEZ58"/>
      <c r="AFA58" s="36"/>
      <c r="AFC58"/>
      <c r="AFD58"/>
      <c r="AFE58"/>
      <c r="AFF58"/>
      <c r="AFG58"/>
      <c r="AFH58"/>
      <c r="AFI58"/>
      <c r="AFJ58"/>
      <c r="AFK58"/>
      <c r="AFL58"/>
      <c r="AFM58"/>
      <c r="AFN58">
        <f>+Tabla578914151634353637383940414243444546474849505152535560626467[[#This Row],[G. Total]]*Tabla578914151634353637383940414243444546474849505152535560626467[[#This Row],[Recuento]]</f>
        <v>0</v>
      </c>
      <c r="AFO58" s="35"/>
    </row>
    <row r="59" spans="1:847" x14ac:dyDescent="0.25">
      <c r="A59"/>
      <c r="B59"/>
      <c r="C59"/>
      <c r="D59"/>
      <c r="E59"/>
      <c r="F59"/>
      <c r="G59"/>
      <c r="H59"/>
      <c r="I59"/>
      <c r="J59"/>
      <c r="V59"/>
      <c r="AH59"/>
      <c r="AT59"/>
      <c r="BG59"/>
      <c r="BH59"/>
      <c r="BI59"/>
      <c r="BJ59"/>
      <c r="BK59"/>
      <c r="BL59">
        <f>+Tabla3102[[#This Row],[Longitud de eje]]*BF59</f>
        <v>0</v>
      </c>
      <c r="BM59"/>
      <c r="BO59"/>
      <c r="BP59"/>
      <c r="BQ59"/>
      <c r="BR59"/>
      <c r="BS59"/>
      <c r="BT59">
        <f>+Tabla31069[[#This Row],[Longitud de eje]]*BN59</f>
        <v>0</v>
      </c>
      <c r="BU59">
        <f>+Tabla31069[[#This Row],[Longitud de eje]]*BO59</f>
        <v>0</v>
      </c>
      <c r="BV59"/>
      <c r="BW59"/>
      <c r="BX59"/>
      <c r="BY59"/>
      <c r="BZ59"/>
      <c r="CA59"/>
      <c r="CB59">
        <f>+Tabla31011[[#This Row],[Longitud de eje]]*BV59</f>
        <v>0</v>
      </c>
      <c r="CD59"/>
      <c r="CE59"/>
      <c r="CF59"/>
      <c r="CG59"/>
      <c r="CH59"/>
      <c r="CI59"/>
      <c r="CJ59">
        <f>+Tabla3101170[[#This Row],[En culmo]]*CD59</f>
        <v>0</v>
      </c>
      <c r="CK59"/>
      <c r="CL59"/>
      <c r="CM59"/>
      <c r="CN59"/>
      <c r="CO59"/>
      <c r="CP59"/>
      <c r="CQ59"/>
      <c r="CR59">
        <f>+Tabla31011116[[#This Row],[Longitud de eje]]*CL59</f>
        <v>0</v>
      </c>
      <c r="CT59"/>
      <c r="CU59"/>
      <c r="CV59"/>
      <c r="CW59"/>
      <c r="CX59"/>
      <c r="CY59"/>
      <c r="CZ59">
        <f>+Tabla3101170117[[#This Row],[En culmo]]*CT59</f>
        <v>0</v>
      </c>
      <c r="DA59"/>
      <c r="DB59"/>
      <c r="DC59"/>
      <c r="DD59"/>
      <c r="DE59"/>
      <c r="DF59"/>
      <c r="DG59">
        <f>+Tabla31011704[[#This Row],[Longitud de eje]]*DB59</f>
        <v>0</v>
      </c>
      <c r="DH59"/>
      <c r="DI59"/>
      <c r="DJ59"/>
      <c r="DK59"/>
      <c r="DL59"/>
      <c r="DM59"/>
      <c r="DN59">
        <f>+Tabla3101170411[[#This Row],[Longitud de eje]]*DI59</f>
        <v>0</v>
      </c>
      <c r="DO59"/>
      <c r="DP59"/>
      <c r="DQ59"/>
      <c r="DR59"/>
      <c r="DS59"/>
      <c r="DT59"/>
      <c r="DU59">
        <f>+Tabla3101170411120[[#This Row],[Longitud de eje]]*DP59</f>
        <v>0</v>
      </c>
      <c r="DV59"/>
      <c r="DW59"/>
      <c r="DX59"/>
      <c r="DY59"/>
      <c r="DZ59"/>
      <c r="EA59"/>
      <c r="EB59">
        <f>+Tabla3101170411120122[[#This Row],[Longitud de eje]]*DW59</f>
        <v>0</v>
      </c>
      <c r="EC59"/>
      <c r="ED59">
        <v>1</v>
      </c>
      <c r="EE59" t="s">
        <v>1862</v>
      </c>
      <c r="EF59" t="s">
        <v>1524</v>
      </c>
      <c r="EG59" t="s">
        <v>1406</v>
      </c>
      <c r="EH59">
        <v>0.65</v>
      </c>
      <c r="EI59">
        <v>1</v>
      </c>
      <c r="EJ59">
        <f>+Tabla3101112[[#This Row],[En culmo]]*ED59</f>
        <v>1</v>
      </c>
      <c r="EK59"/>
      <c r="EL59"/>
      <c r="EM59"/>
      <c r="EN59"/>
      <c r="EO59"/>
      <c r="EP59"/>
      <c r="EQ59"/>
      <c r="ER59">
        <f>+Tabla3101112123[[#This Row],[En culmo]]*EL59</f>
        <v>0</v>
      </c>
      <c r="ES59"/>
      <c r="ET59">
        <v>1</v>
      </c>
      <c r="EU59" t="s">
        <v>1862</v>
      </c>
      <c r="EV59" t="s">
        <v>1525</v>
      </c>
      <c r="EW59" t="s">
        <v>1406</v>
      </c>
      <c r="EX59">
        <v>3.07</v>
      </c>
      <c r="EY59">
        <v>3.5</v>
      </c>
      <c r="EZ59">
        <f>+Tabla310111257[[#This Row],[En culmo]]*ET59</f>
        <v>3.5</v>
      </c>
      <c r="FA59"/>
      <c r="FB59"/>
      <c r="FC59"/>
      <c r="FD59"/>
      <c r="FE59"/>
      <c r="FF59"/>
      <c r="FG59">
        <v>3.5</v>
      </c>
      <c r="FH59">
        <f>+Tabla310111257124[[#This Row],[En culmo]]*FB59</f>
        <v>0</v>
      </c>
      <c r="FI59"/>
      <c r="FK59"/>
      <c r="FL59"/>
      <c r="FM59"/>
      <c r="FN59"/>
      <c r="FO59"/>
      <c r="FP59"/>
      <c r="FQ59"/>
      <c r="FS59"/>
      <c r="FT59"/>
      <c r="FU59"/>
      <c r="FV59"/>
      <c r="FW59"/>
      <c r="FX59"/>
      <c r="FY59"/>
      <c r="GA59"/>
      <c r="GB59"/>
      <c r="GC59"/>
      <c r="GD59"/>
      <c r="GE59"/>
      <c r="GF59"/>
      <c r="GG59"/>
      <c r="GI59"/>
      <c r="GJ59"/>
      <c r="GK59"/>
      <c r="GL59"/>
      <c r="GM59"/>
      <c r="GN59"/>
      <c r="GO59"/>
      <c r="GQ59"/>
      <c r="GR59"/>
      <c r="GS59"/>
      <c r="GT59"/>
      <c r="GU59"/>
      <c r="GV59"/>
      <c r="GW59"/>
      <c r="GX59"/>
      <c r="GY59" s="35"/>
      <c r="HA59"/>
      <c r="HB59"/>
      <c r="HC59"/>
      <c r="HD59"/>
      <c r="HE59"/>
      <c r="HF59"/>
      <c r="HG59"/>
      <c r="HH59"/>
      <c r="HI59" s="35"/>
      <c r="HK59"/>
      <c r="HL59"/>
      <c r="HM59"/>
      <c r="HN59"/>
      <c r="HO59"/>
      <c r="HP59"/>
      <c r="HQ59"/>
      <c r="HR59"/>
      <c r="HS59" s="35"/>
      <c r="HU59"/>
      <c r="HV59"/>
      <c r="HW59"/>
      <c r="HX59"/>
      <c r="HY59"/>
      <c r="HZ59"/>
      <c r="IA59"/>
      <c r="IB59"/>
      <c r="IC59" s="36"/>
      <c r="IE59"/>
      <c r="IF59"/>
      <c r="IG59"/>
      <c r="IH59"/>
      <c r="II59"/>
      <c r="IJ59"/>
      <c r="IK59"/>
      <c r="IL59"/>
      <c r="IM59" s="36"/>
      <c r="IY59"/>
      <c r="IZ59"/>
      <c r="JA59"/>
      <c r="JB59"/>
      <c r="JC59"/>
      <c r="JD59">
        <v>12</v>
      </c>
      <c r="JE59">
        <f>+Tabla520212224[[#This Row],[Recuento]]*Tabla520212224[[#This Row],[Volúmen bruto]]</f>
        <v>0</v>
      </c>
      <c r="JF59">
        <f>+Tabla520212224[[#This Row],[Recuento]]*Tabla520212224[[#This Row],[Área neta]]</f>
        <v>0</v>
      </c>
      <c r="JG59" s="26"/>
      <c r="JI59" t="s">
        <v>1863</v>
      </c>
      <c r="JJ59" t="s">
        <v>1524</v>
      </c>
      <c r="JK59" t="s">
        <v>1677</v>
      </c>
      <c r="JL59">
        <v>0.01</v>
      </c>
      <c r="JM59">
        <v>4.8499999999999996</v>
      </c>
      <c r="JN59">
        <v>2</v>
      </c>
      <c r="JO59">
        <f>+Tabla52021222425[[#This Row],[Recuento]]*Tabla52021222425[[#This Row],[Volúmen bruto]]</f>
        <v>0.02</v>
      </c>
      <c r="JP59">
        <f>+Tabla52021222425[[#This Row],[Recuento]]*Tabla52021222425[[#This Row],[Área neta]]</f>
        <v>9.6999999999999993</v>
      </c>
      <c r="JQ59" s="26"/>
      <c r="JS59" t="s">
        <v>1863</v>
      </c>
      <c r="JT59" t="s">
        <v>1524</v>
      </c>
      <c r="JU59" t="s">
        <v>97</v>
      </c>
      <c r="JV59">
        <v>0.02</v>
      </c>
      <c r="JW59">
        <v>1.19</v>
      </c>
      <c r="JX59">
        <v>1</v>
      </c>
      <c r="JY59">
        <f>+Tabla5202122242526[[#This Row],[Recuento]]*Tabla5202122242526[[#This Row],[Volúmen bruto]]</f>
        <v>0.02</v>
      </c>
      <c r="JZ59">
        <f>+Tabla5202122242526[[#This Row],[Recuento]]*Tabla5202122242526[[#This Row],[Área neta]]</f>
        <v>1.19</v>
      </c>
      <c r="KA59" s="26">
        <f>+SUM(JZ59:JZ64)</f>
        <v>11.690000000000001</v>
      </c>
      <c r="KC59"/>
      <c r="KD59"/>
      <c r="KE59"/>
      <c r="KF59"/>
      <c r="KG59"/>
      <c r="KH59"/>
      <c r="KI59">
        <f>+Tabla5202122242526104[[#This Row],[Recuento]]*Tabla5202122242526104[[#This Row],[Volúmen bruto]]</f>
        <v>0</v>
      </c>
      <c r="KJ59">
        <f>+Tabla5202122242526104[[#This Row],[Recuento]]*Tabla5202122242526104[[#This Row],[Área neta]]</f>
        <v>0</v>
      </c>
      <c r="KK59" s="26"/>
      <c r="KM59" t="s">
        <v>1862</v>
      </c>
      <c r="KN59" t="s">
        <v>1524</v>
      </c>
      <c r="KO59" t="s">
        <v>1676</v>
      </c>
      <c r="KP59">
        <v>0.24</v>
      </c>
      <c r="KQ59">
        <v>1.97</v>
      </c>
      <c r="KR59">
        <v>1</v>
      </c>
      <c r="KS59">
        <f>+Tabla5202122242526104110[[#This Row],[Recuento]]*Tabla5202122242526104110[[#This Row],[Volúmen bruto]]</f>
        <v>0.24</v>
      </c>
      <c r="KT59">
        <f>+Tabla5202122242526104110[[#This Row],[Recuento]]*Tabla5202122242526104110[[#This Row],[Área neta]]</f>
        <v>1.97</v>
      </c>
      <c r="KU59" s="26"/>
      <c r="KW59"/>
      <c r="KX59"/>
      <c r="KY59"/>
      <c r="KZ59"/>
      <c r="LA59"/>
      <c r="LB59"/>
      <c r="LC59">
        <f>+Tabla520212224252659[[#This Row],[Recuento]]*Tabla520212224252659[[#This Row],[Volúmen bruto]]</f>
        <v>0</v>
      </c>
      <c r="LD59">
        <f>+Tabla520212224252659[[#This Row],[Recuento]]*Tabla520212224252659[[#This Row],[Área neta]]</f>
        <v>0</v>
      </c>
      <c r="LE59" s="26"/>
      <c r="LG59"/>
      <c r="LH59"/>
      <c r="LI59"/>
      <c r="LJ59"/>
      <c r="LK59"/>
      <c r="LL59"/>
      <c r="LM59">
        <f>+Tabla520212224252659111[[#This Row],[Recuento]]*Tabla520212224252659111[[#This Row],[Volúmen bruto]]</f>
        <v>0</v>
      </c>
      <c r="LN59">
        <f>+Tabla520212224252659111[[#This Row],[Recuento]]*Tabla520212224252659111[[#This Row],[Área neta]]</f>
        <v>0</v>
      </c>
      <c r="LO59" s="26"/>
      <c r="LQ59"/>
      <c r="LR59"/>
      <c r="LS59"/>
      <c r="LT59"/>
      <c r="LU59"/>
      <c r="LV59"/>
      <c r="LW59">
        <f>+Tabla520212224252659111114[[#This Row],[Recuento]]*Tabla520212224252659111114[[#This Row],[Volúmen bruto]]</f>
        <v>0</v>
      </c>
      <c r="LX59">
        <f>+Tabla520212224252659111114[[#This Row],[Recuento]]*Tabla520212224252659111114[[#This Row],[Área neta]]</f>
        <v>0</v>
      </c>
      <c r="LY59" s="26"/>
      <c r="MA59"/>
      <c r="MB59"/>
      <c r="MC59"/>
      <c r="MD59"/>
      <c r="ME59"/>
      <c r="MF59"/>
      <c r="MG59">
        <f>+Tabla520212224252659111114128[[#This Row],[Recuento]]*Tabla520212224252659111114128[[#This Row],[Volúmen bruto]]</f>
        <v>0</v>
      </c>
      <c r="MH59">
        <f>+Tabla520212224252659111114128[[#This Row],[Recuento]]*Tabla520212224252659111114128[[#This Row],[Área neta]]</f>
        <v>0</v>
      </c>
      <c r="MI59" s="26"/>
      <c r="MK59"/>
      <c r="ML59"/>
      <c r="MM59"/>
      <c r="MN59"/>
      <c r="MO59"/>
      <c r="MP59"/>
      <c r="MQ59">
        <f>+Tabla520212224252627[[#This Row],[Recuento]]*Tabla520212224252627[[#This Row],[Volúmen bruto]]</f>
        <v>0</v>
      </c>
      <c r="MR59">
        <f>+Tabla520212224252627[[#This Row],[Recuento]]*Tabla520212224252627[[#This Row],[Área neta]]</f>
        <v>0</v>
      </c>
      <c r="MS59" s="26"/>
      <c r="MU59"/>
      <c r="MV59"/>
      <c r="MW59"/>
      <c r="MX59"/>
      <c r="MY59"/>
      <c r="MZ59"/>
      <c r="NA59">
        <f>+Tabla520212224252627129[[#This Row],[Recuento]]*Tabla520212224252627129[[#This Row],[Volúmen bruto]]</f>
        <v>0</v>
      </c>
      <c r="NB59">
        <f>+Tabla520212224252627129[[#This Row],[Recuento]]*Tabla520212224252627129[[#This Row],[Área neta]]</f>
        <v>0</v>
      </c>
      <c r="NC59" s="26"/>
      <c r="NE59"/>
      <c r="NF59"/>
      <c r="NG59"/>
      <c r="NH59"/>
      <c r="NI59"/>
      <c r="NJ59"/>
      <c r="NK59">
        <f>+Tabla520212224252627129125[[#This Row],[Recuento]]*Tabla520212224252627129125[[#This Row],[Volúmen bruto]]</f>
        <v>0</v>
      </c>
      <c r="NL59">
        <f>+Tabla520212224252627129125[[#This Row],[Recuento]]*Tabla520212224252627129125[[#This Row],[Área neta]]</f>
        <v>0</v>
      </c>
      <c r="NM59" s="26"/>
      <c r="NO59"/>
      <c r="NP59"/>
      <c r="NQ59"/>
      <c r="NR59"/>
      <c r="NS59"/>
      <c r="NT59"/>
      <c r="NU59">
        <f>+Tabla520212224252627129125130[[#This Row],[Recuento]]*Tabla520212224252627129125130[[#This Row],[Volúmen bruto]]</f>
        <v>0</v>
      </c>
      <c r="NV59">
        <f>+Tabla520212224252627129125130[[#This Row],[Recuento]]*Tabla520212224252627129125130[[#This Row],[Área neta]]</f>
        <v>0</v>
      </c>
      <c r="NW59" s="26"/>
      <c r="NY59"/>
      <c r="NZ59"/>
      <c r="OA59"/>
      <c r="OB59"/>
      <c r="OC59"/>
      <c r="OD59"/>
      <c r="OE59">
        <f>+Tabla520212224252627129125130131[[#This Row],[Recuento]]*Tabla520212224252627129125130131[[#This Row],[Volúmen bruto]]</f>
        <v>0</v>
      </c>
      <c r="OF59">
        <f>+Tabla520212224252627129125130131[[#This Row],[Recuento]]*Tabla520212224252627129125130131[[#This Row],[Área neta]]</f>
        <v>0</v>
      </c>
      <c r="OG59" s="26"/>
      <c r="OI59"/>
      <c r="OJ59"/>
      <c r="OK59"/>
      <c r="OL59"/>
      <c r="OM59"/>
      <c r="ON59"/>
      <c r="OO59">
        <f>+Tabla520212224252627129125130131132[[#This Row],[Recuento]]*Tabla520212224252627129125130131132[[#This Row],[Volúmen bruto]]</f>
        <v>0</v>
      </c>
      <c r="OP59">
        <f>+Tabla520212224252627129125130131132[[#This Row],[Recuento]]*Tabla520212224252627129125130131132[[#This Row],[Área neta]]</f>
        <v>0</v>
      </c>
      <c r="OQ59" s="26"/>
      <c r="OS59"/>
      <c r="OT59"/>
      <c r="OU59"/>
      <c r="OV59"/>
      <c r="OW59"/>
      <c r="OX59"/>
      <c r="OY59">
        <f>+Tabla52021222425262728[[#This Row],[Recuento]]*Tabla52021222425262728[[#This Row],[Volúmen bruto]]</f>
        <v>0</v>
      </c>
      <c r="OZ59">
        <f>+Tabla52021222425262728[[#This Row],[Recuento]]*Tabla52021222425262728[[#This Row],[Área neta]]</f>
        <v>0</v>
      </c>
      <c r="PA59" s="26">
        <f t="shared" si="32"/>
        <v>0</v>
      </c>
      <c r="PC59" t="s">
        <v>1863</v>
      </c>
      <c r="PD59" t="s">
        <v>1525</v>
      </c>
      <c r="PE59" t="s">
        <v>1788</v>
      </c>
      <c r="PF59">
        <v>0.01</v>
      </c>
      <c r="PG59">
        <v>1.38</v>
      </c>
      <c r="PH59">
        <v>1</v>
      </c>
      <c r="PI59">
        <f>+Tabla52021222425262728133[[#This Row],[Recuento]]*Tabla52021222425262728133[[#This Row],[Volúmen bruto]]</f>
        <v>0.01</v>
      </c>
      <c r="PJ59">
        <f>+Tabla52021222425262728133[[#This Row],[Recuento]]*Tabla52021222425262728133[[#This Row],[Área neta]]</f>
        <v>1.38</v>
      </c>
      <c r="PK59" s="26"/>
      <c r="PM59"/>
      <c r="PN59"/>
      <c r="PO59"/>
      <c r="PP59"/>
      <c r="PQ59"/>
      <c r="PR59"/>
      <c r="PS59">
        <f>+Tabla5202122242526272893[[#This Row],[Recuento]]*Tabla5202122242526272893[[#This Row],[Volúmen bruto]]</f>
        <v>0</v>
      </c>
      <c r="PT59">
        <f>+Tabla5202122242526272893[[#This Row],[Recuento]]*Tabla5202122242526272893[[#This Row],[Área neta]]</f>
        <v>0</v>
      </c>
      <c r="PU59" s="26"/>
      <c r="PW59" t="s">
        <v>1863</v>
      </c>
      <c r="PX59" t="s">
        <v>1525</v>
      </c>
      <c r="PY59" t="s">
        <v>98</v>
      </c>
      <c r="PZ59">
        <v>0</v>
      </c>
      <c r="QA59">
        <v>1.02</v>
      </c>
      <c r="QB59">
        <v>1</v>
      </c>
      <c r="QC59">
        <f>+Tabla520212224252627289349[[#This Row],[Recuento]]*Tabla520212224252627289349[[#This Row],[Volúmen bruto]]</f>
        <v>0</v>
      </c>
      <c r="QD59">
        <f>+Tabla520212224252627289349[[#This Row],[Recuento]]*Tabla520212224252627289349[[#This Row],[Área neta]]</f>
        <v>1.02</v>
      </c>
      <c r="QE59" s="26"/>
      <c r="QG59"/>
      <c r="QH59"/>
      <c r="QI59"/>
      <c r="QJ59"/>
      <c r="QK59"/>
      <c r="QL59"/>
      <c r="QM59">
        <f>+Tabla520212224252627289349134[[#This Row],[Recuento]]*Tabla520212224252627289349134[[#This Row],[Volúmen bruto]]</f>
        <v>0</v>
      </c>
      <c r="QN59">
        <f>+Tabla520212224252627289349134[[#This Row],[Recuento]]*Tabla520212224252627289349134[[#This Row],[Área neta]]</f>
        <v>0</v>
      </c>
      <c r="QO59" s="26"/>
      <c r="QQ59"/>
      <c r="QR59"/>
      <c r="QS59"/>
      <c r="QT59"/>
      <c r="QU59"/>
      <c r="QV59"/>
      <c r="QW59"/>
      <c r="QX59"/>
      <c r="QY59"/>
      <c r="QZ59"/>
      <c r="RA59" s="26"/>
      <c r="RC59"/>
      <c r="RD59"/>
      <c r="RE59"/>
      <c r="RF59"/>
      <c r="RG59"/>
      <c r="RH59"/>
      <c r="RI59"/>
      <c r="RJ59"/>
      <c r="RK59" s="26"/>
      <c r="RM59"/>
      <c r="RN59"/>
      <c r="RO59"/>
      <c r="RP59"/>
      <c r="RQ59"/>
      <c r="RR59"/>
      <c r="RS59"/>
      <c r="RT59"/>
      <c r="RU59" s="26">
        <f t="shared" si="7"/>
        <v>0</v>
      </c>
      <c r="RW59"/>
      <c r="RX59"/>
      <c r="RY59"/>
      <c r="RZ59"/>
      <c r="SA59"/>
      <c r="SB59"/>
      <c r="SC59"/>
      <c r="SD59"/>
      <c r="SE59" s="26"/>
      <c r="SG59"/>
      <c r="SH59"/>
      <c r="SI59"/>
      <c r="SJ59"/>
      <c r="SK59"/>
      <c r="SL59"/>
      <c r="SM59"/>
      <c r="SN59"/>
      <c r="SO59" s="26"/>
      <c r="YK59"/>
      <c r="YL59"/>
      <c r="YM59"/>
      <c r="YN59"/>
      <c r="YO59"/>
      <c r="ACW59" t="s">
        <v>1251</v>
      </c>
      <c r="ACY59" s="2"/>
      <c r="ADA59" s="38"/>
      <c r="ADB59" s="2">
        <f t="shared" si="40"/>
        <v>0</v>
      </c>
      <c r="ADD59"/>
      <c r="ADE59"/>
      <c r="ADF59"/>
      <c r="ADG59" s="26">
        <f t="shared" si="38"/>
        <v>0</v>
      </c>
      <c r="ADJ59"/>
      <c r="ADK59"/>
      <c r="ADL59"/>
      <c r="ADM59"/>
      <c r="ADN59"/>
      <c r="ADO59"/>
      <c r="ADP59" s="36"/>
      <c r="ADR59"/>
      <c r="ADS59"/>
      <c r="ADT59"/>
      <c r="ADU59"/>
      <c r="ADV59"/>
      <c r="ADW59" s="35"/>
      <c r="ADX59" s="35"/>
      <c r="ADY59"/>
      <c r="ADZ59"/>
      <c r="AEA59"/>
      <c r="AEB59"/>
      <c r="AEC59"/>
      <c r="AED59"/>
      <c r="AEE59" s="36"/>
      <c r="AEG59"/>
      <c r="AEH59"/>
      <c r="AEI59"/>
      <c r="AEJ59"/>
      <c r="AEK59"/>
      <c r="AEL59" s="35"/>
      <c r="AEM59" s="35"/>
      <c r="AEN59" t="s">
        <v>1522</v>
      </c>
      <c r="AEO59" t="s">
        <v>1524</v>
      </c>
      <c r="AEP59" t="s">
        <v>381</v>
      </c>
      <c r="AEQ59">
        <v>0.78</v>
      </c>
      <c r="AER59">
        <v>1</v>
      </c>
      <c r="AES59">
        <f>+Tabla5789141516343536373839404142434445464748495051525355606264[[#This Row],[G. Total]]*Tabla5789141516343536373839404142434445464748495051525355606264[[#This Row],[Recuento]]</f>
        <v>0.78</v>
      </c>
      <c r="AET59" s="36"/>
      <c r="AEV59"/>
      <c r="AEW59"/>
      <c r="AEX59"/>
      <c r="AEY59"/>
      <c r="AEZ59"/>
      <c r="AFA59" s="35"/>
      <c r="AFC59"/>
      <c r="AFD59"/>
      <c r="AFE59"/>
      <c r="AFF59" s="33"/>
      <c r="AFG59"/>
      <c r="AFH59"/>
      <c r="AFI59"/>
      <c r="AFJ59"/>
      <c r="AFK59"/>
      <c r="AFL59"/>
      <c r="AFM59"/>
      <c r="AFN59">
        <f>+Tabla578914151634353637383940414243444546474849505152535560626467[[#This Row],[G. Total]]*Tabla578914151634353637383940414243444546474849505152535560626467[[#This Row],[Recuento]]</f>
        <v>0</v>
      </c>
      <c r="AFO59" s="36"/>
    </row>
    <row r="60" spans="1:847" x14ac:dyDescent="0.25">
      <c r="A60"/>
      <c r="B60"/>
      <c r="C60"/>
      <c r="D60"/>
      <c r="E60"/>
      <c r="F60"/>
      <c r="G60"/>
      <c r="H60"/>
      <c r="I60"/>
      <c r="J60"/>
      <c r="V60"/>
      <c r="AH60"/>
      <c r="AT60"/>
      <c r="BG60"/>
      <c r="BH60"/>
      <c r="BI60"/>
      <c r="BJ60"/>
      <c r="BK60"/>
      <c r="BL60">
        <f>+Tabla3102[[#This Row],[Longitud de eje]]*BF60</f>
        <v>0</v>
      </c>
      <c r="BM60">
        <f>+Tabla3102[[#This Row],[Longitud de eje]]*BG60</f>
        <v>0</v>
      </c>
      <c r="BO60"/>
      <c r="BP60"/>
      <c r="BQ60"/>
      <c r="BR60"/>
      <c r="BS60"/>
      <c r="BT60">
        <f>+Tabla31069[[#This Row],[Longitud de eje]]*BN60</f>
        <v>0</v>
      </c>
      <c r="BU60">
        <f>+Tabla31069[[#This Row],[Longitud de eje]]*BO60</f>
        <v>0</v>
      </c>
      <c r="BV60"/>
      <c r="BW60"/>
      <c r="BX60"/>
      <c r="BY60"/>
      <c r="BZ60"/>
      <c r="CA60"/>
      <c r="CB60">
        <f>+Tabla31011[[#This Row],[Longitud de eje]]*BV60</f>
        <v>0</v>
      </c>
      <c r="CD60"/>
      <c r="CE60"/>
      <c r="CF60"/>
      <c r="CG60"/>
      <c r="CH60"/>
      <c r="CI60"/>
      <c r="CJ60">
        <f>+Tabla3101170[[#This Row],[En culmo]]*CD60</f>
        <v>0</v>
      </c>
      <c r="CK60"/>
      <c r="CL60"/>
      <c r="CM60"/>
      <c r="CN60"/>
      <c r="CO60"/>
      <c r="CP60"/>
      <c r="CQ60"/>
      <c r="CR60">
        <f>+Tabla31011116[[#This Row],[Longitud de eje]]*CL60</f>
        <v>0</v>
      </c>
      <c r="CT60"/>
      <c r="CU60"/>
      <c r="CV60"/>
      <c r="CW60"/>
      <c r="CX60"/>
      <c r="CY60"/>
      <c r="CZ60">
        <f>+Tabla3101170117[[#This Row],[En culmo]]*CT60</f>
        <v>0</v>
      </c>
      <c r="DA60"/>
      <c r="DB60"/>
      <c r="DC60"/>
      <c r="DD60"/>
      <c r="DE60"/>
      <c r="DF60"/>
      <c r="DG60">
        <f>+Tabla31011704[[#This Row],[Longitud de eje]]*DB60</f>
        <v>0</v>
      </c>
      <c r="DH60"/>
      <c r="DI60"/>
      <c r="DJ60"/>
      <c r="DK60"/>
      <c r="DL60"/>
      <c r="DM60"/>
      <c r="DN60">
        <f>+Tabla3101170411[[#This Row],[Longitud de eje]]*DI60</f>
        <v>0</v>
      </c>
      <c r="DO60"/>
      <c r="DP60"/>
      <c r="DQ60"/>
      <c r="DR60"/>
      <c r="DS60"/>
      <c r="DT60"/>
      <c r="DU60">
        <f>+Tabla3101170411120[[#This Row],[Longitud de eje]]*DP60</f>
        <v>0</v>
      </c>
      <c r="DV60"/>
      <c r="DW60"/>
      <c r="DX60"/>
      <c r="DY60"/>
      <c r="DZ60"/>
      <c r="EA60"/>
      <c r="EB60">
        <f>+Tabla3101170411120122[[#This Row],[Longitud de eje]]*DW60</f>
        <v>0</v>
      </c>
      <c r="EC60"/>
      <c r="ED60">
        <v>3</v>
      </c>
      <c r="EE60" t="s">
        <v>1862</v>
      </c>
      <c r="EF60" t="s">
        <v>1524</v>
      </c>
      <c r="EG60" t="s">
        <v>1406</v>
      </c>
      <c r="EH60">
        <v>0.94</v>
      </c>
      <c r="EI60">
        <v>1.5</v>
      </c>
      <c r="EJ60">
        <f>+Tabla3101112[[#This Row],[En culmo]]*ED60</f>
        <v>4.5</v>
      </c>
      <c r="EK60"/>
      <c r="EL60"/>
      <c r="EM60"/>
      <c r="EN60"/>
      <c r="EO60"/>
      <c r="EP60"/>
      <c r="EQ60"/>
      <c r="ER60">
        <f>+Tabla3101112123[[#This Row],[En culmo]]*EL60</f>
        <v>0</v>
      </c>
      <c r="ES60"/>
      <c r="ET60">
        <v>1</v>
      </c>
      <c r="EU60" t="s">
        <v>1862</v>
      </c>
      <c r="EV60" t="s">
        <v>1525</v>
      </c>
      <c r="EW60" t="s">
        <v>1406</v>
      </c>
      <c r="EX60">
        <v>2.78</v>
      </c>
      <c r="EY60">
        <v>3</v>
      </c>
      <c r="EZ60">
        <f>+Tabla310111257[[#This Row],[En culmo]]*ET60</f>
        <v>3</v>
      </c>
      <c r="FA60"/>
      <c r="FB60"/>
      <c r="FC60"/>
      <c r="FD60"/>
      <c r="FE60"/>
      <c r="FF60"/>
      <c r="FG60">
        <v>3</v>
      </c>
      <c r="FH60">
        <f>+Tabla310111257124[[#This Row],[En culmo]]*FB60</f>
        <v>0</v>
      </c>
      <c r="FI60"/>
      <c r="FK60"/>
      <c r="FL60"/>
      <c r="FM60"/>
      <c r="FN60"/>
      <c r="FO60"/>
      <c r="FP60"/>
      <c r="FQ60"/>
      <c r="FS60"/>
      <c r="FT60"/>
      <c r="FU60"/>
      <c r="FV60"/>
      <c r="FW60"/>
      <c r="FX60"/>
      <c r="FY60"/>
      <c r="GA60"/>
      <c r="GB60"/>
      <c r="GC60"/>
      <c r="GD60"/>
      <c r="GE60"/>
      <c r="GF60"/>
      <c r="GG60"/>
      <c r="GI60"/>
      <c r="GJ60"/>
      <c r="GK60"/>
      <c r="GL60"/>
      <c r="GM60"/>
      <c r="GN60"/>
      <c r="GO60"/>
      <c r="GQ60"/>
      <c r="GR60"/>
      <c r="GS60"/>
      <c r="GT60"/>
      <c r="GU60"/>
      <c r="GV60"/>
      <c r="GW60"/>
      <c r="GX60"/>
      <c r="GY60" s="35"/>
      <c r="HA60"/>
      <c r="HB60"/>
      <c r="HC60"/>
      <c r="HD60"/>
      <c r="HE60"/>
      <c r="HF60"/>
      <c r="HG60"/>
      <c r="HH60"/>
      <c r="HI60" s="35"/>
      <c r="HK60"/>
      <c r="HL60"/>
      <c r="HM60"/>
      <c r="HN60"/>
      <c r="HO60"/>
      <c r="HP60"/>
      <c r="HQ60"/>
      <c r="HR60"/>
      <c r="HS60" s="35"/>
      <c r="HU60"/>
      <c r="HV60"/>
      <c r="HW60"/>
      <c r="HX60"/>
      <c r="HY60"/>
      <c r="HZ60"/>
      <c r="IA60"/>
      <c r="IB60"/>
      <c r="IC60" s="36"/>
      <c r="IE60"/>
      <c r="IF60"/>
      <c r="IG60"/>
      <c r="IH60"/>
      <c r="II60"/>
      <c r="IJ60"/>
      <c r="IK60"/>
      <c r="IL60"/>
      <c r="IM60" s="36"/>
      <c r="IY60"/>
      <c r="IZ60"/>
      <c r="JA60"/>
      <c r="JB60"/>
      <c r="JC60"/>
      <c r="JD60">
        <v>3</v>
      </c>
      <c r="JE60">
        <f>+Tabla520212224[[#This Row],[Recuento]]*Tabla520212224[[#This Row],[Volúmen bruto]]</f>
        <v>0</v>
      </c>
      <c r="JF60">
        <f>+Tabla520212224[[#This Row],[Recuento]]*Tabla520212224[[#This Row],[Área neta]]</f>
        <v>0</v>
      </c>
      <c r="JG60" s="26"/>
      <c r="JI60" t="s">
        <v>1863</v>
      </c>
      <c r="JJ60" t="s">
        <v>1525</v>
      </c>
      <c r="JK60" t="s">
        <v>1677</v>
      </c>
      <c r="JL60">
        <v>0.01</v>
      </c>
      <c r="JM60">
        <v>12.96</v>
      </c>
      <c r="JN60">
        <v>1</v>
      </c>
      <c r="JO60">
        <f>+Tabla52021222425[[#This Row],[Recuento]]*Tabla52021222425[[#This Row],[Volúmen bruto]]</f>
        <v>0.01</v>
      </c>
      <c r="JP60">
        <f>+Tabla52021222425[[#This Row],[Recuento]]*Tabla52021222425[[#This Row],[Área neta]]</f>
        <v>12.96</v>
      </c>
      <c r="JQ60" s="26"/>
      <c r="JS60" t="s">
        <v>1863</v>
      </c>
      <c r="JT60" t="s">
        <v>1524</v>
      </c>
      <c r="JU60" t="s">
        <v>97</v>
      </c>
      <c r="JV60">
        <v>0.02</v>
      </c>
      <c r="JW60">
        <v>1.2</v>
      </c>
      <c r="JX60">
        <v>1</v>
      </c>
      <c r="JY60">
        <f>+Tabla5202122242526[[#This Row],[Recuento]]*Tabla5202122242526[[#This Row],[Volúmen bruto]]</f>
        <v>0.02</v>
      </c>
      <c r="JZ60">
        <f>+Tabla5202122242526[[#This Row],[Recuento]]*Tabla5202122242526[[#This Row],[Área neta]]</f>
        <v>1.2</v>
      </c>
      <c r="KA60" s="26"/>
      <c r="KC60"/>
      <c r="KD60"/>
      <c r="KE60"/>
      <c r="KF60"/>
      <c r="KG60"/>
      <c r="KH60"/>
      <c r="KI60">
        <f>+Tabla5202122242526104[[#This Row],[Recuento]]*Tabla5202122242526104[[#This Row],[Volúmen bruto]]</f>
        <v>0</v>
      </c>
      <c r="KJ60">
        <f>+Tabla5202122242526104[[#This Row],[Recuento]]*Tabla5202122242526104[[#This Row],[Área neta]]</f>
        <v>0</v>
      </c>
      <c r="KK60" s="26"/>
      <c r="KM60" t="s">
        <v>1862</v>
      </c>
      <c r="KN60" t="s">
        <v>1525</v>
      </c>
      <c r="KO60" t="s">
        <v>1676</v>
      </c>
      <c r="KP60">
        <v>0.42</v>
      </c>
      <c r="KQ60">
        <v>1.74</v>
      </c>
      <c r="KR60">
        <v>1</v>
      </c>
      <c r="KS60">
        <f>+Tabla5202122242526104110[[#This Row],[Recuento]]*Tabla5202122242526104110[[#This Row],[Volúmen bruto]]</f>
        <v>0.42</v>
      </c>
      <c r="KT60">
        <f>+Tabla5202122242526104110[[#This Row],[Recuento]]*Tabla5202122242526104110[[#This Row],[Área neta]]</f>
        <v>1.74</v>
      </c>
      <c r="KU60" s="26"/>
      <c r="KW60"/>
      <c r="KX60"/>
      <c r="KY60"/>
      <c r="KZ60"/>
      <c r="LA60"/>
      <c r="LB60"/>
      <c r="LC60">
        <f>+Tabla520212224252659[[#This Row],[Recuento]]*Tabla520212224252659[[#This Row],[Volúmen bruto]]</f>
        <v>0</v>
      </c>
      <c r="LD60">
        <f>+Tabla520212224252659[[#This Row],[Recuento]]*Tabla520212224252659[[#This Row],[Área neta]]</f>
        <v>0</v>
      </c>
      <c r="LE60" s="26"/>
      <c r="LG60"/>
      <c r="LH60"/>
      <c r="LI60"/>
      <c r="LJ60"/>
      <c r="LK60"/>
      <c r="LL60"/>
      <c r="LM60">
        <f>+Tabla520212224252659111[[#This Row],[Recuento]]*Tabla520212224252659111[[#This Row],[Volúmen bruto]]</f>
        <v>0</v>
      </c>
      <c r="LN60">
        <f>+Tabla520212224252659111[[#This Row],[Recuento]]*Tabla520212224252659111[[#This Row],[Área neta]]</f>
        <v>0</v>
      </c>
      <c r="LO60" s="26"/>
      <c r="LQ60"/>
      <c r="LR60"/>
      <c r="LS60"/>
      <c r="LT60"/>
      <c r="LU60"/>
      <c r="LV60"/>
      <c r="LW60">
        <f>+Tabla520212224252659111114[[#This Row],[Recuento]]*Tabla520212224252659111114[[#This Row],[Volúmen bruto]]</f>
        <v>0</v>
      </c>
      <c r="LX60">
        <f>+Tabla520212224252659111114[[#This Row],[Recuento]]*Tabla520212224252659111114[[#This Row],[Área neta]]</f>
        <v>0</v>
      </c>
      <c r="LY60" s="26"/>
      <c r="MA60"/>
      <c r="MB60"/>
      <c r="MC60"/>
      <c r="MD60"/>
      <c r="ME60"/>
      <c r="MF60"/>
      <c r="MG60">
        <f>+Tabla520212224252659111114128[[#This Row],[Recuento]]*Tabla520212224252659111114128[[#This Row],[Volúmen bruto]]</f>
        <v>0</v>
      </c>
      <c r="MH60">
        <f>+Tabla520212224252659111114128[[#This Row],[Recuento]]*Tabla520212224252659111114128[[#This Row],[Área neta]]</f>
        <v>0</v>
      </c>
      <c r="MI60" s="26"/>
      <c r="MK60"/>
      <c r="ML60"/>
      <c r="MM60"/>
      <c r="MN60"/>
      <c r="MO60"/>
      <c r="MP60"/>
      <c r="MQ60">
        <f>+Tabla520212224252627[[#This Row],[Recuento]]*Tabla520212224252627[[#This Row],[Volúmen bruto]]</f>
        <v>0</v>
      </c>
      <c r="MR60">
        <f>+Tabla520212224252627[[#This Row],[Recuento]]*Tabla520212224252627[[#This Row],[Área neta]]</f>
        <v>0</v>
      </c>
      <c r="MS60" s="26">
        <f>+SUM(MQ60:MQ67)</f>
        <v>0</v>
      </c>
      <c r="MU60"/>
      <c r="MV60"/>
      <c r="MW60"/>
      <c r="MX60"/>
      <c r="MY60"/>
      <c r="MZ60"/>
      <c r="NA60">
        <f>+Tabla520212224252627129[[#This Row],[Recuento]]*Tabla520212224252627129[[#This Row],[Volúmen bruto]]</f>
        <v>0</v>
      </c>
      <c r="NB60">
        <f>+Tabla520212224252627129[[#This Row],[Recuento]]*Tabla520212224252627129[[#This Row],[Área neta]]</f>
        <v>0</v>
      </c>
      <c r="NC60" s="26">
        <f>+SUM(NA60:NA67)</f>
        <v>0</v>
      </c>
      <c r="NE60"/>
      <c r="NF60"/>
      <c r="NG60"/>
      <c r="NH60"/>
      <c r="NI60"/>
      <c r="NJ60"/>
      <c r="NK60">
        <f>+Tabla520212224252627129125[[#This Row],[Recuento]]*Tabla520212224252627129125[[#This Row],[Volúmen bruto]]</f>
        <v>0</v>
      </c>
      <c r="NL60">
        <f>+Tabla520212224252627129125[[#This Row],[Recuento]]*Tabla520212224252627129125[[#This Row],[Área neta]]</f>
        <v>0</v>
      </c>
      <c r="NM60" s="26">
        <f>+SUM(NK60:NK67)</f>
        <v>0</v>
      </c>
      <c r="NO60"/>
      <c r="NP60"/>
      <c r="NQ60"/>
      <c r="NR60"/>
      <c r="NS60"/>
      <c r="NT60"/>
      <c r="NU60">
        <f>+Tabla520212224252627129125130[[#This Row],[Recuento]]*Tabla520212224252627129125130[[#This Row],[Volúmen bruto]]</f>
        <v>0</v>
      </c>
      <c r="NV60">
        <f>+Tabla520212224252627129125130[[#This Row],[Recuento]]*Tabla520212224252627129125130[[#This Row],[Área neta]]</f>
        <v>0</v>
      </c>
      <c r="NW60" s="26">
        <f>+SUM(NU60:NU67)</f>
        <v>0</v>
      </c>
      <c r="NY60"/>
      <c r="NZ60"/>
      <c r="OA60"/>
      <c r="OB60"/>
      <c r="OC60"/>
      <c r="OD60"/>
      <c r="OE60">
        <f>+Tabla520212224252627129125130131[[#This Row],[Recuento]]*Tabla520212224252627129125130131[[#This Row],[Volúmen bruto]]</f>
        <v>0</v>
      </c>
      <c r="OF60">
        <f>+Tabla520212224252627129125130131[[#This Row],[Recuento]]*Tabla520212224252627129125130131[[#This Row],[Área neta]]</f>
        <v>0</v>
      </c>
      <c r="OG60" s="26">
        <f>+SUM(OE60:OE67)</f>
        <v>0</v>
      </c>
      <c r="OI60"/>
      <c r="OJ60"/>
      <c r="OK60"/>
      <c r="OL60"/>
      <c r="OM60"/>
      <c r="ON60"/>
      <c r="OO60">
        <f>+Tabla520212224252627129125130131132[[#This Row],[Recuento]]*Tabla520212224252627129125130131132[[#This Row],[Volúmen bruto]]</f>
        <v>0</v>
      </c>
      <c r="OP60">
        <f>+Tabla520212224252627129125130131132[[#This Row],[Recuento]]*Tabla520212224252627129125130131132[[#This Row],[Área neta]]</f>
        <v>0</v>
      </c>
      <c r="OQ60" s="26">
        <f>+SUM(OO60:OO67)</f>
        <v>0</v>
      </c>
      <c r="OS60"/>
      <c r="OT60"/>
      <c r="OU60"/>
      <c r="OV60"/>
      <c r="OW60"/>
      <c r="OX60"/>
      <c r="OY60">
        <f>+Tabla52021222425262728[[#This Row],[Recuento]]*Tabla52021222425262728[[#This Row],[Volúmen bruto]]</f>
        <v>0</v>
      </c>
      <c r="OZ60">
        <f>+Tabla52021222425262728[[#This Row],[Recuento]]*Tabla52021222425262728[[#This Row],[Área neta]]</f>
        <v>0</v>
      </c>
      <c r="PA60" s="26">
        <f t="shared" si="32"/>
        <v>0</v>
      </c>
      <c r="PC60" t="s">
        <v>1863</v>
      </c>
      <c r="PD60" t="s">
        <v>1524</v>
      </c>
      <c r="PE60" t="s">
        <v>1628</v>
      </c>
      <c r="PF60">
        <v>7.0000000000000007E-2</v>
      </c>
      <c r="PG60">
        <v>3.1</v>
      </c>
      <c r="PH60">
        <v>2</v>
      </c>
      <c r="PI60">
        <f>+Tabla52021222425262728133[[#This Row],[Recuento]]*Tabla52021222425262728133[[#This Row],[Volúmen bruto]]</f>
        <v>0.14000000000000001</v>
      </c>
      <c r="PJ60">
        <f>+Tabla52021222425262728133[[#This Row],[Recuento]]*Tabla52021222425262728133[[#This Row],[Área neta]]</f>
        <v>6.2</v>
      </c>
      <c r="PK60" s="26">
        <f>+SUM(PJ60:PJ63)</f>
        <v>14.51</v>
      </c>
      <c r="PM60"/>
      <c r="PN60"/>
      <c r="PO60"/>
      <c r="PP60"/>
      <c r="PQ60"/>
      <c r="PR60"/>
      <c r="PS60">
        <f>+Tabla5202122242526272893[[#This Row],[Recuento]]*Tabla5202122242526272893[[#This Row],[Volúmen bruto]]</f>
        <v>0</v>
      </c>
      <c r="PT60">
        <f>+Tabla5202122242526272893[[#This Row],[Recuento]]*Tabla5202122242526272893[[#This Row],[Área neta]]</f>
        <v>0</v>
      </c>
      <c r="PU60" s="26"/>
      <c r="PW60" t="s">
        <v>1863</v>
      </c>
      <c r="PX60" t="s">
        <v>1524</v>
      </c>
      <c r="PY60" t="s">
        <v>1676</v>
      </c>
      <c r="PZ60">
        <v>0.24</v>
      </c>
      <c r="QA60">
        <v>2.0099999999999998</v>
      </c>
      <c r="QB60">
        <v>1</v>
      </c>
      <c r="QC60">
        <f>+Tabla520212224252627289349[[#This Row],[Recuento]]*Tabla520212224252627289349[[#This Row],[Volúmen bruto]]</f>
        <v>0.24</v>
      </c>
      <c r="QD60">
        <f>+Tabla520212224252627289349[[#This Row],[Recuento]]*Tabla520212224252627289349[[#This Row],[Área neta]]</f>
        <v>2.0099999999999998</v>
      </c>
      <c r="QE60" s="26">
        <f>+SUM(QD60:QD62)</f>
        <v>4.47</v>
      </c>
      <c r="QG60"/>
      <c r="QH60"/>
      <c r="QI60"/>
      <c r="QJ60"/>
      <c r="QK60"/>
      <c r="QL60"/>
      <c r="QM60">
        <f>+Tabla520212224252627289349134[[#This Row],[Recuento]]*Tabla520212224252627289349134[[#This Row],[Volúmen bruto]]</f>
        <v>0</v>
      </c>
      <c r="QN60">
        <f>+Tabla520212224252627289349134[[#This Row],[Recuento]]*Tabla520212224252627289349134[[#This Row],[Área neta]]</f>
        <v>0</v>
      </c>
      <c r="QO60" s="26"/>
      <c r="QQ60"/>
      <c r="QR60"/>
      <c r="QS60"/>
      <c r="QT60"/>
      <c r="QU60"/>
      <c r="QV60"/>
      <c r="QW60"/>
      <c r="QX60"/>
      <c r="QY60"/>
      <c r="QZ60"/>
      <c r="RA60" s="26"/>
      <c r="RC60"/>
      <c r="RD60"/>
      <c r="RE60"/>
      <c r="RF60"/>
      <c r="RG60"/>
      <c r="RH60"/>
      <c r="RI60"/>
      <c r="RJ60"/>
      <c r="RK60" s="26"/>
      <c r="RM60"/>
      <c r="RN60"/>
      <c r="RO60"/>
      <c r="RP60"/>
      <c r="RQ60"/>
      <c r="RR60"/>
      <c r="RS60"/>
      <c r="RT60"/>
      <c r="RU60" s="26">
        <f t="shared" si="7"/>
        <v>0</v>
      </c>
      <c r="RW60"/>
      <c r="RX60"/>
      <c r="RY60"/>
      <c r="RZ60"/>
      <c r="SA60"/>
      <c r="SB60"/>
      <c r="SC60"/>
      <c r="SD60"/>
      <c r="SE60" s="26"/>
      <c r="SG60"/>
      <c r="SH60"/>
      <c r="SI60"/>
      <c r="SJ60"/>
      <c r="SK60"/>
      <c r="SL60"/>
      <c r="SM60"/>
      <c r="SN60"/>
      <c r="SO60" s="26"/>
      <c r="YK60"/>
      <c r="YL60"/>
      <c r="YM60"/>
      <c r="YN60"/>
      <c r="YO60"/>
      <c r="ACW60" t="s">
        <v>1252</v>
      </c>
      <c r="ACY60" s="2"/>
      <c r="ADA60" s="38"/>
      <c r="ADB60" s="2">
        <f t="shared" si="40"/>
        <v>0</v>
      </c>
      <c r="ADD60"/>
      <c r="ADE60"/>
      <c r="ADF60"/>
      <c r="ADG60" s="26">
        <f t="shared" si="38"/>
        <v>0</v>
      </c>
      <c r="ADJ60"/>
      <c r="ADK60"/>
      <c r="ADL60"/>
      <c r="ADM60"/>
      <c r="ADN60"/>
      <c r="ADO60"/>
      <c r="ADP60" s="36"/>
      <c r="ADR60"/>
      <c r="ADS60"/>
      <c r="ADT60"/>
      <c r="ADU60"/>
      <c r="ADV60"/>
      <c r="ADW60" s="35"/>
      <c r="ADX60" s="35"/>
      <c r="ADY60"/>
      <c r="ADZ60"/>
      <c r="AEA60"/>
      <c r="AEB60"/>
      <c r="AEC60"/>
      <c r="AED60"/>
      <c r="AEE60" s="36"/>
      <c r="AEG60"/>
      <c r="AEH60"/>
      <c r="AEI60"/>
      <c r="AEJ60"/>
      <c r="AEK60"/>
      <c r="AEL60" s="35"/>
      <c r="AEM60" s="35"/>
      <c r="AEN60" t="s">
        <v>1522</v>
      </c>
      <c r="AEO60" t="s">
        <v>1524</v>
      </c>
      <c r="AEP60" t="s">
        <v>381</v>
      </c>
      <c r="AEQ60">
        <v>0.33</v>
      </c>
      <c r="AER60">
        <v>1</v>
      </c>
      <c r="AES60">
        <f>+Tabla5789141516343536373839404142434445464748495051525355606264[[#This Row],[G. Total]]*Tabla5789141516343536373839404142434445464748495051525355606264[[#This Row],[Recuento]]</f>
        <v>0.33</v>
      </c>
      <c r="AET60" s="35"/>
      <c r="AEV60"/>
      <c r="AEW60"/>
      <c r="AEX60"/>
      <c r="AEY60"/>
      <c r="AEZ60"/>
      <c r="AFA60" s="35"/>
      <c r="AFC60"/>
      <c r="AFD60"/>
      <c r="AFE60"/>
      <c r="AFF60" s="33"/>
      <c r="AFG60"/>
      <c r="AFH60"/>
      <c r="AFI60"/>
      <c r="AFJ60"/>
      <c r="AFK60"/>
      <c r="AFL60"/>
      <c r="AFM60"/>
      <c r="AFN60">
        <f>+Tabla578914151634353637383940414243444546474849505152535560626467[[#This Row],[G. Total]]*Tabla578914151634353637383940414243444546474849505152535560626467[[#This Row],[Recuento]]</f>
        <v>0</v>
      </c>
      <c r="AFO60" s="35"/>
    </row>
    <row r="61" spans="1:847" x14ac:dyDescent="0.25">
      <c r="A61"/>
      <c r="B61"/>
      <c r="C61"/>
      <c r="D61"/>
      <c r="E61"/>
      <c r="F61"/>
      <c r="G61"/>
      <c r="H61"/>
      <c r="I61"/>
      <c r="J61"/>
      <c r="V61"/>
      <c r="AH61"/>
      <c r="AT61"/>
      <c r="BG61"/>
      <c r="BH61"/>
      <c r="BI61"/>
      <c r="BJ61"/>
      <c r="BK61"/>
      <c r="BL61">
        <f>+Tabla3102[[#This Row],[Longitud de eje]]*BF61</f>
        <v>0</v>
      </c>
      <c r="BM61">
        <f>+Tabla3102[[#This Row],[Longitud de eje]]*BG61</f>
        <v>0</v>
      </c>
      <c r="BO61"/>
      <c r="BP61"/>
      <c r="BQ61"/>
      <c r="BR61"/>
      <c r="BS61"/>
      <c r="BT61">
        <f>+Tabla31069[[#This Row],[Longitud de eje]]*BN61</f>
        <v>0</v>
      </c>
      <c r="BU61">
        <f>+Tabla31069[[#This Row],[Longitud de eje]]*BO61</f>
        <v>0</v>
      </c>
      <c r="BV61"/>
      <c r="BW61"/>
      <c r="BX61"/>
      <c r="BY61"/>
      <c r="BZ61"/>
      <c r="CA61"/>
      <c r="CB61">
        <f>+Tabla31011[[#This Row],[Longitud de eje]]*BV61</f>
        <v>0</v>
      </c>
      <c r="CD61"/>
      <c r="CE61"/>
      <c r="CF61"/>
      <c r="CG61"/>
      <c r="CH61"/>
      <c r="CI61"/>
      <c r="CJ61">
        <f>+Tabla3101170[[#This Row],[En culmo]]*CD61</f>
        <v>0</v>
      </c>
      <c r="CK61"/>
      <c r="CL61"/>
      <c r="CM61"/>
      <c r="CN61"/>
      <c r="CO61"/>
      <c r="CP61"/>
      <c r="CQ61"/>
      <c r="CR61">
        <f>+Tabla31011116[[#This Row],[Longitud de eje]]*CL61</f>
        <v>0</v>
      </c>
      <c r="CT61"/>
      <c r="CU61"/>
      <c r="CV61"/>
      <c r="CW61"/>
      <c r="CX61"/>
      <c r="CY61"/>
      <c r="CZ61">
        <f>+Tabla3101170117[[#This Row],[En culmo]]*CT61</f>
        <v>0</v>
      </c>
      <c r="DA61"/>
      <c r="DB61"/>
      <c r="DC61"/>
      <c r="DD61"/>
      <c r="DE61"/>
      <c r="DF61"/>
      <c r="DG61">
        <f>+Tabla31011704[[#This Row],[Longitud de eje]]*DB61</f>
        <v>0</v>
      </c>
      <c r="DH61"/>
      <c r="DI61"/>
      <c r="DJ61"/>
      <c r="DK61"/>
      <c r="DL61"/>
      <c r="DM61"/>
      <c r="DN61">
        <f>+Tabla3101170411[[#This Row],[Longitud de eje]]*DI61</f>
        <v>0</v>
      </c>
      <c r="DO61"/>
      <c r="DP61"/>
      <c r="DQ61"/>
      <c r="DR61"/>
      <c r="DS61"/>
      <c r="DT61"/>
      <c r="DU61">
        <f>+Tabla3101170411120[[#This Row],[Longitud de eje]]*DP61</f>
        <v>0</v>
      </c>
      <c r="DV61"/>
      <c r="DW61"/>
      <c r="DX61"/>
      <c r="DY61"/>
      <c r="DZ61"/>
      <c r="EA61"/>
      <c r="EB61">
        <f>+Tabla3101170411120122[[#This Row],[Longitud de eje]]*DW61</f>
        <v>0</v>
      </c>
      <c r="EC61"/>
      <c r="ED61">
        <v>1</v>
      </c>
      <c r="EE61" t="s">
        <v>1862</v>
      </c>
      <c r="EF61" t="s">
        <v>1524</v>
      </c>
      <c r="EG61" t="s">
        <v>1406</v>
      </c>
      <c r="EH61">
        <v>3.54</v>
      </c>
      <c r="EI61">
        <v>4</v>
      </c>
      <c r="EJ61">
        <f>+Tabla3101112[[#This Row],[En culmo]]*ED61</f>
        <v>4</v>
      </c>
      <c r="EK61"/>
      <c r="EL61"/>
      <c r="EM61"/>
      <c r="EN61"/>
      <c r="EO61"/>
      <c r="EP61"/>
      <c r="EQ61"/>
      <c r="ER61">
        <f>+Tabla3101112123[[#This Row],[En culmo]]*EL61</f>
        <v>0</v>
      </c>
      <c r="ES61"/>
      <c r="ET61">
        <v>1</v>
      </c>
      <c r="EU61" t="s">
        <v>1862</v>
      </c>
      <c r="EV61" t="s">
        <v>1525</v>
      </c>
      <c r="EW61" t="s">
        <v>1406</v>
      </c>
      <c r="EX61">
        <v>3.47</v>
      </c>
      <c r="EY61">
        <v>4</v>
      </c>
      <c r="EZ61">
        <f>+Tabla310111257[[#This Row],[En culmo]]*ET61</f>
        <v>4</v>
      </c>
      <c r="FA61"/>
      <c r="FB61"/>
      <c r="FC61"/>
      <c r="FD61"/>
      <c r="FE61"/>
      <c r="FF61"/>
      <c r="FG61">
        <v>4</v>
      </c>
      <c r="FH61">
        <f>+Tabla310111257124[[#This Row],[En culmo]]*FB61</f>
        <v>0</v>
      </c>
      <c r="FI61"/>
      <c r="FK61"/>
      <c r="FL61"/>
      <c r="FM61"/>
      <c r="FN61"/>
      <c r="FO61"/>
      <c r="FP61"/>
      <c r="FQ61"/>
      <c r="FS61"/>
      <c r="FT61"/>
      <c r="FU61"/>
      <c r="FV61"/>
      <c r="FW61"/>
      <c r="FX61"/>
      <c r="FY61"/>
      <c r="GA61"/>
      <c r="GB61"/>
      <c r="GC61"/>
      <c r="GD61"/>
      <c r="GE61"/>
      <c r="GF61"/>
      <c r="GG61"/>
      <c r="GI61"/>
      <c r="GJ61"/>
      <c r="GK61"/>
      <c r="GL61"/>
      <c r="GM61"/>
      <c r="GN61"/>
      <c r="GO61"/>
      <c r="GQ61"/>
      <c r="GR61"/>
      <c r="GS61"/>
      <c r="GT61"/>
      <c r="GU61"/>
      <c r="GV61"/>
      <c r="GW61"/>
      <c r="GX61"/>
      <c r="GY61" s="36"/>
      <c r="HA61"/>
      <c r="HB61"/>
      <c r="HC61"/>
      <c r="HD61"/>
      <c r="HE61"/>
      <c r="HF61"/>
      <c r="HG61"/>
      <c r="HH61"/>
      <c r="HI61" s="36"/>
      <c r="HK61"/>
      <c r="HL61"/>
      <c r="HM61"/>
      <c r="HN61"/>
      <c r="HO61"/>
      <c r="HP61"/>
      <c r="HQ61"/>
      <c r="HR61"/>
      <c r="HS61" s="36"/>
      <c r="HU61"/>
      <c r="HV61"/>
      <c r="HW61"/>
      <c r="HX61"/>
      <c r="HY61"/>
      <c r="HZ61"/>
      <c r="IA61"/>
      <c r="IB61"/>
      <c r="IC61" s="36"/>
      <c r="IE61"/>
      <c r="IF61"/>
      <c r="IG61"/>
      <c r="IH61"/>
      <c r="II61"/>
      <c r="IJ61"/>
      <c r="IK61"/>
      <c r="IL61"/>
      <c r="IM61" s="36"/>
      <c r="IY61"/>
      <c r="IZ61"/>
      <c r="JA61"/>
      <c r="JB61"/>
      <c r="JC61"/>
      <c r="JD61">
        <v>6</v>
      </c>
      <c r="JE61">
        <f>+Tabla520212224[[#This Row],[Recuento]]*Tabla520212224[[#This Row],[Volúmen bruto]]</f>
        <v>0</v>
      </c>
      <c r="JF61">
        <f>+Tabla520212224[[#This Row],[Recuento]]*Tabla520212224[[#This Row],[Área neta]]</f>
        <v>0</v>
      </c>
      <c r="JG61" s="26"/>
      <c r="JI61" t="s">
        <v>1863</v>
      </c>
      <c r="JJ61" t="s">
        <v>1524</v>
      </c>
      <c r="JK61" t="s">
        <v>1676</v>
      </c>
      <c r="JL61">
        <v>0.21</v>
      </c>
      <c r="JM61">
        <v>1.73</v>
      </c>
      <c r="JN61">
        <v>1</v>
      </c>
      <c r="JO61">
        <f>+Tabla52021222425[[#This Row],[Recuento]]*Tabla52021222425[[#This Row],[Volúmen bruto]]</f>
        <v>0.21</v>
      </c>
      <c r="JP61">
        <f>+Tabla52021222425[[#This Row],[Recuento]]*Tabla52021222425[[#This Row],[Área neta]]</f>
        <v>1.73</v>
      </c>
      <c r="JQ61" s="26">
        <f>+SUM(JP61:JP63)</f>
        <v>23.740000000000002</v>
      </c>
      <c r="JS61" t="s">
        <v>1863</v>
      </c>
      <c r="JT61" t="s">
        <v>1524</v>
      </c>
      <c r="JU61" t="s">
        <v>97</v>
      </c>
      <c r="JV61">
        <v>0.05</v>
      </c>
      <c r="JW61">
        <v>0.84</v>
      </c>
      <c r="JX61">
        <v>2</v>
      </c>
      <c r="JY61">
        <f>+Tabla5202122242526[[#This Row],[Recuento]]*Tabla5202122242526[[#This Row],[Volúmen bruto]]</f>
        <v>0.1</v>
      </c>
      <c r="JZ61">
        <f>+Tabla5202122242526[[#This Row],[Recuento]]*Tabla5202122242526[[#This Row],[Área neta]]</f>
        <v>1.68</v>
      </c>
      <c r="KA61" s="26"/>
      <c r="KC61"/>
      <c r="KD61"/>
      <c r="KE61"/>
      <c r="KF61"/>
      <c r="KG61"/>
      <c r="KH61"/>
      <c r="KI61">
        <f>+Tabla5202122242526104[[#This Row],[Recuento]]*Tabla5202122242526104[[#This Row],[Volúmen bruto]]</f>
        <v>0</v>
      </c>
      <c r="KJ61">
        <f>+Tabla5202122242526104[[#This Row],[Recuento]]*Tabla5202122242526104[[#This Row],[Área neta]]</f>
        <v>0</v>
      </c>
      <c r="KK61" s="26"/>
      <c r="KM61" t="s">
        <v>1862</v>
      </c>
      <c r="KN61" t="s">
        <v>1525</v>
      </c>
      <c r="KO61" t="s">
        <v>1676</v>
      </c>
      <c r="KP61">
        <v>0.55000000000000004</v>
      </c>
      <c r="KQ61">
        <v>4.5599999999999996</v>
      </c>
      <c r="KR61">
        <v>1</v>
      </c>
      <c r="KS61">
        <f>+Tabla5202122242526104110[[#This Row],[Recuento]]*Tabla5202122242526104110[[#This Row],[Volúmen bruto]]</f>
        <v>0.55000000000000004</v>
      </c>
      <c r="KT61">
        <f>+Tabla5202122242526104110[[#This Row],[Recuento]]*Tabla5202122242526104110[[#This Row],[Área neta]]</f>
        <v>4.5599999999999996</v>
      </c>
      <c r="KU61" s="26"/>
      <c r="KW61"/>
      <c r="KX61"/>
      <c r="KY61"/>
      <c r="KZ61"/>
      <c r="LA61"/>
      <c r="LB61"/>
      <c r="LC61">
        <f>+Tabla520212224252659[[#This Row],[Recuento]]*Tabla520212224252659[[#This Row],[Volúmen bruto]]</f>
        <v>0</v>
      </c>
      <c r="LD61">
        <f>+Tabla520212224252659[[#This Row],[Recuento]]*Tabla520212224252659[[#This Row],[Área neta]]</f>
        <v>0</v>
      </c>
      <c r="LE61" s="26"/>
      <c r="LG61"/>
      <c r="LH61"/>
      <c r="LI61"/>
      <c r="LJ61"/>
      <c r="LK61"/>
      <c r="LL61"/>
      <c r="LM61">
        <f>+Tabla520212224252659111[[#This Row],[Recuento]]*Tabla520212224252659111[[#This Row],[Volúmen bruto]]</f>
        <v>0</v>
      </c>
      <c r="LN61">
        <f>+Tabla520212224252659111[[#This Row],[Recuento]]*Tabla520212224252659111[[#This Row],[Área neta]]</f>
        <v>0</v>
      </c>
      <c r="LO61" s="26"/>
      <c r="LQ61"/>
      <c r="LR61"/>
      <c r="LS61"/>
      <c r="LT61"/>
      <c r="LU61"/>
      <c r="LV61"/>
      <c r="LW61">
        <f>+Tabla520212224252659111114[[#This Row],[Recuento]]*Tabla520212224252659111114[[#This Row],[Volúmen bruto]]</f>
        <v>0</v>
      </c>
      <c r="LX61">
        <f>+Tabla520212224252659111114[[#This Row],[Recuento]]*Tabla520212224252659111114[[#This Row],[Área neta]]</f>
        <v>0</v>
      </c>
      <c r="LY61" s="26"/>
      <c r="MA61"/>
      <c r="MB61"/>
      <c r="MC61"/>
      <c r="MD61"/>
      <c r="ME61"/>
      <c r="MF61"/>
      <c r="MG61">
        <f>+Tabla520212224252659111114128[[#This Row],[Recuento]]*Tabla520212224252659111114128[[#This Row],[Volúmen bruto]]</f>
        <v>0</v>
      </c>
      <c r="MH61">
        <f>+Tabla520212224252659111114128[[#This Row],[Recuento]]*Tabla520212224252659111114128[[#This Row],[Área neta]]</f>
        <v>0</v>
      </c>
      <c r="MI61" s="26"/>
      <c r="MK61"/>
      <c r="ML61"/>
      <c r="MM61"/>
      <c r="MN61"/>
      <c r="MO61"/>
      <c r="MP61"/>
      <c r="MQ61">
        <f>+Tabla520212224252627[[#This Row],[Recuento]]*Tabla520212224252627[[#This Row],[Volúmen bruto]]</f>
        <v>0</v>
      </c>
      <c r="MR61">
        <f>+Tabla520212224252627[[#This Row],[Recuento]]*Tabla520212224252627[[#This Row],[Área neta]]</f>
        <v>0</v>
      </c>
      <c r="MS61" s="26"/>
      <c r="MU61"/>
      <c r="MV61"/>
      <c r="MW61"/>
      <c r="MX61"/>
      <c r="MY61"/>
      <c r="MZ61"/>
      <c r="NA61">
        <f>+Tabla520212224252627129[[#This Row],[Recuento]]*Tabla520212224252627129[[#This Row],[Volúmen bruto]]</f>
        <v>0</v>
      </c>
      <c r="NB61">
        <f>+Tabla520212224252627129[[#This Row],[Recuento]]*Tabla520212224252627129[[#This Row],[Área neta]]</f>
        <v>0</v>
      </c>
      <c r="NC61" s="26"/>
      <c r="NE61"/>
      <c r="NF61"/>
      <c r="NG61"/>
      <c r="NH61"/>
      <c r="NI61"/>
      <c r="NJ61"/>
      <c r="NK61">
        <f>+Tabla520212224252627129125[[#This Row],[Recuento]]*Tabla520212224252627129125[[#This Row],[Volúmen bruto]]</f>
        <v>0</v>
      </c>
      <c r="NL61">
        <f>+Tabla520212224252627129125[[#This Row],[Recuento]]*Tabla520212224252627129125[[#This Row],[Área neta]]</f>
        <v>0</v>
      </c>
      <c r="NM61" s="26"/>
      <c r="NO61"/>
      <c r="NP61"/>
      <c r="NQ61"/>
      <c r="NR61"/>
      <c r="NS61"/>
      <c r="NT61"/>
      <c r="NU61">
        <f>+Tabla520212224252627129125130[[#This Row],[Recuento]]*Tabla520212224252627129125130[[#This Row],[Volúmen bruto]]</f>
        <v>0</v>
      </c>
      <c r="NV61">
        <f>+Tabla520212224252627129125130[[#This Row],[Recuento]]*Tabla520212224252627129125130[[#This Row],[Área neta]]</f>
        <v>0</v>
      </c>
      <c r="NW61" s="26"/>
      <c r="NY61"/>
      <c r="NZ61"/>
      <c r="OA61"/>
      <c r="OB61"/>
      <c r="OC61"/>
      <c r="OD61"/>
      <c r="OE61">
        <f>+Tabla520212224252627129125130131[[#This Row],[Recuento]]*Tabla520212224252627129125130131[[#This Row],[Volúmen bruto]]</f>
        <v>0</v>
      </c>
      <c r="OF61">
        <f>+Tabla520212224252627129125130131[[#This Row],[Recuento]]*Tabla520212224252627129125130131[[#This Row],[Área neta]]</f>
        <v>0</v>
      </c>
      <c r="OG61" s="26"/>
      <c r="OI61"/>
      <c r="OJ61"/>
      <c r="OK61"/>
      <c r="OL61"/>
      <c r="OM61"/>
      <c r="ON61"/>
      <c r="OO61">
        <f>+Tabla520212224252627129125130131132[[#This Row],[Recuento]]*Tabla520212224252627129125130131132[[#This Row],[Volúmen bruto]]</f>
        <v>0</v>
      </c>
      <c r="OP61">
        <f>+Tabla520212224252627129125130131132[[#This Row],[Recuento]]*Tabla520212224252627129125130131132[[#This Row],[Área neta]]</f>
        <v>0</v>
      </c>
      <c r="OQ61" s="26"/>
      <c r="OS61"/>
      <c r="OT61"/>
      <c r="OU61"/>
      <c r="OV61"/>
      <c r="OW61"/>
      <c r="OX61"/>
      <c r="OY61">
        <f>+Tabla52021222425262728[[#This Row],[Recuento]]*Tabla52021222425262728[[#This Row],[Volúmen bruto]]</f>
        <v>0</v>
      </c>
      <c r="OZ61">
        <f>+Tabla52021222425262728[[#This Row],[Recuento]]*Tabla52021222425262728[[#This Row],[Área neta]]</f>
        <v>0</v>
      </c>
      <c r="PA61" s="26">
        <f t="shared" si="32"/>
        <v>0</v>
      </c>
      <c r="PC61" t="s">
        <v>1863</v>
      </c>
      <c r="PD61" t="s">
        <v>1524</v>
      </c>
      <c r="PE61" t="s">
        <v>1628</v>
      </c>
      <c r="PF61">
        <v>0.06</v>
      </c>
      <c r="PG61">
        <v>2.5499999999999998</v>
      </c>
      <c r="PH61">
        <v>2</v>
      </c>
      <c r="PI61">
        <f>+Tabla52021222425262728133[[#This Row],[Recuento]]*Tabla52021222425262728133[[#This Row],[Volúmen bruto]]</f>
        <v>0.12</v>
      </c>
      <c r="PJ61">
        <f>+Tabla52021222425262728133[[#This Row],[Recuento]]*Tabla52021222425262728133[[#This Row],[Área neta]]</f>
        <v>5.0999999999999996</v>
      </c>
      <c r="PK61" s="26"/>
      <c r="PM61"/>
      <c r="PN61"/>
      <c r="PO61"/>
      <c r="PP61"/>
      <c r="PQ61"/>
      <c r="PR61"/>
      <c r="PS61">
        <f>+Tabla5202122242526272893[[#This Row],[Recuento]]*Tabla5202122242526272893[[#This Row],[Volúmen bruto]]</f>
        <v>0</v>
      </c>
      <c r="PT61">
        <f>+Tabla5202122242526272893[[#This Row],[Recuento]]*Tabla5202122242526272893[[#This Row],[Área neta]]</f>
        <v>0</v>
      </c>
      <c r="PU61" s="26"/>
      <c r="PW61" t="s">
        <v>1863</v>
      </c>
      <c r="PX61" t="s">
        <v>1525</v>
      </c>
      <c r="PY61" t="s">
        <v>1676</v>
      </c>
      <c r="PZ61">
        <v>0.17</v>
      </c>
      <c r="QA61">
        <v>1.44</v>
      </c>
      <c r="QB61">
        <v>1</v>
      </c>
      <c r="QC61">
        <f>+Tabla520212224252627289349[[#This Row],[Recuento]]*Tabla520212224252627289349[[#This Row],[Volúmen bruto]]</f>
        <v>0.17</v>
      </c>
      <c r="QD61">
        <f>+Tabla520212224252627289349[[#This Row],[Recuento]]*Tabla520212224252627289349[[#This Row],[Área neta]]</f>
        <v>1.44</v>
      </c>
      <c r="QE61" s="26"/>
      <c r="QG61"/>
      <c r="QH61"/>
      <c r="QI61"/>
      <c r="QJ61"/>
      <c r="QK61"/>
      <c r="QL61"/>
      <c r="QM61">
        <f>+Tabla520212224252627289349134[[#This Row],[Recuento]]*Tabla520212224252627289349134[[#This Row],[Volúmen bruto]]</f>
        <v>0</v>
      </c>
      <c r="QN61">
        <f>+Tabla520212224252627289349134[[#This Row],[Recuento]]*Tabla520212224252627289349134[[#This Row],[Área neta]]</f>
        <v>0</v>
      </c>
      <c r="QO61" s="26"/>
      <c r="QQ61"/>
      <c r="QR61"/>
      <c r="QS61"/>
      <c r="QT61"/>
      <c r="QU61"/>
      <c r="QV61"/>
      <c r="QW61"/>
      <c r="QX61"/>
      <c r="QY61"/>
      <c r="QZ61"/>
      <c r="RA61" s="26"/>
      <c r="RC61"/>
      <c r="RD61"/>
      <c r="RE61"/>
      <c r="RF61"/>
      <c r="RG61"/>
      <c r="RH61"/>
      <c r="RI61"/>
      <c r="RJ61"/>
      <c r="RK61" s="26"/>
      <c r="RM61"/>
      <c r="RN61"/>
      <c r="RO61"/>
      <c r="RP61"/>
      <c r="RQ61"/>
      <c r="RR61"/>
      <c r="RS61"/>
      <c r="RT61"/>
      <c r="RU61" s="26">
        <f t="shared" si="7"/>
        <v>0</v>
      </c>
      <c r="RW61"/>
      <c r="RX61"/>
      <c r="RY61"/>
      <c r="RZ61"/>
      <c r="SA61"/>
      <c r="SB61"/>
      <c r="SC61"/>
      <c r="SD61"/>
      <c r="SE61" s="26"/>
      <c r="SG61"/>
      <c r="SH61"/>
      <c r="SI61"/>
      <c r="SJ61"/>
      <c r="SK61"/>
      <c r="SL61"/>
      <c r="SM61"/>
      <c r="SN61"/>
      <c r="SO61" s="26"/>
      <c r="YK61"/>
      <c r="YL61"/>
      <c r="YM61"/>
      <c r="YN61"/>
      <c r="YO61"/>
      <c r="ACW61" t="s">
        <v>1253</v>
      </c>
      <c r="ACY61" s="2"/>
      <c r="ADA61" s="38"/>
      <c r="ADB61" s="2">
        <f t="shared" si="40"/>
        <v>0</v>
      </c>
      <c r="ADJ61"/>
      <c r="ADK61"/>
      <c r="ADL61"/>
      <c r="ADM61"/>
      <c r="ADN61"/>
      <c r="ADO61"/>
      <c r="ADP61" s="36"/>
      <c r="ADR61"/>
      <c r="ADS61"/>
      <c r="ADT61"/>
      <c r="ADU61"/>
      <c r="ADV61"/>
      <c r="ADW61" s="35"/>
      <c r="ADX61" s="35"/>
      <c r="ADY61"/>
      <c r="ADZ61"/>
      <c r="AEA61"/>
      <c r="AEB61"/>
      <c r="AEC61"/>
      <c r="AED61"/>
      <c r="AEE61" s="35">
        <f>+SUM(AEB61:AEB64)</f>
        <v>0</v>
      </c>
      <c r="AEG61"/>
      <c r="AEH61"/>
      <c r="AEI61"/>
      <c r="AEJ61"/>
      <c r="AEK61"/>
      <c r="AEL61" s="35"/>
      <c r="AEM61" s="35"/>
      <c r="AEN61" t="s">
        <v>1522</v>
      </c>
      <c r="AEO61" t="s">
        <v>1524</v>
      </c>
      <c r="AEP61" t="s">
        <v>381</v>
      </c>
      <c r="AEQ61">
        <v>0.41</v>
      </c>
      <c r="AER61">
        <v>1</v>
      </c>
      <c r="AES61">
        <f>+Tabla5789141516343536373839404142434445464748495051525355606264[[#This Row],[G. Total]]*Tabla5789141516343536373839404142434445464748495051525355606264[[#This Row],[Recuento]]</f>
        <v>0.41</v>
      </c>
      <c r="AET61" s="35"/>
      <c r="AEV61"/>
      <c r="AEW61"/>
      <c r="AEX61"/>
      <c r="AEY61"/>
      <c r="AEZ61"/>
      <c r="AFA61" s="35"/>
      <c r="AFC61"/>
      <c r="AFD61"/>
      <c r="AFE61"/>
      <c r="AFF61" s="33"/>
      <c r="AFG61"/>
      <c r="AFH61"/>
      <c r="AFI61"/>
      <c r="AFJ61"/>
      <c r="AFK61"/>
      <c r="AFL61"/>
      <c r="AFM61"/>
      <c r="AFN61">
        <f>+Tabla578914151634353637383940414243444546474849505152535560626467[[#This Row],[G. Total]]*Tabla578914151634353637383940414243444546474849505152535560626467[[#This Row],[Recuento]]</f>
        <v>0</v>
      </c>
      <c r="AFO61" s="35"/>
    </row>
    <row r="62" spans="1:847" x14ac:dyDescent="0.25">
      <c r="B62"/>
      <c r="C62"/>
      <c r="D62"/>
      <c r="E62"/>
      <c r="F62" s="33"/>
      <c r="G62" s="33"/>
      <c r="H62"/>
      <c r="I62"/>
      <c r="BG62"/>
      <c r="BH62"/>
      <c r="BI62"/>
      <c r="BJ62"/>
      <c r="BK62"/>
      <c r="BL62">
        <f>+Tabla3102[[#This Row],[Longitud de eje]]*BF62</f>
        <v>0</v>
      </c>
      <c r="BM62">
        <f>+Tabla3102[[#This Row],[Longitud de eje]]*BG62</f>
        <v>0</v>
      </c>
      <c r="BO62"/>
      <c r="BP62"/>
      <c r="BQ62"/>
      <c r="BR62"/>
      <c r="BS62"/>
      <c r="BT62">
        <f>+Tabla31069[[#This Row],[Longitud de eje]]*BN62</f>
        <v>0</v>
      </c>
      <c r="BU62">
        <f>+Tabla31069[[#This Row],[Longitud de eje]]*BO62</f>
        <v>0</v>
      </c>
      <c r="BV62"/>
      <c r="BW62"/>
      <c r="BX62"/>
      <c r="BY62"/>
      <c r="BZ62"/>
      <c r="CA62"/>
      <c r="CB62">
        <f>+Tabla31011[[#This Row],[Longitud de eje]]*BV62</f>
        <v>0</v>
      </c>
      <c r="CD62"/>
      <c r="CE62"/>
      <c r="CF62"/>
      <c r="CG62"/>
      <c r="CH62"/>
      <c r="CI62"/>
      <c r="CJ62">
        <f>+Tabla3101170[[#This Row],[En culmo]]*CD62</f>
        <v>0</v>
      </c>
      <c r="CK62"/>
      <c r="CL62"/>
      <c r="CM62"/>
      <c r="CN62"/>
      <c r="CO62"/>
      <c r="CP62"/>
      <c r="CQ62"/>
      <c r="CR62">
        <f>+Tabla31011116[[#This Row],[Longitud de eje]]*CL62</f>
        <v>0</v>
      </c>
      <c r="CT62"/>
      <c r="CU62"/>
      <c r="CV62"/>
      <c r="CW62"/>
      <c r="CX62"/>
      <c r="CY62"/>
      <c r="CZ62">
        <f>+Tabla3101170117[[#This Row],[En culmo]]*CT62</f>
        <v>0</v>
      </c>
      <c r="DA62"/>
      <c r="DB62"/>
      <c r="DC62"/>
      <c r="DD62"/>
      <c r="DE62"/>
      <c r="DF62"/>
      <c r="DG62">
        <f>+Tabla31011704[[#This Row],[Longitud de eje]]*DB62</f>
        <v>0</v>
      </c>
      <c r="DH62"/>
      <c r="DI62"/>
      <c r="DJ62"/>
      <c r="DK62"/>
      <c r="DL62"/>
      <c r="DM62"/>
      <c r="DN62">
        <f>+Tabla3101170411[[#This Row],[Longitud de eje]]*DI62</f>
        <v>0</v>
      </c>
      <c r="DO62"/>
      <c r="DP62"/>
      <c r="DQ62"/>
      <c r="DR62"/>
      <c r="DS62"/>
      <c r="DT62"/>
      <c r="DU62">
        <f>+Tabla3101170411120[[#This Row],[Longitud de eje]]*DP62</f>
        <v>0</v>
      </c>
      <c r="DV62"/>
      <c r="DW62"/>
      <c r="DX62"/>
      <c r="DY62"/>
      <c r="DZ62"/>
      <c r="EA62"/>
      <c r="EB62">
        <f>+Tabla3101170411120122[[#This Row],[Longitud de eje]]*DW62</f>
        <v>0</v>
      </c>
      <c r="EC62"/>
      <c r="ED62">
        <v>1</v>
      </c>
      <c r="EE62" t="s">
        <v>1862</v>
      </c>
      <c r="EF62" t="s">
        <v>1524</v>
      </c>
      <c r="EG62" t="s">
        <v>1406</v>
      </c>
      <c r="EH62">
        <v>4.54</v>
      </c>
      <c r="EI62">
        <v>5</v>
      </c>
      <c r="EJ62">
        <f>+Tabla3101112[[#This Row],[En culmo]]*ED62</f>
        <v>5</v>
      </c>
      <c r="EK62"/>
      <c r="EL62"/>
      <c r="EM62"/>
      <c r="EN62"/>
      <c r="EO62"/>
      <c r="EP62"/>
      <c r="EQ62"/>
      <c r="ER62">
        <f>+Tabla3101112123[[#This Row],[En culmo]]*EL62</f>
        <v>0</v>
      </c>
      <c r="ES62"/>
      <c r="ET62">
        <v>1</v>
      </c>
      <c r="EU62" t="s">
        <v>1862</v>
      </c>
      <c r="EV62" t="s">
        <v>1525</v>
      </c>
      <c r="EW62" t="s">
        <v>1406</v>
      </c>
      <c r="EX62">
        <v>1</v>
      </c>
      <c r="EY62">
        <v>1.5</v>
      </c>
      <c r="EZ62">
        <f>+Tabla310111257[[#This Row],[En culmo]]*ET62</f>
        <v>1.5</v>
      </c>
      <c r="FA62"/>
      <c r="FB62"/>
      <c r="FC62"/>
      <c r="FD62"/>
      <c r="FE62"/>
      <c r="FF62"/>
      <c r="FG62">
        <v>1.5</v>
      </c>
      <c r="FH62">
        <f>+Tabla310111257124[[#This Row],[En culmo]]*FB62</f>
        <v>0</v>
      </c>
      <c r="FI62"/>
      <c r="FK62"/>
      <c r="FL62"/>
      <c r="FM62"/>
      <c r="FN62"/>
      <c r="FO62"/>
      <c r="FP62"/>
      <c r="FQ62"/>
      <c r="FS62"/>
      <c r="FT62"/>
      <c r="FU62"/>
      <c r="FV62"/>
      <c r="FW62"/>
      <c r="FX62"/>
      <c r="FY62"/>
      <c r="GA62"/>
      <c r="GB62"/>
      <c r="GC62"/>
      <c r="GD62"/>
      <c r="GE62"/>
      <c r="GF62"/>
      <c r="GG62"/>
      <c r="GI62"/>
      <c r="GJ62"/>
      <c r="GK62"/>
      <c r="GL62"/>
      <c r="GM62"/>
      <c r="GN62"/>
      <c r="GO62"/>
      <c r="GQ62"/>
      <c r="GR62"/>
      <c r="GS62"/>
      <c r="GT62"/>
      <c r="GU62"/>
      <c r="GV62"/>
      <c r="GW62"/>
      <c r="GX62"/>
      <c r="GY62" s="36"/>
      <c r="HA62"/>
      <c r="HB62"/>
      <c r="HC62"/>
      <c r="HD62"/>
      <c r="HE62"/>
      <c r="HF62"/>
      <c r="HG62"/>
      <c r="HH62"/>
      <c r="HI62" s="36"/>
      <c r="HK62"/>
      <c r="HL62"/>
      <c r="HM62"/>
      <c r="HN62"/>
      <c r="HO62"/>
      <c r="HP62"/>
      <c r="HQ62"/>
      <c r="HR62"/>
      <c r="HS62" s="36"/>
      <c r="HU62"/>
      <c r="HV62"/>
      <c r="HW62"/>
      <c r="HX62"/>
      <c r="HY62"/>
      <c r="HZ62"/>
      <c r="IA62"/>
      <c r="IB62"/>
      <c r="IC62" s="36"/>
      <c r="IE62"/>
      <c r="IF62"/>
      <c r="IG62"/>
      <c r="IH62"/>
      <c r="II62"/>
      <c r="IJ62"/>
      <c r="IK62"/>
      <c r="IL62"/>
      <c r="IM62" s="36"/>
      <c r="IY62"/>
      <c r="IZ62"/>
      <c r="JA62"/>
      <c r="JB62"/>
      <c r="JC62"/>
      <c r="JD62"/>
      <c r="JE62">
        <f>+Tabla520212224[[#This Row],[Recuento]]*Tabla520212224[[#This Row],[Volúmen bruto]]</f>
        <v>0</v>
      </c>
      <c r="JF62">
        <f>+Tabla520212224[[#This Row],[Recuento]]*Tabla520212224[[#This Row],[Área neta]]</f>
        <v>0</v>
      </c>
      <c r="JG62" s="26"/>
      <c r="JI62" t="s">
        <v>1863</v>
      </c>
      <c r="JJ62" t="s">
        <v>1524</v>
      </c>
      <c r="JK62" t="s">
        <v>1676</v>
      </c>
      <c r="JL62">
        <v>0.86</v>
      </c>
      <c r="JM62">
        <v>4.8499999999999996</v>
      </c>
      <c r="JN62">
        <v>2</v>
      </c>
      <c r="JO62">
        <f>+Tabla52021222425[[#This Row],[Recuento]]*Tabla52021222425[[#This Row],[Volúmen bruto]]</f>
        <v>1.72</v>
      </c>
      <c r="JP62">
        <f>+Tabla52021222425[[#This Row],[Recuento]]*Tabla52021222425[[#This Row],[Área neta]]</f>
        <v>9.6999999999999993</v>
      </c>
      <c r="JQ62" s="26"/>
      <c r="JS62" t="s">
        <v>1863</v>
      </c>
      <c r="JT62" t="s">
        <v>1524</v>
      </c>
      <c r="JU62" t="s">
        <v>97</v>
      </c>
      <c r="JV62">
        <v>0.04</v>
      </c>
      <c r="JW62">
        <v>0.41</v>
      </c>
      <c r="JX62">
        <v>2</v>
      </c>
      <c r="JY62">
        <f>+Tabla5202122242526[[#This Row],[Recuento]]*Tabla5202122242526[[#This Row],[Volúmen bruto]]</f>
        <v>0.08</v>
      </c>
      <c r="JZ62">
        <f>+Tabla5202122242526[[#This Row],[Recuento]]*Tabla5202122242526[[#This Row],[Área neta]]</f>
        <v>0.82</v>
      </c>
      <c r="KA62" s="26"/>
      <c r="KC62"/>
      <c r="KD62"/>
      <c r="KE62"/>
      <c r="KF62"/>
      <c r="KG62"/>
      <c r="KH62"/>
      <c r="KI62">
        <f>+Tabla5202122242526104[[#This Row],[Recuento]]*Tabla5202122242526104[[#This Row],[Volúmen bruto]]</f>
        <v>0</v>
      </c>
      <c r="KJ62">
        <f>+Tabla5202122242526104[[#This Row],[Recuento]]*Tabla5202122242526104[[#This Row],[Área neta]]</f>
        <v>0</v>
      </c>
      <c r="KK62" s="26"/>
      <c r="KM62" t="s">
        <v>1862</v>
      </c>
      <c r="KN62" t="s">
        <v>1525</v>
      </c>
      <c r="KO62" t="s">
        <v>1676</v>
      </c>
      <c r="KP62">
        <v>0.55000000000000004</v>
      </c>
      <c r="KQ62">
        <v>4.55</v>
      </c>
      <c r="KR62">
        <v>1</v>
      </c>
      <c r="KS62">
        <f>+Tabla5202122242526104110[[#This Row],[Recuento]]*Tabla5202122242526104110[[#This Row],[Volúmen bruto]]</f>
        <v>0.55000000000000004</v>
      </c>
      <c r="KT62">
        <f>+Tabla5202122242526104110[[#This Row],[Recuento]]*Tabla5202122242526104110[[#This Row],[Área neta]]</f>
        <v>4.55</v>
      </c>
      <c r="KU62" s="26"/>
      <c r="KW62"/>
      <c r="KX62"/>
      <c r="KY62"/>
      <c r="KZ62"/>
      <c r="LA62"/>
      <c r="LB62"/>
      <c r="LC62">
        <f>+Tabla520212224252659[[#This Row],[Recuento]]*Tabla520212224252659[[#This Row],[Volúmen bruto]]</f>
        <v>0</v>
      </c>
      <c r="LD62">
        <f>+Tabla520212224252659[[#This Row],[Recuento]]*Tabla520212224252659[[#This Row],[Área neta]]</f>
        <v>0</v>
      </c>
      <c r="LE62" s="26"/>
      <c r="LG62"/>
      <c r="LH62"/>
      <c r="LI62"/>
      <c r="LJ62"/>
      <c r="LK62"/>
      <c r="LL62"/>
      <c r="LM62">
        <f>+Tabla520212224252659111[[#This Row],[Recuento]]*Tabla520212224252659111[[#This Row],[Volúmen bruto]]</f>
        <v>0</v>
      </c>
      <c r="LN62">
        <f>+Tabla520212224252659111[[#This Row],[Recuento]]*Tabla520212224252659111[[#This Row],[Área neta]]</f>
        <v>0</v>
      </c>
      <c r="LO62" s="26"/>
      <c r="LQ62"/>
      <c r="LR62"/>
      <c r="LS62"/>
      <c r="LT62"/>
      <c r="LU62"/>
      <c r="LV62"/>
      <c r="LW62">
        <f>+Tabla520212224252659111114[[#This Row],[Recuento]]*Tabla520212224252659111114[[#This Row],[Volúmen bruto]]</f>
        <v>0</v>
      </c>
      <c r="LX62">
        <f>+Tabla520212224252659111114[[#This Row],[Recuento]]*Tabla520212224252659111114[[#This Row],[Área neta]]</f>
        <v>0</v>
      </c>
      <c r="LY62" s="26"/>
      <c r="MA62"/>
      <c r="MB62"/>
      <c r="MC62"/>
      <c r="MD62"/>
      <c r="ME62"/>
      <c r="MF62"/>
      <c r="MG62">
        <f>+Tabla520212224252659111114128[[#This Row],[Recuento]]*Tabla520212224252659111114128[[#This Row],[Volúmen bruto]]</f>
        <v>0</v>
      </c>
      <c r="MH62">
        <f>+Tabla520212224252659111114128[[#This Row],[Recuento]]*Tabla520212224252659111114128[[#This Row],[Área neta]]</f>
        <v>0</v>
      </c>
      <c r="MI62" s="26"/>
      <c r="MK62"/>
      <c r="ML62"/>
      <c r="MM62"/>
      <c r="MN62"/>
      <c r="MO62"/>
      <c r="MP62"/>
      <c r="MQ62">
        <f>+Tabla520212224252627[[#This Row],[Recuento]]*Tabla520212224252627[[#This Row],[Volúmen bruto]]</f>
        <v>0</v>
      </c>
      <c r="MR62">
        <f>+Tabla520212224252627[[#This Row],[Recuento]]*Tabla520212224252627[[#This Row],[Área neta]]</f>
        <v>0</v>
      </c>
      <c r="MS62" s="26"/>
      <c r="MU62"/>
      <c r="MV62"/>
      <c r="MW62"/>
      <c r="MX62"/>
      <c r="MY62"/>
      <c r="MZ62"/>
      <c r="NA62">
        <f>+Tabla520212224252627129[[#This Row],[Recuento]]*Tabla520212224252627129[[#This Row],[Volúmen bruto]]</f>
        <v>0</v>
      </c>
      <c r="NB62">
        <f>+Tabla520212224252627129[[#This Row],[Recuento]]*Tabla520212224252627129[[#This Row],[Área neta]]</f>
        <v>0</v>
      </c>
      <c r="NC62" s="26"/>
      <c r="NE62"/>
      <c r="NF62"/>
      <c r="NG62"/>
      <c r="NH62"/>
      <c r="NI62"/>
      <c r="NJ62"/>
      <c r="NK62">
        <f>+Tabla520212224252627129125[[#This Row],[Recuento]]*Tabla520212224252627129125[[#This Row],[Volúmen bruto]]</f>
        <v>0</v>
      </c>
      <c r="NL62">
        <f>+Tabla520212224252627129125[[#This Row],[Recuento]]*Tabla520212224252627129125[[#This Row],[Área neta]]</f>
        <v>0</v>
      </c>
      <c r="NM62" s="26"/>
      <c r="NO62"/>
      <c r="NP62"/>
      <c r="NQ62"/>
      <c r="NR62"/>
      <c r="NS62"/>
      <c r="NT62"/>
      <c r="NU62">
        <f>+Tabla520212224252627129125130[[#This Row],[Recuento]]*Tabla520212224252627129125130[[#This Row],[Volúmen bruto]]</f>
        <v>0</v>
      </c>
      <c r="NV62">
        <f>+Tabla520212224252627129125130[[#This Row],[Recuento]]*Tabla520212224252627129125130[[#This Row],[Área neta]]</f>
        <v>0</v>
      </c>
      <c r="NW62" s="26"/>
      <c r="NY62"/>
      <c r="NZ62"/>
      <c r="OA62"/>
      <c r="OB62"/>
      <c r="OC62"/>
      <c r="OD62"/>
      <c r="OE62">
        <f>+Tabla520212224252627129125130131[[#This Row],[Recuento]]*Tabla520212224252627129125130131[[#This Row],[Volúmen bruto]]</f>
        <v>0</v>
      </c>
      <c r="OF62">
        <f>+Tabla520212224252627129125130131[[#This Row],[Recuento]]*Tabla520212224252627129125130131[[#This Row],[Área neta]]</f>
        <v>0</v>
      </c>
      <c r="OG62" s="26"/>
      <c r="OI62"/>
      <c r="OJ62"/>
      <c r="OK62"/>
      <c r="OL62"/>
      <c r="OM62"/>
      <c r="ON62"/>
      <c r="OO62">
        <f>+Tabla520212224252627129125130131132[[#This Row],[Recuento]]*Tabla520212224252627129125130131132[[#This Row],[Volúmen bruto]]</f>
        <v>0</v>
      </c>
      <c r="OP62">
        <f>+Tabla520212224252627129125130131132[[#This Row],[Recuento]]*Tabla520212224252627129125130131132[[#This Row],[Área neta]]</f>
        <v>0</v>
      </c>
      <c r="OQ62" s="26"/>
      <c r="OS62"/>
      <c r="OT62"/>
      <c r="OU62"/>
      <c r="OV62"/>
      <c r="OW62"/>
      <c r="OX62"/>
      <c r="OY62">
        <f>+Tabla52021222425262728[[#This Row],[Recuento]]*Tabla52021222425262728[[#This Row],[Volúmen bruto]]</f>
        <v>0</v>
      </c>
      <c r="OZ62">
        <f>+Tabla52021222425262728[[#This Row],[Recuento]]*Tabla52021222425262728[[#This Row],[Área neta]]</f>
        <v>0</v>
      </c>
      <c r="PA62" s="26">
        <f t="shared" si="32"/>
        <v>0</v>
      </c>
      <c r="PC62" t="s">
        <v>1863</v>
      </c>
      <c r="PD62" t="s">
        <v>1525</v>
      </c>
      <c r="PE62" t="s">
        <v>1628</v>
      </c>
      <c r="PF62">
        <v>0.05</v>
      </c>
      <c r="PG62">
        <v>1.76</v>
      </c>
      <c r="PH62">
        <v>1</v>
      </c>
      <c r="PI62">
        <f>+Tabla52021222425262728133[[#This Row],[Recuento]]*Tabla52021222425262728133[[#This Row],[Volúmen bruto]]</f>
        <v>0.05</v>
      </c>
      <c r="PJ62">
        <f>+Tabla52021222425262728133[[#This Row],[Recuento]]*Tabla52021222425262728133[[#This Row],[Área neta]]</f>
        <v>1.76</v>
      </c>
      <c r="PK62" s="415"/>
      <c r="PM62"/>
      <c r="PN62"/>
      <c r="PO62"/>
      <c r="PP62"/>
      <c r="PQ62"/>
      <c r="PR62"/>
      <c r="PS62">
        <f>+Tabla5202122242526272893[[#This Row],[Recuento]]*Tabla5202122242526272893[[#This Row],[Volúmen bruto]]</f>
        <v>0</v>
      </c>
      <c r="PT62">
        <f>+Tabla5202122242526272893[[#This Row],[Recuento]]*Tabla5202122242526272893[[#This Row],[Área neta]]</f>
        <v>0</v>
      </c>
      <c r="PU62" s="26"/>
      <c r="PW62" t="s">
        <v>1863</v>
      </c>
      <c r="PX62" t="s">
        <v>1525</v>
      </c>
      <c r="PY62" t="s">
        <v>1676</v>
      </c>
      <c r="PZ62">
        <v>0.12</v>
      </c>
      <c r="QA62">
        <v>1.02</v>
      </c>
      <c r="QB62">
        <v>1</v>
      </c>
      <c r="QC62">
        <f>+Tabla520212224252627289349[[#This Row],[Recuento]]*Tabla520212224252627289349[[#This Row],[Volúmen bruto]]</f>
        <v>0.12</v>
      </c>
      <c r="QD62">
        <f>+Tabla520212224252627289349[[#This Row],[Recuento]]*Tabla520212224252627289349[[#This Row],[Área neta]]</f>
        <v>1.02</v>
      </c>
      <c r="QE62" s="26"/>
      <c r="QG62"/>
      <c r="QH62"/>
      <c r="QI62"/>
      <c r="QJ62"/>
      <c r="QK62"/>
      <c r="QL62"/>
      <c r="QM62">
        <f>+Tabla520212224252627289349134[[#This Row],[Recuento]]*Tabla520212224252627289349134[[#This Row],[Volúmen bruto]]</f>
        <v>0</v>
      </c>
      <c r="QN62">
        <f>+Tabla520212224252627289349134[[#This Row],[Recuento]]*Tabla520212224252627289349134[[#This Row],[Área neta]]</f>
        <v>0</v>
      </c>
      <c r="QO62" s="26"/>
      <c r="QQ62"/>
      <c r="QR62"/>
      <c r="QS62"/>
      <c r="QT62"/>
      <c r="QU62"/>
      <c r="QV62"/>
      <c r="QW62"/>
      <c r="QX62"/>
      <c r="QY62"/>
      <c r="QZ62"/>
      <c r="RA62" s="26"/>
      <c r="RC62"/>
      <c r="RD62"/>
      <c r="RE62"/>
      <c r="RF62"/>
      <c r="RG62"/>
      <c r="RH62"/>
      <c r="RI62"/>
      <c r="RJ62"/>
      <c r="RK62" s="26"/>
      <c r="RM62"/>
      <c r="RN62"/>
      <c r="RO62"/>
      <c r="RP62"/>
      <c r="RQ62"/>
      <c r="RR62"/>
      <c r="RS62"/>
      <c r="RT62"/>
      <c r="RU62" s="26">
        <f t="shared" si="7"/>
        <v>0</v>
      </c>
      <c r="RW62"/>
      <c r="RX62"/>
      <c r="RY62"/>
      <c r="RZ62"/>
      <c r="SA62"/>
      <c r="SB62"/>
      <c r="SC62"/>
      <c r="SD62"/>
      <c r="SE62" s="26"/>
      <c r="SG62"/>
      <c r="SH62"/>
      <c r="SI62"/>
      <c r="SJ62"/>
      <c r="SK62"/>
      <c r="SL62"/>
      <c r="SM62"/>
      <c r="SN62"/>
      <c r="SO62" s="26"/>
      <c r="YK62"/>
      <c r="YL62"/>
      <c r="YM62"/>
      <c r="YN62"/>
      <c r="YO62"/>
      <c r="ACW62" t="s">
        <v>1254</v>
      </c>
      <c r="ACY62" s="2"/>
      <c r="ADA62" s="38"/>
      <c r="ADB62" s="2">
        <f t="shared" si="40"/>
        <v>0</v>
      </c>
      <c r="ADJ62"/>
      <c r="ADK62"/>
      <c r="ADL62"/>
      <c r="ADM62"/>
      <c r="ADN62"/>
      <c r="ADO62"/>
      <c r="ADP62" s="36"/>
      <c r="ADR62"/>
      <c r="ADS62"/>
      <c r="ADT62"/>
      <c r="ADU62"/>
      <c r="ADV62"/>
      <c r="ADW62" s="35"/>
      <c r="ADX62" s="35"/>
      <c r="ADY62"/>
      <c r="ADZ62"/>
      <c r="AEA62"/>
      <c r="AEB62"/>
      <c r="AEC62"/>
      <c r="AED62"/>
      <c r="AEE62" s="36"/>
      <c r="AEG62"/>
      <c r="AEH62"/>
      <c r="AEI62"/>
      <c r="AEJ62"/>
      <c r="AEK62"/>
      <c r="AEL62" s="35"/>
      <c r="AEM62" s="35"/>
      <c r="AEN62" t="s">
        <v>1522</v>
      </c>
      <c r="AEO62" t="s">
        <v>1524</v>
      </c>
      <c r="AEP62" t="s">
        <v>381</v>
      </c>
      <c r="AEQ62">
        <v>0.48</v>
      </c>
      <c r="AER62">
        <v>1</v>
      </c>
      <c r="AES62">
        <f>+Tabla5789141516343536373839404142434445464748495051525355606264[[#This Row],[G. Total]]*Tabla5789141516343536373839404142434445464748495051525355606264[[#This Row],[Recuento]]</f>
        <v>0.48</v>
      </c>
      <c r="AET62" s="36"/>
      <c r="AEV62"/>
      <c r="AEW62"/>
      <c r="AEX62"/>
      <c r="AEY62"/>
      <c r="AEZ62"/>
      <c r="AFA62" s="35"/>
      <c r="AFC62"/>
      <c r="AFD62"/>
      <c r="AFE62"/>
      <c r="AFF62" s="33"/>
      <c r="AFG62"/>
      <c r="AFH62"/>
      <c r="AFI62"/>
      <c r="AFJ62"/>
      <c r="AFK62"/>
      <c r="AFL62"/>
      <c r="AFM62"/>
      <c r="AFN62">
        <f>+Tabla578914151634353637383940414243444546474849505152535560626467[[#This Row],[G. Total]]*Tabla578914151634353637383940414243444546474849505152535560626467[[#This Row],[Recuento]]</f>
        <v>0</v>
      </c>
      <c r="AFO62" s="36"/>
    </row>
    <row r="63" spans="1:847" x14ac:dyDescent="0.25">
      <c r="B63"/>
      <c r="C63"/>
      <c r="D63"/>
      <c r="E63"/>
      <c r="F63" s="33"/>
      <c r="G63" s="33"/>
      <c r="H63"/>
      <c r="I63"/>
      <c r="BG63"/>
      <c r="BH63"/>
      <c r="BI63"/>
      <c r="BJ63"/>
      <c r="BK63"/>
      <c r="BL63">
        <f>+Tabla3102[[#This Row],[Longitud de eje]]*BF63</f>
        <v>0</v>
      </c>
      <c r="BM63">
        <f>+Tabla3102[[#This Row],[Longitud de eje]]*BG63</f>
        <v>0</v>
      </c>
      <c r="BO63"/>
      <c r="BP63"/>
      <c r="BQ63"/>
      <c r="BR63"/>
      <c r="BS63"/>
      <c r="BT63">
        <f>+Tabla31069[[#This Row],[Longitud de eje]]*BN63</f>
        <v>0</v>
      </c>
      <c r="BU63">
        <f>+Tabla31069[[#This Row],[Longitud de eje]]*BO63</f>
        <v>0</v>
      </c>
      <c r="BV63"/>
      <c r="BW63"/>
      <c r="BX63"/>
      <c r="BY63"/>
      <c r="BZ63"/>
      <c r="CA63"/>
      <c r="CB63">
        <f>+Tabla31011[[#This Row],[Longitud de eje]]*BV63</f>
        <v>0</v>
      </c>
      <c r="CD63"/>
      <c r="CE63"/>
      <c r="CF63"/>
      <c r="CG63"/>
      <c r="CH63"/>
      <c r="CI63"/>
      <c r="CJ63">
        <f>+Tabla3101170[[#This Row],[En culmo]]*CD63</f>
        <v>0</v>
      </c>
      <c r="CK63"/>
      <c r="CL63"/>
      <c r="CM63"/>
      <c r="CN63"/>
      <c r="CO63"/>
      <c r="CP63"/>
      <c r="CQ63"/>
      <c r="CR63">
        <f>+Tabla31011116[[#This Row],[Longitud de eje]]*CL63</f>
        <v>0</v>
      </c>
      <c r="CT63"/>
      <c r="CU63"/>
      <c r="CV63"/>
      <c r="CW63"/>
      <c r="CX63"/>
      <c r="CY63"/>
      <c r="CZ63">
        <f>+Tabla3101170117[[#This Row],[En culmo]]*CT63</f>
        <v>0</v>
      </c>
      <c r="DA63"/>
      <c r="DB63"/>
      <c r="DC63"/>
      <c r="DD63"/>
      <c r="DE63"/>
      <c r="DF63"/>
      <c r="DG63">
        <f>+Tabla31011704[[#This Row],[Longitud de eje]]*DB63</f>
        <v>0</v>
      </c>
      <c r="DH63"/>
      <c r="DI63"/>
      <c r="DJ63"/>
      <c r="DK63"/>
      <c r="DL63"/>
      <c r="DM63"/>
      <c r="DN63">
        <f>+Tabla3101170411[[#This Row],[Longitud de eje]]*DI63</f>
        <v>0</v>
      </c>
      <c r="DO63"/>
      <c r="DP63"/>
      <c r="DQ63"/>
      <c r="DR63"/>
      <c r="DS63"/>
      <c r="DT63"/>
      <c r="DU63">
        <f>+Tabla3101170411120[[#This Row],[Longitud de eje]]*DP63</f>
        <v>0</v>
      </c>
      <c r="DV63"/>
      <c r="DW63"/>
      <c r="DX63"/>
      <c r="DY63"/>
      <c r="DZ63"/>
      <c r="EA63"/>
      <c r="EB63">
        <f>+Tabla3101170411120122[[#This Row],[Longitud de eje]]*DW63</f>
        <v>0</v>
      </c>
      <c r="EC63"/>
      <c r="ED63">
        <v>1</v>
      </c>
      <c r="EE63" t="s">
        <v>1862</v>
      </c>
      <c r="EF63" t="s">
        <v>1524</v>
      </c>
      <c r="EG63" t="s">
        <v>1406</v>
      </c>
      <c r="EH63">
        <v>1.2</v>
      </c>
      <c r="EI63">
        <v>1.5</v>
      </c>
      <c r="EJ63">
        <f>+Tabla3101112[[#This Row],[En culmo]]*ED63</f>
        <v>1.5</v>
      </c>
      <c r="EK63"/>
      <c r="EL63"/>
      <c r="EM63"/>
      <c r="EN63"/>
      <c r="EO63"/>
      <c r="EP63"/>
      <c r="EQ63"/>
      <c r="ER63">
        <f>+Tabla3101112123[[#This Row],[En culmo]]*EL63</f>
        <v>0</v>
      </c>
      <c r="ES63"/>
      <c r="ET63">
        <v>2</v>
      </c>
      <c r="EU63" t="s">
        <v>1862</v>
      </c>
      <c r="EV63" t="s">
        <v>1525</v>
      </c>
      <c r="EW63" t="s">
        <v>1406</v>
      </c>
      <c r="EX63">
        <v>0.56000000000000005</v>
      </c>
      <c r="EY63">
        <v>1</v>
      </c>
      <c r="EZ63">
        <f>+Tabla310111257[[#This Row],[En culmo]]*ET63</f>
        <v>2</v>
      </c>
      <c r="FA63"/>
      <c r="FB63"/>
      <c r="FC63"/>
      <c r="FD63"/>
      <c r="FE63"/>
      <c r="FF63"/>
      <c r="FG63">
        <v>1</v>
      </c>
      <c r="FH63">
        <f>+Tabla310111257124[[#This Row],[En culmo]]*FB63</f>
        <v>0</v>
      </c>
      <c r="FI63"/>
      <c r="FK63"/>
      <c r="FL63"/>
      <c r="FM63"/>
      <c r="FN63"/>
      <c r="FO63"/>
      <c r="FP63"/>
      <c r="FQ63"/>
      <c r="FS63"/>
      <c r="FT63"/>
      <c r="FU63"/>
      <c r="FV63"/>
      <c r="FW63"/>
      <c r="FX63"/>
      <c r="FY63"/>
      <c r="GA63"/>
      <c r="GB63"/>
      <c r="GC63"/>
      <c r="GD63"/>
      <c r="GE63"/>
      <c r="GF63"/>
      <c r="GG63"/>
      <c r="GI63"/>
      <c r="GJ63"/>
      <c r="GK63"/>
      <c r="GL63"/>
      <c r="GM63"/>
      <c r="GN63"/>
      <c r="GO63"/>
      <c r="GQ63"/>
      <c r="GR63"/>
      <c r="GS63"/>
      <c r="GT63"/>
      <c r="GU63"/>
      <c r="GV63"/>
      <c r="GW63"/>
      <c r="GX63"/>
      <c r="GY63" s="36"/>
      <c r="HA63"/>
      <c r="HB63"/>
      <c r="HC63"/>
      <c r="HD63"/>
      <c r="HE63"/>
      <c r="HF63"/>
      <c r="HG63"/>
      <c r="HH63"/>
      <c r="HI63" s="36"/>
      <c r="HK63"/>
      <c r="HL63"/>
      <c r="HM63"/>
      <c r="HN63"/>
      <c r="HO63"/>
      <c r="HP63"/>
      <c r="HQ63"/>
      <c r="HR63"/>
      <c r="HS63" s="36"/>
      <c r="HU63"/>
      <c r="HV63"/>
      <c r="HW63"/>
      <c r="HX63"/>
      <c r="HY63"/>
      <c r="HZ63"/>
      <c r="IA63"/>
      <c r="IB63"/>
      <c r="IC63" s="35"/>
      <c r="IE63"/>
      <c r="IF63"/>
      <c r="IG63"/>
      <c r="IH63"/>
      <c r="II63"/>
      <c r="IJ63"/>
      <c r="IK63"/>
      <c r="IL63"/>
      <c r="IM63" s="35"/>
      <c r="IY63"/>
      <c r="IZ63"/>
      <c r="JA63"/>
      <c r="JB63"/>
      <c r="JC63"/>
      <c r="JD63"/>
      <c r="JE63">
        <f>+Tabla520212224[[#This Row],[Recuento]]*Tabla520212224[[#This Row],[Volúmen bruto]]</f>
        <v>0</v>
      </c>
      <c r="JF63">
        <f>+Tabla520212224[[#This Row],[Recuento]]*Tabla520212224[[#This Row],[Área neta]]</f>
        <v>0</v>
      </c>
      <c r="JG63" s="26"/>
      <c r="JI63" t="s">
        <v>1863</v>
      </c>
      <c r="JJ63" t="s">
        <v>1525</v>
      </c>
      <c r="JK63" t="s">
        <v>1676</v>
      </c>
      <c r="JL63">
        <v>1.48</v>
      </c>
      <c r="JM63">
        <v>12.31</v>
      </c>
      <c r="JN63">
        <v>1</v>
      </c>
      <c r="JO63">
        <f>+Tabla52021222425[[#This Row],[Recuento]]*Tabla52021222425[[#This Row],[Volúmen bruto]]</f>
        <v>1.48</v>
      </c>
      <c r="JP63">
        <f>+Tabla52021222425[[#This Row],[Recuento]]*Tabla52021222425[[#This Row],[Área neta]]</f>
        <v>12.31</v>
      </c>
      <c r="JQ63" s="26"/>
      <c r="JS63" t="s">
        <v>1863</v>
      </c>
      <c r="JT63" t="s">
        <v>1524</v>
      </c>
      <c r="JU63" t="s">
        <v>97</v>
      </c>
      <c r="JV63">
        <v>0.02</v>
      </c>
      <c r="JW63">
        <v>1.05</v>
      </c>
      <c r="JX63">
        <v>2</v>
      </c>
      <c r="JY63">
        <f>+Tabla5202122242526[[#This Row],[Recuento]]*Tabla5202122242526[[#This Row],[Volúmen bruto]]</f>
        <v>0.04</v>
      </c>
      <c r="JZ63">
        <f>+Tabla5202122242526[[#This Row],[Recuento]]*Tabla5202122242526[[#This Row],[Área neta]]</f>
        <v>2.1</v>
      </c>
      <c r="KA63" s="26"/>
      <c r="KC63"/>
      <c r="KD63"/>
      <c r="KE63"/>
      <c r="KF63"/>
      <c r="KG63"/>
      <c r="KH63"/>
      <c r="KI63">
        <f>+Tabla5202122242526104[[#This Row],[Recuento]]*Tabla5202122242526104[[#This Row],[Volúmen bruto]]</f>
        <v>0</v>
      </c>
      <c r="KJ63">
        <f>+Tabla5202122242526104[[#This Row],[Recuento]]*Tabla5202122242526104[[#This Row],[Área neta]]</f>
        <v>0</v>
      </c>
      <c r="KK63" s="26"/>
      <c r="KM63" t="s">
        <v>1862</v>
      </c>
      <c r="KN63" t="s">
        <v>1525</v>
      </c>
      <c r="KO63" t="s">
        <v>1676</v>
      </c>
      <c r="KP63">
        <v>0.5</v>
      </c>
      <c r="KQ63">
        <v>2.77</v>
      </c>
      <c r="KR63">
        <v>1</v>
      </c>
      <c r="KS63">
        <f>+Tabla5202122242526104110[[#This Row],[Recuento]]*Tabla5202122242526104110[[#This Row],[Volúmen bruto]]</f>
        <v>0.5</v>
      </c>
      <c r="KT63">
        <f>+Tabla5202122242526104110[[#This Row],[Recuento]]*Tabla5202122242526104110[[#This Row],[Área neta]]</f>
        <v>2.77</v>
      </c>
      <c r="KU63" s="26"/>
      <c r="KW63"/>
      <c r="KX63"/>
      <c r="KY63"/>
      <c r="KZ63"/>
      <c r="LA63"/>
      <c r="LB63"/>
      <c r="LC63">
        <f>+Tabla520212224252659[[#This Row],[Recuento]]*Tabla520212224252659[[#This Row],[Volúmen bruto]]</f>
        <v>0</v>
      </c>
      <c r="LD63">
        <f>+Tabla520212224252659[[#This Row],[Recuento]]*Tabla520212224252659[[#This Row],[Área neta]]</f>
        <v>0</v>
      </c>
      <c r="LE63" s="26"/>
      <c r="LG63"/>
      <c r="LH63"/>
      <c r="LI63"/>
      <c r="LJ63"/>
      <c r="LK63"/>
      <c r="LL63"/>
      <c r="LM63">
        <f>+Tabla520212224252659111[[#This Row],[Recuento]]*Tabla520212224252659111[[#This Row],[Volúmen bruto]]</f>
        <v>0</v>
      </c>
      <c r="LN63">
        <f>+Tabla520212224252659111[[#This Row],[Recuento]]*Tabla520212224252659111[[#This Row],[Área neta]]</f>
        <v>0</v>
      </c>
      <c r="LO63" s="26"/>
      <c r="LQ63"/>
      <c r="LR63"/>
      <c r="LS63"/>
      <c r="LT63"/>
      <c r="LU63"/>
      <c r="LV63"/>
      <c r="LW63">
        <f>+Tabla520212224252659111114[[#This Row],[Recuento]]*Tabla520212224252659111114[[#This Row],[Volúmen bruto]]</f>
        <v>0</v>
      </c>
      <c r="LX63">
        <f>+Tabla520212224252659111114[[#This Row],[Recuento]]*Tabla520212224252659111114[[#This Row],[Área neta]]</f>
        <v>0</v>
      </c>
      <c r="LY63" s="26"/>
      <c r="MA63"/>
      <c r="MB63"/>
      <c r="MC63"/>
      <c r="MD63"/>
      <c r="ME63"/>
      <c r="MF63"/>
      <c r="MG63">
        <f>+Tabla520212224252659111114128[[#This Row],[Recuento]]*Tabla520212224252659111114128[[#This Row],[Volúmen bruto]]</f>
        <v>0</v>
      </c>
      <c r="MH63">
        <f>+Tabla520212224252659111114128[[#This Row],[Recuento]]*Tabla520212224252659111114128[[#This Row],[Área neta]]</f>
        <v>0</v>
      </c>
      <c r="MI63" s="26"/>
      <c r="MK63"/>
      <c r="ML63"/>
      <c r="MM63"/>
      <c r="MN63"/>
      <c r="MO63"/>
      <c r="MP63"/>
      <c r="MQ63">
        <f>+Tabla520212224252627[[#This Row],[Recuento]]*Tabla520212224252627[[#This Row],[Volúmen bruto]]</f>
        <v>0</v>
      </c>
      <c r="MR63">
        <f>+Tabla520212224252627[[#This Row],[Recuento]]*Tabla520212224252627[[#This Row],[Área neta]]</f>
        <v>0</v>
      </c>
      <c r="MS63" s="26"/>
      <c r="MU63"/>
      <c r="MV63"/>
      <c r="MW63"/>
      <c r="MX63"/>
      <c r="MY63"/>
      <c r="MZ63"/>
      <c r="NA63">
        <f>+Tabla520212224252627129[[#This Row],[Recuento]]*Tabla520212224252627129[[#This Row],[Volúmen bruto]]</f>
        <v>0</v>
      </c>
      <c r="NB63">
        <f>+Tabla520212224252627129[[#This Row],[Recuento]]*Tabla520212224252627129[[#This Row],[Área neta]]</f>
        <v>0</v>
      </c>
      <c r="NC63" s="26"/>
      <c r="NE63"/>
      <c r="NF63"/>
      <c r="NG63"/>
      <c r="NH63"/>
      <c r="NI63"/>
      <c r="NJ63"/>
      <c r="NK63">
        <f>+Tabla520212224252627129125[[#This Row],[Recuento]]*Tabla520212224252627129125[[#This Row],[Volúmen bruto]]</f>
        <v>0</v>
      </c>
      <c r="NL63">
        <f>+Tabla520212224252627129125[[#This Row],[Recuento]]*Tabla520212224252627129125[[#This Row],[Área neta]]</f>
        <v>0</v>
      </c>
      <c r="NM63" s="26"/>
      <c r="NO63"/>
      <c r="NP63"/>
      <c r="NQ63"/>
      <c r="NR63"/>
      <c r="NS63"/>
      <c r="NT63"/>
      <c r="NU63">
        <f>+Tabla520212224252627129125130[[#This Row],[Recuento]]*Tabla520212224252627129125130[[#This Row],[Volúmen bruto]]</f>
        <v>0</v>
      </c>
      <c r="NV63">
        <f>+Tabla520212224252627129125130[[#This Row],[Recuento]]*Tabla520212224252627129125130[[#This Row],[Área neta]]</f>
        <v>0</v>
      </c>
      <c r="NW63" s="26"/>
      <c r="NY63"/>
      <c r="NZ63"/>
      <c r="OA63"/>
      <c r="OB63"/>
      <c r="OC63"/>
      <c r="OD63"/>
      <c r="OE63">
        <f>+Tabla520212224252627129125130131[[#This Row],[Recuento]]*Tabla520212224252627129125130131[[#This Row],[Volúmen bruto]]</f>
        <v>0</v>
      </c>
      <c r="OF63">
        <f>+Tabla520212224252627129125130131[[#This Row],[Recuento]]*Tabla520212224252627129125130131[[#This Row],[Área neta]]</f>
        <v>0</v>
      </c>
      <c r="OG63" s="26"/>
      <c r="OI63"/>
      <c r="OJ63"/>
      <c r="OK63"/>
      <c r="OL63"/>
      <c r="OM63"/>
      <c r="ON63"/>
      <c r="OO63">
        <f>+Tabla520212224252627129125130131132[[#This Row],[Recuento]]*Tabla520212224252627129125130131132[[#This Row],[Volúmen bruto]]</f>
        <v>0</v>
      </c>
      <c r="OP63">
        <f>+Tabla520212224252627129125130131132[[#This Row],[Recuento]]*Tabla520212224252627129125130131132[[#This Row],[Área neta]]</f>
        <v>0</v>
      </c>
      <c r="OQ63" s="26"/>
      <c r="OS63"/>
      <c r="OT63"/>
      <c r="OU63"/>
      <c r="OV63"/>
      <c r="OW63"/>
      <c r="OX63"/>
      <c r="OY63">
        <f>+Tabla52021222425262728[[#This Row],[Recuento]]*Tabla52021222425262728[[#This Row],[Volúmen bruto]]</f>
        <v>0</v>
      </c>
      <c r="OZ63">
        <f>+Tabla52021222425262728[[#This Row],[Recuento]]*Tabla52021222425262728[[#This Row],[Área neta]]</f>
        <v>0</v>
      </c>
      <c r="PA63" s="26">
        <f t="shared" si="32"/>
        <v>0</v>
      </c>
      <c r="PC63" t="s">
        <v>1863</v>
      </c>
      <c r="PD63" t="s">
        <v>1525</v>
      </c>
      <c r="PE63" t="s">
        <v>1628</v>
      </c>
      <c r="PF63">
        <v>0.05</v>
      </c>
      <c r="PG63">
        <v>1.45</v>
      </c>
      <c r="PH63">
        <v>1</v>
      </c>
      <c r="PI63">
        <f>+Tabla52021222425262728133[[#This Row],[Recuento]]*Tabla52021222425262728133[[#This Row],[Volúmen bruto]]</f>
        <v>0.05</v>
      </c>
      <c r="PJ63">
        <f>+Tabla52021222425262728133[[#This Row],[Recuento]]*Tabla52021222425262728133[[#This Row],[Área neta]]</f>
        <v>1.45</v>
      </c>
      <c r="PK63" s="26"/>
      <c r="PM63"/>
      <c r="PN63"/>
      <c r="PO63"/>
      <c r="PP63"/>
      <c r="PQ63"/>
      <c r="PR63"/>
      <c r="PS63">
        <f>+Tabla5202122242526272893[[#This Row],[Recuento]]*Tabla5202122242526272893[[#This Row],[Volúmen bruto]]</f>
        <v>0</v>
      </c>
      <c r="PT63">
        <f>+Tabla5202122242526272893[[#This Row],[Recuento]]*Tabla5202122242526272893[[#This Row],[Área neta]]</f>
        <v>0</v>
      </c>
      <c r="PU63" s="26"/>
      <c r="PW63"/>
      <c r="PX63"/>
      <c r="PY63"/>
      <c r="PZ63"/>
      <c r="QA63"/>
      <c r="QB63"/>
      <c r="QC63">
        <f>+Tabla520212224252627289349[[#This Row],[Recuento]]*Tabla520212224252627289349[[#This Row],[Volúmen bruto]]</f>
        <v>0</v>
      </c>
      <c r="QD63">
        <f>+Tabla520212224252627289349[[#This Row],[Recuento]]*Tabla520212224252627289349[[#This Row],[Área neta]]</f>
        <v>0</v>
      </c>
      <c r="QE63" s="26"/>
      <c r="QG63"/>
      <c r="QH63"/>
      <c r="QI63"/>
      <c r="QJ63"/>
      <c r="QK63"/>
      <c r="QL63"/>
      <c r="QM63">
        <f>+Tabla520212224252627289349134[[#This Row],[Recuento]]*Tabla520212224252627289349134[[#This Row],[Volúmen bruto]]</f>
        <v>0</v>
      </c>
      <c r="QN63">
        <f>+Tabla520212224252627289349134[[#This Row],[Recuento]]*Tabla520212224252627289349134[[#This Row],[Área neta]]</f>
        <v>0</v>
      </c>
      <c r="QO63" s="26"/>
      <c r="QQ63"/>
      <c r="QR63"/>
      <c r="QS63"/>
      <c r="QT63"/>
      <c r="QU63"/>
      <c r="QV63"/>
      <c r="QW63"/>
      <c r="QX63"/>
      <c r="QY63"/>
      <c r="QZ63"/>
      <c r="RA63" s="26"/>
      <c r="RC63"/>
      <c r="RD63"/>
      <c r="RE63"/>
      <c r="RF63"/>
      <c r="RG63"/>
      <c r="RH63"/>
      <c r="RI63"/>
      <c r="RJ63"/>
      <c r="RK63" s="26"/>
      <c r="RM63"/>
      <c r="RN63"/>
      <c r="RO63"/>
      <c r="RP63"/>
      <c r="RQ63"/>
      <c r="RR63"/>
      <c r="RS63"/>
      <c r="RT63"/>
      <c r="RU63" s="26">
        <f t="shared" si="7"/>
        <v>0</v>
      </c>
      <c r="RW63"/>
      <c r="RX63"/>
      <c r="RY63"/>
      <c r="RZ63"/>
      <c r="SA63"/>
      <c r="SB63"/>
      <c r="SC63"/>
      <c r="SD63"/>
      <c r="SE63" s="26"/>
      <c r="SG63"/>
      <c r="SH63"/>
      <c r="SI63"/>
      <c r="SJ63"/>
      <c r="SK63"/>
      <c r="SL63"/>
      <c r="SM63"/>
      <c r="SN63"/>
      <c r="SO63" s="26"/>
      <c r="YK63"/>
      <c r="YL63"/>
      <c r="YM63"/>
      <c r="YN63"/>
      <c r="YO63"/>
      <c r="ACW63" t="s">
        <v>1255</v>
      </c>
      <c r="ACY63" s="2"/>
      <c r="ADA63" s="38"/>
      <c r="ADB63" s="2">
        <f t="shared" si="40"/>
        <v>0</v>
      </c>
      <c r="ADJ63"/>
      <c r="ADK63"/>
      <c r="ADL63"/>
      <c r="ADM63"/>
      <c r="ADN63"/>
      <c r="ADO63"/>
      <c r="ADP63" s="36"/>
      <c r="ADR63"/>
      <c r="ADS63"/>
      <c r="ADT63"/>
      <c r="ADU63"/>
      <c r="ADV63"/>
      <c r="ADW63" s="35"/>
      <c r="ADX63" s="35"/>
      <c r="ADY63"/>
      <c r="ADZ63"/>
      <c r="AEA63"/>
      <c r="AEB63"/>
      <c r="AEC63"/>
      <c r="AED63"/>
      <c r="AEE63" s="36"/>
      <c r="AEG63"/>
      <c r="AEH63"/>
      <c r="AEI63"/>
      <c r="AEJ63"/>
      <c r="AEK63"/>
      <c r="AEL63" s="35"/>
      <c r="AEM63" s="35"/>
      <c r="AEN63" t="s">
        <v>1522</v>
      </c>
      <c r="AEO63" t="s">
        <v>1524</v>
      </c>
      <c r="AEP63" t="s">
        <v>381</v>
      </c>
      <c r="AEQ63">
        <v>0.13</v>
      </c>
      <c r="AER63">
        <v>1</v>
      </c>
      <c r="AES63">
        <f>+Tabla5789141516343536373839404142434445464748495051525355606264[[#This Row],[G. Total]]*Tabla5789141516343536373839404142434445464748495051525355606264[[#This Row],[Recuento]]</f>
        <v>0.13</v>
      </c>
      <c r="AET63" s="36"/>
      <c r="AEV63"/>
      <c r="AEW63"/>
      <c r="AEX63"/>
      <c r="AEY63"/>
      <c r="AEZ63"/>
      <c r="AFA63" s="35"/>
      <c r="AFC63"/>
      <c r="AFD63"/>
      <c r="AFE63"/>
      <c r="AFF63" s="33"/>
      <c r="AFG63"/>
      <c r="AFH63"/>
      <c r="AFI63"/>
      <c r="AFJ63"/>
      <c r="AFK63"/>
      <c r="AFL63"/>
      <c r="AFM63"/>
      <c r="AFN63">
        <f>+Tabla578914151634353637383940414243444546474849505152535560626467[[#This Row],[G. Total]]*Tabla578914151634353637383940414243444546474849505152535560626467[[#This Row],[Recuento]]</f>
        <v>0</v>
      </c>
      <c r="AFO63" s="36"/>
    </row>
    <row r="64" spans="1:847" x14ac:dyDescent="0.25">
      <c r="B64"/>
      <c r="C64"/>
      <c r="D64"/>
      <c r="E64"/>
      <c r="F64" s="33"/>
      <c r="G64" s="33"/>
      <c r="H64"/>
      <c r="I64"/>
      <c r="BG64"/>
      <c r="BH64"/>
      <c r="BI64"/>
      <c r="BJ64"/>
      <c r="BK64"/>
      <c r="BL64">
        <f>+Tabla3102[[#This Row],[Longitud de eje]]*BF64</f>
        <v>0</v>
      </c>
      <c r="BM64">
        <f>+Tabla3102[[#This Row],[Longitud de eje]]*BG64</f>
        <v>0</v>
      </c>
      <c r="BO64"/>
      <c r="BP64"/>
      <c r="BQ64"/>
      <c r="BR64"/>
      <c r="BS64"/>
      <c r="BT64">
        <f>+Tabla31069[[#This Row],[Longitud de eje]]*BN64</f>
        <v>0</v>
      </c>
      <c r="BU64">
        <f>+Tabla31069[[#This Row],[Longitud de eje]]*BO64</f>
        <v>0</v>
      </c>
      <c r="BV64"/>
      <c r="BW64"/>
      <c r="BX64"/>
      <c r="BY64"/>
      <c r="BZ64"/>
      <c r="CA64"/>
      <c r="CB64">
        <f>+Tabla31011[[#This Row],[Longitud de eje]]*BV64</f>
        <v>0</v>
      </c>
      <c r="CD64">
        <v>1</v>
      </c>
      <c r="CE64"/>
      <c r="CF64"/>
      <c r="CG64"/>
      <c r="CH64"/>
      <c r="CI64"/>
      <c r="CJ64"/>
      <c r="CK64"/>
      <c r="CL64"/>
      <c r="CM64"/>
      <c r="CN64"/>
      <c r="CO64"/>
      <c r="CP64"/>
      <c r="CQ64"/>
      <c r="CR64">
        <f>+Tabla31011116[[#This Row],[Longitud de eje]]*CL64</f>
        <v>0</v>
      </c>
      <c r="CT64">
        <v>1</v>
      </c>
      <c r="CU64"/>
      <c r="CV64"/>
      <c r="CW64"/>
      <c r="CX64"/>
      <c r="CY64"/>
      <c r="CZ64"/>
      <c r="DA64"/>
      <c r="DB64"/>
      <c r="DC64"/>
      <c r="DD64"/>
      <c r="DE64"/>
      <c r="DF64"/>
      <c r="DG64">
        <f>+Tabla31011704[[#This Row],[Longitud de eje]]*DB64</f>
        <v>0</v>
      </c>
      <c r="DH64"/>
      <c r="DI64">
        <v>1</v>
      </c>
      <c r="DJ64"/>
      <c r="DK64"/>
      <c r="DL64"/>
      <c r="DM64"/>
      <c r="DN64">
        <f>+Tabla3101170411[[#This Row],[Longitud de eje]]*DI64</f>
        <v>0</v>
      </c>
      <c r="DO64"/>
      <c r="DP64">
        <v>1</v>
      </c>
      <c r="DQ64"/>
      <c r="DR64"/>
      <c r="DS64"/>
      <c r="DT64"/>
      <c r="DU64">
        <f>+Tabla3101170411120[[#This Row],[Longitud de eje]]*DP64</f>
        <v>0</v>
      </c>
      <c r="DV64"/>
      <c r="DW64">
        <v>1</v>
      </c>
      <c r="DX64"/>
      <c r="DY64"/>
      <c r="DZ64"/>
      <c r="EA64"/>
      <c r="EB64">
        <f>+Tabla3101170411120122[[#This Row],[Longitud de eje]]*DW64</f>
        <v>0</v>
      </c>
      <c r="EC64"/>
      <c r="ED64">
        <v>1</v>
      </c>
      <c r="EE64" t="s">
        <v>1862</v>
      </c>
      <c r="EF64" t="s">
        <v>1524</v>
      </c>
      <c r="EG64" t="s">
        <v>1406</v>
      </c>
      <c r="EH64">
        <v>5.34</v>
      </c>
      <c r="EI64">
        <v>5.5</v>
      </c>
      <c r="EJ64">
        <f>+Tabla3101112[[#This Row],[En culmo]]*ED64</f>
        <v>5.5</v>
      </c>
      <c r="EK64"/>
      <c r="EL64"/>
      <c r="EM64"/>
      <c r="EN64"/>
      <c r="EO64"/>
      <c r="EP64"/>
      <c r="EQ64"/>
      <c r="ER64">
        <f>+Tabla3101112123[[#This Row],[En culmo]]*EL64</f>
        <v>0</v>
      </c>
      <c r="ES64"/>
      <c r="ET64">
        <v>1</v>
      </c>
      <c r="EU64" t="s">
        <v>1862</v>
      </c>
      <c r="EV64" t="s">
        <v>1525</v>
      </c>
      <c r="EW64" t="s">
        <v>1406</v>
      </c>
      <c r="EX64">
        <v>3.17</v>
      </c>
      <c r="EY64">
        <v>3.5</v>
      </c>
      <c r="EZ64">
        <f>+Tabla310111257[[#This Row],[En culmo]]*ET64</f>
        <v>3.5</v>
      </c>
      <c r="FA64"/>
      <c r="FB64"/>
      <c r="FC64"/>
      <c r="FD64"/>
      <c r="FE64"/>
      <c r="FF64"/>
      <c r="FG64">
        <v>3.5</v>
      </c>
      <c r="FH64">
        <f>+Tabla310111257124[[#This Row],[En culmo]]*FB64</f>
        <v>0</v>
      </c>
      <c r="FI64"/>
      <c r="FK64"/>
      <c r="FL64"/>
      <c r="FM64"/>
      <c r="FN64"/>
      <c r="FO64"/>
      <c r="FP64"/>
      <c r="FQ64"/>
      <c r="FS64"/>
      <c r="FT64"/>
      <c r="FU64"/>
      <c r="FV64"/>
      <c r="FW64"/>
      <c r="FX64"/>
      <c r="FY64"/>
      <c r="GA64"/>
      <c r="GB64"/>
      <c r="GC64"/>
      <c r="GD64"/>
      <c r="GE64"/>
      <c r="GF64"/>
      <c r="GG64"/>
      <c r="GI64"/>
      <c r="GJ64"/>
      <c r="GK64"/>
      <c r="GL64"/>
      <c r="GM64"/>
      <c r="GN64"/>
      <c r="GO64"/>
      <c r="GQ64"/>
      <c r="GR64"/>
      <c r="GS64"/>
      <c r="GT64"/>
      <c r="GU64"/>
      <c r="GV64"/>
      <c r="GW64"/>
      <c r="GX64"/>
      <c r="GY64" s="36"/>
      <c r="HA64"/>
      <c r="HB64"/>
      <c r="HC64"/>
      <c r="HD64"/>
      <c r="HE64"/>
      <c r="HF64"/>
      <c r="HG64"/>
      <c r="HH64"/>
      <c r="HI64" s="36"/>
      <c r="HK64"/>
      <c r="HL64"/>
      <c r="HM64"/>
      <c r="HN64"/>
      <c r="HO64"/>
      <c r="HP64"/>
      <c r="HQ64"/>
      <c r="HR64"/>
      <c r="HS64" s="36"/>
      <c r="HU64"/>
      <c r="HV64"/>
      <c r="HW64"/>
      <c r="HX64"/>
      <c r="HY64"/>
      <c r="HZ64"/>
      <c r="IA64"/>
      <c r="IB64"/>
      <c r="IC64" s="36"/>
      <c r="IE64"/>
      <c r="IF64"/>
      <c r="IG64"/>
      <c r="IH64"/>
      <c r="II64"/>
      <c r="IJ64"/>
      <c r="IK64"/>
      <c r="IL64"/>
      <c r="IM64" s="36"/>
      <c r="IY64"/>
      <c r="IZ64"/>
      <c r="JA64"/>
      <c r="JB64"/>
      <c r="JC64"/>
      <c r="JD64"/>
      <c r="JE64">
        <f>+Tabla520212224[[#This Row],[Recuento]]*Tabla520212224[[#This Row],[Volúmen bruto]]</f>
        <v>0</v>
      </c>
      <c r="JF64">
        <f>+Tabla520212224[[#This Row],[Recuento]]*Tabla520212224[[#This Row],[Área neta]]</f>
        <v>0</v>
      </c>
      <c r="JG64" s="26"/>
      <c r="JI64"/>
      <c r="JJ64"/>
      <c r="JK64"/>
      <c r="JL64"/>
      <c r="JM64"/>
      <c r="JN64"/>
      <c r="JO64">
        <f>+Tabla52021222425[[#This Row],[Recuento]]*Tabla52021222425[[#This Row],[Volúmen bruto]]</f>
        <v>0</v>
      </c>
      <c r="JP64">
        <f>+Tabla52021222425[[#This Row],[Recuento]]*Tabla52021222425[[#This Row],[Área neta]]</f>
        <v>0</v>
      </c>
      <c r="JQ64" s="26"/>
      <c r="JS64" t="s">
        <v>1863</v>
      </c>
      <c r="JT64" t="s">
        <v>1525</v>
      </c>
      <c r="JU64" t="s">
        <v>97</v>
      </c>
      <c r="JV64">
        <v>0.05</v>
      </c>
      <c r="JW64">
        <v>2.35</v>
      </c>
      <c r="JX64">
        <v>2</v>
      </c>
      <c r="JY64">
        <f>+Tabla5202122242526[[#This Row],[Recuento]]*Tabla5202122242526[[#This Row],[Volúmen bruto]]</f>
        <v>0.1</v>
      </c>
      <c r="JZ64">
        <f>+Tabla5202122242526[[#This Row],[Recuento]]*Tabla5202122242526[[#This Row],[Área neta]]</f>
        <v>4.7</v>
      </c>
      <c r="KA64" s="26"/>
      <c r="KC64"/>
      <c r="KD64"/>
      <c r="KE64"/>
      <c r="KF64"/>
      <c r="KG64"/>
      <c r="KH64"/>
      <c r="KI64">
        <f>+Tabla5202122242526104[[#This Row],[Recuento]]*Tabla5202122242526104[[#This Row],[Volúmen bruto]]</f>
        <v>0</v>
      </c>
      <c r="KJ64">
        <f>+Tabla5202122242526104[[#This Row],[Recuento]]*Tabla5202122242526104[[#This Row],[Área neta]]</f>
        <v>0</v>
      </c>
      <c r="KK64" s="26"/>
      <c r="KM64" t="s">
        <v>1862</v>
      </c>
      <c r="KN64" t="s">
        <v>1525</v>
      </c>
      <c r="KO64" t="s">
        <v>1676</v>
      </c>
      <c r="KP64">
        <v>0.08</v>
      </c>
      <c r="KQ64">
        <v>0.69</v>
      </c>
      <c r="KR64">
        <v>1</v>
      </c>
      <c r="KS64">
        <f>+Tabla5202122242526104110[[#This Row],[Recuento]]*Tabla5202122242526104110[[#This Row],[Volúmen bruto]]</f>
        <v>0.08</v>
      </c>
      <c r="KT64">
        <f>+Tabla5202122242526104110[[#This Row],[Recuento]]*Tabla5202122242526104110[[#This Row],[Área neta]]</f>
        <v>0.69</v>
      </c>
      <c r="KU64" s="26"/>
      <c r="KW64"/>
      <c r="KX64"/>
      <c r="KY64"/>
      <c r="KZ64"/>
      <c r="LA64"/>
      <c r="LB64"/>
      <c r="LC64">
        <f>+Tabla520212224252659[[#This Row],[Recuento]]*Tabla520212224252659[[#This Row],[Volúmen bruto]]</f>
        <v>0</v>
      </c>
      <c r="LD64">
        <f>+Tabla520212224252659[[#This Row],[Recuento]]*Tabla520212224252659[[#This Row],[Área neta]]</f>
        <v>0</v>
      </c>
      <c r="LE64" s="26"/>
      <c r="LG64"/>
      <c r="LH64"/>
      <c r="LI64"/>
      <c r="LJ64"/>
      <c r="LK64"/>
      <c r="LL64"/>
      <c r="LM64">
        <f>+Tabla520212224252659111[[#This Row],[Recuento]]*Tabla520212224252659111[[#This Row],[Volúmen bruto]]</f>
        <v>0</v>
      </c>
      <c r="LN64">
        <f>+Tabla520212224252659111[[#This Row],[Recuento]]*Tabla520212224252659111[[#This Row],[Área neta]]</f>
        <v>0</v>
      </c>
      <c r="LO64" s="26"/>
      <c r="LQ64"/>
      <c r="LR64"/>
      <c r="LS64"/>
      <c r="LT64"/>
      <c r="LU64"/>
      <c r="LV64"/>
      <c r="LW64">
        <f>+Tabla520212224252659111114[[#This Row],[Recuento]]*Tabla520212224252659111114[[#This Row],[Volúmen bruto]]</f>
        <v>0</v>
      </c>
      <c r="LX64">
        <f>+Tabla520212224252659111114[[#This Row],[Recuento]]*Tabla520212224252659111114[[#This Row],[Área neta]]</f>
        <v>0</v>
      </c>
      <c r="LY64" s="26"/>
      <c r="MA64"/>
      <c r="MB64"/>
      <c r="MC64"/>
      <c r="MD64"/>
      <c r="ME64"/>
      <c r="MF64"/>
      <c r="MG64">
        <f>+Tabla520212224252659111114128[[#This Row],[Recuento]]*Tabla520212224252659111114128[[#This Row],[Volúmen bruto]]</f>
        <v>0</v>
      </c>
      <c r="MH64">
        <f>+Tabla520212224252659111114128[[#This Row],[Recuento]]*Tabla520212224252659111114128[[#This Row],[Área neta]]</f>
        <v>0</v>
      </c>
      <c r="MI64" s="26"/>
      <c r="MK64"/>
      <c r="ML64"/>
      <c r="MM64"/>
      <c r="MN64"/>
      <c r="MO64"/>
      <c r="MP64"/>
      <c r="MQ64">
        <f>+Tabla520212224252627[[#This Row],[Recuento]]*Tabla520212224252627[[#This Row],[Volúmen bruto]]</f>
        <v>0</v>
      </c>
      <c r="MR64">
        <f>+Tabla520212224252627[[#This Row],[Recuento]]*Tabla520212224252627[[#This Row],[Área neta]]</f>
        <v>0</v>
      </c>
      <c r="MS64" s="26"/>
      <c r="MU64"/>
      <c r="MV64"/>
      <c r="MW64"/>
      <c r="MX64"/>
      <c r="MY64"/>
      <c r="MZ64"/>
      <c r="NA64">
        <f>+Tabla520212224252627129[[#This Row],[Recuento]]*Tabla520212224252627129[[#This Row],[Volúmen bruto]]</f>
        <v>0</v>
      </c>
      <c r="NB64">
        <f>+Tabla520212224252627129[[#This Row],[Recuento]]*Tabla520212224252627129[[#This Row],[Área neta]]</f>
        <v>0</v>
      </c>
      <c r="NC64" s="26"/>
      <c r="NE64"/>
      <c r="NF64"/>
      <c r="NG64"/>
      <c r="NH64"/>
      <c r="NI64"/>
      <c r="NJ64"/>
      <c r="NK64">
        <f>+Tabla520212224252627129125[[#This Row],[Recuento]]*Tabla520212224252627129125[[#This Row],[Volúmen bruto]]</f>
        <v>0</v>
      </c>
      <c r="NL64">
        <f>+Tabla520212224252627129125[[#This Row],[Recuento]]*Tabla520212224252627129125[[#This Row],[Área neta]]</f>
        <v>0</v>
      </c>
      <c r="NM64" s="26"/>
      <c r="NO64"/>
      <c r="NP64"/>
      <c r="NQ64"/>
      <c r="NR64"/>
      <c r="NS64"/>
      <c r="NT64"/>
      <c r="NU64">
        <f>+Tabla520212224252627129125130[[#This Row],[Recuento]]*Tabla520212224252627129125130[[#This Row],[Volúmen bruto]]</f>
        <v>0</v>
      </c>
      <c r="NV64">
        <f>+Tabla520212224252627129125130[[#This Row],[Recuento]]*Tabla520212224252627129125130[[#This Row],[Área neta]]</f>
        <v>0</v>
      </c>
      <c r="NW64" s="26"/>
      <c r="NY64"/>
      <c r="NZ64"/>
      <c r="OA64"/>
      <c r="OB64"/>
      <c r="OC64"/>
      <c r="OD64"/>
      <c r="OE64">
        <f>+Tabla520212224252627129125130131[[#This Row],[Recuento]]*Tabla520212224252627129125130131[[#This Row],[Volúmen bruto]]</f>
        <v>0</v>
      </c>
      <c r="OF64">
        <f>+Tabla520212224252627129125130131[[#This Row],[Recuento]]*Tabla520212224252627129125130131[[#This Row],[Área neta]]</f>
        <v>0</v>
      </c>
      <c r="OG64" s="26"/>
      <c r="OI64"/>
      <c r="OJ64"/>
      <c r="OK64"/>
      <c r="OL64"/>
      <c r="OM64"/>
      <c r="ON64"/>
      <c r="OO64">
        <f>+Tabla520212224252627129125130131132[[#This Row],[Recuento]]*Tabla520212224252627129125130131132[[#This Row],[Volúmen bruto]]</f>
        <v>0</v>
      </c>
      <c r="OP64">
        <f>+Tabla520212224252627129125130131132[[#This Row],[Recuento]]*Tabla520212224252627129125130131132[[#This Row],[Área neta]]</f>
        <v>0</v>
      </c>
      <c r="OQ64" s="26"/>
      <c r="OS64"/>
      <c r="OT64"/>
      <c r="OU64"/>
      <c r="OV64"/>
      <c r="OW64"/>
      <c r="OX64"/>
      <c r="OY64">
        <f>+Tabla52021222425262728[[#This Row],[Recuento]]*Tabla52021222425262728[[#This Row],[Volúmen bruto]]</f>
        <v>0</v>
      </c>
      <c r="OZ64">
        <f>+Tabla52021222425262728[[#This Row],[Recuento]]*Tabla52021222425262728[[#This Row],[Área neta]]</f>
        <v>0</v>
      </c>
      <c r="PA64" s="26">
        <f t="shared" si="32"/>
        <v>0</v>
      </c>
      <c r="PC64" t="s">
        <v>1863</v>
      </c>
      <c r="PD64" t="s">
        <v>1524</v>
      </c>
      <c r="PE64" t="s">
        <v>97</v>
      </c>
      <c r="PF64">
        <v>7.0000000000000007E-2</v>
      </c>
      <c r="PG64">
        <v>3.18</v>
      </c>
      <c r="PH64">
        <v>2</v>
      </c>
      <c r="PI64">
        <f>+Tabla52021222425262728133[[#This Row],[Recuento]]*Tabla52021222425262728133[[#This Row],[Volúmen bruto]]</f>
        <v>0.14000000000000001</v>
      </c>
      <c r="PJ64">
        <f>+Tabla52021222425262728133[[#This Row],[Recuento]]*Tabla52021222425262728133[[#This Row],[Área neta]]</f>
        <v>6.36</v>
      </c>
      <c r="PK64" s="26">
        <f>+SUM(PJ64:PJ67)</f>
        <v>14.520000000000001</v>
      </c>
      <c r="PM64"/>
      <c r="PN64"/>
      <c r="PO64"/>
      <c r="PP64"/>
      <c r="PQ64"/>
      <c r="PR64"/>
      <c r="PS64">
        <f>+Tabla5202122242526272893[[#This Row],[Recuento]]*Tabla5202122242526272893[[#This Row],[Volúmen bruto]]</f>
        <v>0</v>
      </c>
      <c r="PT64">
        <f>+Tabla5202122242526272893[[#This Row],[Recuento]]*Tabla5202122242526272893[[#This Row],[Área neta]]</f>
        <v>0</v>
      </c>
      <c r="PU64" s="26"/>
      <c r="PW64"/>
      <c r="PX64"/>
      <c r="PY64"/>
      <c r="PZ64"/>
      <c r="QA64"/>
      <c r="QB64"/>
      <c r="QC64">
        <f>+Tabla520212224252627289349[[#This Row],[Recuento]]*Tabla520212224252627289349[[#This Row],[Volúmen bruto]]</f>
        <v>0</v>
      </c>
      <c r="QD64">
        <f>+Tabla520212224252627289349[[#This Row],[Recuento]]*Tabla520212224252627289349[[#This Row],[Área neta]]</f>
        <v>0</v>
      </c>
      <c r="QE64" s="26"/>
      <c r="QG64"/>
      <c r="QH64"/>
      <c r="QI64"/>
      <c r="QJ64"/>
      <c r="QK64"/>
      <c r="QL64"/>
      <c r="QM64">
        <f>+Tabla520212224252627289349134[[#This Row],[Recuento]]*Tabla520212224252627289349134[[#This Row],[Volúmen bruto]]</f>
        <v>0</v>
      </c>
      <c r="QN64">
        <f>+Tabla520212224252627289349134[[#This Row],[Recuento]]*Tabla520212224252627289349134[[#This Row],[Área neta]]</f>
        <v>0</v>
      </c>
      <c r="QO64" s="26"/>
      <c r="QQ64"/>
      <c r="QR64"/>
      <c r="QS64"/>
      <c r="QT64"/>
      <c r="QU64"/>
      <c r="QV64"/>
      <c r="QW64"/>
      <c r="QX64"/>
      <c r="QY64"/>
      <c r="QZ64"/>
      <c r="RA64" s="26"/>
      <c r="RC64"/>
      <c r="RD64"/>
      <c r="RE64"/>
      <c r="RF64"/>
      <c r="RG64"/>
      <c r="RH64"/>
      <c r="RI64"/>
      <c r="RJ64"/>
      <c r="RK64" s="26"/>
      <c r="RM64"/>
      <c r="RN64"/>
      <c r="RO64"/>
      <c r="RP64"/>
      <c r="RQ64"/>
      <c r="RR64"/>
      <c r="RS64"/>
      <c r="RT64"/>
      <c r="RU64" s="26">
        <f t="shared" si="7"/>
        <v>0</v>
      </c>
      <c r="RW64"/>
      <c r="RX64"/>
      <c r="RY64"/>
      <c r="RZ64"/>
      <c r="SA64"/>
      <c r="SB64"/>
      <c r="SC64"/>
      <c r="SD64"/>
      <c r="SE64" s="26"/>
      <c r="SG64"/>
      <c r="SH64"/>
      <c r="SI64"/>
      <c r="SJ64"/>
      <c r="SK64"/>
      <c r="SL64"/>
      <c r="SM64"/>
      <c r="SN64"/>
      <c r="SO64" s="26"/>
      <c r="YK64"/>
      <c r="YL64"/>
      <c r="YM64"/>
      <c r="YN64"/>
      <c r="YO64"/>
      <c r="ADJ64"/>
      <c r="ADK64"/>
      <c r="ADL64"/>
      <c r="ADM64"/>
      <c r="ADN64"/>
      <c r="ADO64"/>
      <c r="ADP64" s="36"/>
      <c r="ADR64"/>
      <c r="ADS64"/>
      <c r="ADT64"/>
      <c r="ADU64"/>
      <c r="ADV64"/>
      <c r="ADW64" s="35"/>
      <c r="ADX64" s="35"/>
      <c r="ADY64"/>
      <c r="ADZ64"/>
      <c r="AEA64"/>
      <c r="AEB64"/>
      <c r="AEC64"/>
      <c r="AED64"/>
      <c r="AEE64" s="36"/>
      <c r="AEG64"/>
      <c r="AEH64"/>
      <c r="AEI64"/>
      <c r="AEJ64"/>
      <c r="AEK64"/>
      <c r="AEL64" s="35"/>
      <c r="AEM64" s="35"/>
      <c r="AEN64" t="s">
        <v>1522</v>
      </c>
      <c r="AEO64" t="s">
        <v>1524</v>
      </c>
      <c r="AEP64" t="s">
        <v>381</v>
      </c>
      <c r="AEQ64">
        <v>0.09</v>
      </c>
      <c r="AER64">
        <v>3</v>
      </c>
      <c r="AES64">
        <f>+Tabla5789141516343536373839404142434445464748495051525355606264[[#This Row],[G. Total]]*Tabla5789141516343536373839404142434445464748495051525355606264[[#This Row],[Recuento]]</f>
        <v>0.27</v>
      </c>
      <c r="AET64" s="36"/>
      <c r="AEV64"/>
      <c r="AEW64"/>
      <c r="AEX64"/>
      <c r="AEY64"/>
      <c r="AEZ64"/>
      <c r="AFA64" s="35"/>
      <c r="AFC64"/>
      <c r="AFD64"/>
      <c r="AFE64"/>
      <c r="AFF64" s="33"/>
      <c r="AFG64"/>
      <c r="AFH64"/>
      <c r="AFI64"/>
      <c r="AFJ64"/>
      <c r="AFK64"/>
      <c r="AFL64"/>
      <c r="AFM64"/>
      <c r="AFN64">
        <f>+Tabla578914151634353637383940414243444546474849505152535560626467[[#This Row],[G. Total]]*Tabla578914151634353637383940414243444546474849505152535560626467[[#This Row],[Recuento]]</f>
        <v>0</v>
      </c>
      <c r="AFO64" s="36"/>
    </row>
    <row r="65" spans="2:847" x14ac:dyDescent="0.25">
      <c r="B65"/>
      <c r="C65"/>
      <c r="D65"/>
      <c r="E65"/>
      <c r="F65" s="33"/>
      <c r="G65" s="33"/>
      <c r="H65"/>
      <c r="I65"/>
      <c r="BG65"/>
      <c r="BH65"/>
      <c r="BI65"/>
      <c r="BJ65"/>
      <c r="BK65"/>
      <c r="BL65">
        <f>+Tabla3102[[#This Row],[Longitud de eje]]*BF65</f>
        <v>0</v>
      </c>
      <c r="BM65">
        <f>+Tabla3102[[#This Row],[Longitud de eje]]*BG65</f>
        <v>0</v>
      </c>
      <c r="BO65"/>
      <c r="BP65"/>
      <c r="BQ65"/>
      <c r="BR65"/>
      <c r="BS65"/>
      <c r="BT65">
        <f>+Tabla31069[[#This Row],[Longitud de eje]]*BN65</f>
        <v>0</v>
      </c>
      <c r="BU65">
        <f>+Tabla31069[[#This Row],[Longitud de eje]]*BO65</f>
        <v>0</v>
      </c>
      <c r="BV65"/>
      <c r="BW65"/>
      <c r="BX65"/>
      <c r="BY65"/>
      <c r="BZ65"/>
      <c r="CA65"/>
      <c r="CB65">
        <f>+Tabla31011[[#This Row],[Longitud de eje]]*BV65</f>
        <v>0</v>
      </c>
      <c r="CD65">
        <v>1</v>
      </c>
      <c r="CE65"/>
      <c r="CF65"/>
      <c r="CG65"/>
      <c r="CH65"/>
      <c r="CI65"/>
      <c r="CJ65"/>
      <c r="CK65"/>
      <c r="CL65"/>
      <c r="CM65"/>
      <c r="CN65"/>
      <c r="CO65"/>
      <c r="CP65"/>
      <c r="CQ65"/>
      <c r="CR65">
        <f>+Tabla31011116[[#This Row],[Longitud de eje]]*CL65</f>
        <v>0</v>
      </c>
      <c r="CT65">
        <v>1</v>
      </c>
      <c r="CU65"/>
      <c r="CV65"/>
      <c r="CW65"/>
      <c r="CX65"/>
      <c r="CY65"/>
      <c r="CZ65"/>
      <c r="DA65"/>
      <c r="DB65"/>
      <c r="DC65"/>
      <c r="DD65"/>
      <c r="DE65"/>
      <c r="DF65"/>
      <c r="DG65">
        <f>+Tabla31011704[[#This Row],[Longitud de eje]]*DB65</f>
        <v>0</v>
      </c>
      <c r="DH65"/>
      <c r="DI65">
        <v>1</v>
      </c>
      <c r="DJ65"/>
      <c r="DK65"/>
      <c r="DL65"/>
      <c r="DM65"/>
      <c r="DN65">
        <f>+Tabla3101170411[[#This Row],[Longitud de eje]]*DI65</f>
        <v>0</v>
      </c>
      <c r="DO65"/>
      <c r="DP65">
        <v>1</v>
      </c>
      <c r="DQ65"/>
      <c r="DR65"/>
      <c r="DS65"/>
      <c r="DT65"/>
      <c r="DU65">
        <f>+Tabla3101170411120[[#This Row],[Longitud de eje]]*DP65</f>
        <v>0</v>
      </c>
      <c r="DV65"/>
      <c r="DW65">
        <v>1</v>
      </c>
      <c r="DX65"/>
      <c r="DY65"/>
      <c r="DZ65"/>
      <c r="EA65"/>
      <c r="EB65">
        <f>+Tabla3101170411120122[[#This Row],[Longitud de eje]]*DW65</f>
        <v>0</v>
      </c>
      <c r="EC65"/>
      <c r="ED65">
        <v>1</v>
      </c>
      <c r="EE65" t="s">
        <v>1862</v>
      </c>
      <c r="EF65" t="s">
        <v>1524</v>
      </c>
      <c r="EG65" t="s">
        <v>1406</v>
      </c>
      <c r="EH65">
        <v>4</v>
      </c>
      <c r="EI65">
        <v>4.5</v>
      </c>
      <c r="EJ65">
        <f>+Tabla3101112[[#This Row],[En culmo]]*ED65</f>
        <v>4.5</v>
      </c>
      <c r="EK65"/>
      <c r="EL65"/>
      <c r="EM65"/>
      <c r="EN65"/>
      <c r="EO65"/>
      <c r="EP65"/>
      <c r="EQ65"/>
      <c r="ER65">
        <f>+Tabla3101112123[[#This Row],[En culmo]]*EL65</f>
        <v>0</v>
      </c>
      <c r="ES65"/>
      <c r="ET65">
        <v>1</v>
      </c>
      <c r="EU65" t="s">
        <v>1862</v>
      </c>
      <c r="EV65" t="s">
        <v>1525</v>
      </c>
      <c r="EW65" t="s">
        <v>1406</v>
      </c>
      <c r="EX65">
        <v>3.52</v>
      </c>
      <c r="EY65">
        <v>4</v>
      </c>
      <c r="EZ65">
        <f>+Tabla310111257[[#This Row],[En culmo]]*ET65</f>
        <v>4</v>
      </c>
      <c r="FA65"/>
      <c r="FB65"/>
      <c r="FC65"/>
      <c r="FD65"/>
      <c r="FE65"/>
      <c r="FF65"/>
      <c r="FG65">
        <v>4</v>
      </c>
      <c r="FH65">
        <f>+Tabla310111257124[[#This Row],[En culmo]]*FB65</f>
        <v>0</v>
      </c>
      <c r="FI65"/>
      <c r="FK65"/>
      <c r="FL65"/>
      <c r="FM65"/>
      <c r="FN65"/>
      <c r="FO65"/>
      <c r="FP65"/>
      <c r="FQ65"/>
      <c r="FS65"/>
      <c r="FT65"/>
      <c r="FU65"/>
      <c r="FV65"/>
      <c r="FW65"/>
      <c r="FX65"/>
      <c r="FY65"/>
      <c r="GA65"/>
      <c r="GB65"/>
      <c r="GC65"/>
      <c r="GD65"/>
      <c r="GE65"/>
      <c r="GF65"/>
      <c r="GG65"/>
      <c r="GI65"/>
      <c r="GJ65"/>
      <c r="GK65"/>
      <c r="GL65"/>
      <c r="GM65"/>
      <c r="GN65"/>
      <c r="GO65"/>
      <c r="GQ65"/>
      <c r="GR65"/>
      <c r="GS65"/>
      <c r="GT65"/>
      <c r="GU65"/>
      <c r="GV65"/>
      <c r="GW65"/>
      <c r="GX65"/>
      <c r="GY65" s="36"/>
      <c r="HA65"/>
      <c r="HB65"/>
      <c r="HC65"/>
      <c r="HD65"/>
      <c r="HE65"/>
      <c r="HF65"/>
      <c r="HG65"/>
      <c r="HH65"/>
      <c r="HI65" s="36"/>
      <c r="HK65"/>
      <c r="HL65"/>
      <c r="HM65"/>
      <c r="HN65"/>
      <c r="HO65"/>
      <c r="HP65"/>
      <c r="HQ65"/>
      <c r="HR65"/>
      <c r="HS65" s="36"/>
      <c r="HU65"/>
      <c r="HV65"/>
      <c r="HW65"/>
      <c r="HX65"/>
      <c r="HY65"/>
      <c r="HZ65"/>
      <c r="IA65"/>
      <c r="IB65"/>
      <c r="IC65" s="35"/>
      <c r="IE65"/>
      <c r="IF65"/>
      <c r="IG65"/>
      <c r="IH65"/>
      <c r="II65"/>
      <c r="IJ65"/>
      <c r="IK65"/>
      <c r="IL65"/>
      <c r="IM65" s="35"/>
      <c r="IY65"/>
      <c r="IZ65"/>
      <c r="JA65"/>
      <c r="JB65"/>
      <c r="JC65"/>
      <c r="JD65"/>
      <c r="JE65">
        <f>+Tabla520212224[[#This Row],[Recuento]]*Tabla520212224[[#This Row],[Volúmen bruto]]</f>
        <v>0</v>
      </c>
      <c r="JF65">
        <f>+Tabla520212224[[#This Row],[Recuento]]*Tabla520212224[[#This Row],[Área neta]]</f>
        <v>0</v>
      </c>
      <c r="JG65" s="26"/>
      <c r="JI65"/>
      <c r="JJ65"/>
      <c r="JK65"/>
      <c r="JL65"/>
      <c r="JM65"/>
      <c r="JN65"/>
      <c r="JO65" s="2">
        <f>+Tabla52021222425[[#This Row],[Recuento]]*Tabla52021222425[[#This Row],[Volúmen bruto]]</f>
        <v>0</v>
      </c>
      <c r="JP65" s="2">
        <f>+Tabla52021222425[[#This Row],[Recuento]]*Tabla52021222425[[#This Row],[Área neta]]</f>
        <v>0</v>
      </c>
      <c r="JQ65" s="26"/>
      <c r="JS65" t="s">
        <v>1863</v>
      </c>
      <c r="JT65" t="s">
        <v>1524</v>
      </c>
      <c r="JU65" t="s">
        <v>1677</v>
      </c>
      <c r="JV65">
        <v>0</v>
      </c>
      <c r="JW65">
        <v>1.19</v>
      </c>
      <c r="JX65">
        <v>1</v>
      </c>
      <c r="JY65" s="2">
        <f>+Tabla5202122242526[[#This Row],[Recuento]]*Tabla5202122242526[[#This Row],[Volúmen bruto]]</f>
        <v>0</v>
      </c>
      <c r="JZ65" s="2">
        <f>+Tabla5202122242526[[#This Row],[Recuento]]*Tabla5202122242526[[#This Row],[Área neta]]</f>
        <v>1.19</v>
      </c>
      <c r="KA65" s="26">
        <f>+SUM(JZ65:JZ68)</f>
        <v>6.33</v>
      </c>
      <c r="KC65"/>
      <c r="KD65"/>
      <c r="KE65"/>
      <c r="KF65"/>
      <c r="KG65"/>
      <c r="KH65"/>
      <c r="KI65" s="2">
        <f>+Tabla5202122242526104[[#This Row],[Recuento]]*Tabla5202122242526104[[#This Row],[Volúmen bruto]]</f>
        <v>0</v>
      </c>
      <c r="KJ65" s="2">
        <f>+Tabla5202122242526104[[#This Row],[Recuento]]*Tabla5202122242526104[[#This Row],[Área neta]]</f>
        <v>0</v>
      </c>
      <c r="KK65" s="26"/>
      <c r="KM65" t="s">
        <v>1862</v>
      </c>
      <c r="KN65" t="s">
        <v>1525</v>
      </c>
      <c r="KO65" t="s">
        <v>1676</v>
      </c>
      <c r="KP65">
        <v>0.87</v>
      </c>
      <c r="KQ65">
        <v>5.74</v>
      </c>
      <c r="KR65">
        <v>1</v>
      </c>
      <c r="KS65" s="2">
        <f>+Tabla5202122242526104110[[#This Row],[Recuento]]*Tabla5202122242526104110[[#This Row],[Volúmen bruto]]</f>
        <v>0.87</v>
      </c>
      <c r="KT65" s="2">
        <f>+Tabla5202122242526104110[[#This Row],[Recuento]]*Tabla5202122242526104110[[#This Row],[Área neta]]</f>
        <v>5.74</v>
      </c>
      <c r="KU65" s="26"/>
      <c r="KW65"/>
      <c r="KX65"/>
      <c r="KY65"/>
      <c r="KZ65"/>
      <c r="LA65"/>
      <c r="LB65"/>
      <c r="LC65" s="2">
        <f>+Tabla520212224252659[[#This Row],[Recuento]]*Tabla520212224252659[[#This Row],[Volúmen bruto]]</f>
        <v>0</v>
      </c>
      <c r="LD65" s="2">
        <f>+Tabla520212224252659[[#This Row],[Recuento]]*Tabla520212224252659[[#This Row],[Área neta]]</f>
        <v>0</v>
      </c>
      <c r="LE65" s="26"/>
      <c r="LG65"/>
      <c r="LH65"/>
      <c r="LI65"/>
      <c r="LJ65"/>
      <c r="LK65"/>
      <c r="LL65"/>
      <c r="LM65" s="2">
        <f>+Tabla520212224252659111[[#This Row],[Recuento]]*Tabla520212224252659111[[#This Row],[Volúmen bruto]]</f>
        <v>0</v>
      </c>
      <c r="LN65" s="2">
        <f>+Tabla520212224252659111[[#This Row],[Recuento]]*Tabla520212224252659111[[#This Row],[Área neta]]</f>
        <v>0</v>
      </c>
      <c r="LO65" s="26"/>
      <c r="LQ65"/>
      <c r="LR65"/>
      <c r="LS65"/>
      <c r="LT65"/>
      <c r="LU65"/>
      <c r="LV65"/>
      <c r="LW65" s="2">
        <f>+Tabla520212224252659111114[[#This Row],[Recuento]]*Tabla520212224252659111114[[#This Row],[Volúmen bruto]]</f>
        <v>0</v>
      </c>
      <c r="LX65" s="2">
        <f>+Tabla520212224252659111114[[#This Row],[Recuento]]*Tabla520212224252659111114[[#This Row],[Área neta]]</f>
        <v>0</v>
      </c>
      <c r="LY65" s="26"/>
      <c r="MA65"/>
      <c r="MB65"/>
      <c r="MC65"/>
      <c r="MD65"/>
      <c r="ME65"/>
      <c r="MF65"/>
      <c r="MG65" s="2">
        <f>+Tabla520212224252659111114128[[#This Row],[Recuento]]*Tabla520212224252659111114128[[#This Row],[Volúmen bruto]]</f>
        <v>0</v>
      </c>
      <c r="MH65" s="2">
        <f>+Tabla520212224252659111114128[[#This Row],[Recuento]]*Tabla520212224252659111114128[[#This Row],[Área neta]]</f>
        <v>0</v>
      </c>
      <c r="MI65" s="26"/>
      <c r="MK65"/>
      <c r="ML65"/>
      <c r="MM65"/>
      <c r="MN65"/>
      <c r="MO65"/>
      <c r="MP65"/>
      <c r="MQ65">
        <f>+Tabla520212224252627[[#This Row],[Recuento]]*Tabla520212224252627[[#This Row],[Volúmen bruto]]</f>
        <v>0</v>
      </c>
      <c r="MR65">
        <f>+Tabla520212224252627[[#This Row],[Recuento]]*Tabla520212224252627[[#This Row],[Área neta]]</f>
        <v>0</v>
      </c>
      <c r="MS65" s="26"/>
      <c r="MU65"/>
      <c r="MV65"/>
      <c r="MW65"/>
      <c r="MX65"/>
      <c r="MY65"/>
      <c r="MZ65"/>
      <c r="NA65">
        <f>+Tabla520212224252627129[[#This Row],[Recuento]]*Tabla520212224252627129[[#This Row],[Volúmen bruto]]</f>
        <v>0</v>
      </c>
      <c r="NB65">
        <f>+Tabla520212224252627129[[#This Row],[Recuento]]*Tabla520212224252627129[[#This Row],[Área neta]]</f>
        <v>0</v>
      </c>
      <c r="NC65" s="26"/>
      <c r="NE65"/>
      <c r="NF65"/>
      <c r="NG65"/>
      <c r="NH65"/>
      <c r="NI65"/>
      <c r="NJ65"/>
      <c r="NK65">
        <f>+Tabla520212224252627129125[[#This Row],[Recuento]]*Tabla520212224252627129125[[#This Row],[Volúmen bruto]]</f>
        <v>0</v>
      </c>
      <c r="NL65">
        <f>+Tabla520212224252627129125[[#This Row],[Recuento]]*Tabla520212224252627129125[[#This Row],[Área neta]]</f>
        <v>0</v>
      </c>
      <c r="NM65" s="26"/>
      <c r="NO65"/>
      <c r="NP65"/>
      <c r="NQ65"/>
      <c r="NR65"/>
      <c r="NS65"/>
      <c r="NT65"/>
      <c r="NU65">
        <f>+Tabla520212224252627129125130[[#This Row],[Recuento]]*Tabla520212224252627129125130[[#This Row],[Volúmen bruto]]</f>
        <v>0</v>
      </c>
      <c r="NV65">
        <f>+Tabla520212224252627129125130[[#This Row],[Recuento]]*Tabla520212224252627129125130[[#This Row],[Área neta]]</f>
        <v>0</v>
      </c>
      <c r="NW65" s="26"/>
      <c r="NY65"/>
      <c r="NZ65"/>
      <c r="OA65"/>
      <c r="OB65"/>
      <c r="OC65"/>
      <c r="OD65"/>
      <c r="OE65">
        <f>+Tabla520212224252627129125130131[[#This Row],[Recuento]]*Tabla520212224252627129125130131[[#This Row],[Volúmen bruto]]</f>
        <v>0</v>
      </c>
      <c r="OF65">
        <f>+Tabla520212224252627129125130131[[#This Row],[Recuento]]*Tabla520212224252627129125130131[[#This Row],[Área neta]]</f>
        <v>0</v>
      </c>
      <c r="OG65" s="26"/>
      <c r="OI65"/>
      <c r="OJ65"/>
      <c r="OK65"/>
      <c r="OL65"/>
      <c r="OM65"/>
      <c r="ON65"/>
      <c r="OO65">
        <f>+Tabla520212224252627129125130131132[[#This Row],[Recuento]]*Tabla520212224252627129125130131132[[#This Row],[Volúmen bruto]]</f>
        <v>0</v>
      </c>
      <c r="OP65">
        <f>+Tabla520212224252627129125130131132[[#This Row],[Recuento]]*Tabla520212224252627129125130131132[[#This Row],[Área neta]]</f>
        <v>0</v>
      </c>
      <c r="OQ65" s="26"/>
      <c r="OS65"/>
      <c r="OT65"/>
      <c r="OU65"/>
      <c r="OV65"/>
      <c r="OW65"/>
      <c r="OX65"/>
      <c r="OY65">
        <f>+Tabla52021222425262728[[#This Row],[Recuento]]*Tabla52021222425262728[[#This Row],[Volúmen bruto]]</f>
        <v>0</v>
      </c>
      <c r="OZ65">
        <f>+Tabla52021222425262728[[#This Row],[Recuento]]*Tabla52021222425262728[[#This Row],[Área neta]]</f>
        <v>0</v>
      </c>
      <c r="PA65" s="26">
        <f t="shared" si="32"/>
        <v>0</v>
      </c>
      <c r="PC65" t="s">
        <v>1863</v>
      </c>
      <c r="PD65" t="s">
        <v>1524</v>
      </c>
      <c r="PE65" t="s">
        <v>97</v>
      </c>
      <c r="PF65">
        <v>0.06</v>
      </c>
      <c r="PG65">
        <v>2.4700000000000002</v>
      </c>
      <c r="PH65">
        <v>2</v>
      </c>
      <c r="PI65">
        <f>+Tabla52021222425262728133[[#This Row],[Recuento]]*Tabla52021222425262728133[[#This Row],[Volúmen bruto]]</f>
        <v>0.12</v>
      </c>
      <c r="PJ65">
        <f>+Tabla52021222425262728133[[#This Row],[Recuento]]*Tabla52021222425262728133[[#This Row],[Área neta]]</f>
        <v>4.9400000000000004</v>
      </c>
      <c r="PK65" s="26"/>
      <c r="PM65"/>
      <c r="PN65"/>
      <c r="PO65"/>
      <c r="PP65"/>
      <c r="PQ65"/>
      <c r="PR65"/>
      <c r="PS65">
        <f>+Tabla5202122242526272893[[#This Row],[Recuento]]*Tabla5202122242526272893[[#This Row],[Volúmen bruto]]</f>
        <v>0</v>
      </c>
      <c r="PT65">
        <f>+Tabla5202122242526272893[[#This Row],[Recuento]]*Tabla5202122242526272893[[#This Row],[Área neta]]</f>
        <v>0</v>
      </c>
      <c r="PU65" s="26"/>
      <c r="PW65"/>
      <c r="PX65"/>
      <c r="PY65"/>
      <c r="PZ65"/>
      <c r="QA65"/>
      <c r="QB65"/>
      <c r="QC65">
        <f>+Tabla520212224252627289349[[#This Row],[Recuento]]*Tabla520212224252627289349[[#This Row],[Volúmen bruto]]</f>
        <v>0</v>
      </c>
      <c r="QD65">
        <f>+Tabla520212224252627289349[[#This Row],[Recuento]]*Tabla520212224252627289349[[#This Row],[Área neta]]</f>
        <v>0</v>
      </c>
      <c r="QE65" s="26"/>
      <c r="QG65"/>
      <c r="QH65"/>
      <c r="QI65"/>
      <c r="QJ65"/>
      <c r="QK65"/>
      <c r="QL65"/>
      <c r="QM65">
        <f>+Tabla520212224252627289349134[[#This Row],[Recuento]]*Tabla520212224252627289349134[[#This Row],[Volúmen bruto]]</f>
        <v>0</v>
      </c>
      <c r="QN65">
        <f>+Tabla520212224252627289349134[[#This Row],[Recuento]]*Tabla520212224252627289349134[[#This Row],[Área neta]]</f>
        <v>0</v>
      </c>
      <c r="QO65" s="26"/>
      <c r="QQ65"/>
      <c r="QR65"/>
      <c r="QS65"/>
      <c r="QT65"/>
      <c r="QU65"/>
      <c r="QV65"/>
      <c r="QW65"/>
      <c r="QX65"/>
      <c r="QY65"/>
      <c r="QZ65"/>
      <c r="RA65" s="26"/>
      <c r="RC65"/>
      <c r="RD65"/>
      <c r="RE65"/>
      <c r="RF65"/>
      <c r="RG65"/>
      <c r="RH65"/>
      <c r="RI65"/>
      <c r="RJ65"/>
      <c r="RK65" s="26"/>
      <c r="RM65"/>
      <c r="RN65"/>
      <c r="RO65"/>
      <c r="RP65"/>
      <c r="RQ65"/>
      <c r="RR65"/>
      <c r="RS65"/>
      <c r="RT65"/>
      <c r="RU65" s="26">
        <f t="shared" si="7"/>
        <v>0</v>
      </c>
      <c r="RW65"/>
      <c r="RX65"/>
      <c r="RY65"/>
      <c r="RZ65"/>
      <c r="SA65"/>
      <c r="SB65"/>
      <c r="SC65"/>
      <c r="SD65"/>
      <c r="SE65" s="26"/>
      <c r="SG65"/>
      <c r="SH65"/>
      <c r="SI65"/>
      <c r="SJ65"/>
      <c r="SK65"/>
      <c r="SL65"/>
      <c r="SM65"/>
      <c r="SN65"/>
      <c r="SO65" s="26"/>
      <c r="YK65"/>
      <c r="YL65"/>
      <c r="YM65"/>
      <c r="YN65"/>
      <c r="YO65"/>
      <c r="ADD65" s="351" t="s">
        <v>1722</v>
      </c>
      <c r="ADE65" s="351"/>
      <c r="ADF65" s="29" t="s">
        <v>40</v>
      </c>
      <c r="ADG65" s="29">
        <f>SUM(ADG67:ADG164)</f>
        <v>144.72000000000003</v>
      </c>
      <c r="ADJ65"/>
      <c r="ADK65"/>
      <c r="ADL65"/>
      <c r="ADM65"/>
      <c r="ADN65"/>
      <c r="ADO65"/>
      <c r="ADP65" s="36"/>
      <c r="ADR65"/>
      <c r="ADS65"/>
      <c r="ADT65"/>
      <c r="ADU65"/>
      <c r="ADV65"/>
      <c r="ADW65" s="35"/>
      <c r="ADX65" s="35"/>
      <c r="ADY65"/>
      <c r="ADZ65"/>
      <c r="AEA65"/>
      <c r="AEB65"/>
      <c r="AEC65"/>
      <c r="AED65"/>
      <c r="AEE65" s="35">
        <f>+SUM(AEB65)</f>
        <v>0</v>
      </c>
      <c r="AEG65"/>
      <c r="AEH65"/>
      <c r="AEI65"/>
      <c r="AEJ65"/>
      <c r="AEK65"/>
      <c r="AEL65" s="35"/>
      <c r="AEM65" s="35"/>
      <c r="AEN65" t="s">
        <v>1522</v>
      </c>
      <c r="AEO65" t="s">
        <v>1524</v>
      </c>
      <c r="AEP65" t="s">
        <v>381</v>
      </c>
      <c r="AEQ65">
        <v>0.64</v>
      </c>
      <c r="AER65">
        <v>1</v>
      </c>
      <c r="AES65">
        <f>+Tabla5789141516343536373839404142434445464748495051525355606264[[#This Row],[G. Total]]*Tabla5789141516343536373839404142434445464748495051525355606264[[#This Row],[Recuento]]</f>
        <v>0.64</v>
      </c>
      <c r="AET65" s="36"/>
      <c r="AEV65"/>
      <c r="AEW65"/>
      <c r="AEX65"/>
      <c r="AEY65"/>
      <c r="AEZ65"/>
      <c r="AFA65" s="35"/>
      <c r="AFC65"/>
      <c r="AFD65"/>
      <c r="AFE65"/>
      <c r="AFF65" s="33"/>
      <c r="AFG65"/>
      <c r="AFH65"/>
      <c r="AFI65"/>
      <c r="AFJ65"/>
      <c r="AFK65"/>
      <c r="AFL65"/>
      <c r="AFM65"/>
      <c r="AFN65">
        <f>+Tabla578914151634353637383940414243444546474849505152535560626467[[#This Row],[G. Total]]*Tabla578914151634353637383940414243444546474849505152535560626467[[#This Row],[Recuento]]</f>
        <v>0</v>
      </c>
      <c r="AFO65" s="36"/>
    </row>
    <row r="66" spans="2:847" x14ac:dyDescent="0.25">
      <c r="B66"/>
      <c r="C66"/>
      <c r="D66"/>
      <c r="E66"/>
      <c r="F66" s="33"/>
      <c r="G66" s="33"/>
      <c r="H66"/>
      <c r="I66"/>
      <c r="BG66"/>
      <c r="BH66"/>
      <c r="BI66"/>
      <c r="BJ66"/>
      <c r="BK66"/>
      <c r="BL66">
        <f>+Tabla3102[[#This Row],[Longitud de eje]]*BF66</f>
        <v>0</v>
      </c>
      <c r="BM66">
        <f>+Tabla3102[[#This Row],[Longitud de eje]]*BG66</f>
        <v>0</v>
      </c>
      <c r="BO66"/>
      <c r="BP66"/>
      <c r="BQ66"/>
      <c r="BR66"/>
      <c r="BS66"/>
      <c r="BT66">
        <f>+Tabla31069[[#This Row],[Longitud de eje]]*BN66</f>
        <v>0</v>
      </c>
      <c r="BU66">
        <f>+Tabla31069[[#This Row],[Longitud de eje]]*BO66</f>
        <v>0</v>
      </c>
      <c r="BV66"/>
      <c r="BW66"/>
      <c r="BX66"/>
      <c r="BY66"/>
      <c r="BZ66"/>
      <c r="CA66"/>
      <c r="CB66">
        <f>+Tabla31011[[#This Row],[Longitud de eje]]*BV66</f>
        <v>0</v>
      </c>
      <c r="CD66">
        <v>1</v>
      </c>
      <c r="CE66"/>
      <c r="CF66"/>
      <c r="CG66"/>
      <c r="CH66"/>
      <c r="CI66"/>
      <c r="CJ66"/>
      <c r="CK66"/>
      <c r="CL66"/>
      <c r="CM66"/>
      <c r="CN66"/>
      <c r="CO66"/>
      <c r="CP66"/>
      <c r="CQ66"/>
      <c r="CR66">
        <f>+Tabla31011116[[#This Row],[Longitud de eje]]*CL66</f>
        <v>0</v>
      </c>
      <c r="CT66">
        <v>1</v>
      </c>
      <c r="CU66"/>
      <c r="CV66"/>
      <c r="CW66"/>
      <c r="CX66"/>
      <c r="CY66"/>
      <c r="CZ66"/>
      <c r="DA66"/>
      <c r="DB66"/>
      <c r="DC66"/>
      <c r="DD66"/>
      <c r="DE66"/>
      <c r="DF66"/>
      <c r="DG66">
        <f>+Tabla31011704[[#This Row],[Longitud de eje]]*DB66</f>
        <v>0</v>
      </c>
      <c r="DH66"/>
      <c r="DI66">
        <v>1</v>
      </c>
      <c r="DJ66"/>
      <c r="DK66"/>
      <c r="DL66"/>
      <c r="DM66"/>
      <c r="DN66">
        <f>+Tabla3101170411[[#This Row],[Longitud de eje]]*DI66</f>
        <v>0</v>
      </c>
      <c r="DO66"/>
      <c r="DP66">
        <v>1</v>
      </c>
      <c r="DQ66"/>
      <c r="DR66"/>
      <c r="DS66"/>
      <c r="DT66"/>
      <c r="DU66">
        <f>+Tabla3101170411120[[#This Row],[Longitud de eje]]*DP66</f>
        <v>0</v>
      </c>
      <c r="DV66"/>
      <c r="DW66">
        <v>1</v>
      </c>
      <c r="DX66"/>
      <c r="DY66"/>
      <c r="DZ66"/>
      <c r="EA66"/>
      <c r="EB66">
        <f>+Tabla3101170411120122[[#This Row],[Longitud de eje]]*DW66</f>
        <v>0</v>
      </c>
      <c r="EC66"/>
      <c r="ED66">
        <v>20</v>
      </c>
      <c r="EE66" t="s">
        <v>1863</v>
      </c>
      <c r="EF66" t="s">
        <v>1524</v>
      </c>
      <c r="EG66" t="s">
        <v>1406</v>
      </c>
      <c r="EH66">
        <v>1.98</v>
      </c>
      <c r="EI66">
        <v>2.5</v>
      </c>
      <c r="EJ66">
        <f>+Tabla3101112[[#This Row],[En culmo]]*ED66</f>
        <v>50</v>
      </c>
      <c r="EK66"/>
      <c r="EL66"/>
      <c r="EM66"/>
      <c r="EN66"/>
      <c r="EO66"/>
      <c r="EP66"/>
      <c r="EQ66"/>
      <c r="ER66">
        <f>+Tabla3101112123[[#This Row],[En culmo]]*EL66</f>
        <v>0</v>
      </c>
      <c r="ES66"/>
      <c r="ET66">
        <v>2</v>
      </c>
      <c r="EU66" t="s">
        <v>1862</v>
      </c>
      <c r="EV66" t="s">
        <v>1525</v>
      </c>
      <c r="EW66" t="s">
        <v>1406</v>
      </c>
      <c r="EX66">
        <v>1.49</v>
      </c>
      <c r="EY66">
        <v>2</v>
      </c>
      <c r="EZ66">
        <f>+Tabla310111257[[#This Row],[En culmo]]*ET66</f>
        <v>4</v>
      </c>
      <c r="FA66"/>
      <c r="FB66"/>
      <c r="FC66"/>
      <c r="FD66"/>
      <c r="FE66"/>
      <c r="FF66"/>
      <c r="FG66">
        <v>2</v>
      </c>
      <c r="FH66">
        <f>+Tabla310111257124[[#This Row],[En culmo]]*FB66</f>
        <v>0</v>
      </c>
      <c r="FI66"/>
      <c r="FK66"/>
      <c r="FL66"/>
      <c r="FM66"/>
      <c r="FN66"/>
      <c r="FO66"/>
      <c r="FP66"/>
      <c r="FQ66"/>
      <c r="FS66"/>
      <c r="FT66"/>
      <c r="FU66"/>
      <c r="FV66"/>
      <c r="FW66"/>
      <c r="FX66"/>
      <c r="FY66"/>
      <c r="GA66"/>
      <c r="GB66"/>
      <c r="GC66"/>
      <c r="GD66"/>
      <c r="GE66"/>
      <c r="GF66"/>
      <c r="GG66"/>
      <c r="GI66"/>
      <c r="GJ66"/>
      <c r="GK66"/>
      <c r="GL66"/>
      <c r="GM66"/>
      <c r="GN66"/>
      <c r="GO66"/>
      <c r="GQ66"/>
      <c r="GR66"/>
      <c r="GS66"/>
      <c r="GT66"/>
      <c r="GU66"/>
      <c r="GV66"/>
      <c r="GW66"/>
      <c r="GX66"/>
      <c r="GY66" s="36"/>
      <c r="HA66"/>
      <c r="HB66"/>
      <c r="HC66"/>
      <c r="HD66"/>
      <c r="HE66"/>
      <c r="HF66"/>
      <c r="HG66"/>
      <c r="HH66"/>
      <c r="HI66" s="36"/>
      <c r="HK66"/>
      <c r="HL66"/>
      <c r="HM66"/>
      <c r="HN66"/>
      <c r="HO66"/>
      <c r="HP66"/>
      <c r="HQ66"/>
      <c r="HR66"/>
      <c r="HS66" s="36"/>
      <c r="HU66"/>
      <c r="HV66"/>
      <c r="HW66"/>
      <c r="HX66"/>
      <c r="HY66"/>
      <c r="HZ66"/>
      <c r="IA66"/>
      <c r="IB66"/>
      <c r="IC66" s="36"/>
      <c r="IE66"/>
      <c r="IF66"/>
      <c r="IG66"/>
      <c r="IH66"/>
      <c r="II66"/>
      <c r="IJ66"/>
      <c r="IK66"/>
      <c r="IL66"/>
      <c r="IM66" s="36"/>
      <c r="IY66"/>
      <c r="IZ66"/>
      <c r="JA66"/>
      <c r="JB66"/>
      <c r="JC66"/>
      <c r="JD66"/>
      <c r="JE66">
        <f>+Tabla520212224[[#This Row],[Recuento]]*Tabla520212224[[#This Row],[Volúmen bruto]]</f>
        <v>0</v>
      </c>
      <c r="JF66">
        <f>+Tabla520212224[[#This Row],[Recuento]]*Tabla520212224[[#This Row],[Área neta]]</f>
        <v>0</v>
      </c>
      <c r="JG66" s="26"/>
      <c r="JI66"/>
      <c r="JJ66"/>
      <c r="JK66"/>
      <c r="JL66"/>
      <c r="JM66"/>
      <c r="JN66"/>
      <c r="JO66" s="2">
        <f>+Tabla52021222425[[#This Row],[Recuento]]*Tabla52021222425[[#This Row],[Volúmen bruto]]</f>
        <v>0</v>
      </c>
      <c r="JP66" s="2">
        <f>+Tabla52021222425[[#This Row],[Recuento]]*Tabla52021222425[[#This Row],[Área neta]]</f>
        <v>0</v>
      </c>
      <c r="JQ66" s="26"/>
      <c r="JS66" t="s">
        <v>1863</v>
      </c>
      <c r="JT66" t="s">
        <v>1524</v>
      </c>
      <c r="JU66" t="s">
        <v>1677</v>
      </c>
      <c r="JV66">
        <v>0</v>
      </c>
      <c r="JW66">
        <v>0.87</v>
      </c>
      <c r="JX66">
        <v>2</v>
      </c>
      <c r="JY66" s="2">
        <f>+Tabla5202122242526[[#This Row],[Recuento]]*Tabla5202122242526[[#This Row],[Volúmen bruto]]</f>
        <v>0</v>
      </c>
      <c r="JZ66" s="2">
        <f>+Tabla5202122242526[[#This Row],[Recuento]]*Tabla5202122242526[[#This Row],[Área neta]]</f>
        <v>1.74</v>
      </c>
      <c r="KA66" s="26"/>
      <c r="KC66"/>
      <c r="KD66"/>
      <c r="KE66"/>
      <c r="KF66"/>
      <c r="KG66"/>
      <c r="KH66"/>
      <c r="KI66" s="2">
        <f>+Tabla5202122242526104[[#This Row],[Recuento]]*Tabla5202122242526104[[#This Row],[Volúmen bruto]]</f>
        <v>0</v>
      </c>
      <c r="KJ66" s="2">
        <f>+Tabla5202122242526104[[#This Row],[Recuento]]*Tabla5202122242526104[[#This Row],[Área neta]]</f>
        <v>0</v>
      </c>
      <c r="KK66" s="26"/>
      <c r="KM66" t="s">
        <v>1863</v>
      </c>
      <c r="KN66" t="s">
        <v>1524</v>
      </c>
      <c r="KO66" t="s">
        <v>1628</v>
      </c>
      <c r="KP66">
        <v>0.02</v>
      </c>
      <c r="KQ66">
        <v>0.79</v>
      </c>
      <c r="KR66">
        <v>2</v>
      </c>
      <c r="KS66" s="2">
        <f>+Tabla5202122242526104110[[#This Row],[Recuento]]*Tabla5202122242526104110[[#This Row],[Volúmen bruto]]</f>
        <v>0.04</v>
      </c>
      <c r="KT66" s="2">
        <f>+Tabla5202122242526104110[[#This Row],[Recuento]]*Tabla5202122242526104110[[#This Row],[Área neta]]</f>
        <v>1.58</v>
      </c>
      <c r="KU66" s="26">
        <f>+SUM(KT66:KT71)</f>
        <v>10.34</v>
      </c>
      <c r="KW66"/>
      <c r="KX66"/>
      <c r="KY66"/>
      <c r="KZ66"/>
      <c r="LA66"/>
      <c r="LB66"/>
      <c r="LC66" s="2">
        <f>+Tabla520212224252659[[#This Row],[Recuento]]*Tabla520212224252659[[#This Row],[Volúmen bruto]]</f>
        <v>0</v>
      </c>
      <c r="LD66" s="2">
        <f>+Tabla520212224252659[[#This Row],[Recuento]]*Tabla520212224252659[[#This Row],[Área neta]]</f>
        <v>0</v>
      </c>
      <c r="LE66" s="26"/>
      <c r="LG66"/>
      <c r="LH66"/>
      <c r="LI66"/>
      <c r="LJ66"/>
      <c r="LK66"/>
      <c r="LL66"/>
      <c r="LM66" s="2">
        <f>+Tabla520212224252659111[[#This Row],[Recuento]]*Tabla520212224252659111[[#This Row],[Volúmen bruto]]</f>
        <v>0</v>
      </c>
      <c r="LN66" s="2">
        <f>+Tabla520212224252659111[[#This Row],[Recuento]]*Tabla520212224252659111[[#This Row],[Área neta]]</f>
        <v>0</v>
      </c>
      <c r="LO66" s="26"/>
      <c r="LQ66"/>
      <c r="LR66"/>
      <c r="LS66"/>
      <c r="LT66"/>
      <c r="LU66"/>
      <c r="LV66"/>
      <c r="LW66" s="2">
        <f>+Tabla520212224252659111114[[#This Row],[Recuento]]*Tabla520212224252659111114[[#This Row],[Volúmen bruto]]</f>
        <v>0</v>
      </c>
      <c r="LX66" s="2">
        <f>+Tabla520212224252659111114[[#This Row],[Recuento]]*Tabla520212224252659111114[[#This Row],[Área neta]]</f>
        <v>0</v>
      </c>
      <c r="LY66" s="26"/>
      <c r="MA66"/>
      <c r="MB66"/>
      <c r="MC66"/>
      <c r="MD66"/>
      <c r="ME66"/>
      <c r="MF66"/>
      <c r="MG66" s="2">
        <f>+Tabla520212224252659111114128[[#This Row],[Recuento]]*Tabla520212224252659111114128[[#This Row],[Volúmen bruto]]</f>
        <v>0</v>
      </c>
      <c r="MH66" s="2">
        <f>+Tabla520212224252659111114128[[#This Row],[Recuento]]*Tabla520212224252659111114128[[#This Row],[Área neta]]</f>
        <v>0</v>
      </c>
      <c r="MI66" s="26"/>
      <c r="MK66"/>
      <c r="ML66"/>
      <c r="MM66"/>
      <c r="MN66"/>
      <c r="MO66"/>
      <c r="MP66"/>
      <c r="MQ66">
        <f>+Tabla520212224252627[[#This Row],[Recuento]]*Tabla520212224252627[[#This Row],[Volúmen bruto]]</f>
        <v>0</v>
      </c>
      <c r="MR66">
        <f>+Tabla520212224252627[[#This Row],[Recuento]]*Tabla520212224252627[[#This Row],[Área neta]]</f>
        <v>0</v>
      </c>
      <c r="MS66" s="26"/>
      <c r="MU66"/>
      <c r="MV66"/>
      <c r="MW66"/>
      <c r="MX66"/>
      <c r="MY66"/>
      <c r="MZ66"/>
      <c r="NA66">
        <f>+Tabla520212224252627129[[#This Row],[Recuento]]*Tabla520212224252627129[[#This Row],[Volúmen bruto]]</f>
        <v>0</v>
      </c>
      <c r="NB66">
        <f>+Tabla520212224252627129[[#This Row],[Recuento]]*Tabla520212224252627129[[#This Row],[Área neta]]</f>
        <v>0</v>
      </c>
      <c r="NC66" s="26"/>
      <c r="NE66"/>
      <c r="NF66"/>
      <c r="NG66"/>
      <c r="NH66"/>
      <c r="NI66"/>
      <c r="NJ66"/>
      <c r="NK66">
        <f>+Tabla520212224252627129125[[#This Row],[Recuento]]*Tabla520212224252627129125[[#This Row],[Volúmen bruto]]</f>
        <v>0</v>
      </c>
      <c r="NL66">
        <f>+Tabla520212224252627129125[[#This Row],[Recuento]]*Tabla520212224252627129125[[#This Row],[Área neta]]</f>
        <v>0</v>
      </c>
      <c r="NM66" s="26"/>
      <c r="NO66"/>
      <c r="NP66"/>
      <c r="NQ66"/>
      <c r="NR66"/>
      <c r="NS66"/>
      <c r="NT66"/>
      <c r="NU66">
        <f>+Tabla520212224252627129125130[[#This Row],[Recuento]]*Tabla520212224252627129125130[[#This Row],[Volúmen bruto]]</f>
        <v>0</v>
      </c>
      <c r="NV66">
        <f>+Tabla520212224252627129125130[[#This Row],[Recuento]]*Tabla520212224252627129125130[[#This Row],[Área neta]]</f>
        <v>0</v>
      </c>
      <c r="NW66" s="26"/>
      <c r="NY66"/>
      <c r="NZ66"/>
      <c r="OA66"/>
      <c r="OB66"/>
      <c r="OC66"/>
      <c r="OD66"/>
      <c r="OE66">
        <f>+Tabla520212224252627129125130131[[#This Row],[Recuento]]*Tabla520212224252627129125130131[[#This Row],[Volúmen bruto]]</f>
        <v>0</v>
      </c>
      <c r="OF66">
        <f>+Tabla520212224252627129125130131[[#This Row],[Recuento]]*Tabla520212224252627129125130131[[#This Row],[Área neta]]</f>
        <v>0</v>
      </c>
      <c r="OG66" s="26"/>
      <c r="OI66"/>
      <c r="OJ66"/>
      <c r="OK66"/>
      <c r="OL66"/>
      <c r="OM66"/>
      <c r="ON66"/>
      <c r="OO66">
        <f>+Tabla520212224252627129125130131132[[#This Row],[Recuento]]*Tabla520212224252627129125130131132[[#This Row],[Volúmen bruto]]</f>
        <v>0</v>
      </c>
      <c r="OP66">
        <f>+Tabla520212224252627129125130131132[[#This Row],[Recuento]]*Tabla520212224252627129125130131132[[#This Row],[Área neta]]</f>
        <v>0</v>
      </c>
      <c r="OQ66" s="26"/>
      <c r="OS66"/>
      <c r="OT66"/>
      <c r="OU66"/>
      <c r="OV66"/>
      <c r="OW66"/>
      <c r="OX66"/>
      <c r="OY66">
        <f>+Tabla52021222425262728[[#This Row],[Recuento]]*Tabla52021222425262728[[#This Row],[Volúmen bruto]]</f>
        <v>0</v>
      </c>
      <c r="OZ66">
        <f>+Tabla52021222425262728[[#This Row],[Recuento]]*Tabla52021222425262728[[#This Row],[Área neta]]</f>
        <v>0</v>
      </c>
      <c r="PA66" s="26">
        <f t="shared" si="32"/>
        <v>0</v>
      </c>
      <c r="PC66" t="s">
        <v>1863</v>
      </c>
      <c r="PD66" t="s">
        <v>1525</v>
      </c>
      <c r="PE66" t="s">
        <v>97</v>
      </c>
      <c r="PF66">
        <v>0.05</v>
      </c>
      <c r="PG66">
        <v>1.81</v>
      </c>
      <c r="PH66">
        <v>1</v>
      </c>
      <c r="PI66">
        <f>+Tabla52021222425262728133[[#This Row],[Recuento]]*Tabla52021222425262728133[[#This Row],[Volúmen bruto]]</f>
        <v>0.05</v>
      </c>
      <c r="PJ66">
        <f>+Tabla52021222425262728133[[#This Row],[Recuento]]*Tabla52021222425262728133[[#This Row],[Área neta]]</f>
        <v>1.81</v>
      </c>
      <c r="PK66" s="26"/>
      <c r="PM66"/>
      <c r="PN66"/>
      <c r="PO66"/>
      <c r="PP66"/>
      <c r="PQ66"/>
      <c r="PR66"/>
      <c r="PS66">
        <f>+Tabla5202122242526272893[[#This Row],[Recuento]]*Tabla5202122242526272893[[#This Row],[Volúmen bruto]]</f>
        <v>0</v>
      </c>
      <c r="PT66">
        <f>+Tabla5202122242526272893[[#This Row],[Recuento]]*Tabla5202122242526272893[[#This Row],[Área neta]]</f>
        <v>0</v>
      </c>
      <c r="PU66" s="26"/>
      <c r="PW66"/>
      <c r="PX66"/>
      <c r="PY66"/>
      <c r="PZ66"/>
      <c r="QA66"/>
      <c r="QB66"/>
      <c r="QC66">
        <f>+Tabla520212224252627289349[[#This Row],[Recuento]]*Tabla520212224252627289349[[#This Row],[Volúmen bruto]]</f>
        <v>0</v>
      </c>
      <c r="QD66">
        <f>+Tabla520212224252627289349[[#This Row],[Recuento]]*Tabla520212224252627289349[[#This Row],[Área neta]]</f>
        <v>0</v>
      </c>
      <c r="QE66" s="26"/>
      <c r="QG66"/>
      <c r="QH66"/>
      <c r="QI66"/>
      <c r="QJ66"/>
      <c r="QK66"/>
      <c r="QL66"/>
      <c r="QM66">
        <f>+Tabla520212224252627289349134[[#This Row],[Recuento]]*Tabla520212224252627289349134[[#This Row],[Volúmen bruto]]</f>
        <v>0</v>
      </c>
      <c r="QN66">
        <f>+Tabla520212224252627289349134[[#This Row],[Recuento]]*Tabla520212224252627289349134[[#This Row],[Área neta]]</f>
        <v>0</v>
      </c>
      <c r="QO66" s="26"/>
      <c r="QQ66"/>
      <c r="QR66"/>
      <c r="QS66"/>
      <c r="QT66"/>
      <c r="QU66"/>
      <c r="QV66"/>
      <c r="QW66"/>
      <c r="QX66"/>
      <c r="QY66"/>
      <c r="QZ66"/>
      <c r="RA66" s="26"/>
      <c r="RC66"/>
      <c r="RD66"/>
      <c r="RE66"/>
      <c r="RF66"/>
      <c r="RG66"/>
      <c r="RH66"/>
      <c r="RI66"/>
      <c r="RJ66"/>
      <c r="RK66" s="26"/>
      <c r="RM66"/>
      <c r="RN66"/>
      <c r="RO66"/>
      <c r="RP66"/>
      <c r="RQ66"/>
      <c r="RR66"/>
      <c r="RS66"/>
      <c r="RT66"/>
      <c r="RU66" s="26">
        <f t="shared" si="7"/>
        <v>0</v>
      </c>
      <c r="RW66"/>
      <c r="RX66"/>
      <c r="RY66"/>
      <c r="RZ66"/>
      <c r="SA66"/>
      <c r="SB66"/>
      <c r="SC66"/>
      <c r="SD66"/>
      <c r="SE66" s="26"/>
      <c r="SG66"/>
      <c r="SH66"/>
      <c r="SI66"/>
      <c r="SJ66"/>
      <c r="SK66"/>
      <c r="SL66"/>
      <c r="SM66"/>
      <c r="SN66"/>
      <c r="SO66" s="26"/>
      <c r="YK66"/>
      <c r="YL66"/>
      <c r="YM66"/>
      <c r="YN66"/>
      <c r="YO66"/>
      <c r="ADD66" s="1" t="s">
        <v>86</v>
      </c>
      <c r="ADE66" s="1" t="s">
        <v>88</v>
      </c>
      <c r="ADF66" s="1" t="s">
        <v>79</v>
      </c>
      <c r="ADG66" s="29" t="s">
        <v>85</v>
      </c>
      <c r="ADJ66"/>
      <c r="ADK66"/>
      <c r="ADL66"/>
      <c r="ADM66"/>
      <c r="ADN66"/>
      <c r="ADO66"/>
      <c r="ADP66" s="36"/>
      <c r="ADR66"/>
      <c r="ADS66"/>
      <c r="ADT66"/>
      <c r="ADU66"/>
      <c r="ADV66"/>
      <c r="ADW66" s="35"/>
      <c r="ADX66" s="35"/>
      <c r="ADY66"/>
      <c r="ADZ66"/>
      <c r="AEA66"/>
      <c r="AEB66"/>
      <c r="AEC66"/>
      <c r="AED66"/>
      <c r="AEE66" s="35">
        <f>+SUM(AEB66:AEB80)</f>
        <v>0</v>
      </c>
      <c r="AEG66"/>
      <c r="AEH66"/>
      <c r="AEI66"/>
      <c r="AEJ66"/>
      <c r="AEK66"/>
      <c r="AEL66" s="35"/>
      <c r="AEM66" s="35"/>
      <c r="AEN66" t="s">
        <v>1522</v>
      </c>
      <c r="AEO66" t="s">
        <v>1524</v>
      </c>
      <c r="AEP66" t="s">
        <v>381</v>
      </c>
      <c r="AEQ66">
        <v>0.88</v>
      </c>
      <c r="AER66">
        <v>2</v>
      </c>
      <c r="AES66">
        <f>+Tabla5789141516343536373839404142434445464748495051525355606264[[#This Row],[G. Total]]*Tabla5789141516343536373839404142434445464748495051525355606264[[#This Row],[Recuento]]</f>
        <v>1.76</v>
      </c>
      <c r="AET66" s="36"/>
      <c r="AEV66"/>
      <c r="AEW66"/>
      <c r="AEX66"/>
      <c r="AEY66"/>
      <c r="AEZ66"/>
      <c r="AFA66" s="35"/>
      <c r="AFC66"/>
      <c r="AFD66"/>
      <c r="AFE66"/>
      <c r="AFF66" s="33"/>
      <c r="AFG66"/>
      <c r="AFH66"/>
      <c r="AFI66"/>
      <c r="AFJ66"/>
      <c r="AFK66"/>
      <c r="AFL66"/>
      <c r="AFM66"/>
      <c r="AFN66">
        <f>+Tabla578914151634353637383940414243444546474849505152535560626467[[#This Row],[G. Total]]*Tabla578914151634353637383940414243444546474849505152535560626467[[#This Row],[Recuento]]</f>
        <v>0</v>
      </c>
      <c r="AFO66" s="36"/>
    </row>
    <row r="67" spans="2:847" x14ac:dyDescent="0.25">
      <c r="B67"/>
      <c r="C67"/>
      <c r="D67"/>
      <c r="E67"/>
      <c r="F67" s="33"/>
      <c r="G67" s="33"/>
      <c r="H67"/>
      <c r="I67"/>
      <c r="BG67"/>
      <c r="BH67"/>
      <c r="BI67"/>
      <c r="BJ67"/>
      <c r="BK67"/>
      <c r="BL67">
        <f>+Tabla3102[[#This Row],[Longitud de eje]]*BF67</f>
        <v>0</v>
      </c>
      <c r="BM67">
        <f>+Tabla3102[[#This Row],[Longitud de eje]]*BG67</f>
        <v>0</v>
      </c>
      <c r="BO67"/>
      <c r="BP67"/>
      <c r="BQ67"/>
      <c r="BR67"/>
      <c r="BS67"/>
      <c r="BT67">
        <f>+Tabla31069[[#This Row],[Longitud de eje]]*BN67</f>
        <v>0</v>
      </c>
      <c r="BU67">
        <f>+Tabla31069[[#This Row],[Longitud de eje]]*BO67</f>
        <v>0</v>
      </c>
      <c r="BV67"/>
      <c r="BW67"/>
      <c r="BX67"/>
      <c r="BY67"/>
      <c r="BZ67"/>
      <c r="CA67"/>
      <c r="CB67">
        <f>+Tabla31011[[#This Row],[Longitud de eje]]*BV67</f>
        <v>0</v>
      </c>
      <c r="CD67">
        <v>1</v>
      </c>
      <c r="CE67"/>
      <c r="CF67"/>
      <c r="CG67"/>
      <c r="CH67"/>
      <c r="CI67"/>
      <c r="CJ67"/>
      <c r="CK67"/>
      <c r="CL67"/>
      <c r="CM67"/>
      <c r="CN67"/>
      <c r="CO67"/>
      <c r="CP67"/>
      <c r="CQ67"/>
      <c r="CR67">
        <f>+Tabla31011116[[#This Row],[Longitud de eje]]*CL67</f>
        <v>0</v>
      </c>
      <c r="CT67">
        <v>1</v>
      </c>
      <c r="CU67"/>
      <c r="CV67"/>
      <c r="CW67"/>
      <c r="CX67"/>
      <c r="CY67"/>
      <c r="CZ67"/>
      <c r="DA67"/>
      <c r="DB67"/>
      <c r="DC67"/>
      <c r="DD67"/>
      <c r="DE67"/>
      <c r="DF67"/>
      <c r="DG67">
        <f>+Tabla31011704[[#This Row],[Longitud de eje]]*DB67</f>
        <v>0</v>
      </c>
      <c r="DH67"/>
      <c r="DI67">
        <v>1</v>
      </c>
      <c r="DJ67"/>
      <c r="DK67"/>
      <c r="DL67"/>
      <c r="DM67"/>
      <c r="DN67">
        <f>+Tabla3101170411[[#This Row],[Longitud de eje]]*DI67</f>
        <v>0</v>
      </c>
      <c r="DO67"/>
      <c r="DP67">
        <v>1</v>
      </c>
      <c r="DQ67"/>
      <c r="DR67"/>
      <c r="DS67"/>
      <c r="DT67"/>
      <c r="DU67">
        <f>+Tabla3101170411120[[#This Row],[Longitud de eje]]*DP67</f>
        <v>0</v>
      </c>
      <c r="DV67"/>
      <c r="DW67">
        <v>1</v>
      </c>
      <c r="DX67"/>
      <c r="DY67"/>
      <c r="DZ67"/>
      <c r="EA67"/>
      <c r="EB67">
        <f>+Tabla3101170411120122[[#This Row],[Longitud de eje]]*DW67</f>
        <v>0</v>
      </c>
      <c r="EC67"/>
      <c r="ED67">
        <v>1</v>
      </c>
      <c r="EE67" t="s">
        <v>1863</v>
      </c>
      <c r="EF67" t="s">
        <v>1524</v>
      </c>
      <c r="EG67" t="s">
        <v>1406</v>
      </c>
      <c r="EH67">
        <v>2.16</v>
      </c>
      <c r="EI67">
        <v>2.5</v>
      </c>
      <c r="EJ67">
        <f>+Tabla3101112[[#This Row],[En culmo]]*ED67</f>
        <v>2.5</v>
      </c>
      <c r="EK67"/>
      <c r="EL67"/>
      <c r="EM67"/>
      <c r="EN67"/>
      <c r="EO67"/>
      <c r="EP67"/>
      <c r="EQ67"/>
      <c r="ER67">
        <f>+Tabla3101112123[[#This Row],[En culmo]]*EL67</f>
        <v>0</v>
      </c>
      <c r="ES67"/>
      <c r="ET67">
        <v>1</v>
      </c>
      <c r="EU67" t="s">
        <v>1862</v>
      </c>
      <c r="EV67" t="s">
        <v>1525</v>
      </c>
      <c r="EW67" t="s">
        <v>1406</v>
      </c>
      <c r="EX67">
        <v>1.59</v>
      </c>
      <c r="EY67">
        <v>2</v>
      </c>
      <c r="EZ67">
        <f>+Tabla310111257[[#This Row],[En culmo]]*ET67</f>
        <v>2</v>
      </c>
      <c r="FA67"/>
      <c r="FB67"/>
      <c r="FC67"/>
      <c r="FD67"/>
      <c r="FE67"/>
      <c r="FF67"/>
      <c r="FG67">
        <v>1.5</v>
      </c>
      <c r="FH67">
        <f>+Tabla310111257124[[#This Row],[En culmo]]*FB67</f>
        <v>0</v>
      </c>
      <c r="FI67"/>
      <c r="FK67"/>
      <c r="FL67"/>
      <c r="FM67"/>
      <c r="FN67"/>
      <c r="FO67"/>
      <c r="FP67"/>
      <c r="FQ67"/>
      <c r="FS67"/>
      <c r="FT67"/>
      <c r="FU67"/>
      <c r="FV67"/>
      <c r="FW67"/>
      <c r="FX67"/>
      <c r="FY67"/>
      <c r="GA67"/>
      <c r="GB67"/>
      <c r="GC67"/>
      <c r="GD67"/>
      <c r="GE67"/>
      <c r="GF67"/>
      <c r="GG67"/>
      <c r="GI67"/>
      <c r="GJ67"/>
      <c r="GK67"/>
      <c r="GL67"/>
      <c r="GM67"/>
      <c r="GN67"/>
      <c r="GO67"/>
      <c r="GQ67"/>
      <c r="GR67"/>
      <c r="GS67"/>
      <c r="GT67"/>
      <c r="GU67"/>
      <c r="GV67"/>
      <c r="GW67"/>
      <c r="GX67"/>
      <c r="GY67" s="36"/>
      <c r="HA67"/>
      <c r="HB67"/>
      <c r="HC67"/>
      <c r="HD67"/>
      <c r="HE67"/>
      <c r="HF67"/>
      <c r="HG67"/>
      <c r="HH67"/>
      <c r="HI67" s="36"/>
      <c r="HK67"/>
      <c r="HL67"/>
      <c r="HM67"/>
      <c r="HN67"/>
      <c r="HO67"/>
      <c r="HP67"/>
      <c r="HQ67"/>
      <c r="HR67"/>
      <c r="HS67" s="36"/>
      <c r="HU67"/>
      <c r="HV67"/>
      <c r="HW67"/>
      <c r="HX67"/>
      <c r="HY67"/>
      <c r="HZ67"/>
      <c r="IA67"/>
      <c r="IB67"/>
      <c r="IC67" s="36"/>
      <c r="IE67"/>
      <c r="IF67"/>
      <c r="IG67"/>
      <c r="IH67"/>
      <c r="II67"/>
      <c r="IJ67"/>
      <c r="IK67"/>
      <c r="IL67"/>
      <c r="IM67" s="36"/>
      <c r="IY67"/>
      <c r="IZ67"/>
      <c r="JA67"/>
      <c r="JB67"/>
      <c r="JC67"/>
      <c r="JD67"/>
      <c r="JE67" s="2">
        <f>+Tabla520212224[[#This Row],[Recuento]]*Tabla520212224[[#This Row],[Volúmen bruto]]</f>
        <v>0</v>
      </c>
      <c r="JF67" s="2">
        <f>+Tabla520212224[[#This Row],[Recuento]]*Tabla520212224[[#This Row],[Área neta]]</f>
        <v>0</v>
      </c>
      <c r="JG67" s="26"/>
      <c r="JI67"/>
      <c r="JJ67"/>
      <c r="JK67"/>
      <c r="JL67"/>
      <c r="JM67"/>
      <c r="JN67"/>
      <c r="JO67" s="2">
        <f>+Tabla52021222425[[#This Row],[Recuento]]*Tabla52021222425[[#This Row],[Volúmen bruto]]</f>
        <v>0</v>
      </c>
      <c r="JP67" s="2">
        <f>+Tabla52021222425[[#This Row],[Recuento]]*Tabla52021222425[[#This Row],[Área neta]]</f>
        <v>0</v>
      </c>
      <c r="JQ67" s="26"/>
      <c r="JS67" t="s">
        <v>1863</v>
      </c>
      <c r="JT67" t="s">
        <v>1524</v>
      </c>
      <c r="JU67" t="s">
        <v>1677</v>
      </c>
      <c r="JV67">
        <v>0</v>
      </c>
      <c r="JW67">
        <v>1.05</v>
      </c>
      <c r="JX67">
        <v>1</v>
      </c>
      <c r="JY67" s="2">
        <f>+Tabla5202122242526[[#This Row],[Recuento]]*Tabla5202122242526[[#This Row],[Volúmen bruto]]</f>
        <v>0</v>
      </c>
      <c r="JZ67" s="2">
        <f>+Tabla5202122242526[[#This Row],[Recuento]]*Tabla5202122242526[[#This Row],[Área neta]]</f>
        <v>1.05</v>
      </c>
      <c r="KA67" s="26"/>
      <c r="KC67"/>
      <c r="KD67"/>
      <c r="KE67"/>
      <c r="KF67"/>
      <c r="KG67"/>
      <c r="KH67"/>
      <c r="KI67" s="2">
        <f>+Tabla5202122242526104[[#This Row],[Recuento]]*Tabla5202122242526104[[#This Row],[Volúmen bruto]]</f>
        <v>0</v>
      </c>
      <c r="KJ67" s="2">
        <f>+Tabla5202122242526104[[#This Row],[Recuento]]*Tabla5202122242526104[[#This Row],[Área neta]]</f>
        <v>0</v>
      </c>
      <c r="KK67" s="26"/>
      <c r="KM67" t="s">
        <v>1863</v>
      </c>
      <c r="KN67" t="s">
        <v>1524</v>
      </c>
      <c r="KO67" t="s">
        <v>1628</v>
      </c>
      <c r="KP67">
        <v>0.01</v>
      </c>
      <c r="KQ67">
        <v>0.56999999999999995</v>
      </c>
      <c r="KR67">
        <v>2</v>
      </c>
      <c r="KS67" s="2">
        <f>+Tabla5202122242526104110[[#This Row],[Recuento]]*Tabla5202122242526104110[[#This Row],[Volúmen bruto]]</f>
        <v>0.02</v>
      </c>
      <c r="KT67" s="2">
        <f>+Tabla5202122242526104110[[#This Row],[Recuento]]*Tabla5202122242526104110[[#This Row],[Área neta]]</f>
        <v>1.1399999999999999</v>
      </c>
      <c r="KU67" s="26"/>
      <c r="KW67"/>
      <c r="KX67"/>
      <c r="KY67"/>
      <c r="KZ67"/>
      <c r="LA67"/>
      <c r="LB67"/>
      <c r="LC67" s="2">
        <f>+Tabla520212224252659[[#This Row],[Recuento]]*Tabla520212224252659[[#This Row],[Volúmen bruto]]</f>
        <v>0</v>
      </c>
      <c r="LD67" s="2">
        <f>+Tabla520212224252659[[#This Row],[Recuento]]*Tabla520212224252659[[#This Row],[Área neta]]</f>
        <v>0</v>
      </c>
      <c r="LE67" s="26"/>
      <c r="LG67"/>
      <c r="LH67"/>
      <c r="LI67"/>
      <c r="LJ67"/>
      <c r="LK67"/>
      <c r="LL67"/>
      <c r="LM67" s="2">
        <f>+Tabla520212224252659111[[#This Row],[Recuento]]*Tabla520212224252659111[[#This Row],[Volúmen bruto]]</f>
        <v>0</v>
      </c>
      <c r="LN67" s="2">
        <f>+Tabla520212224252659111[[#This Row],[Recuento]]*Tabla520212224252659111[[#This Row],[Área neta]]</f>
        <v>0</v>
      </c>
      <c r="LO67" s="26"/>
      <c r="LQ67"/>
      <c r="LR67"/>
      <c r="LS67"/>
      <c r="LT67"/>
      <c r="LU67"/>
      <c r="LV67"/>
      <c r="LW67" s="2">
        <f>+Tabla520212224252659111114[[#This Row],[Recuento]]*Tabla520212224252659111114[[#This Row],[Volúmen bruto]]</f>
        <v>0</v>
      </c>
      <c r="LX67" s="2">
        <f>+Tabla520212224252659111114[[#This Row],[Recuento]]*Tabla520212224252659111114[[#This Row],[Área neta]]</f>
        <v>0</v>
      </c>
      <c r="LY67" s="26"/>
      <c r="MA67"/>
      <c r="MB67"/>
      <c r="MC67"/>
      <c r="MD67"/>
      <c r="ME67"/>
      <c r="MF67"/>
      <c r="MG67" s="2">
        <f>+Tabla520212224252659111114128[[#This Row],[Recuento]]*Tabla520212224252659111114128[[#This Row],[Volúmen bruto]]</f>
        <v>0</v>
      </c>
      <c r="MH67" s="2">
        <f>+Tabla520212224252659111114128[[#This Row],[Recuento]]*Tabla520212224252659111114128[[#This Row],[Área neta]]</f>
        <v>0</v>
      </c>
      <c r="MI67" s="26"/>
      <c r="MK67"/>
      <c r="ML67"/>
      <c r="MM67"/>
      <c r="MN67"/>
      <c r="MO67"/>
      <c r="MP67"/>
      <c r="MQ67">
        <f>+Tabla520212224252627[[#This Row],[Recuento]]*Tabla520212224252627[[#This Row],[Volúmen bruto]]</f>
        <v>0</v>
      </c>
      <c r="MR67">
        <f>+Tabla520212224252627[[#This Row],[Recuento]]*Tabla520212224252627[[#This Row],[Área neta]]</f>
        <v>0</v>
      </c>
      <c r="MS67" s="26"/>
      <c r="MU67"/>
      <c r="MV67"/>
      <c r="MW67"/>
      <c r="MX67"/>
      <c r="MY67"/>
      <c r="MZ67"/>
      <c r="NA67">
        <f>+Tabla520212224252627129[[#This Row],[Recuento]]*Tabla520212224252627129[[#This Row],[Volúmen bruto]]</f>
        <v>0</v>
      </c>
      <c r="NB67">
        <f>+Tabla520212224252627129[[#This Row],[Recuento]]*Tabla520212224252627129[[#This Row],[Área neta]]</f>
        <v>0</v>
      </c>
      <c r="NC67" s="26"/>
      <c r="NE67"/>
      <c r="NF67"/>
      <c r="NG67"/>
      <c r="NH67"/>
      <c r="NI67"/>
      <c r="NJ67"/>
      <c r="NK67">
        <f>+Tabla520212224252627129125[[#This Row],[Recuento]]*Tabla520212224252627129125[[#This Row],[Volúmen bruto]]</f>
        <v>0</v>
      </c>
      <c r="NL67">
        <f>+Tabla520212224252627129125[[#This Row],[Recuento]]*Tabla520212224252627129125[[#This Row],[Área neta]]</f>
        <v>0</v>
      </c>
      <c r="NM67" s="26"/>
      <c r="NO67"/>
      <c r="NP67"/>
      <c r="NQ67"/>
      <c r="NR67"/>
      <c r="NS67"/>
      <c r="NT67"/>
      <c r="NU67">
        <f>+Tabla520212224252627129125130[[#This Row],[Recuento]]*Tabla520212224252627129125130[[#This Row],[Volúmen bruto]]</f>
        <v>0</v>
      </c>
      <c r="NV67">
        <f>+Tabla520212224252627129125130[[#This Row],[Recuento]]*Tabla520212224252627129125130[[#This Row],[Área neta]]</f>
        <v>0</v>
      </c>
      <c r="NW67" s="26"/>
      <c r="NY67"/>
      <c r="NZ67"/>
      <c r="OA67"/>
      <c r="OB67"/>
      <c r="OC67"/>
      <c r="OD67"/>
      <c r="OE67">
        <f>+Tabla520212224252627129125130131[[#This Row],[Recuento]]*Tabla520212224252627129125130131[[#This Row],[Volúmen bruto]]</f>
        <v>0</v>
      </c>
      <c r="OF67">
        <f>+Tabla520212224252627129125130131[[#This Row],[Recuento]]*Tabla520212224252627129125130131[[#This Row],[Área neta]]</f>
        <v>0</v>
      </c>
      <c r="OG67" s="26"/>
      <c r="OI67"/>
      <c r="OJ67"/>
      <c r="OK67"/>
      <c r="OL67"/>
      <c r="OM67"/>
      <c r="ON67"/>
      <c r="OO67">
        <f>+Tabla520212224252627129125130131132[[#This Row],[Recuento]]*Tabla520212224252627129125130131132[[#This Row],[Volúmen bruto]]</f>
        <v>0</v>
      </c>
      <c r="OP67">
        <f>+Tabla520212224252627129125130131132[[#This Row],[Recuento]]*Tabla520212224252627129125130131132[[#This Row],[Área neta]]</f>
        <v>0</v>
      </c>
      <c r="OQ67" s="26"/>
      <c r="OS67"/>
      <c r="OT67"/>
      <c r="OU67"/>
      <c r="OV67"/>
      <c r="OW67"/>
      <c r="OX67"/>
      <c r="OY67">
        <f>+Tabla52021222425262728[[#This Row],[Recuento]]*Tabla52021222425262728[[#This Row],[Volúmen bruto]]</f>
        <v>0</v>
      </c>
      <c r="OZ67">
        <f>+Tabla52021222425262728[[#This Row],[Recuento]]*Tabla52021222425262728[[#This Row],[Área neta]]</f>
        <v>0</v>
      </c>
      <c r="PA67" s="26">
        <f t="shared" si="32"/>
        <v>0</v>
      </c>
      <c r="PC67" t="s">
        <v>1863</v>
      </c>
      <c r="PD67" t="s">
        <v>1525</v>
      </c>
      <c r="PE67" t="s">
        <v>97</v>
      </c>
      <c r="PF67">
        <v>0.04</v>
      </c>
      <c r="PG67">
        <v>1.41</v>
      </c>
      <c r="PH67">
        <v>1</v>
      </c>
      <c r="PI67">
        <f>+Tabla52021222425262728133[[#This Row],[Recuento]]*Tabla52021222425262728133[[#This Row],[Volúmen bruto]]</f>
        <v>0.04</v>
      </c>
      <c r="PJ67">
        <f>+Tabla52021222425262728133[[#This Row],[Recuento]]*Tabla52021222425262728133[[#This Row],[Área neta]]</f>
        <v>1.41</v>
      </c>
      <c r="PK67" s="26"/>
      <c r="PM67"/>
      <c r="PN67"/>
      <c r="PO67"/>
      <c r="PP67"/>
      <c r="PQ67"/>
      <c r="PR67"/>
      <c r="PS67">
        <f>+Tabla5202122242526272893[[#This Row],[Recuento]]*Tabla5202122242526272893[[#This Row],[Volúmen bruto]]</f>
        <v>0</v>
      </c>
      <c r="PT67">
        <f>+Tabla5202122242526272893[[#This Row],[Recuento]]*Tabla5202122242526272893[[#This Row],[Área neta]]</f>
        <v>0</v>
      </c>
      <c r="PU67" s="26"/>
      <c r="PW67"/>
      <c r="PX67"/>
      <c r="PY67"/>
      <c r="PZ67"/>
      <c r="QA67"/>
      <c r="QB67"/>
      <c r="QC67">
        <f>+Tabla520212224252627289349[[#This Row],[Recuento]]*Tabla520212224252627289349[[#This Row],[Volúmen bruto]]</f>
        <v>0</v>
      </c>
      <c r="QD67">
        <f>+Tabla520212224252627289349[[#This Row],[Recuento]]*Tabla520212224252627289349[[#This Row],[Área neta]]</f>
        <v>0</v>
      </c>
      <c r="QE67" s="26"/>
      <c r="QG67"/>
      <c r="QH67"/>
      <c r="QI67"/>
      <c r="QJ67"/>
      <c r="QK67"/>
      <c r="QL67"/>
      <c r="QM67">
        <f>+Tabla520212224252627289349134[[#This Row],[Recuento]]*Tabla520212224252627289349134[[#This Row],[Volúmen bruto]]</f>
        <v>0</v>
      </c>
      <c r="QN67">
        <f>+Tabla520212224252627289349134[[#This Row],[Recuento]]*Tabla520212224252627289349134[[#This Row],[Área neta]]</f>
        <v>0</v>
      </c>
      <c r="QO67" s="26"/>
      <c r="QQ67"/>
      <c r="QR67"/>
      <c r="QS67"/>
      <c r="QT67"/>
      <c r="QU67"/>
      <c r="QV67"/>
      <c r="QW67"/>
      <c r="QX67"/>
      <c r="QY67"/>
      <c r="QZ67"/>
      <c r="RA67" s="26"/>
      <c r="RC67"/>
      <c r="RD67"/>
      <c r="RE67"/>
      <c r="RF67"/>
      <c r="RG67"/>
      <c r="RH67"/>
      <c r="RI67"/>
      <c r="RJ67"/>
      <c r="RK67" s="26"/>
      <c r="RM67"/>
      <c r="RN67"/>
      <c r="RO67"/>
      <c r="RP67"/>
      <c r="RQ67"/>
      <c r="RR67"/>
      <c r="RS67"/>
      <c r="RT67"/>
      <c r="RU67" s="26">
        <f t="shared" si="7"/>
        <v>0</v>
      </c>
      <c r="RW67"/>
      <c r="RX67"/>
      <c r="RY67"/>
      <c r="RZ67"/>
      <c r="SA67"/>
      <c r="SB67"/>
      <c r="SC67"/>
      <c r="SD67"/>
      <c r="SE67" s="26"/>
      <c r="SG67"/>
      <c r="SH67"/>
      <c r="SI67"/>
      <c r="SJ67"/>
      <c r="SK67"/>
      <c r="SL67"/>
      <c r="SM67"/>
      <c r="SN67"/>
      <c r="SO67" s="26"/>
      <c r="YK67"/>
      <c r="YL67"/>
      <c r="YM67"/>
      <c r="YN67"/>
      <c r="YO67"/>
      <c r="ADD67" t="s">
        <v>1720</v>
      </c>
      <c r="ADE67">
        <v>4</v>
      </c>
      <c r="ADF67">
        <v>2</v>
      </c>
      <c r="ADG67" s="26">
        <f>+ADF67*ADE67</f>
        <v>8</v>
      </c>
      <c r="ADJ67"/>
      <c r="ADK67"/>
      <c r="ADL67"/>
      <c r="ADM67"/>
      <c r="ADN67"/>
      <c r="ADO67"/>
      <c r="ADP67" s="35">
        <f>+SUM(ADM67:ADM73)</f>
        <v>0</v>
      </c>
      <c r="ADR67"/>
      <c r="ADS67"/>
      <c r="ADT67"/>
      <c r="ADU67"/>
      <c r="ADV67"/>
      <c r="ADW67" s="35"/>
      <c r="ADX67" s="35"/>
      <c r="ADY67"/>
      <c r="ADZ67"/>
      <c r="AEA67"/>
      <c r="AEB67"/>
      <c r="AEC67"/>
      <c r="AED67"/>
      <c r="AEE67" s="36"/>
      <c r="AEG67"/>
      <c r="AEH67"/>
      <c r="AEI67"/>
      <c r="AEJ67"/>
      <c r="AEK67"/>
      <c r="AEL67" s="35"/>
      <c r="AEM67" s="35"/>
      <c r="AEN67" t="s">
        <v>1522</v>
      </c>
      <c r="AEO67" t="s">
        <v>1524</v>
      </c>
      <c r="AEP67" t="s">
        <v>381</v>
      </c>
      <c r="AEQ67">
        <v>1.05</v>
      </c>
      <c r="AER67">
        <v>1</v>
      </c>
      <c r="AES67">
        <f>+Tabla5789141516343536373839404142434445464748495051525355606264[[#This Row],[G. Total]]*Tabla5789141516343536373839404142434445464748495051525355606264[[#This Row],[Recuento]]</f>
        <v>1.05</v>
      </c>
      <c r="AET67" s="36"/>
      <c r="AEV67"/>
      <c r="AEW67"/>
      <c r="AEX67"/>
      <c r="AEY67"/>
      <c r="AEZ67"/>
      <c r="AFA67" s="35"/>
      <c r="AFC67"/>
      <c r="AFD67"/>
      <c r="AFE67"/>
      <c r="AFF67" s="33"/>
      <c r="AFG67"/>
      <c r="AFH67"/>
      <c r="AFI67"/>
      <c r="AFJ67"/>
      <c r="AFK67"/>
      <c r="AFL67"/>
      <c r="AFM67"/>
      <c r="AFN67">
        <f>+Tabla578914151634353637383940414243444546474849505152535560626467[[#This Row],[G. Total]]*Tabla578914151634353637383940414243444546474849505152535560626467[[#This Row],[Recuento]]</f>
        <v>0</v>
      </c>
      <c r="AFO67" s="36"/>
    </row>
    <row r="68" spans="2:847" x14ac:dyDescent="0.25">
      <c r="B68"/>
      <c r="C68"/>
      <c r="D68"/>
      <c r="E68"/>
      <c r="F68" s="33"/>
      <c r="G68" s="33"/>
      <c r="H68"/>
      <c r="I68"/>
      <c r="BG68"/>
      <c r="BH68"/>
      <c r="BI68"/>
      <c r="BJ68"/>
      <c r="BK68"/>
      <c r="BL68">
        <f>+Tabla3102[[#This Row],[Longitud de eje]]*BF68</f>
        <v>0</v>
      </c>
      <c r="BM68">
        <f>+Tabla3102[[#This Row],[Longitud de eje]]*BG68</f>
        <v>0</v>
      </c>
      <c r="BO68"/>
      <c r="BP68"/>
      <c r="BQ68"/>
      <c r="BR68"/>
      <c r="BS68"/>
      <c r="BT68">
        <f>+Tabla31069[[#This Row],[Longitud de eje]]*BN68</f>
        <v>0</v>
      </c>
      <c r="BU68">
        <f>+Tabla31069[[#This Row],[Longitud de eje]]*BO68</f>
        <v>0</v>
      </c>
      <c r="BV68"/>
      <c r="BW68"/>
      <c r="BX68"/>
      <c r="BY68"/>
      <c r="BZ68"/>
      <c r="CA68"/>
      <c r="CB68">
        <f>+Tabla31011[[#This Row],[Longitud de eje]]*BV68</f>
        <v>0</v>
      </c>
      <c r="CD68">
        <v>1</v>
      </c>
      <c r="CE68"/>
      <c r="CF68"/>
      <c r="CG68"/>
      <c r="CH68"/>
      <c r="CI68"/>
      <c r="CJ68"/>
      <c r="CK68"/>
      <c r="CL68"/>
      <c r="CM68"/>
      <c r="CN68"/>
      <c r="CO68"/>
      <c r="CP68"/>
      <c r="CQ68"/>
      <c r="CR68">
        <f>+Tabla31011116[[#This Row],[Longitud de eje]]*CL68</f>
        <v>0</v>
      </c>
      <c r="CT68">
        <v>1</v>
      </c>
      <c r="CU68"/>
      <c r="CV68"/>
      <c r="CW68"/>
      <c r="CX68"/>
      <c r="CY68"/>
      <c r="CZ68"/>
      <c r="DA68"/>
      <c r="DB68"/>
      <c r="DC68"/>
      <c r="DD68"/>
      <c r="DE68"/>
      <c r="DF68"/>
      <c r="DG68">
        <f>+Tabla31011704[[#This Row],[Longitud de eje]]*DB68</f>
        <v>0</v>
      </c>
      <c r="DH68"/>
      <c r="DI68">
        <v>1</v>
      </c>
      <c r="DJ68"/>
      <c r="DK68"/>
      <c r="DL68"/>
      <c r="DM68"/>
      <c r="DN68">
        <f>+Tabla3101170411[[#This Row],[Longitud de eje]]*DI68</f>
        <v>0</v>
      </c>
      <c r="DO68"/>
      <c r="DP68">
        <v>1</v>
      </c>
      <c r="DQ68"/>
      <c r="DR68"/>
      <c r="DS68"/>
      <c r="DT68"/>
      <c r="DU68">
        <f>+Tabla3101170411120[[#This Row],[Longitud de eje]]*DP68</f>
        <v>0</v>
      </c>
      <c r="DV68"/>
      <c r="DW68">
        <v>1</v>
      </c>
      <c r="DX68"/>
      <c r="DY68"/>
      <c r="DZ68"/>
      <c r="EA68"/>
      <c r="EB68">
        <f>+Tabla3101170411120122[[#This Row],[Longitud de eje]]*DW68</f>
        <v>0</v>
      </c>
      <c r="EC68"/>
      <c r="ED68">
        <v>7</v>
      </c>
      <c r="EE68" t="s">
        <v>1863</v>
      </c>
      <c r="EF68" t="s">
        <v>1524</v>
      </c>
      <c r="EG68" t="s">
        <v>1406</v>
      </c>
      <c r="EH68">
        <v>1.92</v>
      </c>
      <c r="EI68">
        <v>2.5</v>
      </c>
      <c r="EJ68">
        <f>+Tabla3101112[[#This Row],[En culmo]]*ED68</f>
        <v>17.5</v>
      </c>
      <c r="EK68"/>
      <c r="EL68"/>
      <c r="EM68"/>
      <c r="EN68"/>
      <c r="EO68"/>
      <c r="EP68"/>
      <c r="EQ68"/>
      <c r="ER68">
        <f>+Tabla3101112123[[#This Row],[En culmo]]*EL68</f>
        <v>0</v>
      </c>
      <c r="ES68"/>
      <c r="ET68">
        <v>2</v>
      </c>
      <c r="EU68" t="s">
        <v>1862</v>
      </c>
      <c r="EV68" t="s">
        <v>1525</v>
      </c>
      <c r="EW68" t="s">
        <v>1406</v>
      </c>
      <c r="EX68">
        <v>1.08</v>
      </c>
      <c r="EY68">
        <v>1.5</v>
      </c>
      <c r="EZ68">
        <f>+Tabla310111257[[#This Row],[En culmo]]*ET68</f>
        <v>3</v>
      </c>
      <c r="FA68"/>
      <c r="FB68"/>
      <c r="FC68"/>
      <c r="FD68"/>
      <c r="FE68"/>
      <c r="FF68"/>
      <c r="FG68">
        <v>2</v>
      </c>
      <c r="FH68">
        <f>+Tabla310111257124[[#This Row],[En culmo]]*FB68</f>
        <v>0</v>
      </c>
      <c r="FI68"/>
      <c r="FK68"/>
      <c r="FL68"/>
      <c r="FM68"/>
      <c r="FN68"/>
      <c r="FO68"/>
      <c r="FP68"/>
      <c r="FQ68"/>
      <c r="FS68"/>
      <c r="FT68"/>
      <c r="FU68"/>
      <c r="FV68"/>
      <c r="FW68"/>
      <c r="FX68"/>
      <c r="FY68"/>
      <c r="GA68"/>
      <c r="GB68"/>
      <c r="GC68"/>
      <c r="GD68"/>
      <c r="GE68"/>
      <c r="GF68"/>
      <c r="GG68"/>
      <c r="GI68"/>
      <c r="GJ68"/>
      <c r="GK68"/>
      <c r="GL68"/>
      <c r="GM68"/>
      <c r="GN68"/>
      <c r="GO68"/>
      <c r="GQ68"/>
      <c r="GR68"/>
      <c r="GS68"/>
      <c r="GT68"/>
      <c r="GU68"/>
      <c r="GV68"/>
      <c r="GW68"/>
      <c r="GX68"/>
      <c r="GY68" s="36"/>
      <c r="HA68"/>
      <c r="HB68"/>
      <c r="HC68"/>
      <c r="HD68"/>
      <c r="HE68"/>
      <c r="HF68"/>
      <c r="HG68"/>
      <c r="HH68"/>
      <c r="HI68" s="36"/>
      <c r="HK68"/>
      <c r="HL68"/>
      <c r="HM68"/>
      <c r="HN68"/>
      <c r="HO68"/>
      <c r="HP68"/>
      <c r="HQ68"/>
      <c r="HR68"/>
      <c r="HS68" s="36"/>
      <c r="HU68"/>
      <c r="HV68"/>
      <c r="HW68"/>
      <c r="HX68"/>
      <c r="HY68"/>
      <c r="HZ68"/>
      <c r="IA68"/>
      <c r="IB68"/>
      <c r="IC68" s="36"/>
      <c r="IE68"/>
      <c r="IF68"/>
      <c r="IG68"/>
      <c r="IH68"/>
      <c r="II68"/>
      <c r="IJ68"/>
      <c r="IK68"/>
      <c r="IL68"/>
      <c r="IM68" s="36"/>
      <c r="IY68"/>
      <c r="IZ68"/>
      <c r="JA68"/>
      <c r="JB68"/>
      <c r="JC68"/>
      <c r="JD68"/>
      <c r="JE68" s="2">
        <f>+Tabla520212224[[#This Row],[Recuento]]*Tabla520212224[[#This Row],[Volúmen bruto]]</f>
        <v>0</v>
      </c>
      <c r="JF68" s="2">
        <f>+Tabla520212224[[#This Row],[Recuento]]*Tabla520212224[[#This Row],[Área neta]]</f>
        <v>0</v>
      </c>
      <c r="JG68" s="26"/>
      <c r="JI68"/>
      <c r="JJ68"/>
      <c r="JK68"/>
      <c r="JL68"/>
      <c r="JM68"/>
      <c r="JN68"/>
      <c r="JO68" s="2">
        <f>+Tabla52021222425[[#This Row],[Recuento]]*Tabla52021222425[[#This Row],[Volúmen bruto]]</f>
        <v>0</v>
      </c>
      <c r="JP68" s="2">
        <f>+Tabla52021222425[[#This Row],[Recuento]]*Tabla52021222425[[#This Row],[Área neta]]</f>
        <v>0</v>
      </c>
      <c r="JQ68" s="26"/>
      <c r="JS68" t="s">
        <v>1863</v>
      </c>
      <c r="JT68" t="s">
        <v>1525</v>
      </c>
      <c r="JU68" t="s">
        <v>1677</v>
      </c>
      <c r="JV68">
        <v>0</v>
      </c>
      <c r="JW68">
        <v>2.35</v>
      </c>
      <c r="JX68">
        <v>1</v>
      </c>
      <c r="JY68" s="2">
        <f>+Tabla5202122242526[[#This Row],[Recuento]]*Tabla5202122242526[[#This Row],[Volúmen bruto]]</f>
        <v>0</v>
      </c>
      <c r="JZ68" s="2">
        <f>+Tabla5202122242526[[#This Row],[Recuento]]*Tabla5202122242526[[#This Row],[Área neta]]</f>
        <v>2.35</v>
      </c>
      <c r="KA68" s="26"/>
      <c r="KC68"/>
      <c r="KD68"/>
      <c r="KE68"/>
      <c r="KF68"/>
      <c r="KG68"/>
      <c r="KH68"/>
      <c r="KI68" s="2">
        <f>+Tabla5202122242526104[[#This Row],[Recuento]]*Tabla5202122242526104[[#This Row],[Volúmen bruto]]</f>
        <v>0</v>
      </c>
      <c r="KJ68" s="2">
        <f>+Tabla5202122242526104[[#This Row],[Recuento]]*Tabla5202122242526104[[#This Row],[Área neta]]</f>
        <v>0</v>
      </c>
      <c r="KK68" s="26"/>
      <c r="KM68" t="s">
        <v>1863</v>
      </c>
      <c r="KN68" t="s">
        <v>1525</v>
      </c>
      <c r="KO68" t="s">
        <v>1628</v>
      </c>
      <c r="KP68">
        <v>0.03</v>
      </c>
      <c r="KQ68">
        <v>1.1200000000000001</v>
      </c>
      <c r="KR68">
        <v>1</v>
      </c>
      <c r="KS68" s="2">
        <f>+Tabla5202122242526104110[[#This Row],[Recuento]]*Tabla5202122242526104110[[#This Row],[Volúmen bruto]]</f>
        <v>0.03</v>
      </c>
      <c r="KT68" s="2">
        <f>+Tabla5202122242526104110[[#This Row],[Recuento]]*Tabla5202122242526104110[[#This Row],[Área neta]]</f>
        <v>1.1200000000000001</v>
      </c>
      <c r="KU68" s="415"/>
      <c r="KW68"/>
      <c r="KX68"/>
      <c r="KY68"/>
      <c r="KZ68"/>
      <c r="LA68"/>
      <c r="LB68"/>
      <c r="LC68" s="2">
        <f>+Tabla520212224252659[[#This Row],[Recuento]]*Tabla520212224252659[[#This Row],[Volúmen bruto]]</f>
        <v>0</v>
      </c>
      <c r="LD68" s="2">
        <f>+Tabla520212224252659[[#This Row],[Recuento]]*Tabla520212224252659[[#This Row],[Área neta]]</f>
        <v>0</v>
      </c>
      <c r="LE68" s="26"/>
      <c r="LG68"/>
      <c r="LH68"/>
      <c r="LI68"/>
      <c r="LJ68"/>
      <c r="LK68"/>
      <c r="LL68"/>
      <c r="LM68" s="2">
        <f>+Tabla520212224252659111[[#This Row],[Recuento]]*Tabla520212224252659111[[#This Row],[Volúmen bruto]]</f>
        <v>0</v>
      </c>
      <c r="LN68" s="2">
        <f>+Tabla520212224252659111[[#This Row],[Recuento]]*Tabla520212224252659111[[#This Row],[Área neta]]</f>
        <v>0</v>
      </c>
      <c r="LO68" s="26"/>
      <c r="LQ68"/>
      <c r="LR68"/>
      <c r="LS68"/>
      <c r="LT68"/>
      <c r="LU68"/>
      <c r="LV68"/>
      <c r="LW68" s="2">
        <f>+Tabla520212224252659111114[[#This Row],[Recuento]]*Tabla520212224252659111114[[#This Row],[Volúmen bruto]]</f>
        <v>0</v>
      </c>
      <c r="LX68" s="2">
        <f>+Tabla520212224252659111114[[#This Row],[Recuento]]*Tabla520212224252659111114[[#This Row],[Área neta]]</f>
        <v>0</v>
      </c>
      <c r="LY68" s="26"/>
      <c r="MA68"/>
      <c r="MB68"/>
      <c r="MC68"/>
      <c r="MD68"/>
      <c r="ME68"/>
      <c r="MF68"/>
      <c r="MG68" s="2">
        <f>+Tabla520212224252659111114128[[#This Row],[Recuento]]*Tabla520212224252659111114128[[#This Row],[Volúmen bruto]]</f>
        <v>0</v>
      </c>
      <c r="MH68" s="2">
        <f>+Tabla520212224252659111114128[[#This Row],[Recuento]]*Tabla520212224252659111114128[[#This Row],[Área neta]]</f>
        <v>0</v>
      </c>
      <c r="MI68" s="26"/>
      <c r="MK68"/>
      <c r="ML68"/>
      <c r="MM68"/>
      <c r="MN68"/>
      <c r="MO68"/>
      <c r="MP68"/>
      <c r="MQ68">
        <f>+Tabla520212224252627[[#This Row],[Recuento]]*Tabla520212224252627[[#This Row],[Volúmen bruto]]</f>
        <v>0</v>
      </c>
      <c r="MR68">
        <f>+Tabla520212224252627[[#This Row],[Recuento]]*Tabla520212224252627[[#This Row],[Área neta]]</f>
        <v>0</v>
      </c>
      <c r="MS68" s="26">
        <f>+SUM(MR68:MR71)</f>
        <v>0</v>
      </c>
      <c r="MU68"/>
      <c r="MV68"/>
      <c r="MW68"/>
      <c r="MX68"/>
      <c r="MY68"/>
      <c r="MZ68"/>
      <c r="NA68">
        <f>+Tabla520212224252627129[[#This Row],[Recuento]]*Tabla520212224252627129[[#This Row],[Volúmen bruto]]</f>
        <v>0</v>
      </c>
      <c r="NB68">
        <f>+Tabla520212224252627129[[#This Row],[Recuento]]*Tabla520212224252627129[[#This Row],[Área neta]]</f>
        <v>0</v>
      </c>
      <c r="NC68" s="26">
        <f>+SUM(NB68:NB71)</f>
        <v>0</v>
      </c>
      <c r="NE68"/>
      <c r="NF68"/>
      <c r="NG68"/>
      <c r="NH68"/>
      <c r="NI68"/>
      <c r="NJ68"/>
      <c r="NK68">
        <f>+Tabla520212224252627129125[[#This Row],[Recuento]]*Tabla520212224252627129125[[#This Row],[Volúmen bruto]]</f>
        <v>0</v>
      </c>
      <c r="NL68">
        <f>+Tabla520212224252627129125[[#This Row],[Recuento]]*Tabla520212224252627129125[[#This Row],[Área neta]]</f>
        <v>0</v>
      </c>
      <c r="NM68" s="26">
        <f>+SUM(NL68:NL71)</f>
        <v>0</v>
      </c>
      <c r="NO68"/>
      <c r="NP68"/>
      <c r="NQ68"/>
      <c r="NR68"/>
      <c r="NS68"/>
      <c r="NT68"/>
      <c r="NU68">
        <f>+Tabla520212224252627129125130[[#This Row],[Recuento]]*Tabla520212224252627129125130[[#This Row],[Volúmen bruto]]</f>
        <v>0</v>
      </c>
      <c r="NV68">
        <f>+Tabla520212224252627129125130[[#This Row],[Recuento]]*Tabla520212224252627129125130[[#This Row],[Área neta]]</f>
        <v>0</v>
      </c>
      <c r="NW68" s="26">
        <f>+SUM(NV68:NV71)</f>
        <v>0</v>
      </c>
      <c r="NY68"/>
      <c r="NZ68"/>
      <c r="OA68"/>
      <c r="OB68"/>
      <c r="OC68"/>
      <c r="OD68"/>
      <c r="OE68">
        <f>+Tabla520212224252627129125130131[[#This Row],[Recuento]]*Tabla520212224252627129125130131[[#This Row],[Volúmen bruto]]</f>
        <v>0</v>
      </c>
      <c r="OF68">
        <f>+Tabla520212224252627129125130131[[#This Row],[Recuento]]*Tabla520212224252627129125130131[[#This Row],[Área neta]]</f>
        <v>0</v>
      </c>
      <c r="OG68" s="26">
        <f>+SUM(OF68:OF71)</f>
        <v>0</v>
      </c>
      <c r="OI68"/>
      <c r="OJ68"/>
      <c r="OK68"/>
      <c r="OL68"/>
      <c r="OM68"/>
      <c r="ON68"/>
      <c r="OO68">
        <f>+Tabla520212224252627129125130131132[[#This Row],[Recuento]]*Tabla520212224252627129125130131132[[#This Row],[Volúmen bruto]]</f>
        <v>0</v>
      </c>
      <c r="OP68">
        <f>+Tabla520212224252627129125130131132[[#This Row],[Recuento]]*Tabla520212224252627129125130131132[[#This Row],[Área neta]]</f>
        <v>0</v>
      </c>
      <c r="OQ68" s="26">
        <f>+SUM(OP68:OP71)</f>
        <v>0</v>
      </c>
      <c r="OS68"/>
      <c r="OT68"/>
      <c r="OU68"/>
      <c r="OV68"/>
      <c r="OW68"/>
      <c r="OX68"/>
      <c r="OY68">
        <f>+Tabla52021222425262728[[#This Row],[Recuento]]*Tabla52021222425262728[[#This Row],[Volúmen bruto]]</f>
        <v>0</v>
      </c>
      <c r="OZ68">
        <f>+Tabla52021222425262728[[#This Row],[Recuento]]*Tabla52021222425262728[[#This Row],[Área neta]]</f>
        <v>0</v>
      </c>
      <c r="PA68" s="26">
        <f t="shared" ref="PA68:PA99" si="41">+SUM(OZ70)</f>
        <v>0</v>
      </c>
      <c r="PC68" t="s">
        <v>1863</v>
      </c>
      <c r="PD68" t="s">
        <v>1524</v>
      </c>
      <c r="PE68" t="s">
        <v>1677</v>
      </c>
      <c r="PF68">
        <v>0</v>
      </c>
      <c r="PG68">
        <v>3.22</v>
      </c>
      <c r="PH68">
        <v>2</v>
      </c>
      <c r="PI68">
        <f>+Tabla52021222425262728133[[#This Row],[Recuento]]*Tabla52021222425262728133[[#This Row],[Volúmen bruto]]</f>
        <v>0</v>
      </c>
      <c r="PJ68">
        <f>+Tabla52021222425262728133[[#This Row],[Recuento]]*Tabla52021222425262728133[[#This Row],[Área neta]]</f>
        <v>6.44</v>
      </c>
      <c r="PK68" s="26">
        <f>+SUM(PJ68:PJ69)</f>
        <v>8.27</v>
      </c>
      <c r="PM68"/>
      <c r="PN68"/>
      <c r="PO68"/>
      <c r="PP68"/>
      <c r="PQ68"/>
      <c r="PR68"/>
      <c r="PS68">
        <f>+Tabla5202122242526272893[[#This Row],[Recuento]]*Tabla5202122242526272893[[#This Row],[Volúmen bruto]]</f>
        <v>0</v>
      </c>
      <c r="PT68">
        <f>+Tabla5202122242526272893[[#This Row],[Recuento]]*Tabla5202122242526272893[[#This Row],[Área neta]]</f>
        <v>0</v>
      </c>
      <c r="PU68" s="26"/>
      <c r="PW68"/>
      <c r="PX68"/>
      <c r="PY68"/>
      <c r="PZ68"/>
      <c r="QA68"/>
      <c r="QB68"/>
      <c r="QC68">
        <f>+Tabla520212224252627289349[[#This Row],[Recuento]]*Tabla520212224252627289349[[#This Row],[Volúmen bruto]]</f>
        <v>0</v>
      </c>
      <c r="QD68">
        <f>+Tabla520212224252627289349[[#This Row],[Recuento]]*Tabla520212224252627289349[[#This Row],[Área neta]]</f>
        <v>0</v>
      </c>
      <c r="QE68" s="26"/>
      <c r="QG68"/>
      <c r="QH68"/>
      <c r="QI68"/>
      <c r="QJ68"/>
      <c r="QK68"/>
      <c r="QL68"/>
      <c r="QM68">
        <f>+Tabla520212224252627289349134[[#This Row],[Recuento]]*Tabla520212224252627289349134[[#This Row],[Volúmen bruto]]</f>
        <v>0</v>
      </c>
      <c r="QN68">
        <f>+Tabla520212224252627289349134[[#This Row],[Recuento]]*Tabla520212224252627289349134[[#This Row],[Área neta]]</f>
        <v>0</v>
      </c>
      <c r="QO68" s="26"/>
      <c r="QQ68"/>
      <c r="QR68"/>
      <c r="QS68"/>
      <c r="QT68"/>
      <c r="QU68"/>
      <c r="QV68"/>
      <c r="QW68"/>
      <c r="QX68"/>
      <c r="QY68"/>
      <c r="QZ68"/>
      <c r="RA68" s="26"/>
      <c r="RC68"/>
      <c r="RD68"/>
      <c r="RE68"/>
      <c r="RF68"/>
      <c r="RG68"/>
      <c r="RH68"/>
      <c r="RI68"/>
      <c r="RJ68"/>
      <c r="RK68" s="26"/>
      <c r="RM68"/>
      <c r="RN68"/>
      <c r="RO68"/>
      <c r="RP68"/>
      <c r="RQ68"/>
      <c r="RR68"/>
      <c r="RS68"/>
      <c r="RT68"/>
      <c r="RU68" s="26">
        <f t="shared" ref="RU68:RU99" si="42">+SUM(RT68:RT70)</f>
        <v>0</v>
      </c>
      <c r="RW68"/>
      <c r="RX68"/>
      <c r="RY68"/>
      <c r="RZ68"/>
      <c r="SA68"/>
      <c r="SB68"/>
      <c r="SC68"/>
      <c r="SD68"/>
      <c r="SE68" s="26"/>
      <c r="SG68"/>
      <c r="SH68"/>
      <c r="SI68"/>
      <c r="SJ68"/>
      <c r="SK68"/>
      <c r="SL68"/>
      <c r="SM68"/>
      <c r="SN68"/>
      <c r="SO68" s="26"/>
      <c r="YK68"/>
      <c r="YL68"/>
      <c r="YM68"/>
      <c r="YN68"/>
      <c r="YO68"/>
      <c r="ADD68" t="s">
        <v>1720</v>
      </c>
      <c r="ADE68">
        <v>2.75</v>
      </c>
      <c r="ADF68">
        <v>6</v>
      </c>
      <c r="ADG68" s="26">
        <f>+ADF68*ADE68</f>
        <v>16.5</v>
      </c>
      <c r="ADJ68"/>
      <c r="ADK68"/>
      <c r="ADL68"/>
      <c r="ADM68"/>
      <c r="ADN68"/>
      <c r="ADO68"/>
      <c r="ADP68" s="36"/>
      <c r="ADR68"/>
      <c r="ADS68"/>
      <c r="ADT68"/>
      <c r="ADU68"/>
      <c r="ADV68"/>
      <c r="ADW68" s="35"/>
      <c r="ADX68" s="35"/>
      <c r="ADY68"/>
      <c r="ADZ68"/>
      <c r="AEA68"/>
      <c r="AEB68"/>
      <c r="AEC68"/>
      <c r="AED68"/>
      <c r="AEE68" s="36"/>
      <c r="AEG68"/>
      <c r="AEH68"/>
      <c r="AEI68"/>
      <c r="AEJ68"/>
      <c r="AEK68"/>
      <c r="AEL68" s="35"/>
      <c r="AEM68" s="35"/>
      <c r="AEN68" t="s">
        <v>1522</v>
      </c>
      <c r="AEO68" t="s">
        <v>1524</v>
      </c>
      <c r="AEP68" t="s">
        <v>381</v>
      </c>
      <c r="AEQ68">
        <v>0.65</v>
      </c>
      <c r="AER68">
        <v>1</v>
      </c>
      <c r="AES68">
        <f>+Tabla5789141516343536373839404142434445464748495051525355606264[[#This Row],[G. Total]]*Tabla5789141516343536373839404142434445464748495051525355606264[[#This Row],[Recuento]]</f>
        <v>0.65</v>
      </c>
      <c r="AET68" s="36"/>
      <c r="AEV68"/>
      <c r="AEW68"/>
      <c r="AEX68"/>
      <c r="AEY68"/>
      <c r="AEZ68"/>
      <c r="AFA68" s="35"/>
      <c r="AFC68"/>
      <c r="AFD68"/>
      <c r="AFE68"/>
      <c r="AFF68" s="33"/>
      <c r="AFG68"/>
      <c r="AFH68"/>
      <c r="AFI68"/>
      <c r="AFJ68"/>
      <c r="AFK68"/>
      <c r="AFL68"/>
      <c r="AFM68"/>
      <c r="AFN68">
        <f>+Tabla578914151634353637383940414243444546474849505152535560626467[[#This Row],[G. Total]]*Tabla578914151634353637383940414243444546474849505152535560626467[[#This Row],[Recuento]]</f>
        <v>0</v>
      </c>
      <c r="AFO68" s="36"/>
    </row>
    <row r="69" spans="2:847" x14ac:dyDescent="0.25">
      <c r="B69"/>
      <c r="C69"/>
      <c r="D69"/>
      <c r="E69"/>
      <c r="F69" s="33"/>
      <c r="G69" s="33"/>
      <c r="H69"/>
      <c r="I69"/>
      <c r="BG69"/>
      <c r="BH69"/>
      <c r="BI69"/>
      <c r="BJ69"/>
      <c r="BK69"/>
      <c r="BL69">
        <f>+Tabla3102[[#This Row],[Longitud de eje]]*BF69</f>
        <v>0</v>
      </c>
      <c r="BM69">
        <f>+Tabla3102[[#This Row],[Longitud de eje]]*BG69</f>
        <v>0</v>
      </c>
      <c r="BO69"/>
      <c r="BP69"/>
      <c r="BQ69"/>
      <c r="BR69"/>
      <c r="BS69"/>
      <c r="BT69">
        <f>+Tabla31069[[#This Row],[Longitud de eje]]*BN69</f>
        <v>0</v>
      </c>
      <c r="BU69">
        <f>+Tabla31069[[#This Row],[Longitud de eje]]*BO69</f>
        <v>0</v>
      </c>
      <c r="BV69"/>
      <c r="BW69"/>
      <c r="BX69"/>
      <c r="BY69"/>
      <c r="BZ69"/>
      <c r="CA69"/>
      <c r="CB69">
        <f>+Tabla31011[[#This Row],[Longitud de eje]]*BV69</f>
        <v>0</v>
      </c>
      <c r="CD69">
        <v>1</v>
      </c>
      <c r="CE69"/>
      <c r="CF69"/>
      <c r="CG69"/>
      <c r="CH69"/>
      <c r="CI69"/>
      <c r="CJ69"/>
      <c r="CK69"/>
      <c r="CL69"/>
      <c r="CM69"/>
      <c r="CN69"/>
      <c r="CO69"/>
      <c r="CP69"/>
      <c r="CQ69"/>
      <c r="CR69">
        <f>+Tabla31011116[[#This Row],[Longitud de eje]]*CL69</f>
        <v>0</v>
      </c>
      <c r="CT69">
        <v>1</v>
      </c>
      <c r="CU69"/>
      <c r="CV69"/>
      <c r="CW69"/>
      <c r="CX69"/>
      <c r="CY69"/>
      <c r="CZ69"/>
      <c r="DA69"/>
      <c r="DB69"/>
      <c r="DC69"/>
      <c r="DD69"/>
      <c r="DE69"/>
      <c r="DF69"/>
      <c r="DG69">
        <f>+Tabla31011704[[#This Row],[Longitud de eje]]*DB69</f>
        <v>0</v>
      </c>
      <c r="DH69"/>
      <c r="DI69">
        <v>1</v>
      </c>
      <c r="DJ69"/>
      <c r="DK69"/>
      <c r="DL69"/>
      <c r="DM69"/>
      <c r="DN69">
        <f>+Tabla3101170411[[#This Row],[Longitud de eje]]*DI69</f>
        <v>0</v>
      </c>
      <c r="DO69"/>
      <c r="DP69">
        <v>1</v>
      </c>
      <c r="DQ69"/>
      <c r="DR69"/>
      <c r="DS69"/>
      <c r="DT69"/>
      <c r="DU69">
        <f>+Tabla3101170411120[[#This Row],[Longitud de eje]]*DP69</f>
        <v>0</v>
      </c>
      <c r="DV69"/>
      <c r="DW69">
        <v>1</v>
      </c>
      <c r="DX69"/>
      <c r="DY69"/>
      <c r="DZ69"/>
      <c r="EA69"/>
      <c r="EB69">
        <f>+Tabla3101170411120122[[#This Row],[Longitud de eje]]*DW69</f>
        <v>0</v>
      </c>
      <c r="EC69"/>
      <c r="ED69">
        <v>1</v>
      </c>
      <c r="EE69" t="s">
        <v>1863</v>
      </c>
      <c r="EF69" t="s">
        <v>1524</v>
      </c>
      <c r="EG69" t="s">
        <v>1406</v>
      </c>
      <c r="EH69">
        <v>2.34</v>
      </c>
      <c r="EI69">
        <v>2.5</v>
      </c>
      <c r="EJ69">
        <f>+Tabla3101112[[#This Row],[En culmo]]*ED69</f>
        <v>2.5</v>
      </c>
      <c r="EK69"/>
      <c r="EL69"/>
      <c r="EM69"/>
      <c r="EN69"/>
      <c r="EO69"/>
      <c r="EP69"/>
      <c r="EQ69"/>
      <c r="ER69">
        <f>+Tabla3101112123[[#This Row],[En culmo]]*EL69</f>
        <v>0</v>
      </c>
      <c r="ES69"/>
      <c r="ET69">
        <v>1</v>
      </c>
      <c r="EU69" t="s">
        <v>1862</v>
      </c>
      <c r="EV69" t="s">
        <v>1525</v>
      </c>
      <c r="EW69" t="s">
        <v>1406</v>
      </c>
      <c r="EX69">
        <v>0.82</v>
      </c>
      <c r="EY69">
        <v>1.5</v>
      </c>
      <c r="EZ69">
        <f>+Tabla310111257[[#This Row],[En culmo]]*ET69</f>
        <v>1.5</v>
      </c>
      <c r="FA69"/>
      <c r="FB69"/>
      <c r="FC69"/>
      <c r="FD69"/>
      <c r="FE69"/>
      <c r="FF69"/>
      <c r="FG69">
        <v>1.5</v>
      </c>
      <c r="FH69">
        <f>+Tabla310111257124[[#This Row],[En culmo]]*FB69</f>
        <v>0</v>
      </c>
      <c r="FI69"/>
      <c r="FK69"/>
      <c r="FL69"/>
      <c r="FM69"/>
      <c r="FN69"/>
      <c r="FO69"/>
      <c r="FP69"/>
      <c r="FQ69"/>
      <c r="FS69"/>
      <c r="FT69"/>
      <c r="FU69"/>
      <c r="FV69"/>
      <c r="FW69"/>
      <c r="FX69"/>
      <c r="FY69"/>
      <c r="GA69"/>
      <c r="GB69"/>
      <c r="GC69"/>
      <c r="GD69"/>
      <c r="GE69"/>
      <c r="GF69"/>
      <c r="GG69"/>
      <c r="GI69"/>
      <c r="GJ69"/>
      <c r="GK69"/>
      <c r="GL69"/>
      <c r="GM69"/>
      <c r="GN69"/>
      <c r="GO69"/>
      <c r="GQ69"/>
      <c r="GR69"/>
      <c r="GS69"/>
      <c r="GT69"/>
      <c r="GU69"/>
      <c r="GV69"/>
      <c r="GW69"/>
      <c r="GX69"/>
      <c r="GY69" s="35"/>
      <c r="HA69"/>
      <c r="HB69"/>
      <c r="HC69"/>
      <c r="HD69"/>
      <c r="HE69"/>
      <c r="HF69"/>
      <c r="HG69"/>
      <c r="HH69"/>
      <c r="HI69" s="35"/>
      <c r="HK69"/>
      <c r="HL69"/>
      <c r="HM69"/>
      <c r="HN69"/>
      <c r="HO69"/>
      <c r="HP69"/>
      <c r="HQ69"/>
      <c r="HR69"/>
      <c r="HS69" s="35"/>
      <c r="HU69"/>
      <c r="HV69"/>
      <c r="HW69"/>
      <c r="HX69"/>
      <c r="HY69"/>
      <c r="HZ69"/>
      <c r="IA69"/>
      <c r="IB69"/>
      <c r="IC69" s="36"/>
      <c r="IE69"/>
      <c r="IF69"/>
      <c r="IG69"/>
      <c r="IH69"/>
      <c r="II69"/>
      <c r="IJ69"/>
      <c r="IK69"/>
      <c r="IL69"/>
      <c r="IM69" s="36"/>
      <c r="IY69"/>
      <c r="IZ69"/>
      <c r="JA69"/>
      <c r="JB69"/>
      <c r="JC69"/>
      <c r="JD69"/>
      <c r="JE69" s="2">
        <f>+Tabla520212224[[#This Row],[Recuento]]*Tabla520212224[[#This Row],[Volúmen bruto]]</f>
        <v>0</v>
      </c>
      <c r="JF69" s="2">
        <f>+Tabla520212224[[#This Row],[Recuento]]*Tabla520212224[[#This Row],[Área neta]]</f>
        <v>0</v>
      </c>
      <c r="JG69" s="26"/>
      <c r="JI69"/>
      <c r="JJ69"/>
      <c r="JK69"/>
      <c r="JL69"/>
      <c r="JM69"/>
      <c r="JN69"/>
      <c r="JO69" s="2">
        <f>+Tabla52021222425[[#This Row],[Recuento]]*Tabla52021222425[[#This Row],[Volúmen bruto]]</f>
        <v>0</v>
      </c>
      <c r="JP69" s="2">
        <f>+Tabla52021222425[[#This Row],[Recuento]]*Tabla52021222425[[#This Row],[Área neta]]</f>
        <v>0</v>
      </c>
      <c r="JQ69" s="26"/>
      <c r="JS69" t="s">
        <v>1863</v>
      </c>
      <c r="JT69" t="s">
        <v>1524</v>
      </c>
      <c r="JU69" t="s">
        <v>1679</v>
      </c>
      <c r="JV69">
        <v>0</v>
      </c>
      <c r="JW69">
        <v>1.2</v>
      </c>
      <c r="JX69">
        <v>1</v>
      </c>
      <c r="JY69" s="2">
        <f>+Tabla5202122242526[[#This Row],[Recuento]]*Tabla5202122242526[[#This Row],[Volúmen bruto]]</f>
        <v>0</v>
      </c>
      <c r="JZ69" s="2">
        <f>+Tabla5202122242526[[#This Row],[Recuento]]*Tabla5202122242526[[#This Row],[Área neta]]</f>
        <v>1.2</v>
      </c>
      <c r="KA69" s="26">
        <f>+SUM(JZ69:JZ72)</f>
        <v>5.43</v>
      </c>
      <c r="KC69"/>
      <c r="KD69"/>
      <c r="KE69"/>
      <c r="KF69"/>
      <c r="KG69"/>
      <c r="KH69"/>
      <c r="KI69" s="2">
        <f>+Tabla5202122242526104[[#This Row],[Recuento]]*Tabla5202122242526104[[#This Row],[Volúmen bruto]]</f>
        <v>0</v>
      </c>
      <c r="KJ69" s="2">
        <f>+Tabla5202122242526104[[#This Row],[Recuento]]*Tabla5202122242526104[[#This Row],[Área neta]]</f>
        <v>0</v>
      </c>
      <c r="KK69" s="26"/>
      <c r="KM69" t="s">
        <v>1863</v>
      </c>
      <c r="KN69" t="s">
        <v>1525</v>
      </c>
      <c r="KO69" t="s">
        <v>1628</v>
      </c>
      <c r="KP69">
        <v>0.02</v>
      </c>
      <c r="KQ69">
        <v>0.84</v>
      </c>
      <c r="KR69">
        <v>1</v>
      </c>
      <c r="KS69" s="2">
        <f>+Tabla5202122242526104110[[#This Row],[Recuento]]*Tabla5202122242526104110[[#This Row],[Volúmen bruto]]</f>
        <v>0.02</v>
      </c>
      <c r="KT69" s="2">
        <f>+Tabla5202122242526104110[[#This Row],[Recuento]]*Tabla5202122242526104110[[#This Row],[Área neta]]</f>
        <v>0.84</v>
      </c>
      <c r="KU69" s="26"/>
      <c r="KW69"/>
      <c r="KX69"/>
      <c r="KY69"/>
      <c r="KZ69"/>
      <c r="LA69"/>
      <c r="LB69"/>
      <c r="LC69" s="2">
        <f>+Tabla520212224252659[[#This Row],[Recuento]]*Tabla520212224252659[[#This Row],[Volúmen bruto]]</f>
        <v>0</v>
      </c>
      <c r="LD69" s="2">
        <f>+Tabla520212224252659[[#This Row],[Recuento]]*Tabla520212224252659[[#This Row],[Área neta]]</f>
        <v>0</v>
      </c>
      <c r="LE69" s="26"/>
      <c r="LG69"/>
      <c r="LH69"/>
      <c r="LI69"/>
      <c r="LJ69"/>
      <c r="LK69"/>
      <c r="LL69"/>
      <c r="LM69" s="2">
        <f>+Tabla520212224252659111[[#This Row],[Recuento]]*Tabla520212224252659111[[#This Row],[Volúmen bruto]]</f>
        <v>0</v>
      </c>
      <c r="LN69" s="2">
        <f>+Tabla520212224252659111[[#This Row],[Recuento]]*Tabla520212224252659111[[#This Row],[Área neta]]</f>
        <v>0</v>
      </c>
      <c r="LO69" s="26"/>
      <c r="LQ69"/>
      <c r="LR69"/>
      <c r="LS69"/>
      <c r="LT69"/>
      <c r="LU69"/>
      <c r="LV69"/>
      <c r="LW69" s="2">
        <f>+Tabla520212224252659111114[[#This Row],[Recuento]]*Tabla520212224252659111114[[#This Row],[Volúmen bruto]]</f>
        <v>0</v>
      </c>
      <c r="LX69" s="2">
        <f>+Tabla520212224252659111114[[#This Row],[Recuento]]*Tabla520212224252659111114[[#This Row],[Área neta]]</f>
        <v>0</v>
      </c>
      <c r="LY69" s="26"/>
      <c r="MA69"/>
      <c r="MB69"/>
      <c r="MC69"/>
      <c r="MD69"/>
      <c r="ME69"/>
      <c r="MF69"/>
      <c r="MG69" s="2">
        <f>+Tabla520212224252659111114128[[#This Row],[Recuento]]*Tabla520212224252659111114128[[#This Row],[Volúmen bruto]]</f>
        <v>0</v>
      </c>
      <c r="MH69" s="2">
        <f>+Tabla520212224252659111114128[[#This Row],[Recuento]]*Tabla520212224252659111114128[[#This Row],[Área neta]]</f>
        <v>0</v>
      </c>
      <c r="MI69" s="26"/>
      <c r="MK69"/>
      <c r="ML69"/>
      <c r="MM69"/>
      <c r="MN69"/>
      <c r="MO69"/>
      <c r="MP69"/>
      <c r="MQ69">
        <f>+Tabla520212224252627[[#This Row],[Recuento]]*Tabla520212224252627[[#This Row],[Volúmen bruto]]</f>
        <v>0</v>
      </c>
      <c r="MR69">
        <f>+Tabla520212224252627[[#This Row],[Recuento]]*Tabla520212224252627[[#This Row],[Área neta]]</f>
        <v>0</v>
      </c>
      <c r="MS69" s="26"/>
      <c r="MU69"/>
      <c r="MV69"/>
      <c r="MW69"/>
      <c r="MX69"/>
      <c r="MY69"/>
      <c r="MZ69"/>
      <c r="NA69">
        <f>+Tabla520212224252627129[[#This Row],[Recuento]]*Tabla520212224252627129[[#This Row],[Volúmen bruto]]</f>
        <v>0</v>
      </c>
      <c r="NB69">
        <f>+Tabla520212224252627129[[#This Row],[Recuento]]*Tabla520212224252627129[[#This Row],[Área neta]]</f>
        <v>0</v>
      </c>
      <c r="NC69" s="26"/>
      <c r="NE69"/>
      <c r="NF69"/>
      <c r="NG69"/>
      <c r="NH69"/>
      <c r="NI69"/>
      <c r="NJ69"/>
      <c r="NK69">
        <f>+Tabla520212224252627129125[[#This Row],[Recuento]]*Tabla520212224252627129125[[#This Row],[Volúmen bruto]]</f>
        <v>0</v>
      </c>
      <c r="NL69">
        <f>+Tabla520212224252627129125[[#This Row],[Recuento]]*Tabla520212224252627129125[[#This Row],[Área neta]]</f>
        <v>0</v>
      </c>
      <c r="NM69" s="26"/>
      <c r="NO69"/>
      <c r="NP69"/>
      <c r="NQ69"/>
      <c r="NR69"/>
      <c r="NS69"/>
      <c r="NT69"/>
      <c r="NU69">
        <f>+Tabla520212224252627129125130[[#This Row],[Recuento]]*Tabla520212224252627129125130[[#This Row],[Volúmen bruto]]</f>
        <v>0</v>
      </c>
      <c r="NV69">
        <f>+Tabla520212224252627129125130[[#This Row],[Recuento]]*Tabla520212224252627129125130[[#This Row],[Área neta]]</f>
        <v>0</v>
      </c>
      <c r="NW69" s="26"/>
      <c r="NY69"/>
      <c r="NZ69"/>
      <c r="OA69"/>
      <c r="OB69"/>
      <c r="OC69"/>
      <c r="OD69"/>
      <c r="OE69">
        <f>+Tabla520212224252627129125130131[[#This Row],[Recuento]]*Tabla520212224252627129125130131[[#This Row],[Volúmen bruto]]</f>
        <v>0</v>
      </c>
      <c r="OF69">
        <f>+Tabla520212224252627129125130131[[#This Row],[Recuento]]*Tabla520212224252627129125130131[[#This Row],[Área neta]]</f>
        <v>0</v>
      </c>
      <c r="OG69" s="26"/>
      <c r="OI69"/>
      <c r="OJ69"/>
      <c r="OK69"/>
      <c r="OL69"/>
      <c r="OM69"/>
      <c r="ON69"/>
      <c r="OO69">
        <f>+Tabla520212224252627129125130131132[[#This Row],[Recuento]]*Tabla520212224252627129125130131132[[#This Row],[Volúmen bruto]]</f>
        <v>0</v>
      </c>
      <c r="OP69">
        <f>+Tabla520212224252627129125130131132[[#This Row],[Recuento]]*Tabla520212224252627129125130131132[[#This Row],[Área neta]]</f>
        <v>0</v>
      </c>
      <c r="OQ69" s="26"/>
      <c r="OS69"/>
      <c r="OT69"/>
      <c r="OU69"/>
      <c r="OV69"/>
      <c r="OW69"/>
      <c r="OX69"/>
      <c r="OY69">
        <f>+Tabla52021222425262728[[#This Row],[Recuento]]*Tabla52021222425262728[[#This Row],[Volúmen bruto]]</f>
        <v>0</v>
      </c>
      <c r="OZ69">
        <f>+Tabla52021222425262728[[#This Row],[Recuento]]*Tabla52021222425262728[[#This Row],[Área neta]]</f>
        <v>0</v>
      </c>
      <c r="PA69" s="26">
        <f t="shared" si="41"/>
        <v>0</v>
      </c>
      <c r="PC69" t="s">
        <v>1863</v>
      </c>
      <c r="PD69" t="s">
        <v>1525</v>
      </c>
      <c r="PE69" t="s">
        <v>1677</v>
      </c>
      <c r="PF69">
        <v>0</v>
      </c>
      <c r="PG69">
        <v>1.83</v>
      </c>
      <c r="PH69">
        <v>1</v>
      </c>
      <c r="PI69">
        <f>+Tabla52021222425262728133[[#This Row],[Recuento]]*Tabla52021222425262728133[[#This Row],[Volúmen bruto]]</f>
        <v>0</v>
      </c>
      <c r="PJ69">
        <f>+Tabla52021222425262728133[[#This Row],[Recuento]]*Tabla52021222425262728133[[#This Row],[Área neta]]</f>
        <v>1.83</v>
      </c>
      <c r="PK69" s="26"/>
      <c r="PM69"/>
      <c r="PN69"/>
      <c r="PO69"/>
      <c r="PP69"/>
      <c r="PQ69"/>
      <c r="PR69"/>
      <c r="PS69">
        <f>+Tabla5202122242526272893[[#This Row],[Recuento]]*Tabla5202122242526272893[[#This Row],[Volúmen bruto]]</f>
        <v>0</v>
      </c>
      <c r="PT69">
        <f>+Tabla5202122242526272893[[#This Row],[Recuento]]*Tabla5202122242526272893[[#This Row],[Área neta]]</f>
        <v>0</v>
      </c>
      <c r="PU69" s="26"/>
      <c r="PW69"/>
      <c r="PX69"/>
      <c r="PY69"/>
      <c r="PZ69"/>
      <c r="QA69"/>
      <c r="QB69"/>
      <c r="QC69">
        <f>+Tabla520212224252627289349[[#This Row],[Recuento]]*Tabla520212224252627289349[[#This Row],[Volúmen bruto]]</f>
        <v>0</v>
      </c>
      <c r="QD69">
        <f>+Tabla520212224252627289349[[#This Row],[Recuento]]*Tabla520212224252627289349[[#This Row],[Área neta]]</f>
        <v>0</v>
      </c>
      <c r="QE69" s="26"/>
      <c r="QG69"/>
      <c r="QH69"/>
      <c r="QI69"/>
      <c r="QJ69"/>
      <c r="QK69"/>
      <c r="QL69"/>
      <c r="QM69">
        <f>+Tabla520212224252627289349134[[#This Row],[Recuento]]*Tabla520212224252627289349134[[#This Row],[Volúmen bruto]]</f>
        <v>0</v>
      </c>
      <c r="QN69">
        <f>+Tabla520212224252627289349134[[#This Row],[Recuento]]*Tabla520212224252627289349134[[#This Row],[Área neta]]</f>
        <v>0</v>
      </c>
      <c r="QO69" s="26"/>
      <c r="QQ69"/>
      <c r="QR69"/>
      <c r="QS69"/>
      <c r="QT69"/>
      <c r="QU69"/>
      <c r="QV69"/>
      <c r="QW69"/>
      <c r="QX69"/>
      <c r="QY69"/>
      <c r="QZ69"/>
      <c r="RA69" s="26"/>
      <c r="RC69"/>
      <c r="RD69"/>
      <c r="RE69"/>
      <c r="RF69"/>
      <c r="RG69"/>
      <c r="RH69"/>
      <c r="RI69"/>
      <c r="RJ69"/>
      <c r="RK69" s="26"/>
      <c r="RM69"/>
      <c r="RN69"/>
      <c r="RO69"/>
      <c r="RP69"/>
      <c r="RQ69"/>
      <c r="RR69"/>
      <c r="RS69"/>
      <c r="RT69"/>
      <c r="RU69" s="26">
        <f t="shared" si="42"/>
        <v>0</v>
      </c>
      <c r="RW69"/>
      <c r="RX69"/>
      <c r="RY69"/>
      <c r="RZ69"/>
      <c r="SA69"/>
      <c r="SB69"/>
      <c r="SC69"/>
      <c r="SD69"/>
      <c r="SE69" s="26"/>
      <c r="SG69"/>
      <c r="SH69"/>
      <c r="SI69"/>
      <c r="SJ69"/>
      <c r="SK69"/>
      <c r="SL69"/>
      <c r="SM69"/>
      <c r="SN69"/>
      <c r="SO69" s="26"/>
      <c r="YK69"/>
      <c r="YL69"/>
      <c r="YM69"/>
      <c r="YN69"/>
      <c r="YO69"/>
      <c r="ADD69" t="s">
        <v>1720</v>
      </c>
      <c r="ADE69">
        <v>0.9</v>
      </c>
      <c r="ADF69">
        <v>12</v>
      </c>
      <c r="ADG69" s="26">
        <f>+ADF69*ADE69</f>
        <v>10.8</v>
      </c>
      <c r="ADJ69"/>
      <c r="ADK69"/>
      <c r="ADL69"/>
      <c r="ADM69"/>
      <c r="ADN69"/>
      <c r="ADO69"/>
      <c r="ADP69" s="36"/>
      <c r="ADR69"/>
      <c r="ADS69"/>
      <c r="ADT69"/>
      <c r="ADU69"/>
      <c r="ADV69"/>
      <c r="ADW69" s="35"/>
      <c r="ADX69" s="35"/>
      <c r="ADY69"/>
      <c r="ADZ69"/>
      <c r="AEA69"/>
      <c r="AEB69"/>
      <c r="AEC69"/>
      <c r="AED69"/>
      <c r="AEE69" s="36"/>
      <c r="AEG69"/>
      <c r="AEH69"/>
      <c r="AEI69"/>
      <c r="AEJ69"/>
      <c r="AEK69"/>
      <c r="AEL69" s="35"/>
      <c r="AEM69" s="35"/>
      <c r="AEN69" t="s">
        <v>1522</v>
      </c>
      <c r="AEO69" t="s">
        <v>1524</v>
      </c>
      <c r="AEP69" t="s">
        <v>381</v>
      </c>
      <c r="AEQ69">
        <v>2.06</v>
      </c>
      <c r="AER69">
        <v>1</v>
      </c>
      <c r="AES69">
        <f>+Tabla5789141516343536373839404142434445464748495051525355606264[[#This Row],[G. Total]]*Tabla5789141516343536373839404142434445464748495051525355606264[[#This Row],[Recuento]]</f>
        <v>2.06</v>
      </c>
      <c r="AET69" s="36"/>
      <c r="AEV69"/>
      <c r="AEW69"/>
      <c r="AEX69"/>
      <c r="AEY69"/>
      <c r="AEZ69"/>
      <c r="AFA69" s="35"/>
      <c r="AFC69"/>
      <c r="AFD69"/>
      <c r="AFE69"/>
      <c r="AFF69" s="33"/>
      <c r="AFG69"/>
      <c r="AFH69"/>
      <c r="AFI69"/>
      <c r="AFJ69"/>
      <c r="AFK69"/>
      <c r="AFL69"/>
      <c r="AFM69"/>
      <c r="AFN69">
        <f>+Tabla578914151634353637383940414243444546474849505152535560626467[[#This Row],[G. Total]]*Tabla578914151634353637383940414243444546474849505152535560626467[[#This Row],[Recuento]]</f>
        <v>0</v>
      </c>
      <c r="AFO69" s="36"/>
    </row>
    <row r="70" spans="2:847" x14ac:dyDescent="0.25">
      <c r="B70"/>
      <c r="C70"/>
      <c r="D70"/>
      <c r="E70"/>
      <c r="F70" s="33"/>
      <c r="G70" s="33"/>
      <c r="H70"/>
      <c r="I70"/>
      <c r="BG70"/>
      <c r="BH70"/>
      <c r="BI70"/>
      <c r="BJ70"/>
      <c r="BK70"/>
      <c r="BL70">
        <f>+Tabla3102[[#This Row],[Longitud de eje]]*BF70</f>
        <v>0</v>
      </c>
      <c r="BM70">
        <f>+Tabla3102[[#This Row],[Longitud de eje]]*BG70</f>
        <v>0</v>
      </c>
      <c r="BO70"/>
      <c r="BP70"/>
      <c r="BQ70"/>
      <c r="BR70"/>
      <c r="BS70"/>
      <c r="BT70">
        <f>+Tabla31069[[#This Row],[Longitud de eje]]*BN70</f>
        <v>0</v>
      </c>
      <c r="BU70">
        <f>+Tabla31069[[#This Row],[Longitud de eje]]*BO70</f>
        <v>0</v>
      </c>
      <c r="BV70"/>
      <c r="BW70"/>
      <c r="BX70"/>
      <c r="BY70"/>
      <c r="BZ70"/>
      <c r="CA70"/>
      <c r="CB70">
        <f>+Tabla31011[[#This Row],[Longitud de eje]]*BV70</f>
        <v>0</v>
      </c>
      <c r="CD70">
        <v>1</v>
      </c>
      <c r="CE70"/>
      <c r="CF70"/>
      <c r="CG70"/>
      <c r="CH70"/>
      <c r="CI70"/>
      <c r="CJ70"/>
      <c r="CK70"/>
      <c r="CL70"/>
      <c r="CM70"/>
      <c r="CN70"/>
      <c r="CO70"/>
      <c r="CP70"/>
      <c r="CQ70"/>
      <c r="CR70">
        <f>+Tabla31011116[[#This Row],[Longitud de eje]]*CL70</f>
        <v>0</v>
      </c>
      <c r="CT70">
        <v>1</v>
      </c>
      <c r="CU70"/>
      <c r="CV70"/>
      <c r="CW70"/>
      <c r="CX70"/>
      <c r="CY70"/>
      <c r="CZ70"/>
      <c r="DA70"/>
      <c r="DB70"/>
      <c r="DC70"/>
      <c r="DD70"/>
      <c r="DE70"/>
      <c r="DF70"/>
      <c r="DG70">
        <f>+Tabla31011704[[#This Row],[Longitud de eje]]*DB70</f>
        <v>0</v>
      </c>
      <c r="DH70"/>
      <c r="DI70">
        <v>1</v>
      </c>
      <c r="DJ70"/>
      <c r="DK70"/>
      <c r="DL70"/>
      <c r="DM70"/>
      <c r="DN70">
        <f>+Tabla3101170411[[#This Row],[Longitud de eje]]*DI70</f>
        <v>0</v>
      </c>
      <c r="DO70"/>
      <c r="DP70">
        <v>1</v>
      </c>
      <c r="DQ70"/>
      <c r="DR70"/>
      <c r="DS70"/>
      <c r="DT70"/>
      <c r="DU70">
        <f>+Tabla3101170411120[[#This Row],[Longitud de eje]]*DP70</f>
        <v>0</v>
      </c>
      <c r="DV70"/>
      <c r="DW70">
        <v>1</v>
      </c>
      <c r="DX70"/>
      <c r="DY70"/>
      <c r="DZ70"/>
      <c r="EA70"/>
      <c r="EB70">
        <f>+Tabla3101170411120122[[#This Row],[Longitud de eje]]*DW70</f>
        <v>0</v>
      </c>
      <c r="EC70"/>
      <c r="ED70">
        <v>1</v>
      </c>
      <c r="EE70" t="s">
        <v>1863</v>
      </c>
      <c r="EF70" t="s">
        <v>1524</v>
      </c>
      <c r="EG70" t="s">
        <v>1406</v>
      </c>
      <c r="EH70">
        <v>2.2799999999999998</v>
      </c>
      <c r="EI70">
        <v>2.5</v>
      </c>
      <c r="EJ70">
        <f>+Tabla3101112[[#This Row],[En culmo]]*ED70</f>
        <v>2.5</v>
      </c>
      <c r="EK70"/>
      <c r="EL70"/>
      <c r="EM70"/>
      <c r="EN70"/>
      <c r="EO70"/>
      <c r="EP70"/>
      <c r="EQ70"/>
      <c r="ER70">
        <f>+Tabla3101112123[[#This Row],[En culmo]]*EL70</f>
        <v>0</v>
      </c>
      <c r="ES70"/>
      <c r="ET70">
        <v>1</v>
      </c>
      <c r="EU70" t="s">
        <v>1862</v>
      </c>
      <c r="EV70" t="s">
        <v>1525</v>
      </c>
      <c r="EW70" t="s">
        <v>1406</v>
      </c>
      <c r="EX70">
        <v>3.36</v>
      </c>
      <c r="EY70">
        <v>4</v>
      </c>
      <c r="EZ70">
        <f>+Tabla310111257[[#This Row],[En culmo]]*ET70</f>
        <v>4</v>
      </c>
      <c r="FA70"/>
      <c r="FB70"/>
      <c r="FC70"/>
      <c r="FD70"/>
      <c r="FE70"/>
      <c r="FF70"/>
      <c r="FG70">
        <v>4</v>
      </c>
      <c r="FH70">
        <f>+Tabla310111257124[[#This Row],[En culmo]]*FB70</f>
        <v>0</v>
      </c>
      <c r="FI70"/>
      <c r="FK70"/>
      <c r="FL70"/>
      <c r="FM70"/>
      <c r="FN70"/>
      <c r="FO70"/>
      <c r="FP70"/>
      <c r="FQ70"/>
      <c r="FS70"/>
      <c r="FT70"/>
      <c r="FU70"/>
      <c r="FV70"/>
      <c r="FW70"/>
      <c r="FX70"/>
      <c r="FY70"/>
      <c r="GA70"/>
      <c r="GB70"/>
      <c r="GC70"/>
      <c r="GD70"/>
      <c r="GE70"/>
      <c r="GF70"/>
      <c r="GG70"/>
      <c r="GI70"/>
      <c r="GJ70"/>
      <c r="GK70"/>
      <c r="GL70"/>
      <c r="GM70"/>
      <c r="GN70"/>
      <c r="GO70"/>
      <c r="GQ70"/>
      <c r="GR70"/>
      <c r="GS70"/>
      <c r="GT70"/>
      <c r="GU70"/>
      <c r="GV70"/>
      <c r="GW70"/>
      <c r="GX70"/>
      <c r="GY70" s="36"/>
      <c r="HA70"/>
      <c r="HB70"/>
      <c r="HC70"/>
      <c r="HD70"/>
      <c r="HE70"/>
      <c r="HF70"/>
      <c r="HG70"/>
      <c r="HH70"/>
      <c r="HI70" s="36"/>
      <c r="HK70"/>
      <c r="HL70"/>
      <c r="HM70"/>
      <c r="HN70"/>
      <c r="HO70"/>
      <c r="HP70"/>
      <c r="HQ70"/>
      <c r="HR70"/>
      <c r="HS70" s="36"/>
      <c r="HU70"/>
      <c r="HV70"/>
      <c r="HW70"/>
      <c r="HX70"/>
      <c r="HY70"/>
      <c r="HZ70"/>
      <c r="IA70"/>
      <c r="IB70"/>
      <c r="IC70" s="36"/>
      <c r="IE70"/>
      <c r="IF70"/>
      <c r="IG70"/>
      <c r="IH70"/>
      <c r="II70"/>
      <c r="IJ70"/>
      <c r="IK70"/>
      <c r="IL70"/>
      <c r="IM70" s="36"/>
      <c r="IY70"/>
      <c r="IZ70"/>
      <c r="JA70"/>
      <c r="JB70"/>
      <c r="JC70"/>
      <c r="JD70"/>
      <c r="JE70" s="2">
        <f>+Tabla520212224[[#This Row],[Recuento]]*Tabla520212224[[#This Row],[Volúmen bruto]]</f>
        <v>0</v>
      </c>
      <c r="JF70" s="2">
        <f>+Tabla520212224[[#This Row],[Recuento]]*Tabla520212224[[#This Row],[Área neta]]</f>
        <v>0</v>
      </c>
      <c r="JG70" s="26"/>
      <c r="JI70"/>
      <c r="JJ70"/>
      <c r="JK70"/>
      <c r="JL70"/>
      <c r="JM70"/>
      <c r="JN70"/>
      <c r="JO70" s="2">
        <f>+Tabla52021222425[[#This Row],[Recuento]]*Tabla52021222425[[#This Row],[Volúmen bruto]]</f>
        <v>0</v>
      </c>
      <c r="JP70" s="2">
        <f>+Tabla52021222425[[#This Row],[Recuento]]*Tabla52021222425[[#This Row],[Área neta]]</f>
        <v>0</v>
      </c>
      <c r="JQ70" s="26"/>
      <c r="JS70" t="s">
        <v>1863</v>
      </c>
      <c r="JT70" t="s">
        <v>1524</v>
      </c>
      <c r="JU70" t="s">
        <v>1679</v>
      </c>
      <c r="JV70">
        <v>0</v>
      </c>
      <c r="JW70">
        <v>0.38</v>
      </c>
      <c r="JX70">
        <v>2</v>
      </c>
      <c r="JY70" s="2">
        <f>+Tabla5202122242526[[#This Row],[Recuento]]*Tabla5202122242526[[#This Row],[Volúmen bruto]]</f>
        <v>0</v>
      </c>
      <c r="JZ70" s="2">
        <f>+Tabla5202122242526[[#This Row],[Recuento]]*Tabla5202122242526[[#This Row],[Área neta]]</f>
        <v>0.76</v>
      </c>
      <c r="KA70" s="26"/>
      <c r="KC70"/>
      <c r="KD70"/>
      <c r="KE70"/>
      <c r="KF70"/>
      <c r="KG70"/>
      <c r="KH70"/>
      <c r="KI70" s="2">
        <f>+Tabla5202122242526104[[#This Row],[Recuento]]*Tabla5202122242526104[[#This Row],[Volúmen bruto]]</f>
        <v>0</v>
      </c>
      <c r="KJ70" s="2">
        <f>+Tabla5202122242526104[[#This Row],[Recuento]]*Tabla5202122242526104[[#This Row],[Área neta]]</f>
        <v>0</v>
      </c>
      <c r="KK70" s="26"/>
      <c r="KM70" t="s">
        <v>1863</v>
      </c>
      <c r="KN70" t="s">
        <v>1525</v>
      </c>
      <c r="KO70" t="s">
        <v>1628</v>
      </c>
      <c r="KP70">
        <v>0.1</v>
      </c>
      <c r="KQ70">
        <v>3.05</v>
      </c>
      <c r="KR70">
        <v>1</v>
      </c>
      <c r="KS70" s="2">
        <f>+Tabla5202122242526104110[[#This Row],[Recuento]]*Tabla5202122242526104110[[#This Row],[Volúmen bruto]]</f>
        <v>0.1</v>
      </c>
      <c r="KT70" s="2">
        <f>+Tabla5202122242526104110[[#This Row],[Recuento]]*Tabla5202122242526104110[[#This Row],[Área neta]]</f>
        <v>3.05</v>
      </c>
      <c r="KU70" s="26"/>
      <c r="KW70"/>
      <c r="KX70"/>
      <c r="KY70"/>
      <c r="KZ70"/>
      <c r="LA70"/>
      <c r="LB70"/>
      <c r="LC70" s="2">
        <f>+Tabla520212224252659[[#This Row],[Recuento]]*Tabla520212224252659[[#This Row],[Volúmen bruto]]</f>
        <v>0</v>
      </c>
      <c r="LD70" s="2">
        <f>+Tabla520212224252659[[#This Row],[Recuento]]*Tabla520212224252659[[#This Row],[Área neta]]</f>
        <v>0</v>
      </c>
      <c r="LE70" s="26"/>
      <c r="LG70"/>
      <c r="LH70"/>
      <c r="LI70"/>
      <c r="LJ70"/>
      <c r="LK70"/>
      <c r="LL70"/>
      <c r="LM70" s="2">
        <f>+Tabla520212224252659111[[#This Row],[Recuento]]*Tabla520212224252659111[[#This Row],[Volúmen bruto]]</f>
        <v>0</v>
      </c>
      <c r="LN70" s="2">
        <f>+Tabla520212224252659111[[#This Row],[Recuento]]*Tabla520212224252659111[[#This Row],[Área neta]]</f>
        <v>0</v>
      </c>
      <c r="LO70" s="26"/>
      <c r="LQ70"/>
      <c r="LR70"/>
      <c r="LS70"/>
      <c r="LT70"/>
      <c r="LU70"/>
      <c r="LV70"/>
      <c r="LW70" s="2">
        <f>+Tabla520212224252659111114[[#This Row],[Recuento]]*Tabla520212224252659111114[[#This Row],[Volúmen bruto]]</f>
        <v>0</v>
      </c>
      <c r="LX70" s="2">
        <f>+Tabla520212224252659111114[[#This Row],[Recuento]]*Tabla520212224252659111114[[#This Row],[Área neta]]</f>
        <v>0</v>
      </c>
      <c r="LY70" s="26"/>
      <c r="MA70"/>
      <c r="MB70"/>
      <c r="MC70"/>
      <c r="MD70"/>
      <c r="ME70"/>
      <c r="MF70"/>
      <c r="MG70" s="2">
        <f>+Tabla520212224252659111114128[[#This Row],[Recuento]]*Tabla520212224252659111114128[[#This Row],[Volúmen bruto]]</f>
        <v>0</v>
      </c>
      <c r="MH70" s="2">
        <f>+Tabla520212224252659111114128[[#This Row],[Recuento]]*Tabla520212224252659111114128[[#This Row],[Área neta]]</f>
        <v>0</v>
      </c>
      <c r="MI70" s="26"/>
      <c r="MK70"/>
      <c r="ML70"/>
      <c r="MM70"/>
      <c r="MN70"/>
      <c r="MO70"/>
      <c r="MP70"/>
      <c r="MQ70">
        <f>+Tabla520212224252627[[#This Row],[Recuento]]*Tabla520212224252627[[#This Row],[Volúmen bruto]]</f>
        <v>0</v>
      </c>
      <c r="MR70">
        <f>+Tabla520212224252627[[#This Row],[Recuento]]*Tabla520212224252627[[#This Row],[Área neta]]</f>
        <v>0</v>
      </c>
      <c r="MS70" s="26"/>
      <c r="MU70"/>
      <c r="MV70"/>
      <c r="MW70"/>
      <c r="MX70"/>
      <c r="MY70"/>
      <c r="MZ70"/>
      <c r="NA70">
        <f>+Tabla520212224252627129[[#This Row],[Recuento]]*Tabla520212224252627129[[#This Row],[Volúmen bruto]]</f>
        <v>0</v>
      </c>
      <c r="NB70">
        <f>+Tabla520212224252627129[[#This Row],[Recuento]]*Tabla520212224252627129[[#This Row],[Área neta]]</f>
        <v>0</v>
      </c>
      <c r="NC70" s="26"/>
      <c r="NE70"/>
      <c r="NF70"/>
      <c r="NG70"/>
      <c r="NH70"/>
      <c r="NI70"/>
      <c r="NJ70"/>
      <c r="NK70">
        <f>+Tabla520212224252627129125[[#This Row],[Recuento]]*Tabla520212224252627129125[[#This Row],[Volúmen bruto]]</f>
        <v>0</v>
      </c>
      <c r="NL70">
        <f>+Tabla520212224252627129125[[#This Row],[Recuento]]*Tabla520212224252627129125[[#This Row],[Área neta]]</f>
        <v>0</v>
      </c>
      <c r="NM70" s="26"/>
      <c r="NO70"/>
      <c r="NP70"/>
      <c r="NQ70"/>
      <c r="NR70"/>
      <c r="NS70"/>
      <c r="NT70"/>
      <c r="NU70">
        <f>+Tabla520212224252627129125130[[#This Row],[Recuento]]*Tabla520212224252627129125130[[#This Row],[Volúmen bruto]]</f>
        <v>0</v>
      </c>
      <c r="NV70">
        <f>+Tabla520212224252627129125130[[#This Row],[Recuento]]*Tabla520212224252627129125130[[#This Row],[Área neta]]</f>
        <v>0</v>
      </c>
      <c r="NW70" s="26"/>
      <c r="NY70"/>
      <c r="NZ70"/>
      <c r="OA70"/>
      <c r="OB70"/>
      <c r="OC70"/>
      <c r="OD70"/>
      <c r="OE70">
        <f>+Tabla520212224252627129125130131[[#This Row],[Recuento]]*Tabla520212224252627129125130131[[#This Row],[Volúmen bruto]]</f>
        <v>0</v>
      </c>
      <c r="OF70">
        <f>+Tabla520212224252627129125130131[[#This Row],[Recuento]]*Tabla520212224252627129125130131[[#This Row],[Área neta]]</f>
        <v>0</v>
      </c>
      <c r="OG70" s="26"/>
      <c r="OI70"/>
      <c r="OJ70"/>
      <c r="OK70"/>
      <c r="OL70"/>
      <c r="OM70"/>
      <c r="ON70"/>
      <c r="OO70">
        <f>+Tabla520212224252627129125130131132[[#This Row],[Recuento]]*Tabla520212224252627129125130131132[[#This Row],[Volúmen bruto]]</f>
        <v>0</v>
      </c>
      <c r="OP70">
        <f>+Tabla520212224252627129125130131132[[#This Row],[Recuento]]*Tabla520212224252627129125130131132[[#This Row],[Área neta]]</f>
        <v>0</v>
      </c>
      <c r="OQ70" s="26"/>
      <c r="OS70"/>
      <c r="OT70"/>
      <c r="OU70"/>
      <c r="OV70"/>
      <c r="OW70"/>
      <c r="OX70"/>
      <c r="OY70">
        <f>+Tabla52021222425262728[[#This Row],[Recuento]]*Tabla52021222425262728[[#This Row],[Volúmen bruto]]</f>
        <v>0</v>
      </c>
      <c r="OZ70">
        <f>+Tabla52021222425262728[[#This Row],[Recuento]]*Tabla52021222425262728[[#This Row],[Área neta]]</f>
        <v>0</v>
      </c>
      <c r="PA70" s="26">
        <f t="shared" si="41"/>
        <v>0</v>
      </c>
      <c r="PC70" t="s">
        <v>1863</v>
      </c>
      <c r="PD70" t="s">
        <v>1524</v>
      </c>
      <c r="PE70" t="s">
        <v>1676</v>
      </c>
      <c r="PF70">
        <v>0.39</v>
      </c>
      <c r="PG70">
        <v>2.82</v>
      </c>
      <c r="PH70">
        <v>2</v>
      </c>
      <c r="PI70">
        <f>+Tabla52021222425262728133[[#This Row],[Recuento]]*Tabla52021222425262728133[[#This Row],[Volúmen bruto]]</f>
        <v>0.78</v>
      </c>
      <c r="PJ70">
        <f>+Tabla52021222425262728133[[#This Row],[Recuento]]*Tabla52021222425262728133[[#This Row],[Área neta]]</f>
        <v>5.64</v>
      </c>
      <c r="PK70" s="26">
        <f>+SUM(PJ70:PJ71)</f>
        <v>7.25</v>
      </c>
      <c r="PM70"/>
      <c r="PN70"/>
      <c r="PO70"/>
      <c r="PP70"/>
      <c r="PQ70"/>
      <c r="PR70"/>
      <c r="PS70">
        <f>+Tabla5202122242526272893[[#This Row],[Recuento]]*Tabla5202122242526272893[[#This Row],[Volúmen bruto]]</f>
        <v>0</v>
      </c>
      <c r="PT70">
        <f>+Tabla5202122242526272893[[#This Row],[Recuento]]*Tabla5202122242526272893[[#This Row],[Área neta]]</f>
        <v>0</v>
      </c>
      <c r="PU70" s="26"/>
      <c r="PW70"/>
      <c r="PX70"/>
      <c r="PY70"/>
      <c r="PZ70"/>
      <c r="QA70"/>
      <c r="QB70"/>
      <c r="QC70">
        <f>+Tabla520212224252627289349[[#This Row],[Recuento]]*Tabla520212224252627289349[[#This Row],[Volúmen bruto]]</f>
        <v>0</v>
      </c>
      <c r="QD70">
        <f>+Tabla520212224252627289349[[#This Row],[Recuento]]*Tabla520212224252627289349[[#This Row],[Área neta]]</f>
        <v>0</v>
      </c>
      <c r="QE70" s="26"/>
      <c r="QG70"/>
      <c r="QH70"/>
      <c r="QI70"/>
      <c r="QJ70"/>
      <c r="QK70"/>
      <c r="QL70"/>
      <c r="QM70">
        <f>+Tabla520212224252627289349134[[#This Row],[Recuento]]*Tabla520212224252627289349134[[#This Row],[Volúmen bruto]]</f>
        <v>0</v>
      </c>
      <c r="QN70">
        <f>+Tabla520212224252627289349134[[#This Row],[Recuento]]*Tabla520212224252627289349134[[#This Row],[Área neta]]</f>
        <v>0</v>
      </c>
      <c r="QO70" s="26"/>
      <c r="QQ70"/>
      <c r="QR70"/>
      <c r="QS70"/>
      <c r="QT70"/>
      <c r="QU70"/>
      <c r="QV70"/>
      <c r="QW70"/>
      <c r="QX70"/>
      <c r="QY70"/>
      <c r="QZ70"/>
      <c r="RA70" s="26"/>
      <c r="RC70"/>
      <c r="RD70"/>
      <c r="RE70"/>
      <c r="RF70"/>
      <c r="RG70"/>
      <c r="RH70"/>
      <c r="RI70"/>
      <c r="RJ70"/>
      <c r="RK70" s="26"/>
      <c r="RM70"/>
      <c r="RN70"/>
      <c r="RO70"/>
      <c r="RP70"/>
      <c r="RQ70"/>
      <c r="RR70"/>
      <c r="RS70"/>
      <c r="RT70"/>
      <c r="RU70" s="26">
        <f t="shared" si="42"/>
        <v>0</v>
      </c>
      <c r="RW70"/>
      <c r="RX70"/>
      <c r="RY70"/>
      <c r="RZ70"/>
      <c r="SA70"/>
      <c r="SB70"/>
      <c r="SC70"/>
      <c r="SD70"/>
      <c r="SE70" s="26"/>
      <c r="SG70"/>
      <c r="SH70"/>
      <c r="SI70"/>
      <c r="SJ70"/>
      <c r="SK70"/>
      <c r="SL70"/>
      <c r="SM70"/>
      <c r="SN70"/>
      <c r="SO70" s="26"/>
      <c r="YK70"/>
      <c r="YL70"/>
      <c r="YM70"/>
      <c r="YN70"/>
      <c r="YO70"/>
      <c r="ADD70" t="s">
        <v>1720</v>
      </c>
      <c r="ADE70">
        <v>0.25</v>
      </c>
      <c r="ADF70">
        <v>1</v>
      </c>
      <c r="ADG70" s="26">
        <f>+ADF70*ADE70</f>
        <v>0.25</v>
      </c>
      <c r="ADJ70"/>
      <c r="ADK70"/>
      <c r="ADL70"/>
      <c r="ADM70"/>
      <c r="ADN70"/>
      <c r="ADO70"/>
      <c r="ADP70" s="36"/>
      <c r="ADR70"/>
      <c r="ADS70"/>
      <c r="ADT70"/>
      <c r="ADU70"/>
      <c r="ADV70"/>
      <c r="ADW70" s="35"/>
      <c r="ADX70" s="35"/>
      <c r="ADY70"/>
      <c r="ADZ70"/>
      <c r="AEA70"/>
      <c r="AEB70"/>
      <c r="AEC70"/>
      <c r="AED70"/>
      <c r="AEE70" s="36"/>
      <c r="AEG70"/>
      <c r="AEH70"/>
      <c r="AEI70"/>
      <c r="AEJ70"/>
      <c r="AEK70"/>
      <c r="AEL70" s="35">
        <f>+SUM(AEG70)</f>
        <v>0</v>
      </c>
      <c r="AEM70" s="35"/>
      <c r="AEN70" t="s">
        <v>1522</v>
      </c>
      <c r="AEO70" t="s">
        <v>1524</v>
      </c>
      <c r="AEP70" t="s">
        <v>381</v>
      </c>
      <c r="AEQ70">
        <v>0.36</v>
      </c>
      <c r="AER70">
        <v>1</v>
      </c>
      <c r="AES70">
        <f>+Tabla5789141516343536373839404142434445464748495051525355606264[[#This Row],[G. Total]]*Tabla5789141516343536373839404142434445464748495051525355606264[[#This Row],[Recuento]]</f>
        <v>0.36</v>
      </c>
      <c r="AET70" s="35"/>
      <c r="AEV70"/>
      <c r="AEW70"/>
      <c r="AEX70"/>
      <c r="AEY70"/>
      <c r="AEZ70"/>
      <c r="AFA70" s="35">
        <f>+SUM(AEV70:AEV80)</f>
        <v>0</v>
      </c>
      <c r="AFC70"/>
      <c r="AFD70"/>
      <c r="AFE70"/>
      <c r="AFF70" s="33"/>
      <c r="AFG70"/>
      <c r="AFH70"/>
      <c r="AFI70"/>
      <c r="AFJ70"/>
      <c r="AFK70"/>
      <c r="AFL70"/>
      <c r="AFM70"/>
      <c r="AFN70">
        <f>+Tabla578914151634353637383940414243444546474849505152535560626467[[#This Row],[G. Total]]*Tabla578914151634353637383940414243444546474849505152535560626467[[#This Row],[Recuento]]</f>
        <v>0</v>
      </c>
      <c r="AFO70" s="36"/>
    </row>
    <row r="71" spans="2:847" x14ac:dyDescent="0.25">
      <c r="B71"/>
      <c r="C71"/>
      <c r="D71"/>
      <c r="E71"/>
      <c r="F71" s="33"/>
      <c r="G71" s="33"/>
      <c r="H71"/>
      <c r="I71"/>
      <c r="BG71"/>
      <c r="BH71"/>
      <c r="BI71"/>
      <c r="BJ71"/>
      <c r="BK71"/>
      <c r="BL71">
        <f>+Tabla3102[[#This Row],[Longitud de eje]]*BF71</f>
        <v>0</v>
      </c>
      <c r="BM71">
        <f>+Tabla3102[[#This Row],[Longitud de eje]]*BG71</f>
        <v>0</v>
      </c>
      <c r="BO71"/>
      <c r="BP71"/>
      <c r="BQ71"/>
      <c r="BR71"/>
      <c r="BS71"/>
      <c r="BT71">
        <f>+Tabla31069[[#This Row],[Longitud de eje]]*BN71</f>
        <v>0</v>
      </c>
      <c r="BU71">
        <f>+Tabla31069[[#This Row],[Longitud de eje]]*BO71</f>
        <v>0</v>
      </c>
      <c r="BV71"/>
      <c r="BW71"/>
      <c r="BX71"/>
      <c r="BY71"/>
      <c r="BZ71"/>
      <c r="CA71"/>
      <c r="CB71">
        <f>+Tabla31011[[#This Row],[Longitud de eje]]*BV71</f>
        <v>0</v>
      </c>
      <c r="CD71">
        <v>1</v>
      </c>
      <c r="CE71"/>
      <c r="CF71"/>
      <c r="CG71"/>
      <c r="CH71"/>
      <c r="CI71"/>
      <c r="CJ71"/>
      <c r="CK71"/>
      <c r="CL71"/>
      <c r="CM71"/>
      <c r="CN71"/>
      <c r="CO71"/>
      <c r="CP71"/>
      <c r="CQ71"/>
      <c r="CR71">
        <f>+Tabla31011116[[#This Row],[Longitud de eje]]*CL71</f>
        <v>0</v>
      </c>
      <c r="CT71">
        <v>1</v>
      </c>
      <c r="CU71"/>
      <c r="CV71"/>
      <c r="CW71"/>
      <c r="CX71"/>
      <c r="CY71"/>
      <c r="CZ71"/>
      <c r="DA71"/>
      <c r="DB71"/>
      <c r="DC71"/>
      <c r="DD71"/>
      <c r="DE71"/>
      <c r="DF71"/>
      <c r="DG71">
        <f>+Tabla31011704[[#This Row],[Longitud de eje]]*DB71</f>
        <v>0</v>
      </c>
      <c r="DH71"/>
      <c r="DI71">
        <v>1</v>
      </c>
      <c r="DJ71"/>
      <c r="DK71"/>
      <c r="DL71"/>
      <c r="DM71"/>
      <c r="DN71">
        <f>+Tabla3101170411[[#This Row],[Longitud de eje]]*DI71</f>
        <v>0</v>
      </c>
      <c r="DO71"/>
      <c r="DP71">
        <v>1</v>
      </c>
      <c r="DQ71"/>
      <c r="DR71"/>
      <c r="DS71"/>
      <c r="DT71"/>
      <c r="DU71">
        <f>+Tabla3101170411120[[#This Row],[Longitud de eje]]*DP71</f>
        <v>0</v>
      </c>
      <c r="DV71"/>
      <c r="DW71">
        <v>1</v>
      </c>
      <c r="DX71"/>
      <c r="DY71"/>
      <c r="DZ71"/>
      <c r="EA71"/>
      <c r="EB71">
        <f>+Tabla3101170411120122[[#This Row],[Longitud de eje]]*DW71</f>
        <v>0</v>
      </c>
      <c r="EC71"/>
      <c r="ED71">
        <v>9</v>
      </c>
      <c r="EE71" t="s">
        <v>1863</v>
      </c>
      <c r="EF71" t="s">
        <v>1524</v>
      </c>
      <c r="EG71" t="s">
        <v>1406</v>
      </c>
      <c r="EH71">
        <v>0.74</v>
      </c>
      <c r="EI71">
        <v>1.5</v>
      </c>
      <c r="EJ71">
        <f>+Tabla3101112[[#This Row],[En culmo]]*ED71</f>
        <v>13.5</v>
      </c>
      <c r="EK71"/>
      <c r="EL71"/>
      <c r="EM71"/>
      <c r="EN71"/>
      <c r="EO71"/>
      <c r="EP71"/>
      <c r="EQ71"/>
      <c r="ER71">
        <f>+Tabla3101112123[[#This Row],[En culmo]]*EL71</f>
        <v>0</v>
      </c>
      <c r="ES71"/>
      <c r="ET71">
        <v>4</v>
      </c>
      <c r="EU71" t="s">
        <v>1863</v>
      </c>
      <c r="EV71" t="s">
        <v>1525</v>
      </c>
      <c r="EW71" t="s">
        <v>1405</v>
      </c>
      <c r="EX71">
        <v>2.15</v>
      </c>
      <c r="EY71">
        <v>2.5</v>
      </c>
      <c r="EZ71">
        <f>+Tabla310111257[[#This Row],[En culmo]]*ET71</f>
        <v>10</v>
      </c>
      <c r="FA71"/>
      <c r="FB71"/>
      <c r="FC71"/>
      <c r="FD71"/>
      <c r="FE71"/>
      <c r="FF71"/>
      <c r="FG71">
        <v>1.5</v>
      </c>
      <c r="FH71">
        <f>+Tabla310111257124[[#This Row],[En culmo]]*FB71</f>
        <v>0</v>
      </c>
      <c r="FI71"/>
      <c r="FK71"/>
      <c r="FL71"/>
      <c r="FM71"/>
      <c r="FN71"/>
      <c r="FO71"/>
      <c r="FP71"/>
      <c r="FQ71"/>
      <c r="FS71"/>
      <c r="FT71"/>
      <c r="FU71"/>
      <c r="FV71"/>
      <c r="FW71"/>
      <c r="FX71"/>
      <c r="FY71"/>
      <c r="GA71"/>
      <c r="GB71"/>
      <c r="GC71"/>
      <c r="GD71"/>
      <c r="GE71"/>
      <c r="GF71"/>
      <c r="GG71"/>
      <c r="GI71"/>
      <c r="GJ71"/>
      <c r="GK71"/>
      <c r="GL71"/>
      <c r="GM71"/>
      <c r="GN71"/>
      <c r="GO71"/>
      <c r="GQ71"/>
      <c r="GR71"/>
      <c r="GS71"/>
      <c r="GT71"/>
      <c r="GU71"/>
      <c r="GV71"/>
      <c r="GW71"/>
      <c r="GX71"/>
      <c r="GY71" s="36"/>
      <c r="HA71"/>
      <c r="HB71"/>
      <c r="HC71"/>
      <c r="HD71"/>
      <c r="HE71"/>
      <c r="HF71"/>
      <c r="HG71"/>
      <c r="HH71"/>
      <c r="HI71" s="36"/>
      <c r="HK71"/>
      <c r="HL71"/>
      <c r="HM71"/>
      <c r="HN71"/>
      <c r="HO71"/>
      <c r="HP71"/>
      <c r="HQ71"/>
      <c r="HR71"/>
      <c r="HS71" s="36"/>
      <c r="HU71"/>
      <c r="HV71"/>
      <c r="HW71"/>
      <c r="HX71"/>
      <c r="HY71"/>
      <c r="HZ71"/>
      <c r="IA71"/>
      <c r="IB71"/>
      <c r="IC71" s="36"/>
      <c r="IE71"/>
      <c r="IF71"/>
      <c r="IG71"/>
      <c r="IH71"/>
      <c r="II71"/>
      <c r="IJ71"/>
      <c r="IK71"/>
      <c r="IL71"/>
      <c r="IM71" s="36"/>
      <c r="IY71"/>
      <c r="IZ71"/>
      <c r="JA71"/>
      <c r="JB71"/>
      <c r="JC71"/>
      <c r="JD71"/>
      <c r="JE71" s="2">
        <f>+Tabla520212224[[#This Row],[Recuento]]*Tabla520212224[[#This Row],[Volúmen bruto]]</f>
        <v>0</v>
      </c>
      <c r="JF71" s="2">
        <f>+Tabla520212224[[#This Row],[Recuento]]*Tabla520212224[[#This Row],[Área neta]]</f>
        <v>0</v>
      </c>
      <c r="JG71" s="26"/>
      <c r="JI71"/>
      <c r="JJ71"/>
      <c r="JK71"/>
      <c r="JL71"/>
      <c r="JM71"/>
      <c r="JN71"/>
      <c r="JO71" s="2">
        <f>+Tabla52021222425[[#This Row],[Recuento]]*Tabla52021222425[[#This Row],[Volúmen bruto]]</f>
        <v>0</v>
      </c>
      <c r="JP71" s="2">
        <f>+Tabla52021222425[[#This Row],[Recuento]]*Tabla52021222425[[#This Row],[Área neta]]</f>
        <v>0</v>
      </c>
      <c r="JQ71" s="26"/>
      <c r="JS71" t="s">
        <v>1863</v>
      </c>
      <c r="JT71" t="s">
        <v>1524</v>
      </c>
      <c r="JU71" t="s">
        <v>1679</v>
      </c>
      <c r="JV71">
        <v>0</v>
      </c>
      <c r="JW71">
        <v>1.1200000000000001</v>
      </c>
      <c r="JX71">
        <v>1</v>
      </c>
      <c r="JY71" s="2">
        <f>+Tabla5202122242526[[#This Row],[Recuento]]*Tabla5202122242526[[#This Row],[Volúmen bruto]]</f>
        <v>0</v>
      </c>
      <c r="JZ71" s="2">
        <f>+Tabla5202122242526[[#This Row],[Recuento]]*Tabla5202122242526[[#This Row],[Área neta]]</f>
        <v>1.1200000000000001</v>
      </c>
      <c r="KA71" s="26"/>
      <c r="KC71"/>
      <c r="KD71"/>
      <c r="KE71"/>
      <c r="KF71"/>
      <c r="KG71"/>
      <c r="KH71"/>
      <c r="KI71" s="2">
        <f>+Tabla5202122242526104[[#This Row],[Recuento]]*Tabla5202122242526104[[#This Row],[Volúmen bruto]]</f>
        <v>0</v>
      </c>
      <c r="KJ71" s="2">
        <f>+Tabla5202122242526104[[#This Row],[Recuento]]*Tabla5202122242526104[[#This Row],[Área neta]]</f>
        <v>0</v>
      </c>
      <c r="KK71" s="26"/>
      <c r="KM71" t="s">
        <v>1863</v>
      </c>
      <c r="KN71" t="s">
        <v>1525</v>
      </c>
      <c r="KO71" t="s">
        <v>1628</v>
      </c>
      <c r="KP71">
        <v>0.09</v>
      </c>
      <c r="KQ71">
        <v>2.61</v>
      </c>
      <c r="KR71">
        <v>1</v>
      </c>
      <c r="KS71" s="2">
        <f>+Tabla5202122242526104110[[#This Row],[Recuento]]*Tabla5202122242526104110[[#This Row],[Volúmen bruto]]</f>
        <v>0.09</v>
      </c>
      <c r="KT71" s="2">
        <f>+Tabla5202122242526104110[[#This Row],[Recuento]]*Tabla5202122242526104110[[#This Row],[Área neta]]</f>
        <v>2.61</v>
      </c>
      <c r="KU71" s="26"/>
      <c r="KW71"/>
      <c r="KX71"/>
      <c r="KY71"/>
      <c r="KZ71"/>
      <c r="LA71"/>
      <c r="LB71"/>
      <c r="LC71" s="2">
        <f>+Tabla520212224252659[[#This Row],[Recuento]]*Tabla520212224252659[[#This Row],[Volúmen bruto]]</f>
        <v>0</v>
      </c>
      <c r="LD71" s="2">
        <f>+Tabla520212224252659[[#This Row],[Recuento]]*Tabla520212224252659[[#This Row],[Área neta]]</f>
        <v>0</v>
      </c>
      <c r="LE71" s="26"/>
      <c r="LG71"/>
      <c r="LH71"/>
      <c r="LI71"/>
      <c r="LJ71"/>
      <c r="LK71"/>
      <c r="LL71"/>
      <c r="LM71" s="2">
        <f>+Tabla520212224252659111[[#This Row],[Recuento]]*Tabla520212224252659111[[#This Row],[Volúmen bruto]]</f>
        <v>0</v>
      </c>
      <c r="LN71" s="2">
        <f>+Tabla520212224252659111[[#This Row],[Recuento]]*Tabla520212224252659111[[#This Row],[Área neta]]</f>
        <v>0</v>
      </c>
      <c r="LO71" s="26"/>
      <c r="LQ71"/>
      <c r="LR71"/>
      <c r="LS71"/>
      <c r="LT71"/>
      <c r="LU71"/>
      <c r="LV71"/>
      <c r="LW71" s="2">
        <f>+Tabla520212224252659111114[[#This Row],[Recuento]]*Tabla520212224252659111114[[#This Row],[Volúmen bruto]]</f>
        <v>0</v>
      </c>
      <c r="LX71" s="2">
        <f>+Tabla520212224252659111114[[#This Row],[Recuento]]*Tabla520212224252659111114[[#This Row],[Área neta]]</f>
        <v>0</v>
      </c>
      <c r="LY71" s="26"/>
      <c r="MA71"/>
      <c r="MB71"/>
      <c r="MC71"/>
      <c r="MD71"/>
      <c r="ME71"/>
      <c r="MF71"/>
      <c r="MG71" s="2">
        <f>+Tabla520212224252659111114128[[#This Row],[Recuento]]*Tabla520212224252659111114128[[#This Row],[Volúmen bruto]]</f>
        <v>0</v>
      </c>
      <c r="MH71" s="2">
        <f>+Tabla520212224252659111114128[[#This Row],[Recuento]]*Tabla520212224252659111114128[[#This Row],[Área neta]]</f>
        <v>0</v>
      </c>
      <c r="MI71" s="26"/>
      <c r="MK71"/>
      <c r="ML71"/>
      <c r="MM71"/>
      <c r="MN71"/>
      <c r="MO71"/>
      <c r="MP71"/>
      <c r="MQ71">
        <f>+Tabla520212224252627[[#This Row],[Recuento]]*Tabla520212224252627[[#This Row],[Volúmen bruto]]</f>
        <v>0</v>
      </c>
      <c r="MR71">
        <f>+Tabla520212224252627[[#This Row],[Recuento]]*Tabla520212224252627[[#This Row],[Área neta]]</f>
        <v>0</v>
      </c>
      <c r="MS71" s="26"/>
      <c r="MU71"/>
      <c r="MV71"/>
      <c r="MW71"/>
      <c r="MX71"/>
      <c r="MY71"/>
      <c r="MZ71"/>
      <c r="NA71">
        <f>+Tabla520212224252627129[[#This Row],[Recuento]]*Tabla520212224252627129[[#This Row],[Volúmen bruto]]</f>
        <v>0</v>
      </c>
      <c r="NB71">
        <f>+Tabla520212224252627129[[#This Row],[Recuento]]*Tabla520212224252627129[[#This Row],[Área neta]]</f>
        <v>0</v>
      </c>
      <c r="NC71" s="26"/>
      <c r="NE71"/>
      <c r="NF71"/>
      <c r="NG71"/>
      <c r="NH71"/>
      <c r="NI71"/>
      <c r="NJ71"/>
      <c r="NK71">
        <f>+Tabla520212224252627129125[[#This Row],[Recuento]]*Tabla520212224252627129125[[#This Row],[Volúmen bruto]]</f>
        <v>0</v>
      </c>
      <c r="NL71">
        <f>+Tabla520212224252627129125[[#This Row],[Recuento]]*Tabla520212224252627129125[[#This Row],[Área neta]]</f>
        <v>0</v>
      </c>
      <c r="NM71" s="26"/>
      <c r="NO71"/>
      <c r="NP71"/>
      <c r="NQ71"/>
      <c r="NR71"/>
      <c r="NS71"/>
      <c r="NT71"/>
      <c r="NU71">
        <f>+Tabla520212224252627129125130[[#This Row],[Recuento]]*Tabla520212224252627129125130[[#This Row],[Volúmen bruto]]</f>
        <v>0</v>
      </c>
      <c r="NV71">
        <f>+Tabla520212224252627129125130[[#This Row],[Recuento]]*Tabla520212224252627129125130[[#This Row],[Área neta]]</f>
        <v>0</v>
      </c>
      <c r="NW71" s="26"/>
      <c r="NY71"/>
      <c r="NZ71"/>
      <c r="OA71"/>
      <c r="OB71"/>
      <c r="OC71"/>
      <c r="OD71"/>
      <c r="OE71">
        <f>+Tabla520212224252627129125130131[[#This Row],[Recuento]]*Tabla520212224252627129125130131[[#This Row],[Volúmen bruto]]</f>
        <v>0</v>
      </c>
      <c r="OF71">
        <f>+Tabla520212224252627129125130131[[#This Row],[Recuento]]*Tabla520212224252627129125130131[[#This Row],[Área neta]]</f>
        <v>0</v>
      </c>
      <c r="OG71" s="26"/>
      <c r="OI71"/>
      <c r="OJ71"/>
      <c r="OK71"/>
      <c r="OL71"/>
      <c r="OM71"/>
      <c r="ON71"/>
      <c r="OO71">
        <f>+Tabla520212224252627129125130131132[[#This Row],[Recuento]]*Tabla520212224252627129125130131132[[#This Row],[Volúmen bruto]]</f>
        <v>0</v>
      </c>
      <c r="OP71">
        <f>+Tabla520212224252627129125130131132[[#This Row],[Recuento]]*Tabla520212224252627129125130131132[[#This Row],[Área neta]]</f>
        <v>0</v>
      </c>
      <c r="OQ71" s="26"/>
      <c r="OS71"/>
      <c r="OT71"/>
      <c r="OU71"/>
      <c r="OV71"/>
      <c r="OW71"/>
      <c r="OX71"/>
      <c r="OY71">
        <f>+Tabla52021222425262728[[#This Row],[Recuento]]*Tabla52021222425262728[[#This Row],[Volúmen bruto]]</f>
        <v>0</v>
      </c>
      <c r="OZ71">
        <f>+Tabla52021222425262728[[#This Row],[Recuento]]*Tabla52021222425262728[[#This Row],[Área neta]]</f>
        <v>0</v>
      </c>
      <c r="PA71" s="26">
        <f t="shared" si="41"/>
        <v>0</v>
      </c>
      <c r="PC71" t="s">
        <v>1863</v>
      </c>
      <c r="PD71" t="s">
        <v>1525</v>
      </c>
      <c r="PE71" t="s">
        <v>1676</v>
      </c>
      <c r="PF71">
        <v>0.28999999999999998</v>
      </c>
      <c r="PG71">
        <v>1.61</v>
      </c>
      <c r="PH71">
        <v>1</v>
      </c>
      <c r="PI71">
        <f>+Tabla52021222425262728133[[#This Row],[Recuento]]*Tabla52021222425262728133[[#This Row],[Volúmen bruto]]</f>
        <v>0.28999999999999998</v>
      </c>
      <c r="PJ71">
        <f>+Tabla52021222425262728133[[#This Row],[Recuento]]*Tabla52021222425262728133[[#This Row],[Área neta]]</f>
        <v>1.61</v>
      </c>
      <c r="PK71" s="26"/>
      <c r="PM71"/>
      <c r="PN71"/>
      <c r="PO71"/>
      <c r="PP71"/>
      <c r="PQ71"/>
      <c r="PR71"/>
      <c r="PS71">
        <f>+Tabla5202122242526272893[[#This Row],[Recuento]]*Tabla5202122242526272893[[#This Row],[Volúmen bruto]]</f>
        <v>0</v>
      </c>
      <c r="PT71">
        <f>+Tabla5202122242526272893[[#This Row],[Recuento]]*Tabla5202122242526272893[[#This Row],[Área neta]]</f>
        <v>0</v>
      </c>
      <c r="PU71" s="26"/>
      <c r="PW71"/>
      <c r="PX71"/>
      <c r="PY71"/>
      <c r="PZ71"/>
      <c r="QA71"/>
      <c r="QB71"/>
      <c r="QC71">
        <f>+Tabla520212224252627289349[[#This Row],[Recuento]]*Tabla520212224252627289349[[#This Row],[Volúmen bruto]]</f>
        <v>0</v>
      </c>
      <c r="QD71">
        <f>+Tabla520212224252627289349[[#This Row],[Recuento]]*Tabla520212224252627289349[[#This Row],[Área neta]]</f>
        <v>0</v>
      </c>
      <c r="QE71" s="26"/>
      <c r="QG71"/>
      <c r="QH71"/>
      <c r="QI71"/>
      <c r="QJ71"/>
      <c r="QK71"/>
      <c r="QL71"/>
      <c r="QM71">
        <f>+Tabla520212224252627289349134[[#This Row],[Recuento]]*Tabla520212224252627289349134[[#This Row],[Volúmen bruto]]</f>
        <v>0</v>
      </c>
      <c r="QN71">
        <f>+Tabla520212224252627289349134[[#This Row],[Recuento]]*Tabla520212224252627289349134[[#This Row],[Área neta]]</f>
        <v>0</v>
      </c>
      <c r="QO71" s="26"/>
      <c r="QQ71"/>
      <c r="QR71"/>
      <c r="QS71"/>
      <c r="QT71"/>
      <c r="QU71"/>
      <c r="QV71"/>
      <c r="QW71"/>
      <c r="QX71"/>
      <c r="QY71"/>
      <c r="QZ71"/>
      <c r="RA71" s="26"/>
      <c r="RC71"/>
      <c r="RD71"/>
      <c r="RE71"/>
      <c r="RF71"/>
      <c r="RG71"/>
      <c r="RH71"/>
      <c r="RI71"/>
      <c r="RJ71"/>
      <c r="RK71" s="26"/>
      <c r="RM71"/>
      <c r="RN71"/>
      <c r="RO71"/>
      <c r="RP71"/>
      <c r="RQ71"/>
      <c r="RR71"/>
      <c r="RS71"/>
      <c r="RT71"/>
      <c r="RU71" s="26">
        <f t="shared" si="42"/>
        <v>0</v>
      </c>
      <c r="RW71"/>
      <c r="RX71"/>
      <c r="RY71"/>
      <c r="RZ71"/>
      <c r="SA71"/>
      <c r="SB71"/>
      <c r="SC71"/>
      <c r="SD71"/>
      <c r="SE71" s="26"/>
      <c r="SG71"/>
      <c r="SH71"/>
      <c r="SI71"/>
      <c r="SJ71"/>
      <c r="SK71"/>
      <c r="SL71"/>
      <c r="SM71"/>
      <c r="SN71"/>
      <c r="SO71" s="26"/>
      <c r="YK71"/>
      <c r="YL71"/>
      <c r="YM71"/>
      <c r="YN71"/>
      <c r="YO71"/>
      <c r="ADD71" t="s">
        <v>1720</v>
      </c>
      <c r="ADE71">
        <v>0.19</v>
      </c>
      <c r="ADF71">
        <v>1</v>
      </c>
      <c r="ADG71" s="26">
        <f>+ADF71*ADE71</f>
        <v>0.19</v>
      </c>
      <c r="ADJ71"/>
      <c r="ADK71"/>
      <c r="ADL71"/>
      <c r="ADM71"/>
      <c r="ADN71"/>
      <c r="ADO71"/>
      <c r="ADP71" s="36"/>
      <c r="ADR71"/>
      <c r="ADS71"/>
      <c r="ADT71"/>
      <c r="ADU71"/>
      <c r="ADV71"/>
      <c r="ADW71" s="35">
        <f>+SUM(ADR71:ADR78)</f>
        <v>0</v>
      </c>
      <c r="ADX71" s="35"/>
      <c r="ADY71"/>
      <c r="ADZ71"/>
      <c r="AEA71"/>
      <c r="AEB71"/>
      <c r="AEC71"/>
      <c r="AED71"/>
      <c r="AEE71" s="36"/>
      <c r="AEG71"/>
      <c r="AEH71"/>
      <c r="AEI71"/>
      <c r="AEJ71"/>
      <c r="AEL71" s="35"/>
      <c r="AEM71" s="35"/>
      <c r="AEN71" t="s">
        <v>1522</v>
      </c>
      <c r="AEO71" t="s">
        <v>1524</v>
      </c>
      <c r="AEP71" t="s">
        <v>381</v>
      </c>
      <c r="AEQ71">
        <v>0.15</v>
      </c>
      <c r="AER71">
        <v>1</v>
      </c>
      <c r="AES71">
        <f>+Tabla5789141516343536373839404142434445464748495051525355606264[[#This Row],[G. Total]]*Tabla5789141516343536373839404142434445464748495051525355606264[[#This Row],[Recuento]]</f>
        <v>0.15</v>
      </c>
      <c r="AET71" s="36"/>
      <c r="AEV71"/>
      <c r="AEW71"/>
      <c r="AEX71"/>
      <c r="AEY71"/>
      <c r="AEZ71"/>
      <c r="AFA71" s="35"/>
      <c r="AFC71"/>
      <c r="AFD71"/>
      <c r="AFE71"/>
      <c r="AFF71" s="33"/>
      <c r="AFG71"/>
      <c r="AFH71"/>
      <c r="AFI71"/>
      <c r="AFJ71"/>
      <c r="AFK71"/>
      <c r="AFL71"/>
      <c r="AFM71"/>
      <c r="AFN71">
        <f>+Tabla578914151634353637383940414243444546474849505152535560626467[[#This Row],[G. Total]]*Tabla578914151634353637383940414243444546474849505152535560626467[[#This Row],[Recuento]]</f>
        <v>0</v>
      </c>
      <c r="AFO71" s="36"/>
    </row>
    <row r="72" spans="2:847" x14ac:dyDescent="0.25">
      <c r="B72"/>
      <c r="C72"/>
      <c r="D72"/>
      <c r="E72"/>
      <c r="F72" s="33"/>
      <c r="G72" s="33"/>
      <c r="H72"/>
      <c r="I72"/>
      <c r="BG72"/>
      <c r="BH72"/>
      <c r="BI72"/>
      <c r="BJ72"/>
      <c r="BK72"/>
      <c r="BL72">
        <f>+Tabla3102[[#This Row],[Longitud de eje]]*BF72</f>
        <v>0</v>
      </c>
      <c r="BM72">
        <f>+Tabla3102[[#This Row],[Longitud de eje]]*BG72</f>
        <v>0</v>
      </c>
      <c r="BO72"/>
      <c r="BP72"/>
      <c r="BQ72"/>
      <c r="BR72"/>
      <c r="BS72"/>
      <c r="BT72">
        <f>+Tabla31069[[#This Row],[Longitud de eje]]*BN72</f>
        <v>0</v>
      </c>
      <c r="BU72">
        <f>+Tabla31069[[#This Row],[Longitud de eje]]*BO72</f>
        <v>0</v>
      </c>
      <c r="BV72"/>
      <c r="BW72"/>
      <c r="BX72"/>
      <c r="BY72"/>
      <c r="BZ72"/>
      <c r="CA72"/>
      <c r="CB72">
        <f>+Tabla31011[[#This Row],[Longitud de eje]]*BV72</f>
        <v>0</v>
      </c>
      <c r="CD72">
        <v>1</v>
      </c>
      <c r="CE72"/>
      <c r="CF72"/>
      <c r="CG72"/>
      <c r="CH72"/>
      <c r="CI72"/>
      <c r="CJ72"/>
      <c r="CK72"/>
      <c r="CL72"/>
      <c r="CM72"/>
      <c r="CN72"/>
      <c r="CO72"/>
      <c r="CP72"/>
      <c r="CQ72"/>
      <c r="CR72">
        <f>+Tabla31011116[[#This Row],[Longitud de eje]]*CL72</f>
        <v>0</v>
      </c>
      <c r="CT72">
        <v>1</v>
      </c>
      <c r="CU72"/>
      <c r="CV72"/>
      <c r="CW72"/>
      <c r="CX72"/>
      <c r="CY72"/>
      <c r="CZ72"/>
      <c r="DA72"/>
      <c r="DB72">
        <v>1</v>
      </c>
      <c r="DC72"/>
      <c r="DD72"/>
      <c r="DE72"/>
      <c r="DF72"/>
      <c r="DG72">
        <f>+Tabla31011704[[#This Row],[Longitud de eje]]*DB72</f>
        <v>0</v>
      </c>
      <c r="DH72"/>
      <c r="DI72">
        <v>1</v>
      </c>
      <c r="DJ72"/>
      <c r="DK72"/>
      <c r="DL72"/>
      <c r="DM72"/>
      <c r="DN72">
        <f>+Tabla3101170411[[#This Row],[Longitud de eje]]*DI72</f>
        <v>0</v>
      </c>
      <c r="DO72"/>
      <c r="DP72">
        <v>1</v>
      </c>
      <c r="DQ72"/>
      <c r="DR72"/>
      <c r="DS72"/>
      <c r="DT72"/>
      <c r="DU72">
        <f>+Tabla3101170411120[[#This Row],[Longitud de eje]]*DP72</f>
        <v>0</v>
      </c>
      <c r="DV72"/>
      <c r="DW72">
        <v>1</v>
      </c>
      <c r="DX72"/>
      <c r="DY72"/>
      <c r="DZ72"/>
      <c r="EA72"/>
      <c r="EB72">
        <f>+Tabla3101170411120122[[#This Row],[Longitud de eje]]*DW72</f>
        <v>0</v>
      </c>
      <c r="EC72"/>
      <c r="ED72">
        <v>1</v>
      </c>
      <c r="EE72" t="s">
        <v>1863</v>
      </c>
      <c r="EF72" t="s">
        <v>1524</v>
      </c>
      <c r="EG72" t="s">
        <v>1406</v>
      </c>
      <c r="EH72">
        <v>2.23</v>
      </c>
      <c r="EI72">
        <v>2.5</v>
      </c>
      <c r="EJ72">
        <f>+Tabla3101112[[#This Row],[En culmo]]*ED72</f>
        <v>2.5</v>
      </c>
      <c r="EK72"/>
      <c r="EL72"/>
      <c r="EM72"/>
      <c r="EN72"/>
      <c r="EO72"/>
      <c r="EP72"/>
      <c r="EQ72"/>
      <c r="ER72">
        <f>+Tabla3101112123[[#This Row],[En culmo]]*EL72</f>
        <v>0</v>
      </c>
      <c r="ES72"/>
      <c r="ET72">
        <v>2</v>
      </c>
      <c r="EU72" t="s">
        <v>1863</v>
      </c>
      <c r="EV72" t="s">
        <v>1525</v>
      </c>
      <c r="EW72" t="s">
        <v>1405</v>
      </c>
      <c r="EX72">
        <v>1.55</v>
      </c>
      <c r="EY72">
        <v>2</v>
      </c>
      <c r="EZ72">
        <f>+Tabla310111257[[#This Row],[En culmo]]*ET72</f>
        <v>4</v>
      </c>
      <c r="FA72"/>
      <c r="FB72"/>
      <c r="FC72"/>
      <c r="FD72"/>
      <c r="FE72"/>
      <c r="FF72"/>
      <c r="FG72"/>
      <c r="FH72">
        <f>+Tabla310111257124[[#This Row],[En culmo]]*FB72</f>
        <v>0</v>
      </c>
      <c r="FI72"/>
      <c r="FK72"/>
      <c r="FL72"/>
      <c r="FM72"/>
      <c r="FN72"/>
      <c r="FO72"/>
      <c r="FP72"/>
      <c r="FQ72"/>
      <c r="FS72"/>
      <c r="FT72"/>
      <c r="FU72"/>
      <c r="FV72"/>
      <c r="FW72"/>
      <c r="FX72"/>
      <c r="FY72"/>
      <c r="GA72"/>
      <c r="GB72"/>
      <c r="GC72"/>
      <c r="GD72"/>
      <c r="GE72"/>
      <c r="GF72"/>
      <c r="GG72"/>
      <c r="GI72"/>
      <c r="GJ72"/>
      <c r="GK72"/>
      <c r="GL72"/>
      <c r="GM72"/>
      <c r="GN72"/>
      <c r="GO72"/>
      <c r="GQ72"/>
      <c r="GR72"/>
      <c r="GS72"/>
      <c r="GT72"/>
      <c r="GU72"/>
      <c r="GV72"/>
      <c r="GW72"/>
      <c r="GX72"/>
      <c r="GY72" s="36"/>
      <c r="HA72"/>
      <c r="HB72"/>
      <c r="HC72"/>
      <c r="HD72"/>
      <c r="HE72"/>
      <c r="HF72"/>
      <c r="HG72"/>
      <c r="HH72"/>
      <c r="HI72" s="36"/>
      <c r="HK72"/>
      <c r="HL72"/>
      <c r="HM72"/>
      <c r="HN72"/>
      <c r="HO72"/>
      <c r="HP72"/>
      <c r="HQ72"/>
      <c r="HR72"/>
      <c r="HS72" s="36"/>
      <c r="HU72"/>
      <c r="HV72"/>
      <c r="HW72"/>
      <c r="HX72"/>
      <c r="HY72"/>
      <c r="HZ72"/>
      <c r="IA72"/>
      <c r="IB72"/>
      <c r="IC72" s="36"/>
      <c r="IE72"/>
      <c r="IF72"/>
      <c r="IG72"/>
      <c r="IH72"/>
      <c r="II72"/>
      <c r="IJ72"/>
      <c r="IK72"/>
      <c r="IL72"/>
      <c r="IM72" s="36"/>
      <c r="IY72"/>
      <c r="IZ72"/>
      <c r="JA72"/>
      <c r="JB72"/>
      <c r="JC72"/>
      <c r="JD72"/>
      <c r="JE72" s="2">
        <f>+Tabla520212224[[#This Row],[Recuento]]*Tabla520212224[[#This Row],[Volúmen bruto]]</f>
        <v>0</v>
      </c>
      <c r="JF72" s="2">
        <f>+Tabla520212224[[#This Row],[Recuento]]*Tabla520212224[[#This Row],[Área neta]]</f>
        <v>0</v>
      </c>
      <c r="JG72" s="26"/>
      <c r="JI72"/>
      <c r="JJ72"/>
      <c r="JK72"/>
      <c r="JL72"/>
      <c r="JM72"/>
      <c r="JN72"/>
      <c r="JO72" s="2">
        <f>+Tabla52021222425[[#This Row],[Recuento]]*Tabla52021222425[[#This Row],[Volúmen bruto]]</f>
        <v>0</v>
      </c>
      <c r="JP72" s="2">
        <f>+Tabla52021222425[[#This Row],[Recuento]]*Tabla52021222425[[#This Row],[Área neta]]</f>
        <v>0</v>
      </c>
      <c r="JQ72" s="26"/>
      <c r="JS72" t="s">
        <v>1863</v>
      </c>
      <c r="JT72" t="s">
        <v>1525</v>
      </c>
      <c r="JU72" t="s">
        <v>1679</v>
      </c>
      <c r="JV72">
        <v>0</v>
      </c>
      <c r="JW72">
        <v>2.35</v>
      </c>
      <c r="JX72">
        <v>1</v>
      </c>
      <c r="JY72" s="2">
        <f>+Tabla5202122242526[[#This Row],[Recuento]]*Tabla5202122242526[[#This Row],[Volúmen bruto]]</f>
        <v>0</v>
      </c>
      <c r="JZ72" s="2">
        <f>+Tabla5202122242526[[#This Row],[Recuento]]*Tabla5202122242526[[#This Row],[Área neta]]</f>
        <v>2.35</v>
      </c>
      <c r="KA72" s="26"/>
      <c r="KC72"/>
      <c r="KD72"/>
      <c r="KE72"/>
      <c r="KF72"/>
      <c r="KG72"/>
      <c r="KH72"/>
      <c r="KI72" s="2">
        <f>+Tabla5202122242526104[[#This Row],[Recuento]]*Tabla5202122242526104[[#This Row],[Volúmen bruto]]</f>
        <v>0</v>
      </c>
      <c r="KJ72" s="2">
        <f>+Tabla5202122242526104[[#This Row],[Recuento]]*Tabla5202122242526104[[#This Row],[Área neta]]</f>
        <v>0</v>
      </c>
      <c r="KK72" s="26"/>
      <c r="KM72" t="s">
        <v>1863</v>
      </c>
      <c r="KN72" t="s">
        <v>1524</v>
      </c>
      <c r="KO72" t="s">
        <v>97</v>
      </c>
      <c r="KP72">
        <v>0.02</v>
      </c>
      <c r="KQ72">
        <v>1</v>
      </c>
      <c r="KR72">
        <v>2</v>
      </c>
      <c r="KS72" s="2">
        <f>+Tabla5202122242526104110[[#This Row],[Recuento]]*Tabla5202122242526104110[[#This Row],[Volúmen bruto]]</f>
        <v>0.04</v>
      </c>
      <c r="KT72" s="2">
        <f>+Tabla5202122242526104110[[#This Row],[Recuento]]*Tabla5202122242526104110[[#This Row],[Área neta]]</f>
        <v>2</v>
      </c>
      <c r="KU72" s="26">
        <f>+SUM(KT72:KT77)</f>
        <v>11.04</v>
      </c>
      <c r="KW72"/>
      <c r="KX72"/>
      <c r="KY72"/>
      <c r="KZ72"/>
      <c r="LA72"/>
      <c r="LB72"/>
      <c r="LC72" s="2">
        <f>+Tabla520212224252659[[#This Row],[Recuento]]*Tabla520212224252659[[#This Row],[Volúmen bruto]]</f>
        <v>0</v>
      </c>
      <c r="LD72" s="2">
        <f>+Tabla520212224252659[[#This Row],[Recuento]]*Tabla520212224252659[[#This Row],[Área neta]]</f>
        <v>0</v>
      </c>
      <c r="LE72" s="26"/>
      <c r="LG72"/>
      <c r="LH72"/>
      <c r="LI72"/>
      <c r="LJ72"/>
      <c r="LK72"/>
      <c r="LL72"/>
      <c r="LM72" s="2">
        <f>+Tabla520212224252659111[[#This Row],[Recuento]]*Tabla520212224252659111[[#This Row],[Volúmen bruto]]</f>
        <v>0</v>
      </c>
      <c r="LN72" s="2">
        <f>+Tabla520212224252659111[[#This Row],[Recuento]]*Tabla520212224252659111[[#This Row],[Área neta]]</f>
        <v>0</v>
      </c>
      <c r="LO72" s="26"/>
      <c r="LQ72"/>
      <c r="LR72"/>
      <c r="LS72"/>
      <c r="LT72"/>
      <c r="LU72"/>
      <c r="LV72"/>
      <c r="LW72" s="2">
        <f>+Tabla520212224252659111114[[#This Row],[Recuento]]*Tabla520212224252659111114[[#This Row],[Volúmen bruto]]</f>
        <v>0</v>
      </c>
      <c r="LX72" s="2">
        <f>+Tabla520212224252659111114[[#This Row],[Recuento]]*Tabla520212224252659111114[[#This Row],[Área neta]]</f>
        <v>0</v>
      </c>
      <c r="LY72" s="26"/>
      <c r="MA72"/>
      <c r="MB72"/>
      <c r="MC72"/>
      <c r="MD72"/>
      <c r="ME72"/>
      <c r="MF72"/>
      <c r="MG72" s="2">
        <f>+Tabla520212224252659111114128[[#This Row],[Recuento]]*Tabla520212224252659111114128[[#This Row],[Volúmen bruto]]</f>
        <v>0</v>
      </c>
      <c r="MH72" s="2">
        <f>+Tabla520212224252659111114128[[#This Row],[Recuento]]*Tabla520212224252659111114128[[#This Row],[Área neta]]</f>
        <v>0</v>
      </c>
      <c r="MI72" s="26"/>
      <c r="MK72"/>
      <c r="ML72"/>
      <c r="MM72"/>
      <c r="MN72"/>
      <c r="MO72"/>
      <c r="MP72"/>
      <c r="MQ72">
        <f>+Tabla520212224252627[[#This Row],[Recuento]]*Tabla520212224252627[[#This Row],[Volúmen bruto]]</f>
        <v>0</v>
      </c>
      <c r="MR72">
        <f>+Tabla520212224252627[[#This Row],[Recuento]]*Tabla520212224252627[[#This Row],[Área neta]]</f>
        <v>0</v>
      </c>
      <c r="MS72" s="26">
        <f>+SUM(MR72:MR75)</f>
        <v>0</v>
      </c>
      <c r="MU72"/>
      <c r="MV72"/>
      <c r="MW72"/>
      <c r="MX72"/>
      <c r="MY72"/>
      <c r="MZ72"/>
      <c r="NA72">
        <f>+Tabla520212224252627129[[#This Row],[Recuento]]*Tabla520212224252627129[[#This Row],[Volúmen bruto]]</f>
        <v>0</v>
      </c>
      <c r="NB72">
        <f>+Tabla520212224252627129[[#This Row],[Recuento]]*Tabla520212224252627129[[#This Row],[Área neta]]</f>
        <v>0</v>
      </c>
      <c r="NC72" s="26">
        <f>+SUM(NB72:NB75)</f>
        <v>0</v>
      </c>
      <c r="NE72"/>
      <c r="NF72"/>
      <c r="NG72"/>
      <c r="NH72"/>
      <c r="NI72"/>
      <c r="NJ72"/>
      <c r="NK72">
        <f>+Tabla520212224252627129125[[#This Row],[Recuento]]*Tabla520212224252627129125[[#This Row],[Volúmen bruto]]</f>
        <v>0</v>
      </c>
      <c r="NL72">
        <f>+Tabla520212224252627129125[[#This Row],[Recuento]]*Tabla520212224252627129125[[#This Row],[Área neta]]</f>
        <v>0</v>
      </c>
      <c r="NM72" s="26">
        <f>+SUM(NL72:NL75)</f>
        <v>0</v>
      </c>
      <c r="NO72"/>
      <c r="NP72"/>
      <c r="NQ72"/>
      <c r="NR72"/>
      <c r="NS72"/>
      <c r="NT72"/>
      <c r="NU72">
        <f>+Tabla520212224252627129125130[[#This Row],[Recuento]]*Tabla520212224252627129125130[[#This Row],[Volúmen bruto]]</f>
        <v>0</v>
      </c>
      <c r="NV72">
        <f>+Tabla520212224252627129125130[[#This Row],[Recuento]]*Tabla520212224252627129125130[[#This Row],[Área neta]]</f>
        <v>0</v>
      </c>
      <c r="NW72" s="26">
        <f>+SUM(NV72:NV75)</f>
        <v>0</v>
      </c>
      <c r="NY72"/>
      <c r="NZ72"/>
      <c r="OA72"/>
      <c r="OB72"/>
      <c r="OC72"/>
      <c r="OD72"/>
      <c r="OE72">
        <f>+Tabla520212224252627129125130131[[#This Row],[Recuento]]*Tabla520212224252627129125130131[[#This Row],[Volúmen bruto]]</f>
        <v>0</v>
      </c>
      <c r="OF72">
        <f>+Tabla520212224252627129125130131[[#This Row],[Recuento]]*Tabla520212224252627129125130131[[#This Row],[Área neta]]</f>
        <v>0</v>
      </c>
      <c r="OG72" s="26">
        <f>+SUM(OF72:OF75)</f>
        <v>0</v>
      </c>
      <c r="OI72"/>
      <c r="OJ72"/>
      <c r="OK72"/>
      <c r="OL72"/>
      <c r="OM72"/>
      <c r="ON72"/>
      <c r="OO72">
        <f>+Tabla520212224252627129125130131132[[#This Row],[Recuento]]*Tabla520212224252627129125130131132[[#This Row],[Volúmen bruto]]</f>
        <v>0</v>
      </c>
      <c r="OP72">
        <f>+Tabla520212224252627129125130131132[[#This Row],[Recuento]]*Tabla520212224252627129125130131132[[#This Row],[Área neta]]</f>
        <v>0</v>
      </c>
      <c r="OQ72" s="26">
        <f>+SUM(OP72:OP75)</f>
        <v>0</v>
      </c>
      <c r="OS72"/>
      <c r="OT72"/>
      <c r="OU72"/>
      <c r="OV72"/>
      <c r="OW72"/>
      <c r="OX72"/>
      <c r="OY72">
        <f>+Tabla52021222425262728[[#This Row],[Recuento]]*Tabla52021222425262728[[#This Row],[Volúmen bruto]]</f>
        <v>0</v>
      </c>
      <c r="OZ72">
        <f>+Tabla52021222425262728[[#This Row],[Recuento]]*Tabla52021222425262728[[#This Row],[Área neta]]</f>
        <v>0</v>
      </c>
      <c r="PA72" s="26">
        <f t="shared" si="41"/>
        <v>0</v>
      </c>
      <c r="PC72"/>
      <c r="PD72"/>
      <c r="PE72"/>
      <c r="PF72"/>
      <c r="PG72"/>
      <c r="PH72"/>
      <c r="PI72">
        <f>+Tabla52021222425262728133[[#This Row],[Recuento]]*Tabla52021222425262728133[[#This Row],[Volúmen bruto]]</f>
        <v>0</v>
      </c>
      <c r="PJ72">
        <f>+Tabla52021222425262728133[[#This Row],[Recuento]]*Tabla52021222425262728133[[#This Row],[Área neta]]</f>
        <v>0</v>
      </c>
      <c r="PK72" s="26"/>
      <c r="PM72"/>
      <c r="PN72"/>
      <c r="PO72"/>
      <c r="PP72"/>
      <c r="PQ72"/>
      <c r="PR72"/>
      <c r="PS72">
        <f>+Tabla5202122242526272893[[#This Row],[Recuento]]*Tabla5202122242526272893[[#This Row],[Volúmen bruto]]</f>
        <v>0</v>
      </c>
      <c r="PT72">
        <f>+Tabla5202122242526272893[[#This Row],[Recuento]]*Tabla5202122242526272893[[#This Row],[Área neta]]</f>
        <v>0</v>
      </c>
      <c r="PU72" s="26"/>
      <c r="PW72"/>
      <c r="PX72"/>
      <c r="PY72"/>
      <c r="PZ72"/>
      <c r="QA72"/>
      <c r="QB72"/>
      <c r="QC72">
        <f>+Tabla520212224252627289349[[#This Row],[Recuento]]*Tabla520212224252627289349[[#This Row],[Volúmen bruto]]</f>
        <v>0</v>
      </c>
      <c r="QD72">
        <f>+Tabla520212224252627289349[[#This Row],[Recuento]]*Tabla520212224252627289349[[#This Row],[Área neta]]</f>
        <v>0</v>
      </c>
      <c r="QE72" s="26"/>
      <c r="QG72"/>
      <c r="QH72"/>
      <c r="QI72"/>
      <c r="QJ72"/>
      <c r="QK72"/>
      <c r="QL72"/>
      <c r="QM72">
        <f>+Tabla520212224252627289349134[[#This Row],[Recuento]]*Tabla520212224252627289349134[[#This Row],[Volúmen bruto]]</f>
        <v>0</v>
      </c>
      <c r="QN72">
        <f>+Tabla520212224252627289349134[[#This Row],[Recuento]]*Tabla520212224252627289349134[[#This Row],[Área neta]]</f>
        <v>0</v>
      </c>
      <c r="QO72" s="26"/>
      <c r="QQ72"/>
      <c r="QR72"/>
      <c r="QS72"/>
      <c r="QT72"/>
      <c r="QU72"/>
      <c r="QV72"/>
      <c r="QW72"/>
      <c r="QX72"/>
      <c r="QY72"/>
      <c r="QZ72"/>
      <c r="RA72" s="26"/>
      <c r="RC72"/>
      <c r="RD72"/>
      <c r="RE72"/>
      <c r="RF72"/>
      <c r="RG72"/>
      <c r="RH72"/>
      <c r="RI72"/>
      <c r="RJ72"/>
      <c r="RK72" s="26"/>
      <c r="RM72"/>
      <c r="RN72"/>
      <c r="RO72"/>
      <c r="RP72"/>
      <c r="RQ72"/>
      <c r="RR72"/>
      <c r="RS72"/>
      <c r="RT72"/>
      <c r="RU72" s="26">
        <f t="shared" si="42"/>
        <v>0</v>
      </c>
      <c r="RW72"/>
      <c r="RX72"/>
      <c r="RY72"/>
      <c r="RZ72"/>
      <c r="SA72"/>
      <c r="SB72"/>
      <c r="SC72"/>
      <c r="SD72"/>
      <c r="SE72" s="26"/>
      <c r="SG72"/>
      <c r="SH72"/>
      <c r="SI72"/>
      <c r="SJ72"/>
      <c r="SK72"/>
      <c r="SL72"/>
      <c r="SM72"/>
      <c r="SN72"/>
      <c r="SO72" s="26"/>
      <c r="YK72"/>
      <c r="YL72"/>
      <c r="YM72"/>
      <c r="YN72"/>
      <c r="YO72"/>
      <c r="ADD72" t="s">
        <v>1720</v>
      </c>
      <c r="ADE72">
        <v>2.57</v>
      </c>
      <c r="ADF72">
        <v>2</v>
      </c>
      <c r="ADG72" s="26">
        <f t="shared" ref="ADG72:ADG85" si="43">+ADF72*ADE72</f>
        <v>5.14</v>
      </c>
      <c r="ADJ72"/>
      <c r="ADK72"/>
      <c r="ADL72"/>
      <c r="ADM72"/>
      <c r="ADN72"/>
      <c r="ADO72"/>
      <c r="ADP72" s="36"/>
      <c r="ADR72"/>
      <c r="ADS72"/>
      <c r="ADT72"/>
      <c r="ADU72"/>
      <c r="ADV72"/>
      <c r="ADW72" s="35"/>
      <c r="ADX72" s="35"/>
      <c r="ADY72"/>
      <c r="ADZ72"/>
      <c r="AEA72"/>
      <c r="AEB72"/>
      <c r="AEC72"/>
      <c r="AED72"/>
      <c r="AEE72" s="36"/>
      <c r="AEG72"/>
      <c r="AEH72"/>
      <c r="AEI72"/>
      <c r="AEJ72"/>
      <c r="AEL72" s="35"/>
      <c r="AEM72" s="35"/>
      <c r="AEN72" t="s">
        <v>1522</v>
      </c>
      <c r="AEO72" t="s">
        <v>1524</v>
      </c>
      <c r="AEP72" t="s">
        <v>381</v>
      </c>
      <c r="AEQ72">
        <v>1.04</v>
      </c>
      <c r="AER72">
        <v>1</v>
      </c>
      <c r="AES72">
        <f>+Tabla5789141516343536373839404142434445464748495051525355606264[[#This Row],[G. Total]]*Tabla5789141516343536373839404142434445464748495051525355606264[[#This Row],[Recuento]]</f>
        <v>1.04</v>
      </c>
      <c r="AET72" s="36"/>
      <c r="AEV72"/>
      <c r="AEW72"/>
      <c r="AEX72"/>
      <c r="AEY72"/>
      <c r="AEZ72"/>
      <c r="AFA72" s="35"/>
      <c r="AFC72"/>
      <c r="AFD72"/>
      <c r="AFE72"/>
      <c r="AFF72" s="33"/>
      <c r="AFG72"/>
      <c r="AFH72"/>
      <c r="AFI72"/>
      <c r="AFJ72"/>
      <c r="AFK72"/>
      <c r="AFL72"/>
      <c r="AFM72"/>
      <c r="AFN72">
        <f>+Tabla578914151634353637383940414243444546474849505152535560626467[[#This Row],[G. Total]]*Tabla578914151634353637383940414243444546474849505152535560626467[[#This Row],[Recuento]]</f>
        <v>0</v>
      </c>
      <c r="AFO72" s="36"/>
    </row>
    <row r="73" spans="2:847" x14ac:dyDescent="0.25">
      <c r="B73"/>
      <c r="C73"/>
      <c r="D73"/>
      <c r="E73"/>
      <c r="F73" s="33"/>
      <c r="G73" s="33"/>
      <c r="H73"/>
      <c r="I73"/>
      <c r="BG73"/>
      <c r="BH73"/>
      <c r="BI73"/>
      <c r="BJ73"/>
      <c r="BK73"/>
      <c r="BL73">
        <f>+Tabla3102[[#This Row],[Longitud de eje]]*BF73</f>
        <v>0</v>
      </c>
      <c r="BM73">
        <f>+Tabla3102[[#This Row],[Longitud de eje]]*BG73</f>
        <v>0</v>
      </c>
      <c r="BO73"/>
      <c r="BP73"/>
      <c r="BQ73"/>
      <c r="BR73"/>
      <c r="BS73"/>
      <c r="BT73">
        <f>+Tabla31069[[#This Row],[Longitud de eje]]*BN73</f>
        <v>0</v>
      </c>
      <c r="BU73">
        <f>+Tabla31069[[#This Row],[Longitud de eje]]*BO73</f>
        <v>0</v>
      </c>
      <c r="BV73"/>
      <c r="BW73"/>
      <c r="BX73"/>
      <c r="BY73"/>
      <c r="BZ73"/>
      <c r="CA73"/>
      <c r="CB73">
        <f>+Tabla31011[[#This Row],[Longitud de eje]]*BV73</f>
        <v>0</v>
      </c>
      <c r="CD73">
        <v>1</v>
      </c>
      <c r="CE73"/>
      <c r="CF73"/>
      <c r="CG73"/>
      <c r="CH73"/>
      <c r="CI73"/>
      <c r="CJ73"/>
      <c r="CK73"/>
      <c r="CL73"/>
      <c r="CM73"/>
      <c r="CN73"/>
      <c r="CO73"/>
      <c r="CP73"/>
      <c r="CQ73"/>
      <c r="CR73">
        <f>+Tabla31011116[[#This Row],[Longitud de eje]]*CL73</f>
        <v>0</v>
      </c>
      <c r="CT73">
        <v>1</v>
      </c>
      <c r="CU73"/>
      <c r="CV73"/>
      <c r="CW73"/>
      <c r="CX73"/>
      <c r="CY73"/>
      <c r="CZ73"/>
      <c r="DA73"/>
      <c r="DB73">
        <v>1</v>
      </c>
      <c r="DC73"/>
      <c r="DD73"/>
      <c r="DE73"/>
      <c r="DF73"/>
      <c r="DG73">
        <f>+Tabla31011704[[#This Row],[Longitud de eje]]*DB73</f>
        <v>0</v>
      </c>
      <c r="DH73"/>
      <c r="DI73">
        <v>1</v>
      </c>
      <c r="DJ73"/>
      <c r="DK73"/>
      <c r="DL73"/>
      <c r="DM73"/>
      <c r="DN73">
        <f>+Tabla3101170411[[#This Row],[Longitud de eje]]*DI73</f>
        <v>0</v>
      </c>
      <c r="DO73"/>
      <c r="DP73">
        <v>1</v>
      </c>
      <c r="DQ73"/>
      <c r="DR73"/>
      <c r="DS73"/>
      <c r="DT73"/>
      <c r="DU73">
        <f>+Tabla3101170411120[[#This Row],[Longitud de eje]]*DP73</f>
        <v>0</v>
      </c>
      <c r="DV73"/>
      <c r="DW73">
        <v>1</v>
      </c>
      <c r="DX73"/>
      <c r="DY73"/>
      <c r="DZ73"/>
      <c r="EA73"/>
      <c r="EB73">
        <f>+Tabla3101170411120122[[#This Row],[Longitud de eje]]*DW73</f>
        <v>0</v>
      </c>
      <c r="EC73"/>
      <c r="ED73">
        <v>1</v>
      </c>
      <c r="EE73" t="s">
        <v>1863</v>
      </c>
      <c r="EF73" t="s">
        <v>1524</v>
      </c>
      <c r="EG73" t="s">
        <v>1406</v>
      </c>
      <c r="EH73">
        <v>2.39</v>
      </c>
      <c r="EI73">
        <v>2.5</v>
      </c>
      <c r="EJ73">
        <f>+Tabla3101112[[#This Row],[En culmo]]*ED73</f>
        <v>2.5</v>
      </c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>
        <f>+Tabla310111257[[#This Row],[En culmo]]*ET73</f>
        <v>0</v>
      </c>
      <c r="FA73"/>
      <c r="FB73"/>
      <c r="FC73"/>
      <c r="FD73"/>
      <c r="FE73"/>
      <c r="FF73"/>
      <c r="FG73"/>
      <c r="FH73">
        <f>+Tabla310111257124[[#This Row],[En culmo]]*FB73</f>
        <v>0</v>
      </c>
      <c r="FI73"/>
      <c r="FK73"/>
      <c r="FL73"/>
      <c r="FM73"/>
      <c r="FN73"/>
      <c r="FO73"/>
      <c r="FP73"/>
      <c r="FQ73"/>
      <c r="FS73"/>
      <c r="FT73"/>
      <c r="FU73"/>
      <c r="FV73"/>
      <c r="FW73"/>
      <c r="FX73"/>
      <c r="FY73"/>
      <c r="GA73"/>
      <c r="GB73"/>
      <c r="GC73"/>
      <c r="GD73"/>
      <c r="GE73"/>
      <c r="GF73"/>
      <c r="GG73"/>
      <c r="GI73"/>
      <c r="GJ73"/>
      <c r="GK73"/>
      <c r="GL73"/>
      <c r="GM73"/>
      <c r="GN73"/>
      <c r="GO73"/>
      <c r="GQ73"/>
      <c r="GR73"/>
      <c r="GS73"/>
      <c r="GT73"/>
      <c r="GU73"/>
      <c r="GV73"/>
      <c r="GW73"/>
      <c r="GX73"/>
      <c r="GY73" s="36"/>
      <c r="HA73"/>
      <c r="HB73"/>
      <c r="HC73"/>
      <c r="HD73"/>
      <c r="HE73"/>
      <c r="HF73"/>
      <c r="HG73"/>
      <c r="HH73"/>
      <c r="HI73" s="36"/>
      <c r="HK73"/>
      <c r="HL73"/>
      <c r="HM73"/>
      <c r="HN73"/>
      <c r="HO73"/>
      <c r="HP73"/>
      <c r="HQ73"/>
      <c r="HR73"/>
      <c r="HS73" s="36"/>
      <c r="HU73"/>
      <c r="HV73"/>
      <c r="HW73"/>
      <c r="HX73"/>
      <c r="HY73"/>
      <c r="HZ73"/>
      <c r="IA73"/>
      <c r="IB73"/>
      <c r="IC73" s="35"/>
      <c r="IE73"/>
      <c r="IF73"/>
      <c r="IG73"/>
      <c r="IH73"/>
      <c r="II73"/>
      <c r="IJ73"/>
      <c r="IK73"/>
      <c r="IL73"/>
      <c r="IM73" s="35"/>
      <c r="IY73"/>
      <c r="IZ73"/>
      <c r="JA73"/>
      <c r="JB73"/>
      <c r="JC73"/>
      <c r="JD73"/>
      <c r="JE73" s="2">
        <f>+Tabla520212224[[#This Row],[Recuento]]*Tabla520212224[[#This Row],[Volúmen bruto]]</f>
        <v>0</v>
      </c>
      <c r="JF73" s="2">
        <f>+Tabla520212224[[#This Row],[Recuento]]*Tabla520212224[[#This Row],[Área neta]]</f>
        <v>0</v>
      </c>
      <c r="JG73" s="26"/>
      <c r="JI73"/>
      <c r="JJ73"/>
      <c r="JK73"/>
      <c r="JL73"/>
      <c r="JM73"/>
      <c r="JN73"/>
      <c r="JO73" s="2">
        <f>+Tabla52021222425[[#This Row],[Recuento]]*Tabla52021222425[[#This Row],[Volúmen bruto]]</f>
        <v>0</v>
      </c>
      <c r="JP73" s="2">
        <f>+Tabla52021222425[[#This Row],[Recuento]]*Tabla52021222425[[#This Row],[Área neta]]</f>
        <v>0</v>
      </c>
      <c r="JQ73" s="26"/>
      <c r="JS73" t="s">
        <v>1863</v>
      </c>
      <c r="JT73" t="s">
        <v>1524</v>
      </c>
      <c r="JU73" t="s">
        <v>1680</v>
      </c>
      <c r="JV73">
        <v>0.01</v>
      </c>
      <c r="JW73">
        <v>1.2</v>
      </c>
      <c r="JX73">
        <v>1</v>
      </c>
      <c r="JY73" s="2">
        <f>+Tabla5202122242526[[#This Row],[Recuento]]*Tabla5202122242526[[#This Row],[Volúmen bruto]]</f>
        <v>0.01</v>
      </c>
      <c r="JZ73" s="2">
        <f>+Tabla5202122242526[[#This Row],[Recuento]]*Tabla5202122242526[[#This Row],[Área neta]]</f>
        <v>1.2</v>
      </c>
      <c r="KA73" s="26">
        <f>+SUM(JZ73:JZ76)</f>
        <v>5.3599999999999994</v>
      </c>
      <c r="KC73"/>
      <c r="KD73"/>
      <c r="KE73"/>
      <c r="KF73"/>
      <c r="KG73"/>
      <c r="KH73"/>
      <c r="KI73" s="2">
        <f>+Tabla5202122242526104[[#This Row],[Recuento]]*Tabla5202122242526104[[#This Row],[Volúmen bruto]]</f>
        <v>0</v>
      </c>
      <c r="KJ73" s="2">
        <f>+Tabla5202122242526104[[#This Row],[Recuento]]*Tabla5202122242526104[[#This Row],[Área neta]]</f>
        <v>0</v>
      </c>
      <c r="KK73" s="26"/>
      <c r="KM73" t="s">
        <v>1863</v>
      </c>
      <c r="KN73" t="s">
        <v>1524</v>
      </c>
      <c r="KO73" t="s">
        <v>97</v>
      </c>
      <c r="KP73">
        <v>0.01</v>
      </c>
      <c r="KQ73">
        <v>0.56999999999999995</v>
      </c>
      <c r="KR73">
        <v>2</v>
      </c>
      <c r="KS73" s="2">
        <f>+Tabla5202122242526104110[[#This Row],[Recuento]]*Tabla5202122242526104110[[#This Row],[Volúmen bruto]]</f>
        <v>0.02</v>
      </c>
      <c r="KT73" s="2">
        <f>+Tabla5202122242526104110[[#This Row],[Recuento]]*Tabla5202122242526104110[[#This Row],[Área neta]]</f>
        <v>1.1399999999999999</v>
      </c>
      <c r="KU73" s="26"/>
      <c r="KW73"/>
      <c r="KX73"/>
      <c r="KY73"/>
      <c r="KZ73"/>
      <c r="LA73"/>
      <c r="LB73"/>
      <c r="LC73" s="2">
        <f>+Tabla520212224252659[[#This Row],[Recuento]]*Tabla520212224252659[[#This Row],[Volúmen bruto]]</f>
        <v>0</v>
      </c>
      <c r="LD73" s="2">
        <f>+Tabla520212224252659[[#This Row],[Recuento]]*Tabla520212224252659[[#This Row],[Área neta]]</f>
        <v>0</v>
      </c>
      <c r="LE73" s="26"/>
      <c r="LG73"/>
      <c r="LH73"/>
      <c r="LI73"/>
      <c r="LJ73"/>
      <c r="LK73"/>
      <c r="LL73"/>
      <c r="LM73" s="2">
        <f>+Tabla520212224252659111[[#This Row],[Recuento]]*Tabla520212224252659111[[#This Row],[Volúmen bruto]]</f>
        <v>0</v>
      </c>
      <c r="LN73" s="2">
        <f>+Tabla520212224252659111[[#This Row],[Recuento]]*Tabla520212224252659111[[#This Row],[Área neta]]</f>
        <v>0</v>
      </c>
      <c r="LO73" s="26"/>
      <c r="LQ73"/>
      <c r="LR73"/>
      <c r="LS73"/>
      <c r="LT73"/>
      <c r="LU73"/>
      <c r="LV73"/>
      <c r="LW73" s="2">
        <f>+Tabla520212224252659111114[[#This Row],[Recuento]]*Tabla520212224252659111114[[#This Row],[Volúmen bruto]]</f>
        <v>0</v>
      </c>
      <c r="LX73" s="2">
        <f>+Tabla520212224252659111114[[#This Row],[Recuento]]*Tabla520212224252659111114[[#This Row],[Área neta]]</f>
        <v>0</v>
      </c>
      <c r="LY73" s="26"/>
      <c r="MA73"/>
      <c r="MB73"/>
      <c r="MC73"/>
      <c r="MD73"/>
      <c r="ME73"/>
      <c r="MF73"/>
      <c r="MG73" s="2">
        <f>+Tabla520212224252659111114128[[#This Row],[Recuento]]*Tabla520212224252659111114128[[#This Row],[Volúmen bruto]]</f>
        <v>0</v>
      </c>
      <c r="MH73" s="2">
        <f>+Tabla520212224252659111114128[[#This Row],[Recuento]]*Tabla520212224252659111114128[[#This Row],[Área neta]]</f>
        <v>0</v>
      </c>
      <c r="MI73" s="26"/>
      <c r="MK73"/>
      <c r="ML73"/>
      <c r="MM73"/>
      <c r="MN73"/>
      <c r="MO73"/>
      <c r="MP73"/>
      <c r="MQ73">
        <f>+Tabla520212224252627[[#This Row],[Recuento]]*Tabla520212224252627[[#This Row],[Volúmen bruto]]</f>
        <v>0</v>
      </c>
      <c r="MR73">
        <f>+Tabla520212224252627[[#This Row],[Recuento]]*Tabla520212224252627[[#This Row],[Área neta]]</f>
        <v>0</v>
      </c>
      <c r="MS73" s="26"/>
      <c r="MU73"/>
      <c r="MV73"/>
      <c r="MW73"/>
      <c r="MX73"/>
      <c r="MY73"/>
      <c r="MZ73"/>
      <c r="NA73">
        <f>+Tabla520212224252627129[[#This Row],[Recuento]]*Tabla520212224252627129[[#This Row],[Volúmen bruto]]</f>
        <v>0</v>
      </c>
      <c r="NB73">
        <f>+Tabla520212224252627129[[#This Row],[Recuento]]*Tabla520212224252627129[[#This Row],[Área neta]]</f>
        <v>0</v>
      </c>
      <c r="NC73" s="26"/>
      <c r="NE73"/>
      <c r="NF73"/>
      <c r="NG73"/>
      <c r="NH73"/>
      <c r="NI73"/>
      <c r="NJ73"/>
      <c r="NK73">
        <f>+Tabla520212224252627129125[[#This Row],[Recuento]]*Tabla520212224252627129125[[#This Row],[Volúmen bruto]]</f>
        <v>0</v>
      </c>
      <c r="NL73">
        <f>+Tabla520212224252627129125[[#This Row],[Recuento]]*Tabla520212224252627129125[[#This Row],[Área neta]]</f>
        <v>0</v>
      </c>
      <c r="NM73" s="26"/>
      <c r="NO73"/>
      <c r="NP73"/>
      <c r="NQ73"/>
      <c r="NR73"/>
      <c r="NS73"/>
      <c r="NT73"/>
      <c r="NU73">
        <f>+Tabla520212224252627129125130[[#This Row],[Recuento]]*Tabla520212224252627129125130[[#This Row],[Volúmen bruto]]</f>
        <v>0</v>
      </c>
      <c r="NV73">
        <f>+Tabla520212224252627129125130[[#This Row],[Recuento]]*Tabla520212224252627129125130[[#This Row],[Área neta]]</f>
        <v>0</v>
      </c>
      <c r="NW73" s="26"/>
      <c r="NY73"/>
      <c r="NZ73"/>
      <c r="OA73"/>
      <c r="OB73"/>
      <c r="OC73"/>
      <c r="OD73"/>
      <c r="OE73">
        <f>+Tabla520212224252627129125130131[[#This Row],[Recuento]]*Tabla520212224252627129125130131[[#This Row],[Volúmen bruto]]</f>
        <v>0</v>
      </c>
      <c r="OF73">
        <f>+Tabla520212224252627129125130131[[#This Row],[Recuento]]*Tabla520212224252627129125130131[[#This Row],[Área neta]]</f>
        <v>0</v>
      </c>
      <c r="OG73" s="26"/>
      <c r="OI73"/>
      <c r="OJ73"/>
      <c r="OK73"/>
      <c r="OL73"/>
      <c r="OM73"/>
      <c r="ON73"/>
      <c r="OO73">
        <f>+Tabla520212224252627129125130131132[[#This Row],[Recuento]]*Tabla520212224252627129125130131132[[#This Row],[Volúmen bruto]]</f>
        <v>0</v>
      </c>
      <c r="OP73">
        <f>+Tabla520212224252627129125130131132[[#This Row],[Recuento]]*Tabla520212224252627129125130131132[[#This Row],[Área neta]]</f>
        <v>0</v>
      </c>
      <c r="OQ73" s="26"/>
      <c r="OS73"/>
      <c r="OT73"/>
      <c r="OU73"/>
      <c r="OV73"/>
      <c r="OW73"/>
      <c r="OX73"/>
      <c r="OY73">
        <f>+Tabla52021222425262728[[#This Row],[Recuento]]*Tabla52021222425262728[[#This Row],[Volúmen bruto]]</f>
        <v>0</v>
      </c>
      <c r="OZ73">
        <f>+Tabla52021222425262728[[#This Row],[Recuento]]*Tabla52021222425262728[[#This Row],[Área neta]]</f>
        <v>0</v>
      </c>
      <c r="PA73" s="26">
        <f t="shared" si="41"/>
        <v>0</v>
      </c>
      <c r="PC73"/>
      <c r="PD73"/>
      <c r="PE73"/>
      <c r="PF73"/>
      <c r="PG73"/>
      <c r="PH73"/>
      <c r="PI73">
        <f>+Tabla52021222425262728133[[#This Row],[Recuento]]*Tabla52021222425262728133[[#This Row],[Volúmen bruto]]</f>
        <v>0</v>
      </c>
      <c r="PJ73">
        <f>+Tabla52021222425262728133[[#This Row],[Recuento]]*Tabla52021222425262728133[[#This Row],[Área neta]]</f>
        <v>0</v>
      </c>
      <c r="PK73" s="26"/>
      <c r="PM73"/>
      <c r="PN73"/>
      <c r="PO73"/>
      <c r="PP73"/>
      <c r="PQ73"/>
      <c r="PR73"/>
      <c r="PS73">
        <f>+Tabla5202122242526272893[[#This Row],[Recuento]]*Tabla5202122242526272893[[#This Row],[Volúmen bruto]]</f>
        <v>0</v>
      </c>
      <c r="PT73">
        <f>+Tabla5202122242526272893[[#This Row],[Recuento]]*Tabla5202122242526272893[[#This Row],[Área neta]]</f>
        <v>0</v>
      </c>
      <c r="PU73" s="26"/>
      <c r="PW73"/>
      <c r="PX73"/>
      <c r="PY73"/>
      <c r="PZ73"/>
      <c r="QA73"/>
      <c r="QB73"/>
      <c r="QC73">
        <f>+Tabla520212224252627289349[[#This Row],[Recuento]]*Tabla520212224252627289349[[#This Row],[Volúmen bruto]]</f>
        <v>0</v>
      </c>
      <c r="QD73">
        <f>+Tabla520212224252627289349[[#This Row],[Recuento]]*Tabla520212224252627289349[[#This Row],[Área neta]]</f>
        <v>0</v>
      </c>
      <c r="QE73" s="26"/>
      <c r="QG73"/>
      <c r="QH73"/>
      <c r="QI73"/>
      <c r="QJ73"/>
      <c r="QK73"/>
      <c r="QL73"/>
      <c r="QM73">
        <f>+Tabla520212224252627289349134[[#This Row],[Recuento]]*Tabla520212224252627289349134[[#This Row],[Volúmen bruto]]</f>
        <v>0</v>
      </c>
      <c r="QN73">
        <f>+Tabla520212224252627289349134[[#This Row],[Recuento]]*Tabla520212224252627289349134[[#This Row],[Área neta]]</f>
        <v>0</v>
      </c>
      <c r="QO73" s="26"/>
      <c r="QQ73"/>
      <c r="QR73"/>
      <c r="QS73"/>
      <c r="QT73"/>
      <c r="QU73"/>
      <c r="QV73"/>
      <c r="QW73"/>
      <c r="QX73"/>
      <c r="QY73"/>
      <c r="QZ73"/>
      <c r="RA73" s="26"/>
      <c r="RC73"/>
      <c r="RD73"/>
      <c r="RE73"/>
      <c r="RF73"/>
      <c r="RG73"/>
      <c r="RH73"/>
      <c r="RI73"/>
      <c r="RJ73"/>
      <c r="RK73" s="26"/>
      <c r="RM73"/>
      <c r="RN73"/>
      <c r="RO73"/>
      <c r="RP73"/>
      <c r="RQ73"/>
      <c r="RR73"/>
      <c r="RS73"/>
      <c r="RT73"/>
      <c r="RU73" s="26">
        <f t="shared" si="42"/>
        <v>0</v>
      </c>
      <c r="RW73"/>
      <c r="RX73"/>
      <c r="RY73"/>
      <c r="RZ73"/>
      <c r="SA73"/>
      <c r="SB73"/>
      <c r="SC73"/>
      <c r="SD73"/>
      <c r="SE73" s="26"/>
      <c r="SG73"/>
      <c r="SH73"/>
      <c r="SI73"/>
      <c r="SJ73"/>
      <c r="SK73"/>
      <c r="SL73"/>
      <c r="SM73"/>
      <c r="SN73"/>
      <c r="SO73" s="26"/>
      <c r="YK73"/>
      <c r="YL73"/>
      <c r="YM73"/>
      <c r="YN73"/>
      <c r="YO73"/>
      <c r="ADD73" t="s">
        <v>1720</v>
      </c>
      <c r="ADE73">
        <v>3.85</v>
      </c>
      <c r="ADF73">
        <v>4</v>
      </c>
      <c r="ADG73" s="26">
        <f t="shared" si="43"/>
        <v>15.4</v>
      </c>
      <c r="ADJ73"/>
      <c r="ADK73"/>
      <c r="ADL73"/>
      <c r="ADM73"/>
      <c r="ADN73"/>
      <c r="ADO73"/>
      <c r="ADP73" s="36"/>
      <c r="ADR73"/>
      <c r="ADS73"/>
      <c r="ADT73"/>
      <c r="ADU73"/>
      <c r="ADV73"/>
      <c r="ADW73" s="35"/>
      <c r="ADX73" s="35"/>
      <c r="ADY73"/>
      <c r="ADZ73"/>
      <c r="AEA73"/>
      <c r="AEB73"/>
      <c r="AEC73"/>
      <c r="AED73"/>
      <c r="AEE73" s="36"/>
      <c r="AEG73"/>
      <c r="AEH73"/>
      <c r="AEI73"/>
      <c r="AEJ73"/>
      <c r="AEL73" s="35"/>
      <c r="AEM73" s="35"/>
      <c r="AEN73" t="s">
        <v>1522</v>
      </c>
      <c r="AEO73" t="s">
        <v>1524</v>
      </c>
      <c r="AEP73" t="s">
        <v>381</v>
      </c>
      <c r="AEQ73">
        <v>0.42</v>
      </c>
      <c r="AER73">
        <v>1</v>
      </c>
      <c r="AES73">
        <f>+Tabla5789141516343536373839404142434445464748495051525355606264[[#This Row],[G. Total]]*Tabla5789141516343536373839404142434445464748495051525355606264[[#This Row],[Recuento]]</f>
        <v>0.42</v>
      </c>
      <c r="AET73" s="36"/>
      <c r="AEV73"/>
      <c r="AEW73"/>
      <c r="AEX73"/>
      <c r="AEY73"/>
      <c r="AEZ73"/>
      <c r="AFA73" s="35"/>
      <c r="AFC73"/>
      <c r="AFD73"/>
      <c r="AFE73"/>
      <c r="AFF73" s="33"/>
      <c r="AFG73"/>
      <c r="AFH73"/>
      <c r="AFI73"/>
      <c r="AFJ73"/>
      <c r="AFK73"/>
      <c r="AFL73"/>
      <c r="AFM73"/>
      <c r="AFN73">
        <f>+Tabla578914151634353637383940414243444546474849505152535560626467[[#This Row],[G. Total]]*Tabla578914151634353637383940414243444546474849505152535560626467[[#This Row],[Recuento]]</f>
        <v>0</v>
      </c>
      <c r="AFO73" s="36"/>
    </row>
    <row r="74" spans="2:847" x14ac:dyDescent="0.25">
      <c r="B74"/>
      <c r="C74"/>
      <c r="D74"/>
      <c r="E74"/>
      <c r="F74" s="33"/>
      <c r="G74" s="33"/>
      <c r="H74"/>
      <c r="I74"/>
      <c r="BG74"/>
      <c r="BH74"/>
      <c r="BI74"/>
      <c r="BJ74"/>
      <c r="BK74"/>
      <c r="BL74">
        <f>+Tabla3102[[#This Row],[Longitud de eje]]*BF74</f>
        <v>0</v>
      </c>
      <c r="BM74">
        <f>+Tabla3102[[#This Row],[Longitud de eje]]*BG74</f>
        <v>0</v>
      </c>
      <c r="BO74"/>
      <c r="BP74"/>
      <c r="BQ74"/>
      <c r="BR74"/>
      <c r="BS74"/>
      <c r="BT74">
        <f>+Tabla31069[[#This Row],[Longitud de eje]]*BN74</f>
        <v>0</v>
      </c>
      <c r="BU74">
        <f>+Tabla31069[[#This Row],[Longitud de eje]]*BO74</f>
        <v>0</v>
      </c>
      <c r="BV74"/>
      <c r="BW74"/>
      <c r="BX74"/>
      <c r="BY74"/>
      <c r="BZ74"/>
      <c r="CA74"/>
      <c r="CB74">
        <f>+Tabla31011[[#This Row],[Longitud de eje]]*BV74</f>
        <v>0</v>
      </c>
      <c r="CD74">
        <v>1</v>
      </c>
      <c r="CE74"/>
      <c r="CF74"/>
      <c r="CG74"/>
      <c r="CH74"/>
      <c r="CI74"/>
      <c r="CJ74"/>
      <c r="CK74"/>
      <c r="CL74"/>
      <c r="CM74"/>
      <c r="CN74"/>
      <c r="CO74"/>
      <c r="CP74"/>
      <c r="CQ74"/>
      <c r="CR74">
        <f>+Tabla31011116[[#This Row],[Longitud de eje]]*CL74</f>
        <v>0</v>
      </c>
      <c r="CT74">
        <v>1</v>
      </c>
      <c r="CU74"/>
      <c r="CV74"/>
      <c r="CW74"/>
      <c r="CX74"/>
      <c r="CY74"/>
      <c r="CZ74"/>
      <c r="DA74"/>
      <c r="DB74">
        <v>1</v>
      </c>
      <c r="DC74"/>
      <c r="DD74"/>
      <c r="DE74"/>
      <c r="DF74"/>
      <c r="DG74">
        <f>+Tabla31011704[[#This Row],[Longitud de eje]]*DB74</f>
        <v>0</v>
      </c>
      <c r="DH74"/>
      <c r="DI74">
        <v>1</v>
      </c>
      <c r="DJ74"/>
      <c r="DK74"/>
      <c r="DL74"/>
      <c r="DM74"/>
      <c r="DN74">
        <f>+Tabla3101170411[[#This Row],[Longitud de eje]]*DI74</f>
        <v>0</v>
      </c>
      <c r="DO74"/>
      <c r="DP74">
        <v>1</v>
      </c>
      <c r="DQ74"/>
      <c r="DR74"/>
      <c r="DS74"/>
      <c r="DT74"/>
      <c r="DU74">
        <f>+Tabla3101170411120[[#This Row],[Longitud de eje]]*DP74</f>
        <v>0</v>
      </c>
      <c r="DV74"/>
      <c r="DW74">
        <v>1</v>
      </c>
      <c r="DX74"/>
      <c r="DY74"/>
      <c r="DZ74"/>
      <c r="EA74"/>
      <c r="EB74">
        <f>+Tabla3101170411120122[[#This Row],[Longitud de eje]]*DW74</f>
        <v>0</v>
      </c>
      <c r="EC74"/>
      <c r="ED74">
        <v>1</v>
      </c>
      <c r="EE74" t="s">
        <v>1863</v>
      </c>
      <c r="EF74" t="s">
        <v>1524</v>
      </c>
      <c r="EG74" t="s">
        <v>1406</v>
      </c>
      <c r="EH74">
        <v>4.46</v>
      </c>
      <c r="EI74">
        <v>5</v>
      </c>
      <c r="EJ74">
        <f>+Tabla3101112[[#This Row],[En culmo]]*ED74</f>
        <v>5</v>
      </c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>
        <f>+Tabla310111257[[#This Row],[En culmo]]*ET74</f>
        <v>0</v>
      </c>
      <c r="FA74"/>
      <c r="FB74"/>
      <c r="FC74"/>
      <c r="FD74"/>
      <c r="FE74"/>
      <c r="FF74"/>
      <c r="FG74"/>
      <c r="FH74">
        <f>+Tabla310111257124[[#This Row],[En culmo]]*FB74</f>
        <v>0</v>
      </c>
      <c r="FI74"/>
      <c r="FK74"/>
      <c r="FL74"/>
      <c r="FM74"/>
      <c r="FN74"/>
      <c r="FO74"/>
      <c r="FP74"/>
      <c r="FQ74"/>
      <c r="FS74"/>
      <c r="FT74"/>
      <c r="FU74"/>
      <c r="FV74"/>
      <c r="FW74"/>
      <c r="FX74"/>
      <c r="FY74"/>
      <c r="GA74"/>
      <c r="GB74"/>
      <c r="GC74"/>
      <c r="GD74"/>
      <c r="GE74"/>
      <c r="GF74"/>
      <c r="GG74"/>
      <c r="GI74"/>
      <c r="GJ74"/>
      <c r="GK74"/>
      <c r="GL74"/>
      <c r="GM74"/>
      <c r="GN74"/>
      <c r="GO74"/>
      <c r="GQ74"/>
      <c r="GR74"/>
      <c r="GS74"/>
      <c r="GT74"/>
      <c r="GU74"/>
      <c r="GV74"/>
      <c r="GW74"/>
      <c r="GX74"/>
      <c r="GY74" s="36"/>
      <c r="HA74"/>
      <c r="HB74"/>
      <c r="HC74"/>
      <c r="HD74"/>
      <c r="HE74"/>
      <c r="HF74"/>
      <c r="HG74"/>
      <c r="HH74"/>
      <c r="HI74" s="36"/>
      <c r="HK74"/>
      <c r="HL74"/>
      <c r="HM74"/>
      <c r="HN74"/>
      <c r="HO74"/>
      <c r="HP74"/>
      <c r="HQ74"/>
      <c r="HR74"/>
      <c r="HS74" s="36"/>
      <c r="HU74"/>
      <c r="HV74"/>
      <c r="HW74"/>
      <c r="HX74"/>
      <c r="HY74"/>
      <c r="HZ74"/>
      <c r="IA74"/>
      <c r="IB74"/>
      <c r="IC74" s="36"/>
      <c r="IE74"/>
      <c r="IF74"/>
      <c r="IG74"/>
      <c r="IH74"/>
      <c r="II74"/>
      <c r="IJ74"/>
      <c r="IK74"/>
      <c r="IL74"/>
      <c r="IM74" s="36"/>
      <c r="IY74"/>
      <c r="IZ74"/>
      <c r="JA74"/>
      <c r="JB74"/>
      <c r="JC74"/>
      <c r="JD74"/>
      <c r="JE74" s="2">
        <f>+Tabla520212224[[#This Row],[Recuento]]*Tabla520212224[[#This Row],[Volúmen bruto]]</f>
        <v>0</v>
      </c>
      <c r="JF74" s="2">
        <f>+Tabla520212224[[#This Row],[Recuento]]*Tabla520212224[[#This Row],[Área neta]]</f>
        <v>0</v>
      </c>
      <c r="JG74" s="26"/>
      <c r="JI74"/>
      <c r="JJ74"/>
      <c r="JK74"/>
      <c r="JL74"/>
      <c r="JM74"/>
      <c r="JN74"/>
      <c r="JO74" s="2">
        <f>+Tabla52021222425[[#This Row],[Recuento]]*Tabla52021222425[[#This Row],[Volúmen bruto]]</f>
        <v>0</v>
      </c>
      <c r="JP74" s="2">
        <f>+Tabla52021222425[[#This Row],[Recuento]]*Tabla52021222425[[#This Row],[Área neta]]</f>
        <v>0</v>
      </c>
      <c r="JQ74" s="26"/>
      <c r="JS74" t="s">
        <v>1863</v>
      </c>
      <c r="JT74" t="s">
        <v>1524</v>
      </c>
      <c r="JU74" t="s">
        <v>1680</v>
      </c>
      <c r="JV74">
        <v>0.01</v>
      </c>
      <c r="JW74">
        <v>0.38</v>
      </c>
      <c r="JX74">
        <v>2</v>
      </c>
      <c r="JY74" s="2">
        <f>+Tabla5202122242526[[#This Row],[Recuento]]*Tabla5202122242526[[#This Row],[Volúmen bruto]]</f>
        <v>0.02</v>
      </c>
      <c r="JZ74" s="2">
        <f>+Tabla5202122242526[[#This Row],[Recuento]]*Tabla5202122242526[[#This Row],[Área neta]]</f>
        <v>0.76</v>
      </c>
      <c r="KA74" s="26"/>
      <c r="KC74"/>
      <c r="KD74"/>
      <c r="KE74"/>
      <c r="KF74"/>
      <c r="KG74"/>
      <c r="KH74"/>
      <c r="KI74" s="2">
        <f>+Tabla5202122242526104[[#This Row],[Recuento]]*Tabla5202122242526104[[#This Row],[Volúmen bruto]]</f>
        <v>0</v>
      </c>
      <c r="KJ74" s="2">
        <f>+Tabla5202122242526104[[#This Row],[Recuento]]*Tabla5202122242526104[[#This Row],[Área neta]]</f>
        <v>0</v>
      </c>
      <c r="KK74" s="26"/>
      <c r="KM74" t="s">
        <v>1863</v>
      </c>
      <c r="KN74" t="s">
        <v>1525</v>
      </c>
      <c r="KO74" t="s">
        <v>97</v>
      </c>
      <c r="KP74">
        <v>0.03</v>
      </c>
      <c r="KQ74">
        <v>1.4</v>
      </c>
      <c r="KR74">
        <v>1</v>
      </c>
      <c r="KS74" s="2">
        <f>+Tabla5202122242526104110[[#This Row],[Recuento]]*Tabla5202122242526104110[[#This Row],[Volúmen bruto]]</f>
        <v>0.03</v>
      </c>
      <c r="KT74" s="2">
        <f>+Tabla5202122242526104110[[#This Row],[Recuento]]*Tabla5202122242526104110[[#This Row],[Área neta]]</f>
        <v>1.4</v>
      </c>
      <c r="KU74" s="26"/>
      <c r="KW74"/>
      <c r="KX74"/>
      <c r="KY74"/>
      <c r="KZ74"/>
      <c r="LA74"/>
      <c r="LB74"/>
      <c r="LC74" s="2">
        <f>+Tabla520212224252659[[#This Row],[Recuento]]*Tabla520212224252659[[#This Row],[Volúmen bruto]]</f>
        <v>0</v>
      </c>
      <c r="LD74" s="2">
        <f>+Tabla520212224252659[[#This Row],[Recuento]]*Tabla520212224252659[[#This Row],[Área neta]]</f>
        <v>0</v>
      </c>
      <c r="LE74" s="26"/>
      <c r="LG74"/>
      <c r="LH74"/>
      <c r="LI74"/>
      <c r="LJ74"/>
      <c r="LK74"/>
      <c r="LL74"/>
      <c r="LM74" s="2">
        <f>+Tabla520212224252659111[[#This Row],[Recuento]]*Tabla520212224252659111[[#This Row],[Volúmen bruto]]</f>
        <v>0</v>
      </c>
      <c r="LN74" s="2">
        <f>+Tabla520212224252659111[[#This Row],[Recuento]]*Tabla520212224252659111[[#This Row],[Área neta]]</f>
        <v>0</v>
      </c>
      <c r="LO74" s="26"/>
      <c r="LQ74"/>
      <c r="LR74"/>
      <c r="LS74"/>
      <c r="LT74"/>
      <c r="LU74"/>
      <c r="LV74"/>
      <c r="LW74" s="2">
        <f>+Tabla520212224252659111114[[#This Row],[Recuento]]*Tabla520212224252659111114[[#This Row],[Volúmen bruto]]</f>
        <v>0</v>
      </c>
      <c r="LX74" s="2">
        <f>+Tabla520212224252659111114[[#This Row],[Recuento]]*Tabla520212224252659111114[[#This Row],[Área neta]]</f>
        <v>0</v>
      </c>
      <c r="LY74" s="26"/>
      <c r="MA74"/>
      <c r="MB74"/>
      <c r="MC74"/>
      <c r="MD74"/>
      <c r="ME74"/>
      <c r="MF74"/>
      <c r="MG74" s="2">
        <f>+Tabla520212224252659111114128[[#This Row],[Recuento]]*Tabla520212224252659111114128[[#This Row],[Volúmen bruto]]</f>
        <v>0</v>
      </c>
      <c r="MH74" s="2">
        <f>+Tabla520212224252659111114128[[#This Row],[Recuento]]*Tabla520212224252659111114128[[#This Row],[Área neta]]</f>
        <v>0</v>
      </c>
      <c r="MI74" s="26"/>
      <c r="MK74"/>
      <c r="ML74"/>
      <c r="MM74"/>
      <c r="MN74"/>
      <c r="MO74"/>
      <c r="MP74"/>
      <c r="MQ74">
        <f>+Tabla520212224252627[[#This Row],[Recuento]]*Tabla520212224252627[[#This Row],[Volúmen bruto]]</f>
        <v>0</v>
      </c>
      <c r="MR74">
        <f>+Tabla520212224252627[[#This Row],[Recuento]]*Tabla520212224252627[[#This Row],[Área neta]]</f>
        <v>0</v>
      </c>
      <c r="MS74" s="26"/>
      <c r="MU74"/>
      <c r="MV74"/>
      <c r="MW74"/>
      <c r="MX74"/>
      <c r="MY74"/>
      <c r="MZ74"/>
      <c r="NA74">
        <f>+Tabla520212224252627129[[#This Row],[Recuento]]*Tabla520212224252627129[[#This Row],[Volúmen bruto]]</f>
        <v>0</v>
      </c>
      <c r="NB74">
        <f>+Tabla520212224252627129[[#This Row],[Recuento]]*Tabla520212224252627129[[#This Row],[Área neta]]</f>
        <v>0</v>
      </c>
      <c r="NC74" s="26"/>
      <c r="NE74"/>
      <c r="NF74"/>
      <c r="NG74"/>
      <c r="NH74"/>
      <c r="NI74"/>
      <c r="NJ74"/>
      <c r="NK74">
        <f>+Tabla520212224252627129125[[#This Row],[Recuento]]*Tabla520212224252627129125[[#This Row],[Volúmen bruto]]</f>
        <v>0</v>
      </c>
      <c r="NL74">
        <f>+Tabla520212224252627129125[[#This Row],[Recuento]]*Tabla520212224252627129125[[#This Row],[Área neta]]</f>
        <v>0</v>
      </c>
      <c r="NM74" s="26"/>
      <c r="NO74"/>
      <c r="NP74"/>
      <c r="NQ74"/>
      <c r="NR74"/>
      <c r="NS74"/>
      <c r="NT74"/>
      <c r="NU74">
        <f>+Tabla520212224252627129125130[[#This Row],[Recuento]]*Tabla520212224252627129125130[[#This Row],[Volúmen bruto]]</f>
        <v>0</v>
      </c>
      <c r="NV74">
        <f>+Tabla520212224252627129125130[[#This Row],[Recuento]]*Tabla520212224252627129125130[[#This Row],[Área neta]]</f>
        <v>0</v>
      </c>
      <c r="NW74" s="26"/>
      <c r="NY74"/>
      <c r="NZ74"/>
      <c r="OA74"/>
      <c r="OB74"/>
      <c r="OC74"/>
      <c r="OD74"/>
      <c r="OE74">
        <f>+Tabla520212224252627129125130131[[#This Row],[Recuento]]*Tabla520212224252627129125130131[[#This Row],[Volúmen bruto]]</f>
        <v>0</v>
      </c>
      <c r="OF74">
        <f>+Tabla520212224252627129125130131[[#This Row],[Recuento]]*Tabla520212224252627129125130131[[#This Row],[Área neta]]</f>
        <v>0</v>
      </c>
      <c r="OG74" s="26"/>
      <c r="OI74"/>
      <c r="OJ74"/>
      <c r="OK74"/>
      <c r="OL74"/>
      <c r="OM74"/>
      <c r="ON74"/>
      <c r="OO74">
        <f>+Tabla520212224252627129125130131132[[#This Row],[Recuento]]*Tabla520212224252627129125130131132[[#This Row],[Volúmen bruto]]</f>
        <v>0</v>
      </c>
      <c r="OP74">
        <f>+Tabla520212224252627129125130131132[[#This Row],[Recuento]]*Tabla520212224252627129125130131132[[#This Row],[Área neta]]</f>
        <v>0</v>
      </c>
      <c r="OQ74" s="26"/>
      <c r="OS74"/>
      <c r="OT74"/>
      <c r="OU74"/>
      <c r="OV74"/>
      <c r="OW74"/>
      <c r="OX74"/>
      <c r="OY74">
        <f>+Tabla52021222425262728[[#This Row],[Recuento]]*Tabla52021222425262728[[#This Row],[Volúmen bruto]]</f>
        <v>0</v>
      </c>
      <c r="OZ74">
        <f>+Tabla52021222425262728[[#This Row],[Recuento]]*Tabla52021222425262728[[#This Row],[Área neta]]</f>
        <v>0</v>
      </c>
      <c r="PA74" s="26">
        <f t="shared" si="41"/>
        <v>0</v>
      </c>
      <c r="PC74"/>
      <c r="PD74"/>
      <c r="PE74"/>
      <c r="PF74"/>
      <c r="PG74"/>
      <c r="PH74"/>
      <c r="PI74">
        <f>+Tabla52021222425262728133[[#This Row],[Recuento]]*Tabla52021222425262728133[[#This Row],[Volúmen bruto]]</f>
        <v>0</v>
      </c>
      <c r="PJ74">
        <f>+Tabla52021222425262728133[[#This Row],[Recuento]]*Tabla52021222425262728133[[#This Row],[Área neta]]</f>
        <v>0</v>
      </c>
      <c r="PK74" s="26"/>
      <c r="PM74"/>
      <c r="PN74"/>
      <c r="PO74"/>
      <c r="PP74"/>
      <c r="PQ74"/>
      <c r="PR74"/>
      <c r="PS74">
        <f>+Tabla5202122242526272893[[#This Row],[Recuento]]*Tabla5202122242526272893[[#This Row],[Volúmen bruto]]</f>
        <v>0</v>
      </c>
      <c r="PT74">
        <f>+Tabla5202122242526272893[[#This Row],[Recuento]]*Tabla5202122242526272893[[#This Row],[Área neta]]</f>
        <v>0</v>
      </c>
      <c r="PU74" s="26"/>
      <c r="PW74"/>
      <c r="PX74"/>
      <c r="PY74"/>
      <c r="PZ74"/>
      <c r="QA74"/>
      <c r="QB74"/>
      <c r="QC74">
        <f>+Tabla520212224252627289349[[#This Row],[Recuento]]*Tabla520212224252627289349[[#This Row],[Volúmen bruto]]</f>
        <v>0</v>
      </c>
      <c r="QD74">
        <f>+Tabla520212224252627289349[[#This Row],[Recuento]]*Tabla520212224252627289349[[#This Row],[Área neta]]</f>
        <v>0</v>
      </c>
      <c r="QE74" s="26"/>
      <c r="QG74"/>
      <c r="QH74"/>
      <c r="QI74"/>
      <c r="QJ74"/>
      <c r="QK74"/>
      <c r="QL74"/>
      <c r="QM74">
        <f>+Tabla520212224252627289349134[[#This Row],[Recuento]]*Tabla520212224252627289349134[[#This Row],[Volúmen bruto]]</f>
        <v>0</v>
      </c>
      <c r="QN74">
        <f>+Tabla520212224252627289349134[[#This Row],[Recuento]]*Tabla520212224252627289349134[[#This Row],[Área neta]]</f>
        <v>0</v>
      </c>
      <c r="QO74" s="26"/>
      <c r="QQ74"/>
      <c r="QR74"/>
      <c r="QS74"/>
      <c r="QT74"/>
      <c r="QU74"/>
      <c r="QV74"/>
      <c r="QW74"/>
      <c r="QX74"/>
      <c r="QY74"/>
      <c r="QZ74"/>
      <c r="RA74" s="26"/>
      <c r="RC74"/>
      <c r="RD74"/>
      <c r="RE74"/>
      <c r="RF74"/>
      <c r="RG74"/>
      <c r="RH74"/>
      <c r="RI74"/>
      <c r="RJ74"/>
      <c r="RK74" s="26"/>
      <c r="RM74"/>
      <c r="RN74"/>
      <c r="RO74"/>
      <c r="RP74"/>
      <c r="RQ74"/>
      <c r="RR74"/>
      <c r="RS74"/>
      <c r="RT74"/>
      <c r="RU74" s="26">
        <f t="shared" si="42"/>
        <v>0</v>
      </c>
      <c r="RW74"/>
      <c r="RX74"/>
      <c r="RY74"/>
      <c r="RZ74"/>
      <c r="SA74"/>
      <c r="SB74"/>
      <c r="SC74"/>
      <c r="SD74"/>
      <c r="SE74" s="26"/>
      <c r="SG74"/>
      <c r="SH74"/>
      <c r="SI74"/>
      <c r="SJ74"/>
      <c r="SK74"/>
      <c r="SL74"/>
      <c r="SM74"/>
      <c r="SN74"/>
      <c r="SO74" s="26"/>
      <c r="YK74"/>
      <c r="YL74"/>
      <c r="YM74"/>
      <c r="YN74"/>
      <c r="YO74"/>
      <c r="ADD74" t="s">
        <v>1720</v>
      </c>
      <c r="ADE74">
        <v>1.45</v>
      </c>
      <c r="ADF74">
        <v>4</v>
      </c>
      <c r="ADG74" s="26">
        <f t="shared" si="43"/>
        <v>5.8</v>
      </c>
      <c r="ADJ74"/>
      <c r="ADK74"/>
      <c r="ADL74"/>
      <c r="ADM74"/>
      <c r="ADN74"/>
      <c r="ADO74"/>
      <c r="ADP74" s="35">
        <f>+SUM(ADM74:ADM75)</f>
        <v>0</v>
      </c>
      <c r="ADR74"/>
      <c r="ADS74"/>
      <c r="ADT74"/>
      <c r="ADU74"/>
      <c r="ADV74"/>
      <c r="ADW74" s="35"/>
      <c r="ADX74" s="35"/>
      <c r="ADY74"/>
      <c r="ADZ74"/>
      <c r="AEA74"/>
      <c r="AEB74"/>
      <c r="AEC74"/>
      <c r="AED74"/>
      <c r="AEE74" s="36"/>
      <c r="AEG74"/>
      <c r="AEH74"/>
      <c r="AEI74"/>
      <c r="AEJ74"/>
      <c r="AEL74" s="35"/>
      <c r="AEM74" s="35"/>
      <c r="AEN74" t="s">
        <v>1522</v>
      </c>
      <c r="AEO74" t="s">
        <v>1524</v>
      </c>
      <c r="AEP74" t="s">
        <v>381</v>
      </c>
      <c r="AEQ74">
        <v>0.45</v>
      </c>
      <c r="AER74">
        <v>1</v>
      </c>
      <c r="AES74">
        <f>+Tabla5789141516343536373839404142434445464748495051525355606264[[#This Row],[G. Total]]*Tabla5789141516343536373839404142434445464748495051525355606264[[#This Row],[Recuento]]</f>
        <v>0.45</v>
      </c>
      <c r="AET74" s="36"/>
      <c r="AEV74"/>
      <c r="AEW74"/>
      <c r="AEX74"/>
      <c r="AEY74"/>
      <c r="AEZ74"/>
      <c r="AFA74" s="35"/>
      <c r="AFC74"/>
      <c r="AFD74"/>
      <c r="AFE74"/>
      <c r="AFF74" s="33"/>
      <c r="AFG74"/>
      <c r="AFH74"/>
      <c r="AFI74"/>
      <c r="AFJ74"/>
      <c r="AFK74"/>
      <c r="AFL74"/>
      <c r="AFM74"/>
      <c r="AFN74">
        <f>+Tabla578914151634353637383940414243444546474849505152535560626467[[#This Row],[G. Total]]*Tabla578914151634353637383940414243444546474849505152535560626467[[#This Row],[Recuento]]</f>
        <v>0</v>
      </c>
      <c r="AFO74" s="36"/>
    </row>
    <row r="75" spans="2:847" x14ac:dyDescent="0.25">
      <c r="B75"/>
      <c r="C75"/>
      <c r="D75"/>
      <c r="E75"/>
      <c r="F75" s="33"/>
      <c r="G75" s="33"/>
      <c r="H75"/>
      <c r="I75"/>
      <c r="BG75"/>
      <c r="BH75"/>
      <c r="BI75"/>
      <c r="BJ75"/>
      <c r="BK75"/>
      <c r="BL75">
        <f>+Tabla3102[[#This Row],[Longitud de eje]]*BF75</f>
        <v>0</v>
      </c>
      <c r="BM75">
        <f>+Tabla3102[[#This Row],[Longitud de eje]]*BG75</f>
        <v>0</v>
      </c>
      <c r="BO75"/>
      <c r="BP75"/>
      <c r="BQ75"/>
      <c r="BR75"/>
      <c r="BS75"/>
      <c r="BT75">
        <f>+Tabla31069[[#This Row],[Longitud de eje]]*BN75</f>
        <v>0</v>
      </c>
      <c r="BU75">
        <f>+Tabla31069[[#This Row],[Longitud de eje]]*BO75</f>
        <v>0</v>
      </c>
      <c r="BV75"/>
      <c r="BW75"/>
      <c r="BX75"/>
      <c r="BY75"/>
      <c r="BZ75"/>
      <c r="CA75"/>
      <c r="CB75">
        <f>+Tabla31011[[#This Row],[Longitud de eje]]*BV75</f>
        <v>0</v>
      </c>
      <c r="CD75">
        <v>1</v>
      </c>
      <c r="CE75"/>
      <c r="CF75"/>
      <c r="CG75"/>
      <c r="CH75"/>
      <c r="CI75"/>
      <c r="CJ75"/>
      <c r="CK75"/>
      <c r="CL75"/>
      <c r="CM75"/>
      <c r="CN75"/>
      <c r="CO75"/>
      <c r="CP75"/>
      <c r="CQ75"/>
      <c r="CR75">
        <f>+Tabla31011116[[#This Row],[Longitud de eje]]*CL75</f>
        <v>0</v>
      </c>
      <c r="CT75">
        <v>1</v>
      </c>
      <c r="CU75"/>
      <c r="CV75"/>
      <c r="CW75"/>
      <c r="CX75"/>
      <c r="CY75"/>
      <c r="CZ75"/>
      <c r="DA75"/>
      <c r="DB75">
        <v>1</v>
      </c>
      <c r="DC75"/>
      <c r="DD75"/>
      <c r="DE75"/>
      <c r="DF75"/>
      <c r="DG75">
        <f>+Tabla31011704[[#This Row],[Longitud de eje]]*DB75</f>
        <v>0</v>
      </c>
      <c r="DH75"/>
      <c r="DI75">
        <v>1</v>
      </c>
      <c r="DJ75"/>
      <c r="DK75"/>
      <c r="DL75"/>
      <c r="DM75"/>
      <c r="DN75">
        <f>+Tabla3101170411[[#This Row],[Longitud de eje]]*DI75</f>
        <v>0</v>
      </c>
      <c r="DO75"/>
      <c r="DP75">
        <v>1</v>
      </c>
      <c r="DQ75"/>
      <c r="DR75"/>
      <c r="DS75"/>
      <c r="DT75"/>
      <c r="DU75">
        <f>+Tabla3101170411120[[#This Row],[Longitud de eje]]*DP75</f>
        <v>0</v>
      </c>
      <c r="DV75"/>
      <c r="DW75">
        <v>1</v>
      </c>
      <c r="DX75"/>
      <c r="DY75"/>
      <c r="DZ75"/>
      <c r="EA75"/>
      <c r="EB75">
        <f>+Tabla3101170411120122[[#This Row],[Longitud de eje]]*DW75</f>
        <v>0</v>
      </c>
      <c r="EC75"/>
      <c r="ED75">
        <v>12</v>
      </c>
      <c r="EE75" t="s">
        <v>1863</v>
      </c>
      <c r="EF75" t="s">
        <v>1524</v>
      </c>
      <c r="EG75" t="s">
        <v>1406</v>
      </c>
      <c r="EH75">
        <v>2.04</v>
      </c>
      <c r="EI75">
        <v>2.5</v>
      </c>
      <c r="EJ75">
        <f>+Tabla3101112[[#This Row],[En culmo]]*ED75</f>
        <v>30</v>
      </c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>
        <f>+Tabla310111257[[#This Row],[En culmo]]*ET75</f>
        <v>0</v>
      </c>
      <c r="FA75"/>
      <c r="FB75"/>
      <c r="FC75"/>
      <c r="FD75"/>
      <c r="FE75"/>
      <c r="FF75"/>
      <c r="FG75"/>
      <c r="FH75">
        <f>+Tabla310111257124[[#This Row],[En culmo]]*FB75</f>
        <v>0</v>
      </c>
      <c r="FI75"/>
      <c r="FK75"/>
      <c r="FL75"/>
      <c r="FM75"/>
      <c r="FN75"/>
      <c r="FO75"/>
      <c r="FP75"/>
      <c r="FQ75"/>
      <c r="FS75"/>
      <c r="FT75"/>
      <c r="FU75"/>
      <c r="FV75"/>
      <c r="FW75"/>
      <c r="FX75"/>
      <c r="FY75"/>
      <c r="GA75"/>
      <c r="GB75"/>
      <c r="GC75"/>
      <c r="GD75"/>
      <c r="GE75"/>
      <c r="GF75"/>
      <c r="GG75"/>
      <c r="GI75"/>
      <c r="GJ75"/>
      <c r="GK75"/>
      <c r="GL75"/>
      <c r="GM75"/>
      <c r="GN75"/>
      <c r="GO75"/>
      <c r="GQ75"/>
      <c r="GR75"/>
      <c r="GS75"/>
      <c r="GT75"/>
      <c r="GU75"/>
      <c r="GV75"/>
      <c r="GW75"/>
      <c r="GX75"/>
      <c r="GY75" s="36"/>
      <c r="HA75"/>
      <c r="HB75"/>
      <c r="HC75"/>
      <c r="HD75"/>
      <c r="HE75"/>
      <c r="HF75"/>
      <c r="HG75"/>
      <c r="HH75"/>
      <c r="HI75" s="36"/>
      <c r="HK75"/>
      <c r="HL75"/>
      <c r="HM75"/>
      <c r="HN75"/>
      <c r="HO75"/>
      <c r="HP75"/>
      <c r="HQ75"/>
      <c r="HR75"/>
      <c r="HS75" s="36"/>
      <c r="HU75"/>
      <c r="HV75"/>
      <c r="HW75"/>
      <c r="HX75"/>
      <c r="HY75"/>
      <c r="HZ75"/>
      <c r="IA75"/>
      <c r="IB75"/>
      <c r="IC75" s="35"/>
      <c r="IE75"/>
      <c r="IF75"/>
      <c r="IG75"/>
      <c r="IH75"/>
      <c r="II75"/>
      <c r="IJ75"/>
      <c r="IK75"/>
      <c r="IL75"/>
      <c r="IM75" s="35"/>
      <c r="IY75"/>
      <c r="IZ75"/>
      <c r="JA75"/>
      <c r="JB75"/>
      <c r="JC75"/>
      <c r="JD75"/>
      <c r="JE75" s="2">
        <f>+Tabla520212224[[#This Row],[Recuento]]*Tabla520212224[[#This Row],[Volúmen bruto]]</f>
        <v>0</v>
      </c>
      <c r="JF75" s="2">
        <f>+Tabla520212224[[#This Row],[Recuento]]*Tabla520212224[[#This Row],[Área neta]]</f>
        <v>0</v>
      </c>
      <c r="JG75" s="26"/>
      <c r="JI75"/>
      <c r="JJ75"/>
      <c r="JK75"/>
      <c r="JL75"/>
      <c r="JM75"/>
      <c r="JN75"/>
      <c r="JO75" s="2">
        <f>+Tabla52021222425[[#This Row],[Recuento]]*Tabla52021222425[[#This Row],[Volúmen bruto]]</f>
        <v>0</v>
      </c>
      <c r="JP75" s="2">
        <f>+Tabla52021222425[[#This Row],[Recuento]]*Tabla52021222425[[#This Row],[Área neta]]</f>
        <v>0</v>
      </c>
      <c r="JQ75" s="26"/>
      <c r="JS75" t="s">
        <v>1863</v>
      </c>
      <c r="JT75" t="s">
        <v>1524</v>
      </c>
      <c r="JU75" t="s">
        <v>1680</v>
      </c>
      <c r="JV75">
        <v>0.01</v>
      </c>
      <c r="JW75">
        <v>1.05</v>
      </c>
      <c r="JX75">
        <v>1</v>
      </c>
      <c r="JY75" s="2">
        <f>+Tabla5202122242526[[#This Row],[Recuento]]*Tabla5202122242526[[#This Row],[Volúmen bruto]]</f>
        <v>0.01</v>
      </c>
      <c r="JZ75" s="2">
        <f>+Tabla5202122242526[[#This Row],[Recuento]]*Tabla5202122242526[[#This Row],[Área neta]]</f>
        <v>1.05</v>
      </c>
      <c r="KA75" s="26"/>
      <c r="KC75"/>
      <c r="KD75"/>
      <c r="KE75"/>
      <c r="KF75"/>
      <c r="KG75"/>
      <c r="KH75"/>
      <c r="KI75" s="2">
        <f>+Tabla5202122242526104[[#This Row],[Recuento]]*Tabla5202122242526104[[#This Row],[Volúmen bruto]]</f>
        <v>0</v>
      </c>
      <c r="KJ75" s="2">
        <f>+Tabla5202122242526104[[#This Row],[Recuento]]*Tabla5202122242526104[[#This Row],[Área neta]]</f>
        <v>0</v>
      </c>
      <c r="KK75" s="26"/>
      <c r="KM75" t="s">
        <v>1863</v>
      </c>
      <c r="KN75" t="s">
        <v>1525</v>
      </c>
      <c r="KO75" t="s">
        <v>97</v>
      </c>
      <c r="KP75">
        <v>0.02</v>
      </c>
      <c r="KQ75">
        <v>0.84</v>
      </c>
      <c r="KR75">
        <v>1</v>
      </c>
      <c r="KS75" s="2">
        <f>+Tabla5202122242526104110[[#This Row],[Recuento]]*Tabla5202122242526104110[[#This Row],[Volúmen bruto]]</f>
        <v>0.02</v>
      </c>
      <c r="KT75" s="2">
        <f>+Tabla5202122242526104110[[#This Row],[Recuento]]*Tabla5202122242526104110[[#This Row],[Área neta]]</f>
        <v>0.84</v>
      </c>
      <c r="KU75" s="26"/>
      <c r="KW75"/>
      <c r="KX75"/>
      <c r="KY75"/>
      <c r="KZ75"/>
      <c r="LA75"/>
      <c r="LB75"/>
      <c r="LC75" s="2">
        <f>+Tabla520212224252659[[#This Row],[Recuento]]*Tabla520212224252659[[#This Row],[Volúmen bruto]]</f>
        <v>0</v>
      </c>
      <c r="LD75" s="2">
        <f>+Tabla520212224252659[[#This Row],[Recuento]]*Tabla520212224252659[[#This Row],[Área neta]]</f>
        <v>0</v>
      </c>
      <c r="LE75" s="26"/>
      <c r="LG75"/>
      <c r="LH75"/>
      <c r="LI75"/>
      <c r="LJ75"/>
      <c r="LK75"/>
      <c r="LL75"/>
      <c r="LM75" s="2">
        <f>+Tabla520212224252659111[[#This Row],[Recuento]]*Tabla520212224252659111[[#This Row],[Volúmen bruto]]</f>
        <v>0</v>
      </c>
      <c r="LN75" s="2">
        <f>+Tabla520212224252659111[[#This Row],[Recuento]]*Tabla520212224252659111[[#This Row],[Área neta]]</f>
        <v>0</v>
      </c>
      <c r="LO75" s="26"/>
      <c r="LQ75"/>
      <c r="LR75"/>
      <c r="LS75"/>
      <c r="LT75"/>
      <c r="LU75"/>
      <c r="LV75"/>
      <c r="LW75" s="2">
        <f>+Tabla520212224252659111114[[#This Row],[Recuento]]*Tabla520212224252659111114[[#This Row],[Volúmen bruto]]</f>
        <v>0</v>
      </c>
      <c r="LX75" s="2">
        <f>+Tabla520212224252659111114[[#This Row],[Recuento]]*Tabla520212224252659111114[[#This Row],[Área neta]]</f>
        <v>0</v>
      </c>
      <c r="LY75" s="26"/>
      <c r="MA75"/>
      <c r="MB75"/>
      <c r="MC75"/>
      <c r="MD75"/>
      <c r="ME75"/>
      <c r="MF75"/>
      <c r="MG75" s="2">
        <f>+Tabla520212224252659111114128[[#This Row],[Recuento]]*Tabla520212224252659111114128[[#This Row],[Volúmen bruto]]</f>
        <v>0</v>
      </c>
      <c r="MH75" s="2">
        <f>+Tabla520212224252659111114128[[#This Row],[Recuento]]*Tabla520212224252659111114128[[#This Row],[Área neta]]</f>
        <v>0</v>
      </c>
      <c r="MI75" s="26"/>
      <c r="MK75"/>
      <c r="ML75"/>
      <c r="MM75"/>
      <c r="MN75"/>
      <c r="MO75"/>
      <c r="MP75"/>
      <c r="MQ75">
        <f>+Tabla520212224252627[[#This Row],[Recuento]]*Tabla520212224252627[[#This Row],[Volúmen bruto]]</f>
        <v>0</v>
      </c>
      <c r="MR75">
        <f>+Tabla520212224252627[[#This Row],[Recuento]]*Tabla520212224252627[[#This Row],[Área neta]]</f>
        <v>0</v>
      </c>
      <c r="MS75" s="26"/>
      <c r="MU75"/>
      <c r="MV75"/>
      <c r="MW75"/>
      <c r="MX75"/>
      <c r="MY75"/>
      <c r="MZ75"/>
      <c r="NA75">
        <f>+Tabla520212224252627129[[#This Row],[Recuento]]*Tabla520212224252627129[[#This Row],[Volúmen bruto]]</f>
        <v>0</v>
      </c>
      <c r="NB75">
        <f>+Tabla520212224252627129[[#This Row],[Recuento]]*Tabla520212224252627129[[#This Row],[Área neta]]</f>
        <v>0</v>
      </c>
      <c r="NC75" s="26"/>
      <c r="NE75"/>
      <c r="NF75"/>
      <c r="NG75"/>
      <c r="NH75"/>
      <c r="NI75"/>
      <c r="NJ75"/>
      <c r="NK75">
        <f>+Tabla520212224252627129125[[#This Row],[Recuento]]*Tabla520212224252627129125[[#This Row],[Volúmen bruto]]</f>
        <v>0</v>
      </c>
      <c r="NL75">
        <f>+Tabla520212224252627129125[[#This Row],[Recuento]]*Tabla520212224252627129125[[#This Row],[Área neta]]</f>
        <v>0</v>
      </c>
      <c r="NM75" s="26"/>
      <c r="NO75"/>
      <c r="NP75"/>
      <c r="NQ75"/>
      <c r="NR75"/>
      <c r="NS75"/>
      <c r="NT75"/>
      <c r="NU75">
        <f>+Tabla520212224252627129125130[[#This Row],[Recuento]]*Tabla520212224252627129125130[[#This Row],[Volúmen bruto]]</f>
        <v>0</v>
      </c>
      <c r="NV75">
        <f>+Tabla520212224252627129125130[[#This Row],[Recuento]]*Tabla520212224252627129125130[[#This Row],[Área neta]]</f>
        <v>0</v>
      </c>
      <c r="NW75" s="26"/>
      <c r="NY75"/>
      <c r="NZ75"/>
      <c r="OA75"/>
      <c r="OB75"/>
      <c r="OC75"/>
      <c r="OD75"/>
      <c r="OE75">
        <f>+Tabla520212224252627129125130131[[#This Row],[Recuento]]*Tabla520212224252627129125130131[[#This Row],[Volúmen bruto]]</f>
        <v>0</v>
      </c>
      <c r="OF75">
        <f>+Tabla520212224252627129125130131[[#This Row],[Recuento]]*Tabla520212224252627129125130131[[#This Row],[Área neta]]</f>
        <v>0</v>
      </c>
      <c r="OG75" s="26"/>
      <c r="OI75"/>
      <c r="OJ75"/>
      <c r="OK75"/>
      <c r="OL75"/>
      <c r="OM75"/>
      <c r="ON75"/>
      <c r="OO75">
        <f>+Tabla520212224252627129125130131132[[#This Row],[Recuento]]*Tabla520212224252627129125130131132[[#This Row],[Volúmen bruto]]</f>
        <v>0</v>
      </c>
      <c r="OP75">
        <f>+Tabla520212224252627129125130131132[[#This Row],[Recuento]]*Tabla520212224252627129125130131132[[#This Row],[Área neta]]</f>
        <v>0</v>
      </c>
      <c r="OQ75" s="26"/>
      <c r="OS75"/>
      <c r="OT75"/>
      <c r="OU75"/>
      <c r="OV75"/>
      <c r="OW75"/>
      <c r="OX75"/>
      <c r="OY75">
        <f>+Tabla52021222425262728[[#This Row],[Recuento]]*Tabla52021222425262728[[#This Row],[Volúmen bruto]]</f>
        <v>0</v>
      </c>
      <c r="OZ75">
        <f>+Tabla52021222425262728[[#This Row],[Recuento]]*Tabla52021222425262728[[#This Row],[Área neta]]</f>
        <v>0</v>
      </c>
      <c r="PA75" s="26">
        <f t="shared" si="41"/>
        <v>0</v>
      </c>
      <c r="PC75"/>
      <c r="PD75"/>
      <c r="PE75"/>
      <c r="PF75"/>
      <c r="PG75"/>
      <c r="PH75"/>
      <c r="PI75">
        <f>+Tabla52021222425262728133[[#This Row],[Recuento]]*Tabla52021222425262728133[[#This Row],[Volúmen bruto]]</f>
        <v>0</v>
      </c>
      <c r="PJ75">
        <f>+Tabla52021222425262728133[[#This Row],[Recuento]]*Tabla52021222425262728133[[#This Row],[Área neta]]</f>
        <v>0</v>
      </c>
      <c r="PK75" s="26"/>
      <c r="PM75"/>
      <c r="PN75"/>
      <c r="PO75"/>
      <c r="PP75"/>
      <c r="PQ75"/>
      <c r="PR75"/>
      <c r="PS75">
        <f>+Tabla5202122242526272893[[#This Row],[Recuento]]*Tabla5202122242526272893[[#This Row],[Volúmen bruto]]</f>
        <v>0</v>
      </c>
      <c r="PT75">
        <f>+Tabla5202122242526272893[[#This Row],[Recuento]]*Tabla5202122242526272893[[#This Row],[Área neta]]</f>
        <v>0</v>
      </c>
      <c r="PU75" s="26"/>
      <c r="PW75"/>
      <c r="PX75"/>
      <c r="PY75"/>
      <c r="PZ75"/>
      <c r="QA75"/>
      <c r="QB75"/>
      <c r="QC75">
        <f>+Tabla520212224252627289349[[#This Row],[Recuento]]*Tabla520212224252627289349[[#This Row],[Volúmen bruto]]</f>
        <v>0</v>
      </c>
      <c r="QD75">
        <f>+Tabla520212224252627289349[[#This Row],[Recuento]]*Tabla520212224252627289349[[#This Row],[Área neta]]</f>
        <v>0</v>
      </c>
      <c r="QE75" s="26"/>
      <c r="QG75"/>
      <c r="QH75"/>
      <c r="QI75"/>
      <c r="QJ75"/>
      <c r="QK75"/>
      <c r="QL75"/>
      <c r="QM75">
        <f>+Tabla520212224252627289349134[[#This Row],[Recuento]]*Tabla520212224252627289349134[[#This Row],[Volúmen bruto]]</f>
        <v>0</v>
      </c>
      <c r="QN75">
        <f>+Tabla520212224252627289349134[[#This Row],[Recuento]]*Tabla520212224252627289349134[[#This Row],[Área neta]]</f>
        <v>0</v>
      </c>
      <c r="QO75" s="26"/>
      <c r="QQ75"/>
      <c r="QR75"/>
      <c r="QS75"/>
      <c r="QT75"/>
      <c r="QU75"/>
      <c r="QV75"/>
      <c r="QW75"/>
      <c r="QX75"/>
      <c r="QY75"/>
      <c r="QZ75"/>
      <c r="RA75" s="26"/>
      <c r="RC75"/>
      <c r="RD75"/>
      <c r="RE75"/>
      <c r="RF75"/>
      <c r="RG75"/>
      <c r="RH75"/>
      <c r="RI75"/>
      <c r="RJ75"/>
      <c r="RK75" s="26"/>
      <c r="RM75"/>
      <c r="RN75"/>
      <c r="RO75"/>
      <c r="RP75"/>
      <c r="RQ75"/>
      <c r="RR75"/>
      <c r="RS75"/>
      <c r="RT75"/>
      <c r="RU75" s="26">
        <f t="shared" si="42"/>
        <v>0</v>
      </c>
      <c r="RW75"/>
      <c r="RX75"/>
      <c r="RY75"/>
      <c r="RZ75"/>
      <c r="SA75"/>
      <c r="SB75"/>
      <c r="SC75"/>
      <c r="SD75"/>
      <c r="SE75" s="26"/>
      <c r="SG75"/>
      <c r="SH75"/>
      <c r="SI75"/>
      <c r="SJ75"/>
      <c r="SK75"/>
      <c r="SL75"/>
      <c r="SM75"/>
      <c r="SN75"/>
      <c r="SO75" s="26"/>
      <c r="YK75"/>
      <c r="YL75"/>
      <c r="YM75"/>
      <c r="YN75"/>
      <c r="YO75"/>
      <c r="ADD75" t="s">
        <v>1720</v>
      </c>
      <c r="ADE75">
        <v>1.1100000000000001</v>
      </c>
      <c r="ADF75">
        <v>3</v>
      </c>
      <c r="ADG75" s="26">
        <f t="shared" si="43"/>
        <v>3.33</v>
      </c>
      <c r="ADJ75"/>
      <c r="ADK75"/>
      <c r="ADL75"/>
      <c r="ADM75"/>
      <c r="ADN75"/>
      <c r="ADO75"/>
      <c r="ADP75" s="36"/>
      <c r="ADR75"/>
      <c r="ADS75"/>
      <c r="ADT75"/>
      <c r="ADU75"/>
      <c r="ADV75"/>
      <c r="ADW75" s="35"/>
      <c r="ADX75" s="35"/>
      <c r="ADY75"/>
      <c r="ADZ75"/>
      <c r="AEA75"/>
      <c r="AEB75"/>
      <c r="AEC75"/>
      <c r="AED75"/>
      <c r="AEE75" s="36"/>
      <c r="AEG75"/>
      <c r="AEH75"/>
      <c r="AEI75"/>
      <c r="AEJ75"/>
      <c r="AEL75" s="35"/>
      <c r="AEM75" s="35"/>
      <c r="AEN75" t="s">
        <v>1522</v>
      </c>
      <c r="AEO75" t="s">
        <v>1524</v>
      </c>
      <c r="AEP75" t="s">
        <v>381</v>
      </c>
      <c r="AEQ75">
        <v>0.1</v>
      </c>
      <c r="AER75">
        <v>1</v>
      </c>
      <c r="AES75">
        <f>+Tabla5789141516343536373839404142434445464748495051525355606264[[#This Row],[G. Total]]*Tabla5789141516343536373839404142434445464748495051525355606264[[#This Row],[Recuento]]</f>
        <v>0.1</v>
      </c>
      <c r="AET75" s="36"/>
      <c r="AEV75"/>
      <c r="AEW75"/>
      <c r="AEX75"/>
      <c r="AEY75"/>
      <c r="AEZ75"/>
      <c r="AFA75" s="35"/>
      <c r="AFC75"/>
      <c r="AFD75"/>
      <c r="AFE75"/>
      <c r="AFF75" s="33"/>
      <c r="AFG75"/>
      <c r="AFH75"/>
      <c r="AFI75"/>
      <c r="AFJ75"/>
      <c r="AFK75"/>
      <c r="AFL75"/>
      <c r="AFM75"/>
      <c r="AFN75">
        <f>+Tabla578914151634353637383940414243444546474849505152535560626467[[#This Row],[G. Total]]*Tabla578914151634353637383940414243444546474849505152535560626467[[#This Row],[Recuento]]</f>
        <v>0</v>
      </c>
      <c r="AFO75" s="36"/>
    </row>
    <row r="76" spans="2:847" x14ac:dyDescent="0.25">
      <c r="B76"/>
      <c r="C76"/>
      <c r="D76"/>
      <c r="E76"/>
      <c r="F76" s="33"/>
      <c r="G76" s="33"/>
      <c r="H76"/>
      <c r="I76"/>
      <c r="BG76"/>
      <c r="BH76"/>
      <c r="BI76"/>
      <c r="BJ76"/>
      <c r="BK76"/>
      <c r="BL76">
        <f>+Tabla3102[[#This Row],[Longitud de eje]]*BF76</f>
        <v>0</v>
      </c>
      <c r="BM76">
        <f>+Tabla3102[[#This Row],[Longitud de eje]]*BG76</f>
        <v>0</v>
      </c>
      <c r="BO76"/>
      <c r="BP76"/>
      <c r="BQ76"/>
      <c r="BR76"/>
      <c r="BS76"/>
      <c r="BT76">
        <f>+Tabla31069[[#This Row],[Longitud de eje]]*BN76</f>
        <v>0</v>
      </c>
      <c r="BU76">
        <f>+Tabla31069[[#This Row],[Longitud de eje]]*BO76</f>
        <v>0</v>
      </c>
      <c r="BV76"/>
      <c r="BW76"/>
      <c r="BX76"/>
      <c r="BY76"/>
      <c r="BZ76"/>
      <c r="CA76"/>
      <c r="CB76">
        <f>+Tabla31011[[#This Row],[Longitud de eje]]*BV76</f>
        <v>0</v>
      </c>
      <c r="CD76">
        <v>1</v>
      </c>
      <c r="CE76"/>
      <c r="CF76"/>
      <c r="CG76"/>
      <c r="CH76"/>
      <c r="CI76"/>
      <c r="CJ76"/>
      <c r="CK76"/>
      <c r="CL76"/>
      <c r="CM76"/>
      <c r="CN76"/>
      <c r="CO76"/>
      <c r="CP76"/>
      <c r="CQ76"/>
      <c r="CR76">
        <f>+Tabla31011116[[#This Row],[Longitud de eje]]*CL76</f>
        <v>0</v>
      </c>
      <c r="CT76">
        <v>1</v>
      </c>
      <c r="CU76"/>
      <c r="CV76"/>
      <c r="CW76"/>
      <c r="CX76"/>
      <c r="CY76"/>
      <c r="CZ76"/>
      <c r="DA76"/>
      <c r="DB76">
        <v>1</v>
      </c>
      <c r="DC76"/>
      <c r="DD76"/>
      <c r="DE76"/>
      <c r="DF76"/>
      <c r="DG76">
        <f>+Tabla31011704[[#This Row],[Longitud de eje]]*DB76</f>
        <v>0</v>
      </c>
      <c r="DH76"/>
      <c r="DI76">
        <v>1</v>
      </c>
      <c r="DJ76"/>
      <c r="DK76"/>
      <c r="DL76"/>
      <c r="DM76"/>
      <c r="DN76">
        <f>+Tabla3101170411[[#This Row],[Longitud de eje]]*DI76</f>
        <v>0</v>
      </c>
      <c r="DO76"/>
      <c r="DP76">
        <v>1</v>
      </c>
      <c r="DQ76"/>
      <c r="DR76"/>
      <c r="DS76"/>
      <c r="DT76"/>
      <c r="DU76">
        <f>+Tabla3101170411120[[#This Row],[Longitud de eje]]*DP76</f>
        <v>0</v>
      </c>
      <c r="DV76"/>
      <c r="DW76">
        <v>1</v>
      </c>
      <c r="DX76"/>
      <c r="DY76"/>
      <c r="DZ76"/>
      <c r="EA76"/>
      <c r="EB76">
        <f>+Tabla3101170411120122[[#This Row],[Longitud de eje]]*DW76</f>
        <v>0</v>
      </c>
      <c r="EC76"/>
      <c r="ED76">
        <v>2</v>
      </c>
      <c r="EE76" t="s">
        <v>1863</v>
      </c>
      <c r="EF76" t="s">
        <v>1524</v>
      </c>
      <c r="EG76" t="s">
        <v>1406</v>
      </c>
      <c r="EH76">
        <v>2.4500000000000002</v>
      </c>
      <c r="EI76">
        <v>3</v>
      </c>
      <c r="EJ76">
        <f>+Tabla3101112[[#This Row],[En culmo]]*ED76</f>
        <v>6</v>
      </c>
      <c r="EK76"/>
      <c r="EL76"/>
      <c r="EM76"/>
      <c r="EN76"/>
      <c r="EO76"/>
      <c r="EP76"/>
      <c r="EQ76"/>
      <c r="ER76">
        <f>+Tabla3101112123[[#This Row],[En culmo]]*EL76</f>
        <v>0</v>
      </c>
      <c r="ES76"/>
      <c r="ET76"/>
      <c r="EU76"/>
      <c r="EV76"/>
      <c r="EW76"/>
      <c r="EX76"/>
      <c r="EY76"/>
      <c r="EZ76">
        <f>+Tabla310111257[[#This Row],[En culmo]]*ET76</f>
        <v>0</v>
      </c>
      <c r="FA76"/>
      <c r="FB76"/>
      <c r="FC76"/>
      <c r="FD76"/>
      <c r="FE76"/>
      <c r="FF76"/>
      <c r="FG76"/>
      <c r="FH76">
        <f>+Tabla310111257124[[#This Row],[En culmo]]*FB76</f>
        <v>0</v>
      </c>
      <c r="FI76"/>
      <c r="FK76"/>
      <c r="FL76"/>
      <c r="FM76"/>
      <c r="FN76"/>
      <c r="FO76"/>
      <c r="FP76"/>
      <c r="FQ76"/>
      <c r="FS76"/>
      <c r="FT76"/>
      <c r="FU76"/>
      <c r="FV76"/>
      <c r="FW76"/>
      <c r="FX76"/>
      <c r="FY76"/>
      <c r="GA76"/>
      <c r="GB76"/>
      <c r="GC76"/>
      <c r="GD76"/>
      <c r="GE76"/>
      <c r="GF76"/>
      <c r="GG76"/>
      <c r="GI76"/>
      <c r="GJ76"/>
      <c r="GK76"/>
      <c r="GL76"/>
      <c r="GM76"/>
      <c r="GN76"/>
      <c r="GO76"/>
      <c r="GQ76"/>
      <c r="GR76"/>
      <c r="GS76"/>
      <c r="GT76"/>
      <c r="GU76"/>
      <c r="GV76"/>
      <c r="GW76"/>
      <c r="GX76"/>
      <c r="GY76" s="36"/>
      <c r="HA76"/>
      <c r="HB76"/>
      <c r="HC76"/>
      <c r="HD76"/>
      <c r="HE76"/>
      <c r="HF76"/>
      <c r="HG76"/>
      <c r="HH76"/>
      <c r="HI76" s="36"/>
      <c r="HK76"/>
      <c r="HL76"/>
      <c r="HM76"/>
      <c r="HN76"/>
      <c r="HO76"/>
      <c r="HP76"/>
      <c r="HQ76"/>
      <c r="HR76"/>
      <c r="HS76" s="36"/>
      <c r="HU76"/>
      <c r="HV76"/>
      <c r="HW76"/>
      <c r="HX76"/>
      <c r="HY76"/>
      <c r="HZ76"/>
      <c r="IA76"/>
      <c r="IB76"/>
      <c r="IC76" s="36"/>
      <c r="IE76"/>
      <c r="IF76"/>
      <c r="IG76"/>
      <c r="IH76"/>
      <c r="II76"/>
      <c r="IJ76"/>
      <c r="IK76"/>
      <c r="IL76"/>
      <c r="IM76" s="36"/>
      <c r="IY76"/>
      <c r="IZ76"/>
      <c r="JA76"/>
      <c r="JB76"/>
      <c r="JC76"/>
      <c r="JD76"/>
      <c r="JE76" s="2">
        <f>+Tabla520212224[[#This Row],[Recuento]]*Tabla520212224[[#This Row],[Volúmen bruto]]</f>
        <v>0</v>
      </c>
      <c r="JF76" s="2">
        <f>+Tabla520212224[[#This Row],[Recuento]]*Tabla520212224[[#This Row],[Área neta]]</f>
        <v>0</v>
      </c>
      <c r="JG76" s="26"/>
      <c r="JI76"/>
      <c r="JJ76"/>
      <c r="JK76"/>
      <c r="JL76"/>
      <c r="JM76"/>
      <c r="JN76"/>
      <c r="JO76" s="2">
        <f>+Tabla52021222425[[#This Row],[Recuento]]*Tabla52021222425[[#This Row],[Volúmen bruto]]</f>
        <v>0</v>
      </c>
      <c r="JP76" s="2">
        <f>+Tabla52021222425[[#This Row],[Recuento]]*Tabla52021222425[[#This Row],[Área neta]]</f>
        <v>0</v>
      </c>
      <c r="JQ76" s="26"/>
      <c r="JS76" t="s">
        <v>1863</v>
      </c>
      <c r="JT76" t="s">
        <v>1525</v>
      </c>
      <c r="JU76" t="s">
        <v>1680</v>
      </c>
      <c r="JV76">
        <v>0.01</v>
      </c>
      <c r="JW76">
        <v>2.35</v>
      </c>
      <c r="JX76">
        <v>1</v>
      </c>
      <c r="JY76" s="2">
        <f>+Tabla5202122242526[[#This Row],[Recuento]]*Tabla5202122242526[[#This Row],[Volúmen bruto]]</f>
        <v>0.01</v>
      </c>
      <c r="JZ76" s="2">
        <f>+Tabla5202122242526[[#This Row],[Recuento]]*Tabla5202122242526[[#This Row],[Área neta]]</f>
        <v>2.35</v>
      </c>
      <c r="KA76" s="26"/>
      <c r="KC76"/>
      <c r="KD76"/>
      <c r="KE76"/>
      <c r="KF76"/>
      <c r="KG76"/>
      <c r="KH76"/>
      <c r="KI76" s="2">
        <f>+Tabla5202122242526104[[#This Row],[Recuento]]*Tabla5202122242526104[[#This Row],[Volúmen bruto]]</f>
        <v>0</v>
      </c>
      <c r="KJ76" s="2">
        <f>+Tabla5202122242526104[[#This Row],[Recuento]]*Tabla5202122242526104[[#This Row],[Área neta]]</f>
        <v>0</v>
      </c>
      <c r="KK76" s="26"/>
      <c r="KM76" t="s">
        <v>1863</v>
      </c>
      <c r="KN76" t="s">
        <v>1525</v>
      </c>
      <c r="KO76" t="s">
        <v>97</v>
      </c>
      <c r="KP76">
        <v>0.1</v>
      </c>
      <c r="KQ76">
        <v>3.11</v>
      </c>
      <c r="KR76">
        <v>1</v>
      </c>
      <c r="KS76" s="2">
        <f>+Tabla5202122242526104110[[#This Row],[Recuento]]*Tabla5202122242526104110[[#This Row],[Volúmen bruto]]</f>
        <v>0.1</v>
      </c>
      <c r="KT76" s="2">
        <f>+Tabla5202122242526104110[[#This Row],[Recuento]]*Tabla5202122242526104110[[#This Row],[Área neta]]</f>
        <v>3.11</v>
      </c>
      <c r="KU76" s="26"/>
      <c r="KW76"/>
      <c r="KX76"/>
      <c r="KY76"/>
      <c r="KZ76"/>
      <c r="LA76"/>
      <c r="LB76"/>
      <c r="LC76" s="2">
        <f>+Tabla520212224252659[[#This Row],[Recuento]]*Tabla520212224252659[[#This Row],[Volúmen bruto]]</f>
        <v>0</v>
      </c>
      <c r="LD76" s="2">
        <f>+Tabla520212224252659[[#This Row],[Recuento]]*Tabla520212224252659[[#This Row],[Área neta]]</f>
        <v>0</v>
      </c>
      <c r="LE76" s="26"/>
      <c r="LG76"/>
      <c r="LH76"/>
      <c r="LI76"/>
      <c r="LJ76"/>
      <c r="LK76"/>
      <c r="LL76"/>
      <c r="LM76" s="2">
        <f>+Tabla520212224252659111[[#This Row],[Recuento]]*Tabla520212224252659111[[#This Row],[Volúmen bruto]]</f>
        <v>0</v>
      </c>
      <c r="LN76" s="2">
        <f>+Tabla520212224252659111[[#This Row],[Recuento]]*Tabla520212224252659111[[#This Row],[Área neta]]</f>
        <v>0</v>
      </c>
      <c r="LO76" s="26"/>
      <c r="LQ76"/>
      <c r="LR76"/>
      <c r="LS76"/>
      <c r="LT76"/>
      <c r="LU76"/>
      <c r="LV76"/>
      <c r="LW76" s="2">
        <f>+Tabla520212224252659111114[[#This Row],[Recuento]]*Tabla520212224252659111114[[#This Row],[Volúmen bruto]]</f>
        <v>0</v>
      </c>
      <c r="LX76" s="2">
        <f>+Tabla520212224252659111114[[#This Row],[Recuento]]*Tabla520212224252659111114[[#This Row],[Área neta]]</f>
        <v>0</v>
      </c>
      <c r="LY76" s="26"/>
      <c r="MA76"/>
      <c r="MB76"/>
      <c r="MC76"/>
      <c r="MD76"/>
      <c r="ME76"/>
      <c r="MF76"/>
      <c r="MG76" s="2">
        <f>+Tabla520212224252659111114128[[#This Row],[Recuento]]*Tabla520212224252659111114128[[#This Row],[Volúmen bruto]]</f>
        <v>0</v>
      </c>
      <c r="MH76" s="2">
        <f>+Tabla520212224252659111114128[[#This Row],[Recuento]]*Tabla520212224252659111114128[[#This Row],[Área neta]]</f>
        <v>0</v>
      </c>
      <c r="MI76" s="26"/>
      <c r="MK76"/>
      <c r="ML76"/>
      <c r="MM76"/>
      <c r="MN76"/>
      <c r="MO76"/>
      <c r="MP76"/>
      <c r="MQ76">
        <f>+Tabla520212224252627[[#This Row],[Recuento]]*Tabla520212224252627[[#This Row],[Volúmen bruto]]</f>
        <v>0</v>
      </c>
      <c r="MR76">
        <f>+Tabla520212224252627[[#This Row],[Recuento]]*Tabla520212224252627[[#This Row],[Área neta]]</f>
        <v>0</v>
      </c>
      <c r="MS76" s="26">
        <f>+SUM(MR76:MR79)</f>
        <v>0</v>
      </c>
      <c r="MU76"/>
      <c r="MV76"/>
      <c r="MW76"/>
      <c r="MX76"/>
      <c r="MY76"/>
      <c r="MZ76"/>
      <c r="NA76">
        <f>+Tabla520212224252627129[[#This Row],[Recuento]]*Tabla520212224252627129[[#This Row],[Volúmen bruto]]</f>
        <v>0</v>
      </c>
      <c r="NB76">
        <f>+Tabla520212224252627129[[#This Row],[Recuento]]*Tabla520212224252627129[[#This Row],[Área neta]]</f>
        <v>0</v>
      </c>
      <c r="NC76" s="26">
        <f>+SUM(NB76:NB79)</f>
        <v>0</v>
      </c>
      <c r="NE76"/>
      <c r="NF76"/>
      <c r="NG76"/>
      <c r="NH76"/>
      <c r="NI76"/>
      <c r="NJ76"/>
      <c r="NK76">
        <f>+Tabla520212224252627129125[[#This Row],[Recuento]]*Tabla520212224252627129125[[#This Row],[Volúmen bruto]]</f>
        <v>0</v>
      </c>
      <c r="NL76">
        <f>+Tabla520212224252627129125[[#This Row],[Recuento]]*Tabla520212224252627129125[[#This Row],[Área neta]]</f>
        <v>0</v>
      </c>
      <c r="NM76" s="26">
        <f>+SUM(NL76:NL79)</f>
        <v>0</v>
      </c>
      <c r="NO76"/>
      <c r="NP76"/>
      <c r="NQ76"/>
      <c r="NR76"/>
      <c r="NS76"/>
      <c r="NT76"/>
      <c r="NU76">
        <f>+Tabla520212224252627129125130[[#This Row],[Recuento]]*Tabla520212224252627129125130[[#This Row],[Volúmen bruto]]</f>
        <v>0</v>
      </c>
      <c r="NV76">
        <f>+Tabla520212224252627129125130[[#This Row],[Recuento]]*Tabla520212224252627129125130[[#This Row],[Área neta]]</f>
        <v>0</v>
      </c>
      <c r="NW76" s="26">
        <f>+SUM(NV76:NV79)</f>
        <v>0</v>
      </c>
      <c r="NY76"/>
      <c r="NZ76"/>
      <c r="OA76"/>
      <c r="OB76"/>
      <c r="OC76"/>
      <c r="OD76"/>
      <c r="OE76">
        <f>+Tabla520212224252627129125130131[[#This Row],[Recuento]]*Tabla520212224252627129125130131[[#This Row],[Volúmen bruto]]</f>
        <v>0</v>
      </c>
      <c r="OF76">
        <f>+Tabla520212224252627129125130131[[#This Row],[Recuento]]*Tabla520212224252627129125130131[[#This Row],[Área neta]]</f>
        <v>0</v>
      </c>
      <c r="OG76" s="26">
        <f>+SUM(OF76:OF79)</f>
        <v>0</v>
      </c>
      <c r="OI76"/>
      <c r="OJ76"/>
      <c r="OK76"/>
      <c r="OL76"/>
      <c r="OM76"/>
      <c r="ON76"/>
      <c r="OO76">
        <f>+Tabla520212224252627129125130131132[[#This Row],[Recuento]]*Tabla520212224252627129125130131132[[#This Row],[Volúmen bruto]]</f>
        <v>0</v>
      </c>
      <c r="OP76">
        <f>+Tabla520212224252627129125130131132[[#This Row],[Recuento]]*Tabla520212224252627129125130131132[[#This Row],[Área neta]]</f>
        <v>0</v>
      </c>
      <c r="OQ76" s="26">
        <f>+SUM(OP76:OP79)</f>
        <v>0</v>
      </c>
      <c r="OS76"/>
      <c r="OT76"/>
      <c r="OU76"/>
      <c r="OV76"/>
      <c r="OW76"/>
      <c r="OX76"/>
      <c r="OY76">
        <f>+Tabla52021222425262728[[#This Row],[Recuento]]*Tabla52021222425262728[[#This Row],[Volúmen bruto]]</f>
        <v>0</v>
      </c>
      <c r="OZ76">
        <f>+Tabla52021222425262728[[#This Row],[Recuento]]*Tabla52021222425262728[[#This Row],[Área neta]]</f>
        <v>0</v>
      </c>
      <c r="PA76" s="26">
        <f t="shared" si="41"/>
        <v>0</v>
      </c>
      <c r="PC76"/>
      <c r="PD76"/>
      <c r="PE76"/>
      <c r="PF76"/>
      <c r="PG76"/>
      <c r="PH76"/>
      <c r="PI76">
        <f>+Tabla52021222425262728133[[#This Row],[Recuento]]*Tabla52021222425262728133[[#This Row],[Volúmen bruto]]</f>
        <v>0</v>
      </c>
      <c r="PJ76">
        <f>+Tabla52021222425262728133[[#This Row],[Recuento]]*Tabla52021222425262728133[[#This Row],[Área neta]]</f>
        <v>0</v>
      </c>
      <c r="PK76" s="26"/>
      <c r="PM76"/>
      <c r="PN76"/>
      <c r="PO76"/>
      <c r="PP76"/>
      <c r="PQ76"/>
      <c r="PR76"/>
      <c r="PS76">
        <f>+Tabla5202122242526272893[[#This Row],[Recuento]]*Tabla5202122242526272893[[#This Row],[Volúmen bruto]]</f>
        <v>0</v>
      </c>
      <c r="PT76">
        <f>+Tabla5202122242526272893[[#This Row],[Recuento]]*Tabla5202122242526272893[[#This Row],[Área neta]]</f>
        <v>0</v>
      </c>
      <c r="PU76" s="26"/>
      <c r="PW76"/>
      <c r="PX76"/>
      <c r="PY76"/>
      <c r="PZ76"/>
      <c r="QA76"/>
      <c r="QB76"/>
      <c r="QC76">
        <f>+Tabla520212224252627289349[[#This Row],[Recuento]]*Tabla520212224252627289349[[#This Row],[Volúmen bruto]]</f>
        <v>0</v>
      </c>
      <c r="QD76">
        <f>+Tabla520212224252627289349[[#This Row],[Recuento]]*Tabla520212224252627289349[[#This Row],[Área neta]]</f>
        <v>0</v>
      </c>
      <c r="QE76" s="26"/>
      <c r="QG76"/>
      <c r="QH76"/>
      <c r="QI76"/>
      <c r="QJ76"/>
      <c r="QK76"/>
      <c r="QL76"/>
      <c r="QM76">
        <f>+Tabla520212224252627289349134[[#This Row],[Recuento]]*Tabla520212224252627289349134[[#This Row],[Volúmen bruto]]</f>
        <v>0</v>
      </c>
      <c r="QN76">
        <f>+Tabla520212224252627289349134[[#This Row],[Recuento]]*Tabla520212224252627289349134[[#This Row],[Área neta]]</f>
        <v>0</v>
      </c>
      <c r="QO76" s="26"/>
      <c r="QQ76"/>
      <c r="QR76"/>
      <c r="QS76"/>
      <c r="QT76"/>
      <c r="QU76"/>
      <c r="QV76"/>
      <c r="QW76"/>
      <c r="QX76"/>
      <c r="QY76"/>
      <c r="QZ76"/>
      <c r="RA76" s="26"/>
      <c r="RC76"/>
      <c r="RD76"/>
      <c r="RE76"/>
      <c r="RF76"/>
      <c r="RG76"/>
      <c r="RH76"/>
      <c r="RI76"/>
      <c r="RJ76"/>
      <c r="RK76" s="26"/>
      <c r="RM76"/>
      <c r="RN76"/>
      <c r="RO76"/>
      <c r="RP76"/>
      <c r="RQ76"/>
      <c r="RR76"/>
      <c r="RS76"/>
      <c r="RT76"/>
      <c r="RU76" s="26">
        <f t="shared" si="42"/>
        <v>0</v>
      </c>
      <c r="RW76"/>
      <c r="RX76"/>
      <c r="RY76"/>
      <c r="RZ76"/>
      <c r="SA76"/>
      <c r="SB76"/>
      <c r="SC76"/>
      <c r="SD76"/>
      <c r="SE76" s="26"/>
      <c r="SG76"/>
      <c r="SH76"/>
      <c r="SI76"/>
      <c r="SJ76"/>
      <c r="SK76"/>
      <c r="SL76"/>
      <c r="SM76"/>
      <c r="SN76"/>
      <c r="SO76" s="26"/>
      <c r="YK76"/>
      <c r="YL76"/>
      <c r="YM76"/>
      <c r="YN76"/>
      <c r="YO76"/>
      <c r="ADD76" t="s">
        <v>1720</v>
      </c>
      <c r="ADE76">
        <v>0.56999999999999995</v>
      </c>
      <c r="ADF76">
        <v>2</v>
      </c>
      <c r="ADG76" s="26">
        <f t="shared" si="43"/>
        <v>1.1399999999999999</v>
      </c>
      <c r="ADJ76"/>
      <c r="ADK76"/>
      <c r="ADL76"/>
      <c r="ADM76"/>
      <c r="ADN76"/>
      <c r="ADO76"/>
      <c r="ADP76" s="35">
        <f>+SUM(ADM76:ADM104)</f>
        <v>0</v>
      </c>
      <c r="ADR76"/>
      <c r="ADS76"/>
      <c r="ADT76"/>
      <c r="ADU76"/>
      <c r="ADV76"/>
      <c r="ADW76" s="35"/>
      <c r="ADX76" s="35"/>
      <c r="ADY76"/>
      <c r="ADZ76"/>
      <c r="AEA76"/>
      <c r="AEB76"/>
      <c r="AEC76"/>
      <c r="AED76"/>
      <c r="AEE76" s="35"/>
      <c r="AEG76"/>
      <c r="AEH76"/>
      <c r="AEI76"/>
      <c r="AEJ76"/>
      <c r="AEL76" s="35"/>
      <c r="AEM76" s="35"/>
      <c r="AEN76" t="s">
        <v>1522</v>
      </c>
      <c r="AEO76" t="s">
        <v>1524</v>
      </c>
      <c r="AEP76" t="s">
        <v>381</v>
      </c>
      <c r="AEQ76">
        <v>0.11</v>
      </c>
      <c r="AER76">
        <v>1</v>
      </c>
      <c r="AES76">
        <f>+Tabla5789141516343536373839404142434445464748495051525355606264[[#This Row],[G. Total]]*Tabla5789141516343536373839404142434445464748495051525355606264[[#This Row],[Recuento]]</f>
        <v>0.11</v>
      </c>
      <c r="AET76" s="35"/>
      <c r="AEV76"/>
      <c r="AEW76"/>
      <c r="AEX76"/>
      <c r="AEY76"/>
      <c r="AEZ76"/>
      <c r="AFA76" s="35"/>
      <c r="AFC76"/>
      <c r="AFD76"/>
      <c r="AFE76"/>
      <c r="AFF76" s="33"/>
      <c r="AFG76"/>
      <c r="AFH76"/>
      <c r="AFI76"/>
      <c r="AFJ76"/>
      <c r="AFK76"/>
      <c r="AFL76"/>
      <c r="AFM76"/>
      <c r="AFN76">
        <f>+Tabla578914151634353637383940414243444546474849505152535560626467[[#This Row],[G. Total]]*Tabla578914151634353637383940414243444546474849505152535560626467[[#This Row],[Recuento]]</f>
        <v>0</v>
      </c>
      <c r="AFO76" s="35">
        <f>+SUM(AFN76:AFN115)</f>
        <v>0</v>
      </c>
    </row>
    <row r="77" spans="2:847" x14ac:dyDescent="0.25">
      <c r="B77"/>
      <c r="C77"/>
      <c r="D77"/>
      <c r="E77"/>
      <c r="F77" s="33"/>
      <c r="G77" s="33"/>
      <c r="H77"/>
      <c r="I77"/>
      <c r="BG77"/>
      <c r="BH77"/>
      <c r="BI77"/>
      <c r="BJ77"/>
      <c r="BK77"/>
      <c r="BL77">
        <f>+Tabla3102[[#This Row],[Longitud de eje]]*BF77</f>
        <v>0</v>
      </c>
      <c r="BM77">
        <f>+Tabla3102[[#This Row],[Longitud de eje]]*BG77</f>
        <v>0</v>
      </c>
      <c r="BO77"/>
      <c r="BP77"/>
      <c r="BQ77"/>
      <c r="BR77"/>
      <c r="BS77"/>
      <c r="BT77">
        <f>+Tabla31069[[#This Row],[Longitud de eje]]*BN77</f>
        <v>0</v>
      </c>
      <c r="BU77">
        <f>+Tabla31069[[#This Row],[Longitud de eje]]*BO77</f>
        <v>0</v>
      </c>
      <c r="BV77"/>
      <c r="BW77"/>
      <c r="BX77"/>
      <c r="BY77"/>
      <c r="BZ77"/>
      <c r="CA77"/>
      <c r="CB77">
        <f>+Tabla31011[[#This Row],[Longitud de eje]]*BV77</f>
        <v>0</v>
      </c>
      <c r="CD77">
        <v>1</v>
      </c>
      <c r="CE77"/>
      <c r="CF77"/>
      <c r="CG77"/>
      <c r="CH77"/>
      <c r="CI77"/>
      <c r="CJ77"/>
      <c r="CK77"/>
      <c r="CL77"/>
      <c r="CM77"/>
      <c r="CN77"/>
      <c r="CO77"/>
      <c r="CP77"/>
      <c r="CQ77"/>
      <c r="CR77">
        <f>+Tabla31011116[[#This Row],[Longitud de eje]]*CL77</f>
        <v>0</v>
      </c>
      <c r="CT77">
        <v>1</v>
      </c>
      <c r="CU77"/>
      <c r="CV77"/>
      <c r="CW77"/>
      <c r="CX77"/>
      <c r="CY77"/>
      <c r="CZ77"/>
      <c r="DA77"/>
      <c r="DB77">
        <v>1</v>
      </c>
      <c r="DC77"/>
      <c r="DD77"/>
      <c r="DE77"/>
      <c r="DF77"/>
      <c r="DG77">
        <f>+Tabla31011704[[#This Row],[Longitud de eje]]*DB77</f>
        <v>0</v>
      </c>
      <c r="DH77"/>
      <c r="DI77">
        <v>1</v>
      </c>
      <c r="DJ77"/>
      <c r="DK77"/>
      <c r="DL77"/>
      <c r="DM77"/>
      <c r="DN77">
        <f>+Tabla3101170411[[#This Row],[Longitud de eje]]*DI77</f>
        <v>0</v>
      </c>
      <c r="DO77"/>
      <c r="DP77">
        <v>1</v>
      </c>
      <c r="DQ77"/>
      <c r="DR77"/>
      <c r="DS77"/>
      <c r="DT77"/>
      <c r="DU77">
        <f>+Tabla3101170411120[[#This Row],[Longitud de eje]]*DP77</f>
        <v>0</v>
      </c>
      <c r="DV77"/>
      <c r="DW77">
        <v>1</v>
      </c>
      <c r="DX77"/>
      <c r="DY77"/>
      <c r="DZ77"/>
      <c r="EA77"/>
      <c r="EB77">
        <f>+Tabla3101170411120122[[#This Row],[Longitud de eje]]*DW77</f>
        <v>0</v>
      </c>
      <c r="EC77"/>
      <c r="ED77">
        <v>4</v>
      </c>
      <c r="EE77" t="s">
        <v>1863</v>
      </c>
      <c r="EF77" t="s">
        <v>1524</v>
      </c>
      <c r="EG77" t="s">
        <v>1406</v>
      </c>
      <c r="EH77">
        <v>1.49</v>
      </c>
      <c r="EI77">
        <v>2</v>
      </c>
      <c r="EJ77">
        <f>+Tabla3101112[[#This Row],[En culmo]]*ED77</f>
        <v>8</v>
      </c>
      <c r="EK77"/>
      <c r="EL77"/>
      <c r="EM77"/>
      <c r="EN77"/>
      <c r="EO77"/>
      <c r="EP77"/>
      <c r="EQ77"/>
      <c r="ER77">
        <f>+Tabla3101112123[[#This Row],[En culmo]]*EL77</f>
        <v>0</v>
      </c>
      <c r="ES77"/>
      <c r="ET77"/>
      <c r="EU77"/>
      <c r="EV77"/>
      <c r="EW77"/>
      <c r="EX77"/>
      <c r="EY77"/>
      <c r="EZ77">
        <f>+Tabla310111257[[#This Row],[En culmo]]*ET77</f>
        <v>0</v>
      </c>
      <c r="FA77"/>
      <c r="FB77"/>
      <c r="FC77"/>
      <c r="FD77"/>
      <c r="FE77"/>
      <c r="FF77"/>
      <c r="FG77"/>
      <c r="FH77">
        <f>+Tabla310111257124[[#This Row],[En culmo]]*FB77</f>
        <v>0</v>
      </c>
      <c r="FI77"/>
      <c r="FK77"/>
      <c r="FL77"/>
      <c r="FM77"/>
      <c r="FN77"/>
      <c r="FO77"/>
      <c r="FP77"/>
      <c r="FQ77"/>
      <c r="FS77"/>
      <c r="FT77"/>
      <c r="FU77"/>
      <c r="FV77"/>
      <c r="FW77"/>
      <c r="FX77"/>
      <c r="FY77"/>
      <c r="GA77"/>
      <c r="GB77"/>
      <c r="GC77"/>
      <c r="GD77"/>
      <c r="GE77"/>
      <c r="GF77"/>
      <c r="GG77"/>
      <c r="GI77"/>
      <c r="GJ77"/>
      <c r="GK77"/>
      <c r="GL77"/>
      <c r="GM77"/>
      <c r="GN77"/>
      <c r="GO77"/>
      <c r="GQ77"/>
      <c r="GR77"/>
      <c r="GS77"/>
      <c r="GT77"/>
      <c r="GU77"/>
      <c r="GV77"/>
      <c r="GW77"/>
      <c r="GX77"/>
      <c r="GY77" s="36"/>
      <c r="HA77"/>
      <c r="HB77"/>
      <c r="HC77"/>
      <c r="HD77"/>
      <c r="HE77"/>
      <c r="HF77"/>
      <c r="HG77"/>
      <c r="HH77"/>
      <c r="HI77" s="36"/>
      <c r="HK77"/>
      <c r="HL77"/>
      <c r="HM77"/>
      <c r="HN77"/>
      <c r="HO77"/>
      <c r="HP77"/>
      <c r="HQ77"/>
      <c r="HR77"/>
      <c r="HS77" s="36"/>
      <c r="HU77"/>
      <c r="HV77"/>
      <c r="HW77"/>
      <c r="HX77"/>
      <c r="HY77"/>
      <c r="HZ77"/>
      <c r="IA77"/>
      <c r="IB77"/>
      <c r="IC77" s="36"/>
      <c r="IE77"/>
      <c r="IF77"/>
      <c r="IG77"/>
      <c r="IH77"/>
      <c r="II77"/>
      <c r="IJ77"/>
      <c r="IK77"/>
      <c r="IL77"/>
      <c r="IM77" s="36"/>
      <c r="IY77"/>
      <c r="IZ77"/>
      <c r="JA77"/>
      <c r="JB77"/>
      <c r="JC77"/>
      <c r="JD77"/>
      <c r="JE77" s="2">
        <f>+Tabla520212224[[#This Row],[Recuento]]*Tabla520212224[[#This Row],[Volúmen bruto]]</f>
        <v>0</v>
      </c>
      <c r="JF77" s="2">
        <f>+Tabla520212224[[#This Row],[Recuento]]*Tabla520212224[[#This Row],[Área neta]]</f>
        <v>0</v>
      </c>
      <c r="JG77" s="26"/>
      <c r="JI77"/>
      <c r="JJ77"/>
      <c r="JK77"/>
      <c r="JL77"/>
      <c r="JM77"/>
      <c r="JN77"/>
      <c r="JO77" s="2">
        <f>+Tabla52021222425[[#This Row],[Recuento]]*Tabla52021222425[[#This Row],[Volúmen bruto]]</f>
        <v>0</v>
      </c>
      <c r="JP77" s="2">
        <f>+Tabla52021222425[[#This Row],[Recuento]]*Tabla52021222425[[#This Row],[Área neta]]</f>
        <v>0</v>
      </c>
      <c r="JQ77" s="26"/>
      <c r="JS77" t="s">
        <v>1863</v>
      </c>
      <c r="JT77" t="s">
        <v>1524</v>
      </c>
      <c r="JU77" t="s">
        <v>1676</v>
      </c>
      <c r="JV77">
        <v>0.14000000000000001</v>
      </c>
      <c r="JW77">
        <v>1.19</v>
      </c>
      <c r="JX77">
        <v>1</v>
      </c>
      <c r="JY77" s="2">
        <f>+Tabla5202122242526[[#This Row],[Recuento]]*Tabla5202122242526[[#This Row],[Volúmen bruto]]</f>
        <v>0.14000000000000001</v>
      </c>
      <c r="JZ77" s="2">
        <f>+Tabla5202122242526[[#This Row],[Recuento]]*Tabla5202122242526[[#This Row],[Área neta]]</f>
        <v>1.19</v>
      </c>
      <c r="KA77" s="26">
        <f>+SUM(JZ77:JZ80)</f>
        <v>5.85</v>
      </c>
      <c r="KC77"/>
      <c r="KD77"/>
      <c r="KE77"/>
      <c r="KF77"/>
      <c r="KG77"/>
      <c r="KH77"/>
      <c r="KI77" s="2">
        <f>+Tabla5202122242526104[[#This Row],[Recuento]]*Tabla5202122242526104[[#This Row],[Volúmen bruto]]</f>
        <v>0</v>
      </c>
      <c r="KJ77" s="2">
        <f>+Tabla5202122242526104[[#This Row],[Recuento]]*Tabla5202122242526104[[#This Row],[Área neta]]</f>
        <v>0</v>
      </c>
      <c r="KK77" s="26"/>
      <c r="KM77" t="s">
        <v>1863</v>
      </c>
      <c r="KN77" t="s">
        <v>1525</v>
      </c>
      <c r="KO77" t="s">
        <v>97</v>
      </c>
      <c r="KP77">
        <v>0.09</v>
      </c>
      <c r="KQ77">
        <v>2.5499999999999998</v>
      </c>
      <c r="KR77">
        <v>1</v>
      </c>
      <c r="KS77" s="2">
        <f>+Tabla5202122242526104110[[#This Row],[Recuento]]*Tabla5202122242526104110[[#This Row],[Volúmen bruto]]</f>
        <v>0.09</v>
      </c>
      <c r="KT77" s="2">
        <f>+Tabla5202122242526104110[[#This Row],[Recuento]]*Tabla5202122242526104110[[#This Row],[Área neta]]</f>
        <v>2.5499999999999998</v>
      </c>
      <c r="KU77" s="26"/>
      <c r="KW77"/>
      <c r="KX77"/>
      <c r="KY77"/>
      <c r="KZ77"/>
      <c r="LA77"/>
      <c r="LB77"/>
      <c r="LC77" s="2">
        <f>+Tabla520212224252659[[#This Row],[Recuento]]*Tabla520212224252659[[#This Row],[Volúmen bruto]]</f>
        <v>0</v>
      </c>
      <c r="LD77" s="2">
        <f>+Tabla520212224252659[[#This Row],[Recuento]]*Tabla520212224252659[[#This Row],[Área neta]]</f>
        <v>0</v>
      </c>
      <c r="LE77" s="26"/>
      <c r="LG77"/>
      <c r="LH77"/>
      <c r="LI77"/>
      <c r="LJ77"/>
      <c r="LK77"/>
      <c r="LL77"/>
      <c r="LM77" s="2">
        <f>+Tabla520212224252659111[[#This Row],[Recuento]]*Tabla520212224252659111[[#This Row],[Volúmen bruto]]</f>
        <v>0</v>
      </c>
      <c r="LN77" s="2">
        <f>+Tabla520212224252659111[[#This Row],[Recuento]]*Tabla520212224252659111[[#This Row],[Área neta]]</f>
        <v>0</v>
      </c>
      <c r="LO77" s="26"/>
      <c r="LQ77"/>
      <c r="LR77"/>
      <c r="LS77"/>
      <c r="LT77"/>
      <c r="LU77"/>
      <c r="LV77"/>
      <c r="LW77" s="2">
        <f>+Tabla520212224252659111114[[#This Row],[Recuento]]*Tabla520212224252659111114[[#This Row],[Volúmen bruto]]</f>
        <v>0</v>
      </c>
      <c r="LX77" s="2">
        <f>+Tabla520212224252659111114[[#This Row],[Recuento]]*Tabla520212224252659111114[[#This Row],[Área neta]]</f>
        <v>0</v>
      </c>
      <c r="LY77" s="26"/>
      <c r="MA77"/>
      <c r="MB77"/>
      <c r="MC77"/>
      <c r="MD77"/>
      <c r="ME77"/>
      <c r="MF77"/>
      <c r="MG77" s="2">
        <f>+Tabla520212224252659111114128[[#This Row],[Recuento]]*Tabla520212224252659111114128[[#This Row],[Volúmen bruto]]</f>
        <v>0</v>
      </c>
      <c r="MH77" s="2">
        <f>+Tabla520212224252659111114128[[#This Row],[Recuento]]*Tabla520212224252659111114128[[#This Row],[Área neta]]</f>
        <v>0</v>
      </c>
      <c r="MI77" s="26"/>
      <c r="MK77"/>
      <c r="ML77"/>
      <c r="MM77"/>
      <c r="MN77"/>
      <c r="MO77"/>
      <c r="MP77"/>
      <c r="MQ77">
        <f>+Tabla520212224252627[[#This Row],[Recuento]]*Tabla520212224252627[[#This Row],[Volúmen bruto]]</f>
        <v>0</v>
      </c>
      <c r="MR77">
        <f>+Tabla520212224252627[[#This Row],[Recuento]]*Tabla520212224252627[[#This Row],[Área neta]]</f>
        <v>0</v>
      </c>
      <c r="MS77" s="26"/>
      <c r="MU77"/>
      <c r="MV77"/>
      <c r="MW77"/>
      <c r="MX77"/>
      <c r="MY77"/>
      <c r="MZ77"/>
      <c r="NA77">
        <f>+Tabla520212224252627129[[#This Row],[Recuento]]*Tabla520212224252627129[[#This Row],[Volúmen bruto]]</f>
        <v>0</v>
      </c>
      <c r="NB77">
        <f>+Tabla520212224252627129[[#This Row],[Recuento]]*Tabla520212224252627129[[#This Row],[Área neta]]</f>
        <v>0</v>
      </c>
      <c r="NC77" s="26"/>
      <c r="NE77"/>
      <c r="NF77"/>
      <c r="NG77"/>
      <c r="NH77"/>
      <c r="NI77"/>
      <c r="NJ77"/>
      <c r="NK77">
        <f>+Tabla520212224252627129125[[#This Row],[Recuento]]*Tabla520212224252627129125[[#This Row],[Volúmen bruto]]</f>
        <v>0</v>
      </c>
      <c r="NL77">
        <f>+Tabla520212224252627129125[[#This Row],[Recuento]]*Tabla520212224252627129125[[#This Row],[Área neta]]</f>
        <v>0</v>
      </c>
      <c r="NM77" s="26"/>
      <c r="NO77"/>
      <c r="NP77"/>
      <c r="NQ77"/>
      <c r="NR77"/>
      <c r="NS77"/>
      <c r="NT77"/>
      <c r="NU77">
        <f>+Tabla520212224252627129125130[[#This Row],[Recuento]]*Tabla520212224252627129125130[[#This Row],[Volúmen bruto]]</f>
        <v>0</v>
      </c>
      <c r="NV77">
        <f>+Tabla520212224252627129125130[[#This Row],[Recuento]]*Tabla520212224252627129125130[[#This Row],[Área neta]]</f>
        <v>0</v>
      </c>
      <c r="NW77" s="26"/>
      <c r="NY77"/>
      <c r="NZ77"/>
      <c r="OA77"/>
      <c r="OB77"/>
      <c r="OC77"/>
      <c r="OD77"/>
      <c r="OE77">
        <f>+Tabla520212224252627129125130131[[#This Row],[Recuento]]*Tabla520212224252627129125130131[[#This Row],[Volúmen bruto]]</f>
        <v>0</v>
      </c>
      <c r="OF77">
        <f>+Tabla520212224252627129125130131[[#This Row],[Recuento]]*Tabla520212224252627129125130131[[#This Row],[Área neta]]</f>
        <v>0</v>
      </c>
      <c r="OG77" s="26"/>
      <c r="OI77"/>
      <c r="OJ77"/>
      <c r="OK77"/>
      <c r="OL77"/>
      <c r="OM77"/>
      <c r="ON77"/>
      <c r="OO77">
        <f>+Tabla520212224252627129125130131132[[#This Row],[Recuento]]*Tabla520212224252627129125130131132[[#This Row],[Volúmen bruto]]</f>
        <v>0</v>
      </c>
      <c r="OP77">
        <f>+Tabla520212224252627129125130131132[[#This Row],[Recuento]]*Tabla520212224252627129125130131132[[#This Row],[Área neta]]</f>
        <v>0</v>
      </c>
      <c r="OQ77" s="26"/>
      <c r="OS77"/>
      <c r="OT77"/>
      <c r="OU77"/>
      <c r="OV77"/>
      <c r="OW77"/>
      <c r="OX77"/>
      <c r="OY77">
        <f>+Tabla52021222425262728[[#This Row],[Recuento]]*Tabla52021222425262728[[#This Row],[Volúmen bruto]]</f>
        <v>0</v>
      </c>
      <c r="OZ77">
        <f>+Tabla52021222425262728[[#This Row],[Recuento]]*Tabla52021222425262728[[#This Row],[Área neta]]</f>
        <v>0</v>
      </c>
      <c r="PA77" s="26">
        <f t="shared" si="41"/>
        <v>0</v>
      </c>
      <c r="PC77"/>
      <c r="PD77"/>
      <c r="PE77"/>
      <c r="PF77"/>
      <c r="PG77"/>
      <c r="PH77"/>
      <c r="PI77">
        <f>+Tabla52021222425262728133[[#This Row],[Recuento]]*Tabla52021222425262728133[[#This Row],[Volúmen bruto]]</f>
        <v>0</v>
      </c>
      <c r="PJ77">
        <f>+Tabla52021222425262728133[[#This Row],[Recuento]]*Tabla52021222425262728133[[#This Row],[Área neta]]</f>
        <v>0</v>
      </c>
      <c r="PK77" s="26"/>
      <c r="PM77"/>
      <c r="PN77"/>
      <c r="PO77"/>
      <c r="PP77"/>
      <c r="PQ77"/>
      <c r="PR77"/>
      <c r="PS77">
        <f>+Tabla5202122242526272893[[#This Row],[Recuento]]*Tabla5202122242526272893[[#This Row],[Volúmen bruto]]</f>
        <v>0</v>
      </c>
      <c r="PT77">
        <f>+Tabla5202122242526272893[[#This Row],[Recuento]]*Tabla5202122242526272893[[#This Row],[Área neta]]</f>
        <v>0</v>
      </c>
      <c r="PU77" s="26"/>
      <c r="PW77"/>
      <c r="PX77"/>
      <c r="PY77"/>
      <c r="PZ77"/>
      <c r="QA77"/>
      <c r="QB77"/>
      <c r="QC77">
        <f>+Tabla520212224252627289349[[#This Row],[Recuento]]*Tabla520212224252627289349[[#This Row],[Volúmen bruto]]</f>
        <v>0</v>
      </c>
      <c r="QD77">
        <f>+Tabla520212224252627289349[[#This Row],[Recuento]]*Tabla520212224252627289349[[#This Row],[Área neta]]</f>
        <v>0</v>
      </c>
      <c r="QE77" s="26"/>
      <c r="QG77"/>
      <c r="QH77"/>
      <c r="QI77"/>
      <c r="QJ77"/>
      <c r="QK77"/>
      <c r="QL77"/>
      <c r="QM77">
        <f>+Tabla520212224252627289349134[[#This Row],[Recuento]]*Tabla520212224252627289349134[[#This Row],[Volúmen bruto]]</f>
        <v>0</v>
      </c>
      <c r="QN77">
        <f>+Tabla520212224252627289349134[[#This Row],[Recuento]]*Tabla520212224252627289349134[[#This Row],[Área neta]]</f>
        <v>0</v>
      </c>
      <c r="QO77" s="26"/>
      <c r="QQ77"/>
      <c r="QR77"/>
      <c r="QS77"/>
      <c r="QT77"/>
      <c r="QU77"/>
      <c r="QV77"/>
      <c r="QW77"/>
      <c r="QX77"/>
      <c r="QY77"/>
      <c r="QZ77"/>
      <c r="RA77" s="26"/>
      <c r="RC77"/>
      <c r="RD77"/>
      <c r="RE77"/>
      <c r="RF77"/>
      <c r="RG77"/>
      <c r="RH77"/>
      <c r="RI77"/>
      <c r="RJ77"/>
      <c r="RK77" s="26"/>
      <c r="RM77"/>
      <c r="RN77"/>
      <c r="RO77"/>
      <c r="RP77"/>
      <c r="RQ77"/>
      <c r="RR77"/>
      <c r="RS77"/>
      <c r="RT77"/>
      <c r="RU77" s="26">
        <f t="shared" si="42"/>
        <v>0</v>
      </c>
      <c r="RW77"/>
      <c r="RX77"/>
      <c r="RY77"/>
      <c r="RZ77"/>
      <c r="SA77"/>
      <c r="SB77"/>
      <c r="SC77"/>
      <c r="SD77"/>
      <c r="SE77" s="26"/>
      <c r="SG77"/>
      <c r="SH77"/>
      <c r="SI77"/>
      <c r="SJ77"/>
      <c r="SK77"/>
      <c r="SL77"/>
      <c r="SM77"/>
      <c r="SN77"/>
      <c r="SO77" s="26"/>
      <c r="YK77"/>
      <c r="YL77"/>
      <c r="YM77"/>
      <c r="YN77"/>
      <c r="YO77"/>
      <c r="ADD77" t="s">
        <v>1720</v>
      </c>
      <c r="ADE77">
        <v>2.7</v>
      </c>
      <c r="ADF77">
        <v>4</v>
      </c>
      <c r="ADG77" s="26">
        <f t="shared" si="43"/>
        <v>10.8</v>
      </c>
      <c r="ADJ77"/>
      <c r="ADK77"/>
      <c r="ADL77"/>
      <c r="ADM77"/>
      <c r="ADN77"/>
      <c r="ADO77"/>
      <c r="ADP77" s="36"/>
      <c r="ADR77"/>
      <c r="ADS77"/>
      <c r="ADT77"/>
      <c r="ADU77"/>
      <c r="ADV77"/>
      <c r="ADW77" s="35"/>
      <c r="ADX77" s="35"/>
      <c r="ADY77"/>
      <c r="ADZ77"/>
      <c r="AEA77"/>
      <c r="AEB77"/>
      <c r="AEC77"/>
      <c r="AED77"/>
      <c r="AEE77" s="36"/>
      <c r="AEG77"/>
      <c r="AEH77"/>
      <c r="AEI77"/>
      <c r="AEJ77"/>
      <c r="AEL77" s="35"/>
      <c r="AEM77" s="35"/>
      <c r="AEN77" t="s">
        <v>1522</v>
      </c>
      <c r="AEO77" t="s">
        <v>1524</v>
      </c>
      <c r="AEP77" t="s">
        <v>382</v>
      </c>
      <c r="AEQ77">
        <v>0.46</v>
      </c>
      <c r="AER77">
        <v>1</v>
      </c>
      <c r="AES77">
        <f>+Tabla5789141516343536373839404142434445464748495051525355606264[[#This Row],[G. Total]]*Tabla5789141516343536373839404142434445464748495051525355606264[[#This Row],[Recuento]]</f>
        <v>0.46</v>
      </c>
      <c r="AET77" s="35"/>
      <c r="AEV77"/>
      <c r="AEW77"/>
      <c r="AEX77"/>
      <c r="AEY77"/>
      <c r="AEZ77"/>
      <c r="AFA77" s="35"/>
      <c r="AFC77"/>
      <c r="AFD77"/>
      <c r="AFE77"/>
      <c r="AFF77" s="33"/>
      <c r="AFG77"/>
      <c r="AFH77"/>
      <c r="AFI77"/>
      <c r="AFJ77"/>
      <c r="AFK77"/>
      <c r="AFL77"/>
      <c r="AFM77"/>
      <c r="AFN77">
        <f>+Tabla578914151634353637383940414243444546474849505152535560626467[[#This Row],[G. Total]]*Tabla578914151634353637383940414243444546474849505152535560626467[[#This Row],[Recuento]]</f>
        <v>0</v>
      </c>
      <c r="AFO77" s="36"/>
    </row>
    <row r="78" spans="2:847" x14ac:dyDescent="0.25">
      <c r="B78"/>
      <c r="C78"/>
      <c r="D78"/>
      <c r="E78"/>
      <c r="F78" s="33"/>
      <c r="G78" s="33"/>
      <c r="H78"/>
      <c r="I78"/>
      <c r="BG78"/>
      <c r="BH78"/>
      <c r="BI78"/>
      <c r="BJ78"/>
      <c r="BK78"/>
      <c r="BL78">
        <f>+Tabla3102[[#This Row],[Longitud de eje]]*BF78</f>
        <v>0</v>
      </c>
      <c r="BM78">
        <f>+Tabla3102[[#This Row],[Longitud de eje]]*BG78</f>
        <v>0</v>
      </c>
      <c r="BO78"/>
      <c r="BP78"/>
      <c r="BQ78"/>
      <c r="BR78"/>
      <c r="BS78"/>
      <c r="BT78">
        <f>+Tabla31069[[#This Row],[Longitud de eje]]*BN78</f>
        <v>0</v>
      </c>
      <c r="BU78">
        <f>+Tabla31069[[#This Row],[Longitud de eje]]*BO78</f>
        <v>0</v>
      </c>
      <c r="BV78"/>
      <c r="BW78"/>
      <c r="BX78"/>
      <c r="BY78"/>
      <c r="BZ78"/>
      <c r="CA78"/>
      <c r="CB78">
        <f>+Tabla31011[[#This Row],[Longitud de eje]]*BV78</f>
        <v>0</v>
      </c>
      <c r="CD78">
        <v>1</v>
      </c>
      <c r="CE78"/>
      <c r="CF78"/>
      <c r="CG78"/>
      <c r="CH78"/>
      <c r="CI78"/>
      <c r="CJ78"/>
      <c r="CK78"/>
      <c r="CL78"/>
      <c r="CM78"/>
      <c r="CN78"/>
      <c r="CO78"/>
      <c r="CP78"/>
      <c r="CQ78"/>
      <c r="CR78">
        <f>+Tabla31011116[[#This Row],[Longitud de eje]]*CL78</f>
        <v>0</v>
      </c>
      <c r="CT78">
        <v>1</v>
      </c>
      <c r="CU78"/>
      <c r="CV78"/>
      <c r="CW78"/>
      <c r="CX78"/>
      <c r="CY78"/>
      <c r="CZ78"/>
      <c r="DA78"/>
      <c r="DB78">
        <v>1</v>
      </c>
      <c r="DC78"/>
      <c r="DD78"/>
      <c r="DE78"/>
      <c r="DF78"/>
      <c r="DG78">
        <f>+Tabla31011704[[#This Row],[Longitud de eje]]*DB78</f>
        <v>0</v>
      </c>
      <c r="DH78"/>
      <c r="DI78">
        <v>1</v>
      </c>
      <c r="DJ78"/>
      <c r="DK78"/>
      <c r="DL78"/>
      <c r="DM78"/>
      <c r="DN78">
        <f>+Tabla3101170411[[#This Row],[Longitud de eje]]*DI78</f>
        <v>0</v>
      </c>
      <c r="DO78"/>
      <c r="DP78">
        <v>1</v>
      </c>
      <c r="DQ78"/>
      <c r="DR78"/>
      <c r="DS78"/>
      <c r="DT78"/>
      <c r="DU78">
        <f>+Tabla3101170411120[[#This Row],[Longitud de eje]]*DP78</f>
        <v>0</v>
      </c>
      <c r="DV78"/>
      <c r="DW78">
        <v>1</v>
      </c>
      <c r="DX78"/>
      <c r="DY78"/>
      <c r="DZ78"/>
      <c r="EA78"/>
      <c r="EB78">
        <f>+Tabla3101170411120122[[#This Row],[Longitud de eje]]*DW78</f>
        <v>0</v>
      </c>
      <c r="EC78"/>
      <c r="ED78">
        <v>1</v>
      </c>
      <c r="EE78" t="s">
        <v>1863</v>
      </c>
      <c r="EF78" t="s">
        <v>1524</v>
      </c>
      <c r="EG78" t="s">
        <v>1406</v>
      </c>
      <c r="EH78">
        <v>1.84</v>
      </c>
      <c r="EI78">
        <v>2</v>
      </c>
      <c r="EJ78">
        <f>+Tabla3101112[[#This Row],[En culmo]]*ED78</f>
        <v>2</v>
      </c>
      <c r="EK78"/>
      <c r="EL78"/>
      <c r="EM78"/>
      <c r="EN78"/>
      <c r="EO78"/>
      <c r="EP78"/>
      <c r="EQ78"/>
      <c r="ER78">
        <f>+Tabla3101112123[[#This Row],[En culmo]]*EL78</f>
        <v>0</v>
      </c>
      <c r="ES78"/>
      <c r="ET78"/>
      <c r="EU78"/>
      <c r="EV78"/>
      <c r="EW78"/>
      <c r="EX78"/>
      <c r="EY78"/>
      <c r="EZ78">
        <f>+Tabla310111257[[#This Row],[En culmo]]*ET78</f>
        <v>0</v>
      </c>
      <c r="FA78"/>
      <c r="FB78"/>
      <c r="FC78"/>
      <c r="FD78"/>
      <c r="FE78"/>
      <c r="FF78"/>
      <c r="FG78"/>
      <c r="FH78">
        <f>+Tabla310111257124[[#This Row],[En culmo]]*FB78</f>
        <v>0</v>
      </c>
      <c r="FI78"/>
      <c r="FK78"/>
      <c r="FL78"/>
      <c r="FM78"/>
      <c r="FN78"/>
      <c r="FO78"/>
      <c r="FP78"/>
      <c r="FQ78"/>
      <c r="FS78"/>
      <c r="FT78"/>
      <c r="FU78"/>
      <c r="FV78"/>
      <c r="FW78"/>
      <c r="FX78"/>
      <c r="FY78"/>
      <c r="GA78"/>
      <c r="GB78"/>
      <c r="GC78"/>
      <c r="GD78"/>
      <c r="GE78"/>
      <c r="GF78"/>
      <c r="GG78"/>
      <c r="GI78"/>
      <c r="GJ78"/>
      <c r="GK78"/>
      <c r="GL78"/>
      <c r="GM78"/>
      <c r="GN78"/>
      <c r="GO78"/>
      <c r="GQ78"/>
      <c r="GR78"/>
      <c r="GS78"/>
      <c r="GT78"/>
      <c r="GU78"/>
      <c r="GV78"/>
      <c r="GW78"/>
      <c r="GX78"/>
      <c r="GY78" s="35"/>
      <c r="HA78"/>
      <c r="HB78"/>
      <c r="HC78"/>
      <c r="HD78"/>
      <c r="HE78"/>
      <c r="HF78"/>
      <c r="HG78"/>
      <c r="HH78"/>
      <c r="HI78" s="35"/>
      <c r="HK78"/>
      <c r="HL78"/>
      <c r="HM78"/>
      <c r="HN78"/>
      <c r="HO78"/>
      <c r="HP78"/>
      <c r="HQ78"/>
      <c r="HR78"/>
      <c r="HS78" s="35"/>
      <c r="HU78"/>
      <c r="HV78"/>
      <c r="HW78"/>
      <c r="HX78"/>
      <c r="HY78"/>
      <c r="HZ78"/>
      <c r="IA78"/>
      <c r="IB78"/>
      <c r="IC78" s="36"/>
      <c r="IE78"/>
      <c r="IF78"/>
      <c r="IG78"/>
      <c r="IH78"/>
      <c r="II78"/>
      <c r="IJ78"/>
      <c r="IK78"/>
      <c r="IL78"/>
      <c r="IM78" s="36"/>
      <c r="IY78"/>
      <c r="IZ78"/>
      <c r="JA78"/>
      <c r="JB78"/>
      <c r="JC78"/>
      <c r="JD78"/>
      <c r="JE78" s="2">
        <f>+Tabla520212224[[#This Row],[Recuento]]*Tabla520212224[[#This Row],[Volúmen bruto]]</f>
        <v>0</v>
      </c>
      <c r="JF78" s="2">
        <f>+Tabla520212224[[#This Row],[Recuento]]*Tabla520212224[[#This Row],[Área neta]]</f>
        <v>0</v>
      </c>
      <c r="JG78" s="26"/>
      <c r="JI78"/>
      <c r="JJ78"/>
      <c r="JK78"/>
      <c r="JL78"/>
      <c r="JM78"/>
      <c r="JN78"/>
      <c r="JO78" s="2">
        <f>+Tabla52021222425[[#This Row],[Recuento]]*Tabla52021222425[[#This Row],[Volúmen bruto]]</f>
        <v>0</v>
      </c>
      <c r="JP78" s="2">
        <f>+Tabla52021222425[[#This Row],[Recuento]]*Tabla52021222425[[#This Row],[Área neta]]</f>
        <v>0</v>
      </c>
      <c r="JQ78" s="26"/>
      <c r="JS78" t="s">
        <v>1863</v>
      </c>
      <c r="JT78" t="s">
        <v>1524</v>
      </c>
      <c r="JU78" t="s">
        <v>1676</v>
      </c>
      <c r="JV78">
        <v>0.28999999999999998</v>
      </c>
      <c r="JW78">
        <v>0.63</v>
      </c>
      <c r="JX78">
        <v>2</v>
      </c>
      <c r="JY78" s="2">
        <f>+Tabla5202122242526[[#This Row],[Recuento]]*Tabla5202122242526[[#This Row],[Volúmen bruto]]</f>
        <v>0.57999999999999996</v>
      </c>
      <c r="JZ78" s="2">
        <f>+Tabla5202122242526[[#This Row],[Recuento]]*Tabla5202122242526[[#This Row],[Área neta]]</f>
        <v>1.26</v>
      </c>
      <c r="KA78" s="26"/>
      <c r="KC78"/>
      <c r="KD78"/>
      <c r="KE78"/>
      <c r="KF78"/>
      <c r="KG78"/>
      <c r="KH78"/>
      <c r="KI78" s="2">
        <f>+Tabla5202122242526104[[#This Row],[Recuento]]*Tabla5202122242526104[[#This Row],[Volúmen bruto]]</f>
        <v>0</v>
      </c>
      <c r="KJ78" s="2">
        <f>+Tabla5202122242526104[[#This Row],[Recuento]]*Tabla5202122242526104[[#This Row],[Área neta]]</f>
        <v>0</v>
      </c>
      <c r="KK78" s="26"/>
      <c r="KM78" t="s">
        <v>1863</v>
      </c>
      <c r="KN78" t="s">
        <v>1524</v>
      </c>
      <c r="KO78" t="s">
        <v>98</v>
      </c>
      <c r="KP78">
        <v>0</v>
      </c>
      <c r="KQ78">
        <v>1</v>
      </c>
      <c r="KR78">
        <v>2</v>
      </c>
      <c r="KS78" s="2">
        <f>+Tabla5202122242526104110[[#This Row],[Recuento]]*Tabla5202122242526104110[[#This Row],[Volúmen bruto]]</f>
        <v>0</v>
      </c>
      <c r="KT78" s="2">
        <f>+Tabla5202122242526104110[[#This Row],[Recuento]]*Tabla5202122242526104110[[#This Row],[Área neta]]</f>
        <v>2</v>
      </c>
      <c r="KU78" s="26">
        <f>+SUM(KT78:KT80)</f>
        <v>6.54</v>
      </c>
      <c r="KW78"/>
      <c r="KX78"/>
      <c r="KY78"/>
      <c r="KZ78"/>
      <c r="LA78"/>
      <c r="LB78"/>
      <c r="LC78" s="2">
        <f>+Tabla520212224252659[[#This Row],[Recuento]]*Tabla520212224252659[[#This Row],[Volúmen bruto]]</f>
        <v>0</v>
      </c>
      <c r="LD78" s="2">
        <f>+Tabla520212224252659[[#This Row],[Recuento]]*Tabla520212224252659[[#This Row],[Área neta]]</f>
        <v>0</v>
      </c>
      <c r="LE78" s="26"/>
      <c r="LG78"/>
      <c r="LH78"/>
      <c r="LI78"/>
      <c r="LJ78"/>
      <c r="LK78"/>
      <c r="LL78"/>
      <c r="LM78" s="2">
        <f>+Tabla520212224252659111[[#This Row],[Recuento]]*Tabla520212224252659111[[#This Row],[Volúmen bruto]]</f>
        <v>0</v>
      </c>
      <c r="LN78" s="2">
        <f>+Tabla520212224252659111[[#This Row],[Recuento]]*Tabla520212224252659111[[#This Row],[Área neta]]</f>
        <v>0</v>
      </c>
      <c r="LO78" s="26"/>
      <c r="LQ78"/>
      <c r="LR78"/>
      <c r="LS78"/>
      <c r="LT78"/>
      <c r="LU78"/>
      <c r="LV78"/>
      <c r="LW78" s="2">
        <f>+Tabla520212224252659111114[[#This Row],[Recuento]]*Tabla520212224252659111114[[#This Row],[Volúmen bruto]]</f>
        <v>0</v>
      </c>
      <c r="LX78" s="2">
        <f>+Tabla520212224252659111114[[#This Row],[Recuento]]*Tabla520212224252659111114[[#This Row],[Área neta]]</f>
        <v>0</v>
      </c>
      <c r="LY78" s="26"/>
      <c r="MA78"/>
      <c r="MB78"/>
      <c r="MC78"/>
      <c r="MD78"/>
      <c r="ME78"/>
      <c r="MF78"/>
      <c r="MG78" s="2">
        <f>+Tabla520212224252659111114128[[#This Row],[Recuento]]*Tabla520212224252659111114128[[#This Row],[Volúmen bruto]]</f>
        <v>0</v>
      </c>
      <c r="MH78" s="2">
        <f>+Tabla520212224252659111114128[[#This Row],[Recuento]]*Tabla520212224252659111114128[[#This Row],[Área neta]]</f>
        <v>0</v>
      </c>
      <c r="MI78" s="26"/>
      <c r="MK78"/>
      <c r="ML78"/>
      <c r="MM78"/>
      <c r="MN78"/>
      <c r="MO78"/>
      <c r="MP78"/>
      <c r="MQ78">
        <f>+Tabla520212224252627[[#This Row],[Recuento]]*Tabla520212224252627[[#This Row],[Volúmen bruto]]</f>
        <v>0</v>
      </c>
      <c r="MR78">
        <f>+Tabla520212224252627[[#This Row],[Recuento]]*Tabla520212224252627[[#This Row],[Área neta]]</f>
        <v>0</v>
      </c>
      <c r="MS78" s="26"/>
      <c r="MU78"/>
      <c r="MV78"/>
      <c r="MW78"/>
      <c r="MX78"/>
      <c r="MY78"/>
      <c r="MZ78"/>
      <c r="NA78">
        <f>+Tabla520212224252627129[[#This Row],[Recuento]]*Tabla520212224252627129[[#This Row],[Volúmen bruto]]</f>
        <v>0</v>
      </c>
      <c r="NB78">
        <f>+Tabla520212224252627129[[#This Row],[Recuento]]*Tabla520212224252627129[[#This Row],[Área neta]]</f>
        <v>0</v>
      </c>
      <c r="NC78" s="26"/>
      <c r="NE78"/>
      <c r="NF78"/>
      <c r="NG78"/>
      <c r="NH78"/>
      <c r="NI78"/>
      <c r="NJ78"/>
      <c r="NK78">
        <f>+Tabla520212224252627129125[[#This Row],[Recuento]]*Tabla520212224252627129125[[#This Row],[Volúmen bruto]]</f>
        <v>0</v>
      </c>
      <c r="NL78">
        <f>+Tabla520212224252627129125[[#This Row],[Recuento]]*Tabla520212224252627129125[[#This Row],[Área neta]]</f>
        <v>0</v>
      </c>
      <c r="NM78" s="26"/>
      <c r="NO78"/>
      <c r="NP78"/>
      <c r="NQ78"/>
      <c r="NR78"/>
      <c r="NS78"/>
      <c r="NT78"/>
      <c r="NU78">
        <f>+Tabla520212224252627129125130[[#This Row],[Recuento]]*Tabla520212224252627129125130[[#This Row],[Volúmen bruto]]</f>
        <v>0</v>
      </c>
      <c r="NV78">
        <f>+Tabla520212224252627129125130[[#This Row],[Recuento]]*Tabla520212224252627129125130[[#This Row],[Área neta]]</f>
        <v>0</v>
      </c>
      <c r="NW78" s="26"/>
      <c r="NY78"/>
      <c r="NZ78"/>
      <c r="OA78"/>
      <c r="OB78"/>
      <c r="OC78"/>
      <c r="OD78"/>
      <c r="OE78">
        <f>+Tabla520212224252627129125130131[[#This Row],[Recuento]]*Tabla520212224252627129125130131[[#This Row],[Volúmen bruto]]</f>
        <v>0</v>
      </c>
      <c r="OF78">
        <f>+Tabla520212224252627129125130131[[#This Row],[Recuento]]*Tabla520212224252627129125130131[[#This Row],[Área neta]]</f>
        <v>0</v>
      </c>
      <c r="OG78" s="26"/>
      <c r="OI78"/>
      <c r="OJ78"/>
      <c r="OK78"/>
      <c r="OL78"/>
      <c r="OM78"/>
      <c r="ON78"/>
      <c r="OO78">
        <f>+Tabla520212224252627129125130131132[[#This Row],[Recuento]]*Tabla520212224252627129125130131132[[#This Row],[Volúmen bruto]]</f>
        <v>0</v>
      </c>
      <c r="OP78">
        <f>+Tabla520212224252627129125130131132[[#This Row],[Recuento]]*Tabla520212224252627129125130131132[[#This Row],[Área neta]]</f>
        <v>0</v>
      </c>
      <c r="OQ78" s="26"/>
      <c r="OS78"/>
      <c r="OT78"/>
      <c r="OU78"/>
      <c r="OV78"/>
      <c r="OW78"/>
      <c r="OX78"/>
      <c r="OY78">
        <f>+Tabla52021222425262728[[#This Row],[Recuento]]*Tabla52021222425262728[[#This Row],[Volúmen bruto]]</f>
        <v>0</v>
      </c>
      <c r="OZ78">
        <f>+Tabla52021222425262728[[#This Row],[Recuento]]*Tabla52021222425262728[[#This Row],[Área neta]]</f>
        <v>0</v>
      </c>
      <c r="PA78" s="26">
        <f t="shared" si="41"/>
        <v>0</v>
      </c>
      <c r="PC78"/>
      <c r="PD78"/>
      <c r="PE78"/>
      <c r="PF78"/>
      <c r="PG78"/>
      <c r="PH78"/>
      <c r="PI78">
        <f>+Tabla52021222425262728133[[#This Row],[Recuento]]*Tabla52021222425262728133[[#This Row],[Volúmen bruto]]</f>
        <v>0</v>
      </c>
      <c r="PJ78">
        <f>+Tabla52021222425262728133[[#This Row],[Recuento]]*Tabla52021222425262728133[[#This Row],[Área neta]]</f>
        <v>0</v>
      </c>
      <c r="PK78" s="26"/>
      <c r="PM78"/>
      <c r="PN78"/>
      <c r="PO78"/>
      <c r="PP78"/>
      <c r="PQ78"/>
      <c r="PR78"/>
      <c r="PS78">
        <f>+Tabla5202122242526272893[[#This Row],[Recuento]]*Tabla5202122242526272893[[#This Row],[Volúmen bruto]]</f>
        <v>0</v>
      </c>
      <c r="PT78">
        <f>+Tabla5202122242526272893[[#This Row],[Recuento]]*Tabla5202122242526272893[[#This Row],[Área neta]]</f>
        <v>0</v>
      </c>
      <c r="PU78" s="26"/>
      <c r="PW78"/>
      <c r="PX78"/>
      <c r="PY78"/>
      <c r="PZ78"/>
      <c r="QA78"/>
      <c r="QB78"/>
      <c r="QC78">
        <f>+Tabla520212224252627289349[[#This Row],[Recuento]]*Tabla520212224252627289349[[#This Row],[Volúmen bruto]]</f>
        <v>0</v>
      </c>
      <c r="QD78">
        <f>+Tabla520212224252627289349[[#This Row],[Recuento]]*Tabla520212224252627289349[[#This Row],[Área neta]]</f>
        <v>0</v>
      </c>
      <c r="QE78" s="26"/>
      <c r="QG78"/>
      <c r="QH78"/>
      <c r="QI78"/>
      <c r="QJ78"/>
      <c r="QK78"/>
      <c r="QL78"/>
      <c r="QM78">
        <f>+Tabla520212224252627289349134[[#This Row],[Recuento]]*Tabla520212224252627289349134[[#This Row],[Volúmen bruto]]</f>
        <v>0</v>
      </c>
      <c r="QN78">
        <f>+Tabla520212224252627289349134[[#This Row],[Recuento]]*Tabla520212224252627289349134[[#This Row],[Área neta]]</f>
        <v>0</v>
      </c>
      <c r="QO78" s="26"/>
      <c r="QQ78"/>
      <c r="QR78"/>
      <c r="QS78"/>
      <c r="QT78"/>
      <c r="QU78"/>
      <c r="QV78"/>
      <c r="QW78"/>
      <c r="QX78"/>
      <c r="QY78"/>
      <c r="QZ78"/>
      <c r="RA78" s="26"/>
      <c r="RC78"/>
      <c r="RD78"/>
      <c r="RE78"/>
      <c r="RF78"/>
      <c r="RG78"/>
      <c r="RH78"/>
      <c r="RI78"/>
      <c r="RJ78"/>
      <c r="RK78" s="26"/>
      <c r="RM78"/>
      <c r="RN78"/>
      <c r="RO78"/>
      <c r="RP78"/>
      <c r="RQ78"/>
      <c r="RR78"/>
      <c r="RS78"/>
      <c r="RT78"/>
      <c r="RU78" s="26">
        <f t="shared" si="42"/>
        <v>0</v>
      </c>
      <c r="RW78"/>
      <c r="RX78"/>
      <c r="RY78"/>
      <c r="RZ78"/>
      <c r="SA78"/>
      <c r="SB78"/>
      <c r="SC78"/>
      <c r="SD78"/>
      <c r="SE78" s="26"/>
      <c r="SG78"/>
      <c r="SH78"/>
      <c r="SI78"/>
      <c r="SJ78"/>
      <c r="SK78"/>
      <c r="SL78"/>
      <c r="SM78"/>
      <c r="SN78"/>
      <c r="SO78" s="26"/>
      <c r="YK78"/>
      <c r="YL78"/>
      <c r="YM78"/>
      <c r="YN78"/>
      <c r="YO78"/>
      <c r="ADD78" t="s">
        <v>1720</v>
      </c>
      <c r="ADE78">
        <v>2.5</v>
      </c>
      <c r="ADF78">
        <v>4</v>
      </c>
      <c r="ADG78" s="26">
        <f t="shared" si="43"/>
        <v>10</v>
      </c>
      <c r="ADJ78"/>
      <c r="ADK78"/>
      <c r="ADL78"/>
      <c r="ADM78"/>
      <c r="ADN78"/>
      <c r="ADO78"/>
      <c r="ADP78" s="35"/>
      <c r="ADR78"/>
      <c r="ADS78"/>
      <c r="ADT78"/>
      <c r="ADU78"/>
      <c r="ADV78"/>
      <c r="ADW78" s="35"/>
      <c r="ADX78" s="35"/>
      <c r="ADY78"/>
      <c r="ADZ78"/>
      <c r="AEA78"/>
      <c r="AEB78"/>
      <c r="AEC78"/>
      <c r="AED78"/>
      <c r="AEE78" s="35"/>
      <c r="AEG78"/>
      <c r="AEH78"/>
      <c r="AEI78"/>
      <c r="AEJ78"/>
      <c r="AEL78" s="35"/>
      <c r="AEM78" s="35"/>
      <c r="AEN78" t="s">
        <v>1522</v>
      </c>
      <c r="AEO78" t="s">
        <v>1524</v>
      </c>
      <c r="AEP78" t="s">
        <v>382</v>
      </c>
      <c r="AEQ78">
        <v>1.59</v>
      </c>
      <c r="AER78">
        <v>1</v>
      </c>
      <c r="AES78">
        <f>+Tabla5789141516343536373839404142434445464748495051525355606264[[#This Row],[G. Total]]*Tabla5789141516343536373839404142434445464748495051525355606264[[#This Row],[Recuento]]</f>
        <v>1.59</v>
      </c>
      <c r="AET78" s="35"/>
      <c r="AEV78"/>
      <c r="AEW78"/>
      <c r="AEX78"/>
      <c r="AEY78"/>
      <c r="AEZ78"/>
      <c r="AFA78" s="35"/>
      <c r="AFC78"/>
      <c r="AFD78"/>
      <c r="AFE78"/>
      <c r="AFF78" s="33"/>
      <c r="AFG78"/>
      <c r="AFH78"/>
      <c r="AFI78"/>
      <c r="AFJ78"/>
      <c r="AFK78"/>
      <c r="AFL78"/>
      <c r="AFM78"/>
      <c r="AFN78">
        <f>+Tabla578914151634353637383940414243444546474849505152535560626467[[#This Row],[G. Total]]*Tabla578914151634353637383940414243444546474849505152535560626467[[#This Row],[Recuento]]</f>
        <v>0</v>
      </c>
      <c r="AFO78" s="35"/>
    </row>
    <row r="79" spans="2:847" x14ac:dyDescent="0.25">
      <c r="B79"/>
      <c r="C79"/>
      <c r="D79"/>
      <c r="E79"/>
      <c r="F79" s="33"/>
      <c r="G79" s="33"/>
      <c r="H79"/>
      <c r="I79"/>
      <c r="BG79"/>
      <c r="BH79"/>
      <c r="BI79"/>
      <c r="BJ79"/>
      <c r="BK79"/>
      <c r="BL79">
        <f>+Tabla3102[[#This Row],[Longitud de eje]]*BF79</f>
        <v>0</v>
      </c>
      <c r="BM79">
        <f>+Tabla3102[[#This Row],[Longitud de eje]]*BG79</f>
        <v>0</v>
      </c>
      <c r="BO79"/>
      <c r="BP79"/>
      <c r="BQ79"/>
      <c r="BR79"/>
      <c r="BS79"/>
      <c r="BT79">
        <f>+Tabla31069[[#This Row],[Longitud de eje]]*BN79</f>
        <v>0</v>
      </c>
      <c r="BU79">
        <f>+Tabla31069[[#This Row],[Longitud de eje]]*BO79</f>
        <v>0</v>
      </c>
      <c r="BV79"/>
      <c r="BW79"/>
      <c r="BX79"/>
      <c r="BY79"/>
      <c r="BZ79"/>
      <c r="CA79"/>
      <c r="CB79">
        <f>+Tabla31011[[#This Row],[Longitud de eje]]*BV79</f>
        <v>0</v>
      </c>
      <c r="CD79">
        <v>1</v>
      </c>
      <c r="CE79"/>
      <c r="CF79"/>
      <c r="CG79"/>
      <c r="CH79"/>
      <c r="CI79"/>
      <c r="CJ79"/>
      <c r="CK79"/>
      <c r="CL79"/>
      <c r="CM79"/>
      <c r="CN79"/>
      <c r="CO79"/>
      <c r="CP79"/>
      <c r="CQ79"/>
      <c r="CR79">
        <f>+Tabla31011116[[#This Row],[Longitud de eje]]*CL79</f>
        <v>0</v>
      </c>
      <c r="CT79">
        <v>1</v>
      </c>
      <c r="CU79"/>
      <c r="CV79"/>
      <c r="CW79"/>
      <c r="CX79"/>
      <c r="CY79"/>
      <c r="CZ79"/>
      <c r="DA79"/>
      <c r="DB79">
        <v>1</v>
      </c>
      <c r="DC79"/>
      <c r="DD79"/>
      <c r="DE79"/>
      <c r="DF79"/>
      <c r="DG79">
        <f>+Tabla31011704[[#This Row],[Longitud de eje]]*DB79</f>
        <v>0</v>
      </c>
      <c r="DH79"/>
      <c r="DI79">
        <v>1</v>
      </c>
      <c r="DJ79"/>
      <c r="DK79"/>
      <c r="DL79"/>
      <c r="DM79"/>
      <c r="DN79">
        <f>+Tabla3101170411[[#This Row],[Longitud de eje]]*DI79</f>
        <v>0</v>
      </c>
      <c r="DO79"/>
      <c r="DP79">
        <v>1</v>
      </c>
      <c r="DQ79"/>
      <c r="DR79"/>
      <c r="DS79"/>
      <c r="DT79"/>
      <c r="DU79">
        <f>+Tabla3101170411120[[#This Row],[Longitud de eje]]*DP79</f>
        <v>0</v>
      </c>
      <c r="DV79"/>
      <c r="DW79">
        <v>1</v>
      </c>
      <c r="DX79"/>
      <c r="DY79"/>
      <c r="DZ79"/>
      <c r="EA79"/>
      <c r="EB79">
        <f>+Tabla3101170411120122[[#This Row],[Longitud de eje]]*DW79</f>
        <v>0</v>
      </c>
      <c r="EC79"/>
      <c r="ED79">
        <v>1</v>
      </c>
      <c r="EE79" t="s">
        <v>1863</v>
      </c>
      <c r="EF79" t="s">
        <v>1524</v>
      </c>
      <c r="EG79" t="s">
        <v>1406</v>
      </c>
      <c r="EH79">
        <v>3.96</v>
      </c>
      <c r="EI79">
        <v>4.5</v>
      </c>
      <c r="EJ79">
        <f>+Tabla3101112[[#This Row],[En culmo]]*ED79</f>
        <v>4.5</v>
      </c>
      <c r="EK79"/>
      <c r="EL79"/>
      <c r="EM79"/>
      <c r="EN79"/>
      <c r="EO79"/>
      <c r="EP79"/>
      <c r="EQ79"/>
      <c r="ER79">
        <f>+Tabla3101112123[[#This Row],[En culmo]]*EL79</f>
        <v>0</v>
      </c>
      <c r="ES79"/>
      <c r="ET79"/>
      <c r="EU79"/>
      <c r="EV79"/>
      <c r="EW79"/>
      <c r="EX79"/>
      <c r="EY79"/>
      <c r="EZ79">
        <f>+Tabla310111257[[#This Row],[En culmo]]*ET79</f>
        <v>0</v>
      </c>
      <c r="FA79"/>
      <c r="FB79"/>
      <c r="FC79"/>
      <c r="FD79"/>
      <c r="FE79"/>
      <c r="FF79"/>
      <c r="FG79"/>
      <c r="FH79">
        <f>+Tabla310111257124[[#This Row],[En culmo]]*FB79</f>
        <v>0</v>
      </c>
      <c r="FI79"/>
      <c r="FK79"/>
      <c r="FL79"/>
      <c r="FM79"/>
      <c r="FN79"/>
      <c r="FO79"/>
      <c r="FP79"/>
      <c r="FQ79"/>
      <c r="FS79"/>
      <c r="FT79"/>
      <c r="FU79"/>
      <c r="FV79"/>
      <c r="FW79"/>
      <c r="FX79"/>
      <c r="FY79"/>
      <c r="GA79"/>
      <c r="GB79"/>
      <c r="GC79"/>
      <c r="GD79"/>
      <c r="GE79"/>
      <c r="GF79"/>
      <c r="GG79"/>
      <c r="GI79"/>
      <c r="GJ79"/>
      <c r="GK79"/>
      <c r="GL79"/>
      <c r="GM79"/>
      <c r="GN79"/>
      <c r="GO79"/>
      <c r="GQ79"/>
      <c r="GR79"/>
      <c r="GS79"/>
      <c r="GT79"/>
      <c r="GU79"/>
      <c r="GV79"/>
      <c r="GW79"/>
      <c r="GX79"/>
      <c r="GY79" s="36"/>
      <c r="HA79"/>
      <c r="HB79"/>
      <c r="HC79"/>
      <c r="HD79"/>
      <c r="HE79"/>
      <c r="HF79"/>
      <c r="HG79"/>
      <c r="HH79"/>
      <c r="HI79" s="36"/>
      <c r="HK79"/>
      <c r="HL79"/>
      <c r="HM79"/>
      <c r="HN79"/>
      <c r="HO79"/>
      <c r="HP79"/>
      <c r="HQ79"/>
      <c r="HR79"/>
      <c r="HS79" s="36"/>
      <c r="HU79"/>
      <c r="HV79"/>
      <c r="HW79"/>
      <c r="HX79"/>
      <c r="HY79"/>
      <c r="HZ79"/>
      <c r="IA79"/>
      <c r="IB79"/>
      <c r="IC79" s="36"/>
      <c r="IE79"/>
      <c r="IF79"/>
      <c r="IG79"/>
      <c r="IH79"/>
      <c r="II79"/>
      <c r="IJ79"/>
      <c r="IK79"/>
      <c r="IL79"/>
      <c r="IM79" s="36"/>
      <c r="IY79"/>
      <c r="IZ79"/>
      <c r="JA79"/>
      <c r="JB79"/>
      <c r="JC79"/>
      <c r="JD79"/>
      <c r="JE79" s="2">
        <f>+Tabla520212224[[#This Row],[Recuento]]*Tabla520212224[[#This Row],[Volúmen bruto]]</f>
        <v>0</v>
      </c>
      <c r="JF79" s="2">
        <f>+Tabla520212224[[#This Row],[Recuento]]*Tabla520212224[[#This Row],[Área neta]]</f>
        <v>0</v>
      </c>
      <c r="JG79" s="26"/>
      <c r="JI79"/>
      <c r="JJ79"/>
      <c r="JK79"/>
      <c r="JL79"/>
      <c r="JM79"/>
      <c r="JN79"/>
      <c r="JO79" s="2">
        <f>+Tabla52021222425[[#This Row],[Recuento]]*Tabla52021222425[[#This Row],[Volúmen bruto]]</f>
        <v>0</v>
      </c>
      <c r="JP79" s="2">
        <f>+Tabla52021222425[[#This Row],[Recuento]]*Tabla52021222425[[#This Row],[Área neta]]</f>
        <v>0</v>
      </c>
      <c r="JQ79" s="26"/>
      <c r="JS79" t="s">
        <v>1863</v>
      </c>
      <c r="JT79" t="s">
        <v>1524</v>
      </c>
      <c r="JU79" t="s">
        <v>1676</v>
      </c>
      <c r="JV79">
        <v>0.14000000000000001</v>
      </c>
      <c r="JW79">
        <v>1.05</v>
      </c>
      <c r="JX79">
        <v>1</v>
      </c>
      <c r="JY79" s="2">
        <f>+Tabla5202122242526[[#This Row],[Recuento]]*Tabla5202122242526[[#This Row],[Volúmen bruto]]</f>
        <v>0.14000000000000001</v>
      </c>
      <c r="JZ79" s="2">
        <f>+Tabla5202122242526[[#This Row],[Recuento]]*Tabla5202122242526[[#This Row],[Área neta]]</f>
        <v>1.05</v>
      </c>
      <c r="KA79" s="26"/>
      <c r="KC79"/>
      <c r="KD79"/>
      <c r="KE79"/>
      <c r="KF79"/>
      <c r="KG79"/>
      <c r="KH79"/>
      <c r="KI79" s="2">
        <f>+Tabla5202122242526104[[#This Row],[Recuento]]*Tabla5202122242526104[[#This Row],[Volúmen bruto]]</f>
        <v>0</v>
      </c>
      <c r="KJ79" s="2">
        <f>+Tabla5202122242526104[[#This Row],[Recuento]]*Tabla5202122242526104[[#This Row],[Área neta]]</f>
        <v>0</v>
      </c>
      <c r="KK79" s="26"/>
      <c r="KM79" t="s">
        <v>1863</v>
      </c>
      <c r="KN79" t="s">
        <v>1525</v>
      </c>
      <c r="KO79" t="s">
        <v>98</v>
      </c>
      <c r="KP79">
        <v>0</v>
      </c>
      <c r="KQ79">
        <v>1.4</v>
      </c>
      <c r="KR79">
        <v>1</v>
      </c>
      <c r="KS79" s="2">
        <f>+Tabla5202122242526104110[[#This Row],[Recuento]]*Tabla5202122242526104110[[#This Row],[Volúmen bruto]]</f>
        <v>0</v>
      </c>
      <c r="KT79" s="2">
        <f>+Tabla5202122242526104110[[#This Row],[Recuento]]*Tabla5202122242526104110[[#This Row],[Área neta]]</f>
        <v>1.4</v>
      </c>
      <c r="KU79" s="415"/>
      <c r="KW79"/>
      <c r="KX79"/>
      <c r="KY79"/>
      <c r="KZ79"/>
      <c r="LA79"/>
      <c r="LB79"/>
      <c r="LC79" s="2">
        <f>+Tabla520212224252659[[#This Row],[Recuento]]*Tabla520212224252659[[#This Row],[Volúmen bruto]]</f>
        <v>0</v>
      </c>
      <c r="LD79" s="2">
        <f>+Tabla520212224252659[[#This Row],[Recuento]]*Tabla520212224252659[[#This Row],[Área neta]]</f>
        <v>0</v>
      </c>
      <c r="LE79" s="26"/>
      <c r="LG79"/>
      <c r="LH79"/>
      <c r="LI79"/>
      <c r="LJ79"/>
      <c r="LK79"/>
      <c r="LL79"/>
      <c r="LM79" s="2">
        <f>+Tabla520212224252659111[[#This Row],[Recuento]]*Tabla520212224252659111[[#This Row],[Volúmen bruto]]</f>
        <v>0</v>
      </c>
      <c r="LN79" s="2">
        <f>+Tabla520212224252659111[[#This Row],[Recuento]]*Tabla520212224252659111[[#This Row],[Área neta]]</f>
        <v>0</v>
      </c>
      <c r="LO79" s="26"/>
      <c r="LQ79"/>
      <c r="LR79"/>
      <c r="LS79"/>
      <c r="LT79"/>
      <c r="LU79"/>
      <c r="LV79"/>
      <c r="LW79" s="2">
        <f>+Tabla520212224252659111114[[#This Row],[Recuento]]*Tabla520212224252659111114[[#This Row],[Volúmen bruto]]</f>
        <v>0</v>
      </c>
      <c r="LX79" s="2">
        <f>+Tabla520212224252659111114[[#This Row],[Recuento]]*Tabla520212224252659111114[[#This Row],[Área neta]]</f>
        <v>0</v>
      </c>
      <c r="LY79" s="26"/>
      <c r="MA79"/>
      <c r="MB79"/>
      <c r="MC79"/>
      <c r="MD79"/>
      <c r="ME79"/>
      <c r="MF79"/>
      <c r="MG79" s="2">
        <f>+Tabla520212224252659111114128[[#This Row],[Recuento]]*Tabla520212224252659111114128[[#This Row],[Volúmen bruto]]</f>
        <v>0</v>
      </c>
      <c r="MH79" s="2">
        <f>+Tabla520212224252659111114128[[#This Row],[Recuento]]*Tabla520212224252659111114128[[#This Row],[Área neta]]</f>
        <v>0</v>
      </c>
      <c r="MI79" s="26"/>
      <c r="MK79"/>
      <c r="ML79"/>
      <c r="MM79"/>
      <c r="MN79"/>
      <c r="MO79"/>
      <c r="MP79"/>
      <c r="MQ79">
        <f>+Tabla520212224252627[[#This Row],[Recuento]]*Tabla520212224252627[[#This Row],[Volúmen bruto]]</f>
        <v>0</v>
      </c>
      <c r="MR79">
        <f>+Tabla520212224252627[[#This Row],[Recuento]]*Tabla520212224252627[[#This Row],[Área neta]]</f>
        <v>0</v>
      </c>
      <c r="MS79" s="26"/>
      <c r="MU79"/>
      <c r="MV79"/>
      <c r="MW79"/>
      <c r="MX79"/>
      <c r="MY79"/>
      <c r="MZ79"/>
      <c r="NA79">
        <f>+Tabla520212224252627129[[#This Row],[Recuento]]*Tabla520212224252627129[[#This Row],[Volúmen bruto]]</f>
        <v>0</v>
      </c>
      <c r="NB79">
        <f>+Tabla520212224252627129[[#This Row],[Recuento]]*Tabla520212224252627129[[#This Row],[Área neta]]</f>
        <v>0</v>
      </c>
      <c r="NC79" s="26"/>
      <c r="NE79"/>
      <c r="NF79"/>
      <c r="NG79"/>
      <c r="NH79"/>
      <c r="NI79"/>
      <c r="NJ79"/>
      <c r="NK79">
        <f>+Tabla520212224252627129125[[#This Row],[Recuento]]*Tabla520212224252627129125[[#This Row],[Volúmen bruto]]</f>
        <v>0</v>
      </c>
      <c r="NL79">
        <f>+Tabla520212224252627129125[[#This Row],[Recuento]]*Tabla520212224252627129125[[#This Row],[Área neta]]</f>
        <v>0</v>
      </c>
      <c r="NM79" s="26"/>
      <c r="NO79"/>
      <c r="NP79"/>
      <c r="NQ79"/>
      <c r="NR79"/>
      <c r="NS79"/>
      <c r="NT79"/>
      <c r="NU79">
        <f>+Tabla520212224252627129125130[[#This Row],[Recuento]]*Tabla520212224252627129125130[[#This Row],[Volúmen bruto]]</f>
        <v>0</v>
      </c>
      <c r="NV79">
        <f>+Tabla520212224252627129125130[[#This Row],[Recuento]]*Tabla520212224252627129125130[[#This Row],[Área neta]]</f>
        <v>0</v>
      </c>
      <c r="NW79" s="26"/>
      <c r="NY79"/>
      <c r="NZ79"/>
      <c r="OA79"/>
      <c r="OB79"/>
      <c r="OC79"/>
      <c r="OD79"/>
      <c r="OE79">
        <f>+Tabla520212224252627129125130131[[#This Row],[Recuento]]*Tabla520212224252627129125130131[[#This Row],[Volúmen bruto]]</f>
        <v>0</v>
      </c>
      <c r="OF79">
        <f>+Tabla520212224252627129125130131[[#This Row],[Recuento]]*Tabla520212224252627129125130131[[#This Row],[Área neta]]</f>
        <v>0</v>
      </c>
      <c r="OG79" s="26"/>
      <c r="OI79"/>
      <c r="OJ79"/>
      <c r="OK79"/>
      <c r="OL79"/>
      <c r="OM79"/>
      <c r="ON79"/>
      <c r="OO79">
        <f>+Tabla520212224252627129125130131132[[#This Row],[Recuento]]*Tabla520212224252627129125130131132[[#This Row],[Volúmen bruto]]</f>
        <v>0</v>
      </c>
      <c r="OP79">
        <f>+Tabla520212224252627129125130131132[[#This Row],[Recuento]]*Tabla520212224252627129125130131132[[#This Row],[Área neta]]</f>
        <v>0</v>
      </c>
      <c r="OQ79" s="26"/>
      <c r="OS79"/>
      <c r="OT79"/>
      <c r="OU79"/>
      <c r="OV79"/>
      <c r="OW79"/>
      <c r="OX79"/>
      <c r="OY79">
        <f>+Tabla52021222425262728[[#This Row],[Recuento]]*Tabla52021222425262728[[#This Row],[Volúmen bruto]]</f>
        <v>0</v>
      </c>
      <c r="OZ79">
        <f>+Tabla52021222425262728[[#This Row],[Recuento]]*Tabla52021222425262728[[#This Row],[Área neta]]</f>
        <v>0</v>
      </c>
      <c r="PA79" s="26">
        <f t="shared" si="41"/>
        <v>0</v>
      </c>
      <c r="PC79"/>
      <c r="PD79"/>
      <c r="PE79"/>
      <c r="PF79"/>
      <c r="PG79"/>
      <c r="PH79"/>
      <c r="PI79">
        <f>+Tabla52021222425262728133[[#This Row],[Recuento]]*Tabla52021222425262728133[[#This Row],[Volúmen bruto]]</f>
        <v>0</v>
      </c>
      <c r="PJ79">
        <f>+Tabla52021222425262728133[[#This Row],[Recuento]]*Tabla52021222425262728133[[#This Row],[Área neta]]</f>
        <v>0</v>
      </c>
      <c r="PK79" s="26"/>
      <c r="PM79"/>
      <c r="PN79"/>
      <c r="PO79"/>
      <c r="PP79"/>
      <c r="PQ79"/>
      <c r="PR79"/>
      <c r="PS79">
        <f>+Tabla5202122242526272893[[#This Row],[Recuento]]*Tabla5202122242526272893[[#This Row],[Volúmen bruto]]</f>
        <v>0</v>
      </c>
      <c r="PT79">
        <f>+Tabla5202122242526272893[[#This Row],[Recuento]]*Tabla5202122242526272893[[#This Row],[Área neta]]</f>
        <v>0</v>
      </c>
      <c r="PU79" s="26"/>
      <c r="PW79"/>
      <c r="PX79"/>
      <c r="PY79"/>
      <c r="PZ79"/>
      <c r="QA79"/>
      <c r="QB79"/>
      <c r="QC79">
        <f>+Tabla520212224252627289349[[#This Row],[Recuento]]*Tabla520212224252627289349[[#This Row],[Volúmen bruto]]</f>
        <v>0</v>
      </c>
      <c r="QD79">
        <f>+Tabla520212224252627289349[[#This Row],[Recuento]]*Tabla520212224252627289349[[#This Row],[Área neta]]</f>
        <v>0</v>
      </c>
      <c r="QE79" s="26"/>
      <c r="QG79"/>
      <c r="QH79"/>
      <c r="QI79"/>
      <c r="QJ79"/>
      <c r="QK79"/>
      <c r="QL79"/>
      <c r="QM79">
        <f>+Tabla520212224252627289349134[[#This Row],[Recuento]]*Tabla520212224252627289349134[[#This Row],[Volúmen bruto]]</f>
        <v>0</v>
      </c>
      <c r="QN79">
        <f>+Tabla520212224252627289349134[[#This Row],[Recuento]]*Tabla520212224252627289349134[[#This Row],[Área neta]]</f>
        <v>0</v>
      </c>
      <c r="QO79" s="26"/>
      <c r="QQ79"/>
      <c r="QR79"/>
      <c r="QS79"/>
      <c r="QT79"/>
      <c r="QU79"/>
      <c r="QV79"/>
      <c r="QW79"/>
      <c r="QX79"/>
      <c r="QY79"/>
      <c r="QZ79"/>
      <c r="RA79" s="26"/>
      <c r="RC79"/>
      <c r="RD79"/>
      <c r="RE79"/>
      <c r="RF79"/>
      <c r="RG79"/>
      <c r="RH79"/>
      <c r="RI79"/>
      <c r="RJ79"/>
      <c r="RK79" s="26"/>
      <c r="RM79"/>
      <c r="RN79"/>
      <c r="RO79"/>
      <c r="RP79"/>
      <c r="RQ79"/>
      <c r="RR79"/>
      <c r="RS79"/>
      <c r="RT79"/>
      <c r="RU79" s="26">
        <f t="shared" si="42"/>
        <v>0</v>
      </c>
      <c r="RW79"/>
      <c r="RX79"/>
      <c r="RY79"/>
      <c r="RZ79"/>
      <c r="SA79"/>
      <c r="SB79"/>
      <c r="SC79"/>
      <c r="SD79"/>
      <c r="SE79" s="26"/>
      <c r="SG79"/>
      <c r="SH79"/>
      <c r="SI79"/>
      <c r="SJ79"/>
      <c r="SK79"/>
      <c r="SL79"/>
      <c r="SM79"/>
      <c r="SN79"/>
      <c r="SO79" s="26"/>
      <c r="YK79"/>
      <c r="YL79"/>
      <c r="YM79"/>
      <c r="YN79"/>
      <c r="YO79"/>
      <c r="ADD79" t="s">
        <v>1720</v>
      </c>
      <c r="ADE79">
        <v>2.65</v>
      </c>
      <c r="ADF79">
        <v>4</v>
      </c>
      <c r="ADG79" s="26">
        <f t="shared" si="43"/>
        <v>10.6</v>
      </c>
      <c r="ADJ79"/>
      <c r="ADK79"/>
      <c r="ADL79"/>
      <c r="ADM79"/>
      <c r="ADN79"/>
      <c r="ADO79"/>
      <c r="ADP79" s="35"/>
      <c r="ADR79"/>
      <c r="ADS79"/>
      <c r="ADT79"/>
      <c r="ADU79"/>
      <c r="ADV79"/>
      <c r="ADW79" s="35">
        <f>+SUM(ADR79:ADR96)</f>
        <v>0</v>
      </c>
      <c r="ADX79" s="35"/>
      <c r="ADY79"/>
      <c r="ADZ79"/>
      <c r="AEA79"/>
      <c r="AEB79"/>
      <c r="AEC79"/>
      <c r="AED79"/>
      <c r="AEE79" s="35"/>
      <c r="AEG79"/>
      <c r="AEH79"/>
      <c r="AEI79"/>
      <c r="AEJ79"/>
      <c r="AEL79" s="35"/>
      <c r="AEM79" s="35"/>
      <c r="AEN79" t="s">
        <v>1522</v>
      </c>
      <c r="AEO79" t="s">
        <v>1524</v>
      </c>
      <c r="AEP79" t="s">
        <v>382</v>
      </c>
      <c r="AEQ79">
        <v>1.94</v>
      </c>
      <c r="AER79">
        <v>1</v>
      </c>
      <c r="AES79">
        <f>+Tabla5789141516343536373839404142434445464748495051525355606264[[#This Row],[G. Total]]*Tabla5789141516343536373839404142434445464748495051525355606264[[#This Row],[Recuento]]</f>
        <v>1.94</v>
      </c>
      <c r="AET79" s="35"/>
      <c r="AEV79"/>
      <c r="AEW79"/>
      <c r="AEX79"/>
      <c r="AEY79"/>
      <c r="AEZ79"/>
      <c r="AFA79" s="35"/>
      <c r="AFC79"/>
      <c r="AFD79"/>
      <c r="AFE79"/>
      <c r="AFF79" s="33"/>
      <c r="AFG79"/>
      <c r="AFH79"/>
      <c r="AFI79"/>
      <c r="AFJ79"/>
      <c r="AFK79"/>
      <c r="AFL79"/>
      <c r="AFM79"/>
      <c r="AFN79">
        <f>+Tabla578914151634353637383940414243444546474849505152535560626467[[#This Row],[G. Total]]*Tabla578914151634353637383940414243444546474849505152535560626467[[#This Row],[Recuento]]</f>
        <v>0</v>
      </c>
      <c r="AFO79" s="35"/>
    </row>
    <row r="80" spans="2:847" x14ac:dyDescent="0.25">
      <c r="B80"/>
      <c r="C80"/>
      <c r="D80"/>
      <c r="E80"/>
      <c r="F80" s="33"/>
      <c r="G80" s="33"/>
      <c r="H80"/>
      <c r="I80"/>
      <c r="BG80"/>
      <c r="BH80"/>
      <c r="BI80"/>
      <c r="BJ80"/>
      <c r="BK80"/>
      <c r="BL80">
        <f>+Tabla3102[[#This Row],[Longitud de eje]]*BF80</f>
        <v>0</v>
      </c>
      <c r="BM80">
        <f>+Tabla3102[[#This Row],[Longitud de eje]]*BG80</f>
        <v>0</v>
      </c>
      <c r="BO80"/>
      <c r="BP80"/>
      <c r="BQ80"/>
      <c r="BR80"/>
      <c r="BS80"/>
      <c r="BT80">
        <f>+Tabla31069[[#This Row],[Longitud de eje]]*BN80</f>
        <v>0</v>
      </c>
      <c r="BU80">
        <f>+Tabla31069[[#This Row],[Longitud de eje]]*BO80</f>
        <v>0</v>
      </c>
      <c r="BV80"/>
      <c r="BW80"/>
      <c r="BX80"/>
      <c r="BY80"/>
      <c r="BZ80"/>
      <c r="CA80"/>
      <c r="CB80">
        <f>+Tabla31011[[#This Row],[Longitud de eje]]*BV80</f>
        <v>0</v>
      </c>
      <c r="CD80">
        <v>1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>
        <f>+Tabla31011116[[#This Row],[Longitud de eje]]*CL80</f>
        <v>0</v>
      </c>
      <c r="CT80">
        <v>1</v>
      </c>
      <c r="CU80"/>
      <c r="CV80"/>
      <c r="CW80"/>
      <c r="CX80"/>
      <c r="CY80"/>
      <c r="CZ80"/>
      <c r="DA80"/>
      <c r="DB80">
        <v>1</v>
      </c>
      <c r="DC80"/>
      <c r="DD80"/>
      <c r="DE80"/>
      <c r="DF80"/>
      <c r="DG80">
        <f>+Tabla31011704[[#This Row],[Longitud de eje]]*DB80</f>
        <v>0</v>
      </c>
      <c r="DH80"/>
      <c r="DI80">
        <v>1</v>
      </c>
      <c r="DJ80"/>
      <c r="DK80"/>
      <c r="DL80"/>
      <c r="DM80"/>
      <c r="DN80">
        <f>+Tabla3101170411[[#This Row],[Longitud de eje]]*DI80</f>
        <v>0</v>
      </c>
      <c r="DO80"/>
      <c r="DP80">
        <v>1</v>
      </c>
      <c r="DQ80"/>
      <c r="DR80"/>
      <c r="DS80"/>
      <c r="DT80"/>
      <c r="DU80">
        <f>+Tabla3101170411120[[#This Row],[Longitud de eje]]*DP80</f>
        <v>0</v>
      </c>
      <c r="DV80"/>
      <c r="DW80">
        <v>1</v>
      </c>
      <c r="DX80"/>
      <c r="DY80"/>
      <c r="DZ80"/>
      <c r="EA80"/>
      <c r="EB80">
        <f>+Tabla3101170411120122[[#This Row],[Longitud de eje]]*DW80</f>
        <v>0</v>
      </c>
      <c r="EC80"/>
      <c r="ED80">
        <v>1</v>
      </c>
      <c r="EE80" t="s">
        <v>1863</v>
      </c>
      <c r="EF80" t="s">
        <v>1524</v>
      </c>
      <c r="EG80" t="s">
        <v>1406</v>
      </c>
      <c r="EH80">
        <v>0.54</v>
      </c>
      <c r="EI80">
        <v>1</v>
      </c>
      <c r="EJ80">
        <f>+Tabla3101112[[#This Row],[En culmo]]*ED80</f>
        <v>1</v>
      </c>
      <c r="EK80"/>
      <c r="EL80"/>
      <c r="EM80"/>
      <c r="EN80"/>
      <c r="EO80"/>
      <c r="EP80"/>
      <c r="EQ80"/>
      <c r="ER80">
        <f>+Tabla3101112123[[#This Row],[En culmo]]*EL80</f>
        <v>0</v>
      </c>
      <c r="ES80"/>
      <c r="ET80"/>
      <c r="EU80"/>
      <c r="EV80"/>
      <c r="EW80"/>
      <c r="EX80"/>
      <c r="EY80"/>
      <c r="EZ80">
        <f>+Tabla310111257[[#This Row],[En culmo]]*ET80</f>
        <v>0</v>
      </c>
      <c r="FA80"/>
      <c r="FB80"/>
      <c r="FC80"/>
      <c r="FD80"/>
      <c r="FE80"/>
      <c r="FF80"/>
      <c r="FG80"/>
      <c r="FH80">
        <f>+Tabla310111257124[[#This Row],[En culmo]]*FB80</f>
        <v>0</v>
      </c>
      <c r="FI80"/>
      <c r="FK80"/>
      <c r="FL80"/>
      <c r="FM80"/>
      <c r="FN80"/>
      <c r="FO80"/>
      <c r="FP80"/>
      <c r="FQ80"/>
      <c r="FS80"/>
      <c r="FT80"/>
      <c r="FU80"/>
      <c r="FV80"/>
      <c r="FW80"/>
      <c r="FX80"/>
      <c r="FY80"/>
      <c r="GA80"/>
      <c r="GB80"/>
      <c r="GC80"/>
      <c r="GD80"/>
      <c r="GE80"/>
      <c r="GF80"/>
      <c r="GG80"/>
      <c r="GI80"/>
      <c r="GJ80"/>
      <c r="GK80"/>
      <c r="GL80"/>
      <c r="GM80"/>
      <c r="GN80"/>
      <c r="GO80"/>
      <c r="GQ80"/>
      <c r="GR80"/>
      <c r="GS80"/>
      <c r="GT80"/>
      <c r="GU80"/>
      <c r="GV80"/>
      <c r="GW80"/>
      <c r="GX80"/>
      <c r="GY80" s="36"/>
      <c r="HA80"/>
      <c r="HB80"/>
      <c r="HC80"/>
      <c r="HD80"/>
      <c r="HE80"/>
      <c r="HF80"/>
      <c r="HG80"/>
      <c r="HH80"/>
      <c r="HI80" s="36"/>
      <c r="HK80"/>
      <c r="HL80"/>
      <c r="HM80"/>
      <c r="HN80"/>
      <c r="HO80"/>
      <c r="HP80"/>
      <c r="HQ80"/>
      <c r="HR80"/>
      <c r="HS80" s="36"/>
      <c r="HU80"/>
      <c r="HV80"/>
      <c r="HW80"/>
      <c r="HX80"/>
      <c r="HY80"/>
      <c r="HZ80"/>
      <c r="IA80"/>
      <c r="IB80"/>
      <c r="IC80" s="36"/>
      <c r="IE80"/>
      <c r="IF80"/>
      <c r="IG80"/>
      <c r="IH80"/>
      <c r="II80"/>
      <c r="IJ80"/>
      <c r="IK80"/>
      <c r="IL80"/>
      <c r="IM80" s="36"/>
      <c r="IY80"/>
      <c r="IZ80"/>
      <c r="JA80"/>
      <c r="JB80"/>
      <c r="JC80"/>
      <c r="JD80"/>
      <c r="JE80" s="2">
        <f>+Tabla520212224[[#This Row],[Recuento]]*Tabla520212224[[#This Row],[Volúmen bruto]]</f>
        <v>0</v>
      </c>
      <c r="JF80" s="2">
        <f>+Tabla520212224[[#This Row],[Recuento]]*Tabla520212224[[#This Row],[Área neta]]</f>
        <v>0</v>
      </c>
      <c r="JG80" s="26"/>
      <c r="JI80"/>
      <c r="JJ80"/>
      <c r="JK80"/>
      <c r="JL80"/>
      <c r="JM80"/>
      <c r="JN80"/>
      <c r="JO80" s="2">
        <f>+Tabla52021222425[[#This Row],[Recuento]]*Tabla52021222425[[#This Row],[Volúmen bruto]]</f>
        <v>0</v>
      </c>
      <c r="JP80" s="2">
        <f>+Tabla52021222425[[#This Row],[Recuento]]*Tabla52021222425[[#This Row],[Área neta]]</f>
        <v>0</v>
      </c>
      <c r="JQ80" s="26"/>
      <c r="JS80" t="s">
        <v>1863</v>
      </c>
      <c r="JT80" t="s">
        <v>1525</v>
      </c>
      <c r="JU80" t="s">
        <v>1676</v>
      </c>
      <c r="JV80">
        <v>0.28000000000000003</v>
      </c>
      <c r="JW80">
        <v>2.35</v>
      </c>
      <c r="JX80">
        <v>1</v>
      </c>
      <c r="JY80" s="2">
        <f>+Tabla5202122242526[[#This Row],[Recuento]]*Tabla5202122242526[[#This Row],[Volúmen bruto]]</f>
        <v>0.28000000000000003</v>
      </c>
      <c r="JZ80" s="2">
        <f>+Tabla5202122242526[[#This Row],[Recuento]]*Tabla5202122242526[[#This Row],[Área neta]]</f>
        <v>2.35</v>
      </c>
      <c r="KA80" s="26"/>
      <c r="KC80"/>
      <c r="KD80"/>
      <c r="KE80"/>
      <c r="KF80"/>
      <c r="KG80"/>
      <c r="KH80"/>
      <c r="KI80" s="2">
        <f>+Tabla5202122242526104[[#This Row],[Recuento]]*Tabla5202122242526104[[#This Row],[Volúmen bruto]]</f>
        <v>0</v>
      </c>
      <c r="KJ80" s="2">
        <f>+Tabla5202122242526104[[#This Row],[Recuento]]*Tabla5202122242526104[[#This Row],[Área neta]]</f>
        <v>0</v>
      </c>
      <c r="KK80" s="26"/>
      <c r="KM80" t="s">
        <v>1863</v>
      </c>
      <c r="KN80" t="s">
        <v>1525</v>
      </c>
      <c r="KO80" t="s">
        <v>98</v>
      </c>
      <c r="KP80">
        <v>0</v>
      </c>
      <c r="KQ80">
        <v>3.14</v>
      </c>
      <c r="KR80">
        <v>1</v>
      </c>
      <c r="KS80" s="2">
        <f>+Tabla5202122242526104110[[#This Row],[Recuento]]*Tabla5202122242526104110[[#This Row],[Volúmen bruto]]</f>
        <v>0</v>
      </c>
      <c r="KT80" s="2">
        <f>+Tabla5202122242526104110[[#This Row],[Recuento]]*Tabla5202122242526104110[[#This Row],[Área neta]]</f>
        <v>3.14</v>
      </c>
      <c r="KU80" s="26"/>
      <c r="KW80"/>
      <c r="KX80"/>
      <c r="KY80"/>
      <c r="KZ80"/>
      <c r="LA80"/>
      <c r="LB80"/>
      <c r="LC80" s="2">
        <f>+Tabla520212224252659[[#This Row],[Recuento]]*Tabla520212224252659[[#This Row],[Volúmen bruto]]</f>
        <v>0</v>
      </c>
      <c r="LD80" s="2">
        <f>+Tabla520212224252659[[#This Row],[Recuento]]*Tabla520212224252659[[#This Row],[Área neta]]</f>
        <v>0</v>
      </c>
      <c r="LE80" s="26"/>
      <c r="LG80"/>
      <c r="LH80"/>
      <c r="LI80"/>
      <c r="LJ80"/>
      <c r="LK80"/>
      <c r="LL80"/>
      <c r="LM80" s="2">
        <f>+Tabla520212224252659111[[#This Row],[Recuento]]*Tabla520212224252659111[[#This Row],[Volúmen bruto]]</f>
        <v>0</v>
      </c>
      <c r="LN80" s="2">
        <f>+Tabla520212224252659111[[#This Row],[Recuento]]*Tabla520212224252659111[[#This Row],[Área neta]]</f>
        <v>0</v>
      </c>
      <c r="LO80" s="26"/>
      <c r="LQ80"/>
      <c r="LR80"/>
      <c r="LS80"/>
      <c r="LT80"/>
      <c r="LU80"/>
      <c r="LV80"/>
      <c r="LW80" s="2">
        <f>+Tabla520212224252659111114[[#This Row],[Recuento]]*Tabla520212224252659111114[[#This Row],[Volúmen bruto]]</f>
        <v>0</v>
      </c>
      <c r="LX80" s="2">
        <f>+Tabla520212224252659111114[[#This Row],[Recuento]]*Tabla520212224252659111114[[#This Row],[Área neta]]</f>
        <v>0</v>
      </c>
      <c r="LY80" s="26"/>
      <c r="MA80"/>
      <c r="MB80"/>
      <c r="MC80"/>
      <c r="MD80"/>
      <c r="ME80"/>
      <c r="MF80"/>
      <c r="MG80" s="2">
        <f>+Tabla520212224252659111114128[[#This Row],[Recuento]]*Tabla520212224252659111114128[[#This Row],[Volúmen bruto]]</f>
        <v>0</v>
      </c>
      <c r="MH80" s="2">
        <f>+Tabla520212224252659111114128[[#This Row],[Recuento]]*Tabla520212224252659111114128[[#This Row],[Área neta]]</f>
        <v>0</v>
      </c>
      <c r="MI80" s="26"/>
      <c r="MK80"/>
      <c r="ML80"/>
      <c r="MM80"/>
      <c r="MN80"/>
      <c r="MO80"/>
      <c r="MP80"/>
      <c r="MQ80">
        <f>+Tabla520212224252627[[#This Row],[Recuento]]*Tabla520212224252627[[#This Row],[Volúmen bruto]]</f>
        <v>0</v>
      </c>
      <c r="MR80">
        <f>+Tabla520212224252627[[#This Row],[Recuento]]*Tabla520212224252627[[#This Row],[Área neta]]</f>
        <v>0</v>
      </c>
      <c r="MS80" s="26">
        <f>+SUM(MQ80:MQ83)</f>
        <v>0</v>
      </c>
      <c r="MU80"/>
      <c r="MV80"/>
      <c r="MW80"/>
      <c r="MX80"/>
      <c r="MY80"/>
      <c r="MZ80"/>
      <c r="NA80">
        <f>+Tabla520212224252627129[[#This Row],[Recuento]]*Tabla520212224252627129[[#This Row],[Volúmen bruto]]</f>
        <v>0</v>
      </c>
      <c r="NB80">
        <f>+Tabla520212224252627129[[#This Row],[Recuento]]*Tabla520212224252627129[[#This Row],[Área neta]]</f>
        <v>0</v>
      </c>
      <c r="NC80" s="26">
        <f>+SUM(NA80:NA83)</f>
        <v>0</v>
      </c>
      <c r="NE80"/>
      <c r="NF80"/>
      <c r="NG80"/>
      <c r="NH80"/>
      <c r="NI80"/>
      <c r="NJ80"/>
      <c r="NK80">
        <f>+Tabla520212224252627129125[[#This Row],[Recuento]]*Tabla520212224252627129125[[#This Row],[Volúmen bruto]]</f>
        <v>0</v>
      </c>
      <c r="NL80">
        <f>+Tabla520212224252627129125[[#This Row],[Recuento]]*Tabla520212224252627129125[[#This Row],[Área neta]]</f>
        <v>0</v>
      </c>
      <c r="NM80" s="26">
        <f>+SUM(NK80:NK83)</f>
        <v>0</v>
      </c>
      <c r="NO80"/>
      <c r="NP80"/>
      <c r="NQ80"/>
      <c r="NR80"/>
      <c r="NS80"/>
      <c r="NT80"/>
      <c r="NU80">
        <f>+Tabla520212224252627129125130[[#This Row],[Recuento]]*Tabla520212224252627129125130[[#This Row],[Volúmen bruto]]</f>
        <v>0</v>
      </c>
      <c r="NV80">
        <f>+Tabla520212224252627129125130[[#This Row],[Recuento]]*Tabla520212224252627129125130[[#This Row],[Área neta]]</f>
        <v>0</v>
      </c>
      <c r="NW80" s="26">
        <f>+SUM(NU80:NU83)</f>
        <v>0</v>
      </c>
      <c r="NY80"/>
      <c r="NZ80"/>
      <c r="OA80"/>
      <c r="OB80"/>
      <c r="OC80"/>
      <c r="OD80"/>
      <c r="OE80">
        <f>+Tabla520212224252627129125130131[[#This Row],[Recuento]]*Tabla520212224252627129125130131[[#This Row],[Volúmen bruto]]</f>
        <v>0</v>
      </c>
      <c r="OF80">
        <f>+Tabla520212224252627129125130131[[#This Row],[Recuento]]*Tabla520212224252627129125130131[[#This Row],[Área neta]]</f>
        <v>0</v>
      </c>
      <c r="OG80" s="26">
        <f>+SUM(OE80:OE83)</f>
        <v>0</v>
      </c>
      <c r="OI80"/>
      <c r="OJ80"/>
      <c r="OK80"/>
      <c r="OL80"/>
      <c r="OM80"/>
      <c r="ON80"/>
      <c r="OO80">
        <f>+Tabla520212224252627129125130131132[[#This Row],[Recuento]]*Tabla520212224252627129125130131132[[#This Row],[Volúmen bruto]]</f>
        <v>0</v>
      </c>
      <c r="OP80">
        <f>+Tabla520212224252627129125130131132[[#This Row],[Recuento]]*Tabla520212224252627129125130131132[[#This Row],[Área neta]]</f>
        <v>0</v>
      </c>
      <c r="OQ80" s="26">
        <f>+SUM(OO80:OO83)</f>
        <v>0</v>
      </c>
      <c r="OS80"/>
      <c r="OT80"/>
      <c r="OU80"/>
      <c r="OV80"/>
      <c r="OW80"/>
      <c r="OX80"/>
      <c r="OY80">
        <f>+Tabla52021222425262728[[#This Row],[Recuento]]*Tabla52021222425262728[[#This Row],[Volúmen bruto]]</f>
        <v>0</v>
      </c>
      <c r="OZ80">
        <f>+Tabla52021222425262728[[#This Row],[Recuento]]*Tabla52021222425262728[[#This Row],[Área neta]]</f>
        <v>0</v>
      </c>
      <c r="PA80" s="26">
        <f t="shared" si="41"/>
        <v>0</v>
      </c>
      <c r="PC80"/>
      <c r="PD80"/>
      <c r="PE80"/>
      <c r="PF80"/>
      <c r="PG80"/>
      <c r="PH80"/>
      <c r="PI80">
        <f>+Tabla52021222425262728133[[#This Row],[Recuento]]*Tabla52021222425262728133[[#This Row],[Volúmen bruto]]</f>
        <v>0</v>
      </c>
      <c r="PJ80">
        <f>+Tabla52021222425262728133[[#This Row],[Recuento]]*Tabla52021222425262728133[[#This Row],[Área neta]]</f>
        <v>0</v>
      </c>
      <c r="PK80" s="26"/>
      <c r="PM80"/>
      <c r="PN80"/>
      <c r="PO80"/>
      <c r="PP80"/>
      <c r="PQ80"/>
      <c r="PR80"/>
      <c r="PS80">
        <f>+Tabla5202122242526272893[[#This Row],[Recuento]]*Tabla5202122242526272893[[#This Row],[Volúmen bruto]]</f>
        <v>0</v>
      </c>
      <c r="PT80">
        <f>+Tabla5202122242526272893[[#This Row],[Recuento]]*Tabla5202122242526272893[[#This Row],[Área neta]]</f>
        <v>0</v>
      </c>
      <c r="PU80" s="26"/>
      <c r="PW80"/>
      <c r="PX80"/>
      <c r="PY80"/>
      <c r="PZ80"/>
      <c r="QA80"/>
      <c r="QB80"/>
      <c r="QC80">
        <f>+Tabla520212224252627289349[[#This Row],[Recuento]]*Tabla520212224252627289349[[#This Row],[Volúmen bruto]]</f>
        <v>0</v>
      </c>
      <c r="QD80">
        <f>+Tabla520212224252627289349[[#This Row],[Recuento]]*Tabla520212224252627289349[[#This Row],[Área neta]]</f>
        <v>0</v>
      </c>
      <c r="QE80" s="26"/>
      <c r="QG80"/>
      <c r="QH80"/>
      <c r="QI80"/>
      <c r="QJ80"/>
      <c r="QK80"/>
      <c r="QL80"/>
      <c r="QM80">
        <f>+Tabla520212224252627289349134[[#This Row],[Recuento]]*Tabla520212224252627289349134[[#This Row],[Volúmen bruto]]</f>
        <v>0</v>
      </c>
      <c r="QN80">
        <f>+Tabla520212224252627289349134[[#This Row],[Recuento]]*Tabla520212224252627289349134[[#This Row],[Área neta]]</f>
        <v>0</v>
      </c>
      <c r="QO80" s="26"/>
      <c r="QQ80"/>
      <c r="QR80"/>
      <c r="QS80"/>
      <c r="QT80"/>
      <c r="QU80"/>
      <c r="QV80"/>
      <c r="QW80"/>
      <c r="QX80"/>
      <c r="QY80"/>
      <c r="QZ80"/>
      <c r="RA80" s="26"/>
      <c r="RC80"/>
      <c r="RD80"/>
      <c r="RE80"/>
      <c r="RF80"/>
      <c r="RG80"/>
      <c r="RH80"/>
      <c r="RI80"/>
      <c r="RJ80"/>
      <c r="RK80" s="26"/>
      <c r="RM80"/>
      <c r="RN80"/>
      <c r="RO80"/>
      <c r="RP80"/>
      <c r="RQ80"/>
      <c r="RR80"/>
      <c r="RS80"/>
      <c r="RT80"/>
      <c r="RU80" s="26">
        <f t="shared" si="42"/>
        <v>0</v>
      </c>
      <c r="RW80"/>
      <c r="RX80"/>
      <c r="RY80"/>
      <c r="RZ80"/>
      <c r="SA80"/>
      <c r="SB80"/>
      <c r="SC80"/>
      <c r="SD80"/>
      <c r="SE80" s="26"/>
      <c r="SG80"/>
      <c r="SH80"/>
      <c r="SI80"/>
      <c r="SJ80"/>
      <c r="SK80"/>
      <c r="SL80"/>
      <c r="SM80"/>
      <c r="SN80"/>
      <c r="SO80" s="26"/>
      <c r="YK80"/>
      <c r="YL80"/>
      <c r="YM80"/>
      <c r="YN80"/>
      <c r="YO80"/>
      <c r="ADD80" t="s">
        <v>1720</v>
      </c>
      <c r="ADE80">
        <v>4.53</v>
      </c>
      <c r="ADF80">
        <v>4</v>
      </c>
      <c r="ADG80" s="26">
        <f t="shared" si="43"/>
        <v>18.12</v>
      </c>
      <c r="ADJ80"/>
      <c r="ADK80"/>
      <c r="ADL80"/>
      <c r="ADM80"/>
      <c r="ADN80"/>
      <c r="ADO80"/>
      <c r="ADP80" s="36"/>
      <c r="ADR80"/>
      <c r="ADS80"/>
      <c r="ADT80"/>
      <c r="ADU80"/>
      <c r="ADV80"/>
      <c r="ADW80" s="35"/>
      <c r="ADX80" s="35"/>
      <c r="ADY80"/>
      <c r="ADZ80"/>
      <c r="AEA80"/>
      <c r="AEB80"/>
      <c r="AEC80"/>
      <c r="AED80"/>
      <c r="AEE80" s="36"/>
      <c r="AEG80"/>
      <c r="AEH80"/>
      <c r="AEI80"/>
      <c r="AEJ80"/>
      <c r="AEL80" s="35"/>
      <c r="AEM80" s="35"/>
      <c r="AEN80" t="s">
        <v>1522</v>
      </c>
      <c r="AEO80" t="s">
        <v>1524</v>
      </c>
      <c r="AEP80" t="s">
        <v>382</v>
      </c>
      <c r="AEQ80">
        <v>0.36</v>
      </c>
      <c r="AER80">
        <v>1</v>
      </c>
      <c r="AES80">
        <f>+Tabla5789141516343536373839404142434445464748495051525355606264[[#This Row],[G. Total]]*Tabla5789141516343536373839404142434445464748495051525355606264[[#This Row],[Recuento]]</f>
        <v>0.36</v>
      </c>
      <c r="AET80" s="35"/>
      <c r="AEV80"/>
      <c r="AEW80"/>
      <c r="AEX80"/>
      <c r="AEY80"/>
      <c r="AEZ80"/>
      <c r="AFA80" s="35"/>
      <c r="AFC80"/>
      <c r="AFD80"/>
      <c r="AFE80"/>
      <c r="AFF80" s="33"/>
      <c r="AFG80"/>
      <c r="AFH80"/>
      <c r="AFI80"/>
      <c r="AFJ80"/>
      <c r="AFK80"/>
      <c r="AFL80"/>
      <c r="AFM80"/>
      <c r="AFN80">
        <f>+Tabla578914151634353637383940414243444546474849505152535560626467[[#This Row],[G. Total]]*Tabla578914151634353637383940414243444546474849505152535560626467[[#This Row],[Recuento]]</f>
        <v>0</v>
      </c>
      <c r="AFO80" s="36"/>
    </row>
    <row r="81" spans="2:847" x14ac:dyDescent="0.25">
      <c r="B81"/>
      <c r="C81"/>
      <c r="D81"/>
      <c r="E81"/>
      <c r="F81" s="33"/>
      <c r="G81" s="33"/>
      <c r="H81"/>
      <c r="I81"/>
      <c r="BG81"/>
      <c r="BH81"/>
      <c r="BI81"/>
      <c r="BJ81"/>
      <c r="BK81"/>
      <c r="BL81">
        <f>+Tabla3102[[#This Row],[Longitud de eje]]*BF81</f>
        <v>0</v>
      </c>
      <c r="BM81">
        <f>+Tabla3102[[#This Row],[Longitud de eje]]*BG81</f>
        <v>0</v>
      </c>
      <c r="BO81"/>
      <c r="BP81"/>
      <c r="BQ81"/>
      <c r="BR81"/>
      <c r="BS81"/>
      <c r="BT81">
        <f>+Tabla31069[[#This Row],[Longitud de eje]]*BN81</f>
        <v>0</v>
      </c>
      <c r="BU81">
        <f>+Tabla31069[[#This Row],[Longitud de eje]]*BO81</f>
        <v>0</v>
      </c>
      <c r="BV81"/>
      <c r="BW81"/>
      <c r="BX81"/>
      <c r="BY81"/>
      <c r="BZ81"/>
      <c r="CA81"/>
      <c r="CB81">
        <f>+Tabla31011[[#This Row],[Longitud de eje]]*BV81</f>
        <v>0</v>
      </c>
      <c r="CD81">
        <v>1</v>
      </c>
      <c r="CE81"/>
      <c r="CF81"/>
      <c r="CG81"/>
      <c r="CH81"/>
      <c r="CI81"/>
      <c r="CJ81"/>
      <c r="CK81"/>
      <c r="CL81"/>
      <c r="CM81"/>
      <c r="CN81"/>
      <c r="CO81"/>
      <c r="CP81"/>
      <c r="CQ81"/>
      <c r="CR81">
        <f>+Tabla31011116[[#This Row],[Longitud de eje]]*CL81</f>
        <v>0</v>
      </c>
      <c r="CT81">
        <v>1</v>
      </c>
      <c r="CU81"/>
      <c r="CV81"/>
      <c r="CW81"/>
      <c r="CX81"/>
      <c r="CY81"/>
      <c r="CZ81"/>
      <c r="DA81"/>
      <c r="DB81">
        <v>1</v>
      </c>
      <c r="DC81"/>
      <c r="DD81"/>
      <c r="DE81"/>
      <c r="DF81"/>
      <c r="DG81">
        <f>+Tabla31011704[[#This Row],[Longitud de eje]]*DB81</f>
        <v>0</v>
      </c>
      <c r="DH81"/>
      <c r="DI81">
        <v>1</v>
      </c>
      <c r="DJ81"/>
      <c r="DK81"/>
      <c r="DL81"/>
      <c r="DM81"/>
      <c r="DN81">
        <f>+Tabla3101170411[[#This Row],[Longitud de eje]]*DI81</f>
        <v>0</v>
      </c>
      <c r="DO81"/>
      <c r="DP81">
        <v>1</v>
      </c>
      <c r="DQ81"/>
      <c r="DR81"/>
      <c r="DS81"/>
      <c r="DT81"/>
      <c r="DU81">
        <f>+Tabla3101170411120[[#This Row],[Longitud de eje]]*DP81</f>
        <v>0</v>
      </c>
      <c r="DV81"/>
      <c r="DW81">
        <v>1</v>
      </c>
      <c r="DX81"/>
      <c r="DY81"/>
      <c r="DZ81"/>
      <c r="EA81"/>
      <c r="EB81">
        <f>+Tabla3101170411120122[[#This Row],[Longitud de eje]]*DW81</f>
        <v>0</v>
      </c>
      <c r="EC81"/>
      <c r="ED81"/>
      <c r="EE81"/>
      <c r="EF81"/>
      <c r="EG81"/>
      <c r="EH81"/>
      <c r="EI81"/>
      <c r="EJ81">
        <f>+Tabla3101112[[#This Row],[En culmo]]*ED81</f>
        <v>0</v>
      </c>
      <c r="EK81"/>
      <c r="EL81"/>
      <c r="EM81"/>
      <c r="EN81"/>
      <c r="EO81"/>
      <c r="EP81"/>
      <c r="EQ81"/>
      <c r="ER81">
        <f>+Tabla3101112123[[#This Row],[En culmo]]*EL81</f>
        <v>0</v>
      </c>
      <c r="ES81"/>
      <c r="ET81"/>
      <c r="EU81"/>
      <c r="EV81"/>
      <c r="EW81"/>
      <c r="EX81"/>
      <c r="EY81"/>
      <c r="EZ81">
        <f>+Tabla310111257[[#This Row],[En culmo]]*ET81</f>
        <v>0</v>
      </c>
      <c r="FA81"/>
      <c r="FB81"/>
      <c r="FC81"/>
      <c r="FD81"/>
      <c r="FE81"/>
      <c r="FF81"/>
      <c r="FG81"/>
      <c r="FH81">
        <f>+Tabla310111257124[[#This Row],[En culmo]]*FB81</f>
        <v>0</v>
      </c>
      <c r="FI81"/>
      <c r="FK81"/>
      <c r="FL81"/>
      <c r="FM81"/>
      <c r="FN81"/>
      <c r="FO81"/>
      <c r="FP81"/>
      <c r="FQ81"/>
      <c r="FS81"/>
      <c r="FT81"/>
      <c r="FU81"/>
      <c r="FV81"/>
      <c r="FW81"/>
      <c r="FX81"/>
      <c r="FY81"/>
      <c r="GA81"/>
      <c r="GB81"/>
      <c r="GC81"/>
      <c r="GD81"/>
      <c r="GE81"/>
      <c r="GF81"/>
      <c r="GG81"/>
      <c r="GI81"/>
      <c r="GJ81"/>
      <c r="GK81"/>
      <c r="GL81"/>
      <c r="GM81"/>
      <c r="GN81"/>
      <c r="GO81"/>
      <c r="GQ81"/>
      <c r="GR81"/>
      <c r="GS81"/>
      <c r="GT81"/>
      <c r="GU81"/>
      <c r="GV81"/>
      <c r="GW81"/>
      <c r="GX81"/>
      <c r="GY81" s="36"/>
      <c r="HA81"/>
      <c r="HB81"/>
      <c r="HC81"/>
      <c r="HD81"/>
      <c r="HE81"/>
      <c r="HF81"/>
      <c r="HG81"/>
      <c r="HH81"/>
      <c r="HI81" s="36"/>
      <c r="HK81"/>
      <c r="HL81"/>
      <c r="HM81"/>
      <c r="HN81"/>
      <c r="HO81"/>
      <c r="HP81"/>
      <c r="HQ81"/>
      <c r="HR81"/>
      <c r="HS81" s="36"/>
      <c r="HU81"/>
      <c r="HV81"/>
      <c r="HW81"/>
      <c r="HX81"/>
      <c r="HY81"/>
      <c r="HZ81"/>
      <c r="IA81"/>
      <c r="IB81"/>
      <c r="IC81" s="36"/>
      <c r="IE81"/>
      <c r="IF81"/>
      <c r="IG81"/>
      <c r="IH81"/>
      <c r="II81"/>
      <c r="IJ81"/>
      <c r="IK81"/>
      <c r="IL81"/>
      <c r="IM81" s="36"/>
      <c r="IY81"/>
      <c r="IZ81"/>
      <c r="JA81"/>
      <c r="JB81"/>
      <c r="JC81"/>
      <c r="JD81"/>
      <c r="JE81" s="2">
        <f>+Tabla520212224[[#This Row],[Recuento]]*Tabla520212224[[#This Row],[Volúmen bruto]]</f>
        <v>0</v>
      </c>
      <c r="JF81" s="2">
        <f>+Tabla520212224[[#This Row],[Recuento]]*Tabla520212224[[#This Row],[Área neta]]</f>
        <v>0</v>
      </c>
      <c r="JG81" s="26"/>
      <c r="JI81"/>
      <c r="JJ81"/>
      <c r="JK81"/>
      <c r="JL81"/>
      <c r="JM81"/>
      <c r="JN81"/>
      <c r="JO81" s="2">
        <f>+Tabla52021222425[[#This Row],[Recuento]]*Tabla52021222425[[#This Row],[Volúmen bruto]]</f>
        <v>0</v>
      </c>
      <c r="JP81" s="2">
        <f>+Tabla52021222425[[#This Row],[Recuento]]*Tabla52021222425[[#This Row],[Área neta]]</f>
        <v>0</v>
      </c>
      <c r="JQ81" s="26"/>
      <c r="JS81"/>
      <c r="JT81"/>
      <c r="JU81"/>
      <c r="JV81"/>
      <c r="JW81"/>
      <c r="JX81"/>
      <c r="JY81" s="2">
        <f>+Tabla5202122242526[[#This Row],[Recuento]]*Tabla5202122242526[[#This Row],[Volúmen bruto]]</f>
        <v>0</v>
      </c>
      <c r="JZ81" s="2">
        <f>+Tabla5202122242526[[#This Row],[Recuento]]*Tabla5202122242526[[#This Row],[Área neta]]</f>
        <v>0</v>
      </c>
      <c r="KA81" s="26"/>
      <c r="KC81"/>
      <c r="KD81"/>
      <c r="KE81"/>
      <c r="KF81"/>
      <c r="KG81"/>
      <c r="KH81"/>
      <c r="KI81" s="2">
        <f>+Tabla5202122242526104[[#This Row],[Recuento]]*Tabla5202122242526104[[#This Row],[Volúmen bruto]]</f>
        <v>0</v>
      </c>
      <c r="KJ81" s="2">
        <f>+Tabla5202122242526104[[#This Row],[Recuento]]*Tabla5202122242526104[[#This Row],[Área neta]]</f>
        <v>0</v>
      </c>
      <c r="KK81" s="26"/>
      <c r="KM81" t="s">
        <v>1863</v>
      </c>
      <c r="KN81" t="s">
        <v>1524</v>
      </c>
      <c r="KO81" t="s">
        <v>1679</v>
      </c>
      <c r="KP81">
        <v>0</v>
      </c>
      <c r="KQ81">
        <v>0.56999999999999995</v>
      </c>
      <c r="KR81">
        <v>2</v>
      </c>
      <c r="KS81" s="2">
        <f>+Tabla5202122242526104110[[#This Row],[Recuento]]*Tabla5202122242526104110[[#This Row],[Volúmen bruto]]</f>
        <v>0</v>
      </c>
      <c r="KT81" s="2">
        <f>+Tabla5202122242526104110[[#This Row],[Recuento]]*Tabla5202122242526104110[[#This Row],[Área neta]]</f>
        <v>1.1399999999999999</v>
      </c>
      <c r="KU81" s="26">
        <f>+SUM(KT81:KT83)</f>
        <v>4.4800000000000004</v>
      </c>
      <c r="KW81"/>
      <c r="KX81"/>
      <c r="KY81"/>
      <c r="KZ81"/>
      <c r="LA81"/>
      <c r="LB81"/>
      <c r="LC81" s="2">
        <f>+Tabla520212224252659[[#This Row],[Recuento]]*Tabla520212224252659[[#This Row],[Volúmen bruto]]</f>
        <v>0</v>
      </c>
      <c r="LD81" s="2">
        <f>+Tabla520212224252659[[#This Row],[Recuento]]*Tabla520212224252659[[#This Row],[Área neta]]</f>
        <v>0</v>
      </c>
      <c r="LE81" s="26"/>
      <c r="LG81"/>
      <c r="LH81"/>
      <c r="LI81"/>
      <c r="LJ81"/>
      <c r="LK81"/>
      <c r="LL81"/>
      <c r="LM81" s="2">
        <f>+Tabla520212224252659111[[#This Row],[Recuento]]*Tabla520212224252659111[[#This Row],[Volúmen bruto]]</f>
        <v>0</v>
      </c>
      <c r="LN81" s="2">
        <f>+Tabla520212224252659111[[#This Row],[Recuento]]*Tabla520212224252659111[[#This Row],[Área neta]]</f>
        <v>0</v>
      </c>
      <c r="LO81" s="26"/>
      <c r="LQ81"/>
      <c r="LR81"/>
      <c r="LS81"/>
      <c r="LT81"/>
      <c r="LU81"/>
      <c r="LV81"/>
      <c r="LW81" s="2">
        <f>+Tabla520212224252659111114[[#This Row],[Recuento]]*Tabla520212224252659111114[[#This Row],[Volúmen bruto]]</f>
        <v>0</v>
      </c>
      <c r="LX81" s="2">
        <f>+Tabla520212224252659111114[[#This Row],[Recuento]]*Tabla520212224252659111114[[#This Row],[Área neta]]</f>
        <v>0</v>
      </c>
      <c r="LY81" s="26"/>
      <c r="MA81"/>
      <c r="MB81"/>
      <c r="MC81"/>
      <c r="MD81"/>
      <c r="ME81"/>
      <c r="MF81"/>
      <c r="MG81" s="2">
        <f>+Tabla520212224252659111114128[[#This Row],[Recuento]]*Tabla520212224252659111114128[[#This Row],[Volúmen bruto]]</f>
        <v>0</v>
      </c>
      <c r="MH81" s="2">
        <f>+Tabla520212224252659111114128[[#This Row],[Recuento]]*Tabla520212224252659111114128[[#This Row],[Área neta]]</f>
        <v>0</v>
      </c>
      <c r="MI81" s="26"/>
      <c r="MK81"/>
      <c r="ML81"/>
      <c r="MM81"/>
      <c r="MN81"/>
      <c r="MO81"/>
      <c r="MP81"/>
      <c r="MQ81">
        <f>+Tabla520212224252627[[#This Row],[Recuento]]*Tabla520212224252627[[#This Row],[Volúmen bruto]]</f>
        <v>0</v>
      </c>
      <c r="MR81">
        <f>+Tabla520212224252627[[#This Row],[Recuento]]*Tabla520212224252627[[#This Row],[Área neta]]</f>
        <v>0</v>
      </c>
      <c r="MS81" s="26"/>
      <c r="MU81"/>
      <c r="MV81"/>
      <c r="MW81"/>
      <c r="MX81"/>
      <c r="MY81"/>
      <c r="MZ81"/>
      <c r="NA81">
        <f>+Tabla520212224252627129[[#This Row],[Recuento]]*Tabla520212224252627129[[#This Row],[Volúmen bruto]]</f>
        <v>0</v>
      </c>
      <c r="NB81">
        <f>+Tabla520212224252627129[[#This Row],[Recuento]]*Tabla520212224252627129[[#This Row],[Área neta]]</f>
        <v>0</v>
      </c>
      <c r="NC81" s="26"/>
      <c r="NE81"/>
      <c r="NF81"/>
      <c r="NG81"/>
      <c r="NH81"/>
      <c r="NI81"/>
      <c r="NJ81"/>
      <c r="NK81">
        <f>+Tabla520212224252627129125[[#This Row],[Recuento]]*Tabla520212224252627129125[[#This Row],[Volúmen bruto]]</f>
        <v>0</v>
      </c>
      <c r="NL81">
        <f>+Tabla520212224252627129125[[#This Row],[Recuento]]*Tabla520212224252627129125[[#This Row],[Área neta]]</f>
        <v>0</v>
      </c>
      <c r="NM81" s="26"/>
      <c r="NO81"/>
      <c r="NP81"/>
      <c r="NQ81"/>
      <c r="NR81"/>
      <c r="NS81"/>
      <c r="NT81"/>
      <c r="NU81">
        <f>+Tabla520212224252627129125130[[#This Row],[Recuento]]*Tabla520212224252627129125130[[#This Row],[Volúmen bruto]]</f>
        <v>0</v>
      </c>
      <c r="NV81">
        <f>+Tabla520212224252627129125130[[#This Row],[Recuento]]*Tabla520212224252627129125130[[#This Row],[Área neta]]</f>
        <v>0</v>
      </c>
      <c r="NW81" s="26"/>
      <c r="NY81"/>
      <c r="NZ81"/>
      <c r="OA81"/>
      <c r="OB81"/>
      <c r="OC81"/>
      <c r="OD81"/>
      <c r="OE81">
        <f>+Tabla520212224252627129125130131[[#This Row],[Recuento]]*Tabla520212224252627129125130131[[#This Row],[Volúmen bruto]]</f>
        <v>0</v>
      </c>
      <c r="OF81">
        <f>+Tabla520212224252627129125130131[[#This Row],[Recuento]]*Tabla520212224252627129125130131[[#This Row],[Área neta]]</f>
        <v>0</v>
      </c>
      <c r="OG81" s="26"/>
      <c r="OI81"/>
      <c r="OJ81"/>
      <c r="OK81"/>
      <c r="OL81"/>
      <c r="OM81"/>
      <c r="ON81"/>
      <c r="OO81">
        <f>+Tabla520212224252627129125130131132[[#This Row],[Recuento]]*Tabla520212224252627129125130131132[[#This Row],[Volúmen bruto]]</f>
        <v>0</v>
      </c>
      <c r="OP81">
        <f>+Tabla520212224252627129125130131132[[#This Row],[Recuento]]*Tabla520212224252627129125130131132[[#This Row],[Área neta]]</f>
        <v>0</v>
      </c>
      <c r="OQ81" s="26"/>
      <c r="OS81"/>
      <c r="OT81"/>
      <c r="OU81"/>
      <c r="OV81"/>
      <c r="OW81"/>
      <c r="OX81"/>
      <c r="OY81">
        <f>+Tabla52021222425262728[[#This Row],[Recuento]]*Tabla52021222425262728[[#This Row],[Volúmen bruto]]</f>
        <v>0</v>
      </c>
      <c r="OZ81">
        <f>+Tabla52021222425262728[[#This Row],[Recuento]]*Tabla52021222425262728[[#This Row],[Área neta]]</f>
        <v>0</v>
      </c>
      <c r="PA81" s="26">
        <f t="shared" si="41"/>
        <v>0</v>
      </c>
      <c r="PC81"/>
      <c r="PD81"/>
      <c r="PE81"/>
      <c r="PF81"/>
      <c r="PG81"/>
      <c r="PH81"/>
      <c r="PI81">
        <f>+Tabla52021222425262728133[[#This Row],[Recuento]]*Tabla52021222425262728133[[#This Row],[Volúmen bruto]]</f>
        <v>0</v>
      </c>
      <c r="PJ81">
        <f>+Tabla52021222425262728133[[#This Row],[Recuento]]*Tabla52021222425262728133[[#This Row],[Área neta]]</f>
        <v>0</v>
      </c>
      <c r="PK81" s="26"/>
      <c r="PM81"/>
      <c r="PN81"/>
      <c r="PO81"/>
      <c r="PP81"/>
      <c r="PQ81"/>
      <c r="PR81"/>
      <c r="PS81">
        <f>+Tabla5202122242526272893[[#This Row],[Recuento]]*Tabla5202122242526272893[[#This Row],[Volúmen bruto]]</f>
        <v>0</v>
      </c>
      <c r="PT81">
        <f>+Tabla5202122242526272893[[#This Row],[Recuento]]*Tabla5202122242526272893[[#This Row],[Área neta]]</f>
        <v>0</v>
      </c>
      <c r="PU81" s="26"/>
      <c r="PW81"/>
      <c r="PX81"/>
      <c r="PY81"/>
      <c r="PZ81"/>
      <c r="QA81"/>
      <c r="QB81"/>
      <c r="QC81">
        <f>+Tabla520212224252627289349[[#This Row],[Recuento]]*Tabla520212224252627289349[[#This Row],[Volúmen bruto]]</f>
        <v>0</v>
      </c>
      <c r="QD81">
        <f>+Tabla520212224252627289349[[#This Row],[Recuento]]*Tabla520212224252627289349[[#This Row],[Área neta]]</f>
        <v>0</v>
      </c>
      <c r="QE81" s="26"/>
      <c r="QG81"/>
      <c r="QH81"/>
      <c r="QI81"/>
      <c r="QJ81"/>
      <c r="QK81"/>
      <c r="QL81"/>
      <c r="QM81">
        <f>+Tabla520212224252627289349134[[#This Row],[Recuento]]*Tabla520212224252627289349134[[#This Row],[Volúmen bruto]]</f>
        <v>0</v>
      </c>
      <c r="QN81">
        <f>+Tabla520212224252627289349134[[#This Row],[Recuento]]*Tabla520212224252627289349134[[#This Row],[Área neta]]</f>
        <v>0</v>
      </c>
      <c r="QO81" s="26"/>
      <c r="QQ81"/>
      <c r="QR81"/>
      <c r="QS81"/>
      <c r="QT81"/>
      <c r="QU81"/>
      <c r="QV81"/>
      <c r="QW81"/>
      <c r="QX81"/>
      <c r="QY81"/>
      <c r="QZ81"/>
      <c r="RA81" s="26"/>
      <c r="RC81"/>
      <c r="RD81"/>
      <c r="RE81"/>
      <c r="RF81"/>
      <c r="RG81"/>
      <c r="RH81"/>
      <c r="RI81"/>
      <c r="RJ81"/>
      <c r="RK81" s="26"/>
      <c r="RM81"/>
      <c r="RN81"/>
      <c r="RO81"/>
      <c r="RP81"/>
      <c r="RQ81"/>
      <c r="RR81"/>
      <c r="RS81"/>
      <c r="RT81"/>
      <c r="RU81" s="26">
        <f t="shared" si="42"/>
        <v>0</v>
      </c>
      <c r="RW81"/>
      <c r="RX81"/>
      <c r="RY81"/>
      <c r="RZ81"/>
      <c r="SA81"/>
      <c r="SB81"/>
      <c r="SC81"/>
      <c r="SD81"/>
      <c r="SE81" s="26"/>
      <c r="SG81"/>
      <c r="SH81"/>
      <c r="SI81"/>
      <c r="SJ81"/>
      <c r="SK81"/>
      <c r="SL81"/>
      <c r="SM81"/>
      <c r="SN81"/>
      <c r="SO81" s="26"/>
      <c r="YK81"/>
      <c r="YL81"/>
      <c r="YM81"/>
      <c r="YN81"/>
      <c r="YO81"/>
      <c r="ADD81" t="s">
        <v>1720</v>
      </c>
      <c r="ADE81">
        <v>1.43</v>
      </c>
      <c r="ADF81">
        <v>2</v>
      </c>
      <c r="ADG81" s="26">
        <f t="shared" si="43"/>
        <v>2.86</v>
      </c>
      <c r="ADJ81"/>
      <c r="ADK81"/>
      <c r="ADL81"/>
      <c r="ADM81"/>
      <c r="ADN81"/>
      <c r="ADO81"/>
      <c r="ADP81" s="36"/>
      <c r="ADR81"/>
      <c r="ADS81"/>
      <c r="ADT81"/>
      <c r="ADU81"/>
      <c r="ADV81"/>
      <c r="ADW81" s="35"/>
      <c r="ADX81" s="35"/>
      <c r="ADY81"/>
      <c r="ADZ81"/>
      <c r="AEA81"/>
      <c r="AEB81"/>
      <c r="AEC81"/>
      <c r="AED81"/>
      <c r="AEE81" s="35">
        <f>+SUM(AEB81)</f>
        <v>0</v>
      </c>
      <c r="AEG81"/>
      <c r="AEH81"/>
      <c r="AEI81"/>
      <c r="AEJ81"/>
      <c r="AEL81" s="35"/>
      <c r="AEM81" s="35"/>
      <c r="AEN81" t="s">
        <v>1522</v>
      </c>
      <c r="AEO81" t="s">
        <v>1524</v>
      </c>
      <c r="AEP81" t="s">
        <v>382</v>
      </c>
      <c r="AEQ81">
        <v>0.45</v>
      </c>
      <c r="AER81">
        <v>1</v>
      </c>
      <c r="AES81">
        <f>+Tabla5789141516343536373839404142434445464748495051525355606264[[#This Row],[G. Total]]*Tabla5789141516343536373839404142434445464748495051525355606264[[#This Row],[Recuento]]</f>
        <v>0.45</v>
      </c>
      <c r="AET81" s="36"/>
      <c r="AEV81"/>
      <c r="AEW81"/>
      <c r="AEX81"/>
      <c r="AEY81"/>
      <c r="AFA81" s="35"/>
      <c r="AFC81"/>
      <c r="AFD81"/>
      <c r="AFE81"/>
      <c r="AFF81" s="33"/>
      <c r="AFG81"/>
      <c r="AFH81"/>
      <c r="AFI81"/>
      <c r="AFJ81"/>
      <c r="AFK81"/>
      <c r="AFL81"/>
      <c r="AFM81"/>
      <c r="AFN81">
        <f>+Tabla578914151634353637383940414243444546474849505152535560626467[[#This Row],[G. Total]]*Tabla578914151634353637383940414243444546474849505152535560626467[[#This Row],[Recuento]]</f>
        <v>0</v>
      </c>
      <c r="AFO81" s="36"/>
    </row>
    <row r="82" spans="2:847" x14ac:dyDescent="0.25">
      <c r="B82"/>
      <c r="C82"/>
      <c r="D82"/>
      <c r="E82"/>
      <c r="F82" s="33"/>
      <c r="G82" s="33"/>
      <c r="H82"/>
      <c r="I82"/>
      <c r="BG82"/>
      <c r="BH82"/>
      <c r="BI82"/>
      <c r="BJ82"/>
      <c r="BK82"/>
      <c r="BL82">
        <f>+Tabla3102[[#This Row],[Longitud de eje]]*BF82</f>
        <v>0</v>
      </c>
      <c r="BM82">
        <f>+Tabla3102[[#This Row],[Longitud de eje]]*BG82</f>
        <v>0</v>
      </c>
      <c r="BO82"/>
      <c r="BP82"/>
      <c r="BQ82"/>
      <c r="BR82"/>
      <c r="BS82"/>
      <c r="BT82">
        <f>+Tabla31069[[#This Row],[Longitud de eje]]*BN82</f>
        <v>0</v>
      </c>
      <c r="BU82">
        <f>+Tabla31069[[#This Row],[Longitud de eje]]*BO82</f>
        <v>0</v>
      </c>
      <c r="BV82"/>
      <c r="BW82"/>
      <c r="BX82"/>
      <c r="BY82"/>
      <c r="BZ82"/>
      <c r="CA82"/>
      <c r="CB82">
        <f>+Tabla31011[[#This Row],[Longitud de eje]]*BV82</f>
        <v>0</v>
      </c>
      <c r="CD82">
        <v>1</v>
      </c>
      <c r="CE82"/>
      <c r="CF82"/>
      <c r="CG82"/>
      <c r="CH82"/>
      <c r="CI82"/>
      <c r="CJ82"/>
      <c r="CK82"/>
      <c r="CL82"/>
      <c r="CM82"/>
      <c r="CN82"/>
      <c r="CO82"/>
      <c r="CP82"/>
      <c r="CQ82"/>
      <c r="CR82">
        <f>+Tabla31011116[[#This Row],[Longitud de eje]]*CL82</f>
        <v>0</v>
      </c>
      <c r="CT82">
        <v>1</v>
      </c>
      <c r="CU82"/>
      <c r="CV82"/>
      <c r="CW82"/>
      <c r="CX82"/>
      <c r="CY82"/>
      <c r="CZ82"/>
      <c r="DA82"/>
      <c r="DB82">
        <v>1</v>
      </c>
      <c r="DC82"/>
      <c r="DD82"/>
      <c r="DE82"/>
      <c r="DF82"/>
      <c r="DG82">
        <f>+Tabla31011704[[#This Row],[Longitud de eje]]*DB82</f>
        <v>0</v>
      </c>
      <c r="DH82"/>
      <c r="DI82">
        <v>1</v>
      </c>
      <c r="DJ82"/>
      <c r="DK82"/>
      <c r="DL82"/>
      <c r="DM82"/>
      <c r="DN82">
        <f>+Tabla3101170411[[#This Row],[Longitud de eje]]*DI82</f>
        <v>0</v>
      </c>
      <c r="DO82"/>
      <c r="DP82">
        <v>1</v>
      </c>
      <c r="DQ82"/>
      <c r="DR82"/>
      <c r="DS82"/>
      <c r="DT82"/>
      <c r="DU82">
        <f>+Tabla3101170411120[[#This Row],[Longitud de eje]]*DP82</f>
        <v>0</v>
      </c>
      <c r="DV82"/>
      <c r="DW82">
        <v>1</v>
      </c>
      <c r="DX82"/>
      <c r="DY82"/>
      <c r="DZ82"/>
      <c r="EA82"/>
      <c r="EB82">
        <f>+Tabla3101170411120122[[#This Row],[Longitud de eje]]*DW82</f>
        <v>0</v>
      </c>
      <c r="EC82"/>
      <c r="ED82"/>
      <c r="EE82"/>
      <c r="EF82"/>
      <c r="EG82"/>
      <c r="EH82"/>
      <c r="EI82"/>
      <c r="EJ82">
        <f>+Tabla3101112[[#This Row],[En culmo]]*ED82</f>
        <v>0</v>
      </c>
      <c r="EK82"/>
      <c r="EL82"/>
      <c r="EM82"/>
      <c r="EN82"/>
      <c r="EO82"/>
      <c r="EP82"/>
      <c r="EQ82"/>
      <c r="ER82">
        <f>+Tabla3101112123[[#This Row],[En culmo]]*EL82</f>
        <v>0</v>
      </c>
      <c r="ES82"/>
      <c r="ET82"/>
      <c r="EU82"/>
      <c r="EV82"/>
      <c r="EW82"/>
      <c r="EX82"/>
      <c r="EY82"/>
      <c r="EZ82">
        <f>+Tabla310111257[[#This Row],[En culmo]]*ET82</f>
        <v>0</v>
      </c>
      <c r="FA82"/>
      <c r="FB82"/>
      <c r="FC82"/>
      <c r="FD82"/>
      <c r="FE82"/>
      <c r="FF82"/>
      <c r="FG82"/>
      <c r="FH82">
        <f>+Tabla310111257124[[#This Row],[En culmo]]*FB82</f>
        <v>0</v>
      </c>
      <c r="FI82"/>
      <c r="FK82"/>
      <c r="FL82"/>
      <c r="FM82"/>
      <c r="FN82"/>
      <c r="FO82"/>
      <c r="FP82"/>
      <c r="FQ82"/>
      <c r="FS82"/>
      <c r="FT82"/>
      <c r="FU82"/>
      <c r="FV82"/>
      <c r="FW82"/>
      <c r="FX82"/>
      <c r="FY82"/>
      <c r="GA82"/>
      <c r="GB82"/>
      <c r="GC82"/>
      <c r="GD82"/>
      <c r="GE82"/>
      <c r="GF82"/>
      <c r="GG82"/>
      <c r="GI82"/>
      <c r="GJ82"/>
      <c r="GK82"/>
      <c r="GL82"/>
      <c r="GM82"/>
      <c r="GN82"/>
      <c r="GO82"/>
      <c r="GQ82"/>
      <c r="GR82"/>
      <c r="GS82"/>
      <c r="GT82"/>
      <c r="GU82"/>
      <c r="GV82"/>
      <c r="GW82"/>
      <c r="GX82"/>
      <c r="GY82" s="36"/>
      <c r="HA82"/>
      <c r="HB82"/>
      <c r="HC82"/>
      <c r="HD82"/>
      <c r="HE82"/>
      <c r="HF82"/>
      <c r="HG82"/>
      <c r="HH82"/>
      <c r="HI82" s="36"/>
      <c r="HK82"/>
      <c r="HL82"/>
      <c r="HM82"/>
      <c r="HN82"/>
      <c r="HO82"/>
      <c r="HP82"/>
      <c r="HQ82"/>
      <c r="HR82"/>
      <c r="HS82" s="36"/>
      <c r="HU82"/>
      <c r="HV82"/>
      <c r="HW82"/>
      <c r="HX82"/>
      <c r="HY82"/>
      <c r="HZ82"/>
      <c r="IA82"/>
      <c r="IB82"/>
      <c r="IC82" s="36"/>
      <c r="IE82"/>
      <c r="IF82"/>
      <c r="IG82"/>
      <c r="IH82"/>
      <c r="II82"/>
      <c r="IJ82"/>
      <c r="IK82"/>
      <c r="IL82"/>
      <c r="IM82" s="36"/>
      <c r="IY82"/>
      <c r="IZ82"/>
      <c r="JA82"/>
      <c r="JB82"/>
      <c r="JC82"/>
      <c r="JD82"/>
      <c r="JE82" s="2">
        <f>+Tabla520212224[[#This Row],[Recuento]]*Tabla520212224[[#This Row],[Volúmen bruto]]</f>
        <v>0</v>
      </c>
      <c r="JF82" s="2">
        <f>+Tabla520212224[[#This Row],[Recuento]]*Tabla520212224[[#This Row],[Área neta]]</f>
        <v>0</v>
      </c>
      <c r="JG82" s="26"/>
      <c r="JI82"/>
      <c r="JJ82"/>
      <c r="JK82"/>
      <c r="JL82"/>
      <c r="JM82"/>
      <c r="JN82"/>
      <c r="JO82" s="2">
        <f>+Tabla52021222425[[#This Row],[Recuento]]*Tabla52021222425[[#This Row],[Volúmen bruto]]</f>
        <v>0</v>
      </c>
      <c r="JP82" s="2">
        <f>+Tabla52021222425[[#This Row],[Recuento]]*Tabla52021222425[[#This Row],[Área neta]]</f>
        <v>0</v>
      </c>
      <c r="JQ82" s="26"/>
      <c r="JS82"/>
      <c r="JT82"/>
      <c r="JU82"/>
      <c r="JV82"/>
      <c r="JW82"/>
      <c r="JX82"/>
      <c r="JY82" s="2">
        <f>+Tabla5202122242526[[#This Row],[Recuento]]*Tabla5202122242526[[#This Row],[Volúmen bruto]]</f>
        <v>0</v>
      </c>
      <c r="JZ82" s="2">
        <f>+Tabla5202122242526[[#This Row],[Recuento]]*Tabla5202122242526[[#This Row],[Área neta]]</f>
        <v>0</v>
      </c>
      <c r="KA82" s="26"/>
      <c r="KC82"/>
      <c r="KD82"/>
      <c r="KE82"/>
      <c r="KF82"/>
      <c r="KG82"/>
      <c r="KH82"/>
      <c r="KI82" s="2">
        <f>+Tabla5202122242526104[[#This Row],[Recuento]]*Tabla5202122242526104[[#This Row],[Volúmen bruto]]</f>
        <v>0</v>
      </c>
      <c r="KJ82" s="2">
        <f>+Tabla5202122242526104[[#This Row],[Recuento]]*Tabla5202122242526104[[#This Row],[Área neta]]</f>
        <v>0</v>
      </c>
      <c r="KK82" s="26"/>
      <c r="KM82" t="s">
        <v>1863</v>
      </c>
      <c r="KN82" t="s">
        <v>1525</v>
      </c>
      <c r="KO82" t="s">
        <v>1679</v>
      </c>
      <c r="KP82">
        <v>0</v>
      </c>
      <c r="KQ82">
        <v>0.84</v>
      </c>
      <c r="KR82">
        <v>1</v>
      </c>
      <c r="KS82" s="2">
        <f>+Tabla5202122242526104110[[#This Row],[Recuento]]*Tabla5202122242526104110[[#This Row],[Volúmen bruto]]</f>
        <v>0</v>
      </c>
      <c r="KT82" s="2">
        <f>+Tabla5202122242526104110[[#This Row],[Recuento]]*Tabla5202122242526104110[[#This Row],[Área neta]]</f>
        <v>0.84</v>
      </c>
      <c r="KU82" s="26"/>
      <c r="KW82"/>
      <c r="KX82"/>
      <c r="KY82"/>
      <c r="KZ82"/>
      <c r="LA82"/>
      <c r="LB82"/>
      <c r="LC82" s="2">
        <f>+Tabla520212224252659[[#This Row],[Recuento]]*Tabla520212224252659[[#This Row],[Volúmen bruto]]</f>
        <v>0</v>
      </c>
      <c r="LD82" s="2">
        <f>+Tabla520212224252659[[#This Row],[Recuento]]*Tabla520212224252659[[#This Row],[Área neta]]</f>
        <v>0</v>
      </c>
      <c r="LE82" s="26"/>
      <c r="LG82"/>
      <c r="LH82"/>
      <c r="LI82"/>
      <c r="LJ82"/>
      <c r="LK82"/>
      <c r="LL82"/>
      <c r="LM82" s="2">
        <f>+Tabla520212224252659111[[#This Row],[Recuento]]*Tabla520212224252659111[[#This Row],[Volúmen bruto]]</f>
        <v>0</v>
      </c>
      <c r="LN82" s="2">
        <f>+Tabla520212224252659111[[#This Row],[Recuento]]*Tabla520212224252659111[[#This Row],[Área neta]]</f>
        <v>0</v>
      </c>
      <c r="LO82" s="26"/>
      <c r="LQ82"/>
      <c r="LR82"/>
      <c r="LS82"/>
      <c r="LT82"/>
      <c r="LU82"/>
      <c r="LV82"/>
      <c r="LW82" s="2">
        <f>+Tabla520212224252659111114[[#This Row],[Recuento]]*Tabla520212224252659111114[[#This Row],[Volúmen bruto]]</f>
        <v>0</v>
      </c>
      <c r="LX82" s="2">
        <f>+Tabla520212224252659111114[[#This Row],[Recuento]]*Tabla520212224252659111114[[#This Row],[Área neta]]</f>
        <v>0</v>
      </c>
      <c r="LY82" s="26"/>
      <c r="MA82"/>
      <c r="MB82"/>
      <c r="MC82"/>
      <c r="MD82"/>
      <c r="ME82"/>
      <c r="MF82"/>
      <c r="MG82" s="2">
        <f>+Tabla520212224252659111114128[[#This Row],[Recuento]]*Tabla520212224252659111114128[[#This Row],[Volúmen bruto]]</f>
        <v>0</v>
      </c>
      <c r="MH82" s="2">
        <f>+Tabla520212224252659111114128[[#This Row],[Recuento]]*Tabla520212224252659111114128[[#This Row],[Área neta]]</f>
        <v>0</v>
      </c>
      <c r="MI82" s="26"/>
      <c r="MK82"/>
      <c r="ML82"/>
      <c r="MM82"/>
      <c r="MN82"/>
      <c r="MO82"/>
      <c r="MP82"/>
      <c r="MQ82">
        <f>+Tabla520212224252627[[#This Row],[Recuento]]*Tabla520212224252627[[#This Row],[Volúmen bruto]]</f>
        <v>0</v>
      </c>
      <c r="MR82">
        <f>+Tabla520212224252627[[#This Row],[Recuento]]*Tabla520212224252627[[#This Row],[Área neta]]</f>
        <v>0</v>
      </c>
      <c r="MS82" s="26"/>
      <c r="MU82"/>
      <c r="MV82"/>
      <c r="MW82"/>
      <c r="MX82"/>
      <c r="MY82"/>
      <c r="MZ82"/>
      <c r="NA82">
        <f>+Tabla520212224252627129[[#This Row],[Recuento]]*Tabla520212224252627129[[#This Row],[Volúmen bruto]]</f>
        <v>0</v>
      </c>
      <c r="NB82">
        <f>+Tabla520212224252627129[[#This Row],[Recuento]]*Tabla520212224252627129[[#This Row],[Área neta]]</f>
        <v>0</v>
      </c>
      <c r="NC82" s="26"/>
      <c r="NE82"/>
      <c r="NF82"/>
      <c r="NG82"/>
      <c r="NH82"/>
      <c r="NI82"/>
      <c r="NJ82"/>
      <c r="NK82">
        <f>+Tabla520212224252627129125[[#This Row],[Recuento]]*Tabla520212224252627129125[[#This Row],[Volúmen bruto]]</f>
        <v>0</v>
      </c>
      <c r="NL82">
        <f>+Tabla520212224252627129125[[#This Row],[Recuento]]*Tabla520212224252627129125[[#This Row],[Área neta]]</f>
        <v>0</v>
      </c>
      <c r="NM82" s="26"/>
      <c r="NO82"/>
      <c r="NP82"/>
      <c r="NQ82"/>
      <c r="NR82"/>
      <c r="NS82"/>
      <c r="NT82"/>
      <c r="NU82">
        <f>+Tabla520212224252627129125130[[#This Row],[Recuento]]*Tabla520212224252627129125130[[#This Row],[Volúmen bruto]]</f>
        <v>0</v>
      </c>
      <c r="NV82">
        <f>+Tabla520212224252627129125130[[#This Row],[Recuento]]*Tabla520212224252627129125130[[#This Row],[Área neta]]</f>
        <v>0</v>
      </c>
      <c r="NW82" s="26"/>
      <c r="NY82"/>
      <c r="NZ82"/>
      <c r="OA82"/>
      <c r="OB82"/>
      <c r="OC82"/>
      <c r="OD82"/>
      <c r="OE82">
        <f>+Tabla520212224252627129125130131[[#This Row],[Recuento]]*Tabla520212224252627129125130131[[#This Row],[Volúmen bruto]]</f>
        <v>0</v>
      </c>
      <c r="OF82">
        <f>+Tabla520212224252627129125130131[[#This Row],[Recuento]]*Tabla520212224252627129125130131[[#This Row],[Área neta]]</f>
        <v>0</v>
      </c>
      <c r="OG82" s="26"/>
      <c r="OI82"/>
      <c r="OJ82"/>
      <c r="OK82"/>
      <c r="OL82"/>
      <c r="OM82"/>
      <c r="ON82"/>
      <c r="OO82">
        <f>+Tabla520212224252627129125130131132[[#This Row],[Recuento]]*Tabla520212224252627129125130131132[[#This Row],[Volúmen bruto]]</f>
        <v>0</v>
      </c>
      <c r="OP82">
        <f>+Tabla520212224252627129125130131132[[#This Row],[Recuento]]*Tabla520212224252627129125130131132[[#This Row],[Área neta]]</f>
        <v>0</v>
      </c>
      <c r="OQ82" s="26"/>
      <c r="OS82"/>
      <c r="OT82"/>
      <c r="OU82"/>
      <c r="OV82"/>
      <c r="OW82"/>
      <c r="OX82"/>
      <c r="OY82">
        <f>+Tabla52021222425262728[[#This Row],[Recuento]]*Tabla52021222425262728[[#This Row],[Volúmen bruto]]</f>
        <v>0</v>
      </c>
      <c r="OZ82">
        <f>+Tabla52021222425262728[[#This Row],[Recuento]]*Tabla52021222425262728[[#This Row],[Área neta]]</f>
        <v>0</v>
      </c>
      <c r="PA82" s="26">
        <f t="shared" si="41"/>
        <v>0</v>
      </c>
      <c r="PC82"/>
      <c r="PD82"/>
      <c r="PE82"/>
      <c r="PF82"/>
      <c r="PG82"/>
      <c r="PH82"/>
      <c r="PI82">
        <f>+Tabla52021222425262728133[[#This Row],[Recuento]]*Tabla52021222425262728133[[#This Row],[Volúmen bruto]]</f>
        <v>0</v>
      </c>
      <c r="PJ82">
        <f>+Tabla52021222425262728133[[#This Row],[Recuento]]*Tabla52021222425262728133[[#This Row],[Área neta]]</f>
        <v>0</v>
      </c>
      <c r="PK82" s="26"/>
      <c r="PM82"/>
      <c r="PN82"/>
      <c r="PO82"/>
      <c r="PP82"/>
      <c r="PQ82"/>
      <c r="PR82"/>
      <c r="PS82">
        <f>+Tabla5202122242526272893[[#This Row],[Recuento]]*Tabla5202122242526272893[[#This Row],[Volúmen bruto]]</f>
        <v>0</v>
      </c>
      <c r="PT82">
        <f>+Tabla5202122242526272893[[#This Row],[Recuento]]*Tabla5202122242526272893[[#This Row],[Área neta]]</f>
        <v>0</v>
      </c>
      <c r="PU82" s="26"/>
      <c r="PW82"/>
      <c r="PX82"/>
      <c r="PY82"/>
      <c r="PZ82"/>
      <c r="QA82"/>
      <c r="QB82"/>
      <c r="QC82">
        <f>+Tabla520212224252627289349[[#This Row],[Recuento]]*Tabla520212224252627289349[[#This Row],[Volúmen bruto]]</f>
        <v>0</v>
      </c>
      <c r="QD82">
        <f>+Tabla520212224252627289349[[#This Row],[Recuento]]*Tabla520212224252627289349[[#This Row],[Área neta]]</f>
        <v>0</v>
      </c>
      <c r="QE82" s="26"/>
      <c r="QG82"/>
      <c r="QH82"/>
      <c r="QI82"/>
      <c r="QJ82"/>
      <c r="QK82"/>
      <c r="QL82"/>
      <c r="QM82">
        <f>+Tabla520212224252627289349134[[#This Row],[Recuento]]*Tabla520212224252627289349134[[#This Row],[Volúmen bruto]]</f>
        <v>0</v>
      </c>
      <c r="QN82">
        <f>+Tabla520212224252627289349134[[#This Row],[Recuento]]*Tabla520212224252627289349134[[#This Row],[Área neta]]</f>
        <v>0</v>
      </c>
      <c r="QO82" s="26"/>
      <c r="QQ82"/>
      <c r="QR82"/>
      <c r="QS82"/>
      <c r="QT82"/>
      <c r="QU82"/>
      <c r="QV82"/>
      <c r="QW82"/>
      <c r="QX82"/>
      <c r="QY82"/>
      <c r="QZ82"/>
      <c r="RA82" s="26">
        <f>+SUM(QY82:QY106)</f>
        <v>0</v>
      </c>
      <c r="RC82"/>
      <c r="RD82"/>
      <c r="RE82"/>
      <c r="RF82"/>
      <c r="RG82"/>
      <c r="RH82"/>
      <c r="RK82" s="26"/>
      <c r="RM82"/>
      <c r="RN82"/>
      <c r="RO82"/>
      <c r="RP82"/>
      <c r="RQ82"/>
      <c r="RR82"/>
      <c r="RU82" s="26">
        <f t="shared" si="42"/>
        <v>0</v>
      </c>
      <c r="RW82"/>
      <c r="RX82"/>
      <c r="RY82"/>
      <c r="RZ82"/>
      <c r="SA82"/>
      <c r="SB82"/>
      <c r="SC82"/>
      <c r="SD82"/>
      <c r="SE82" s="26"/>
      <c r="SG82"/>
      <c r="SH82"/>
      <c r="SI82"/>
      <c r="SJ82"/>
      <c r="SK82"/>
      <c r="SL82"/>
      <c r="SM82"/>
      <c r="SN82"/>
      <c r="SO82" s="26"/>
      <c r="YK82"/>
      <c r="YL82"/>
      <c r="YM82"/>
      <c r="YN82"/>
      <c r="YO82"/>
      <c r="ADD82" t="s">
        <v>1720</v>
      </c>
      <c r="ADE82">
        <v>6.27</v>
      </c>
      <c r="ADF82">
        <v>2</v>
      </c>
      <c r="ADG82" s="26">
        <f t="shared" si="43"/>
        <v>12.54</v>
      </c>
      <c r="ADJ82"/>
      <c r="ADK82"/>
      <c r="ADL82"/>
      <c r="ADM82"/>
      <c r="ADN82"/>
      <c r="ADO82"/>
      <c r="ADP82" s="36"/>
      <c r="ADR82"/>
      <c r="ADS82"/>
      <c r="ADT82"/>
      <c r="ADU82"/>
      <c r="ADV82"/>
      <c r="ADW82" s="35"/>
      <c r="ADX82" s="35"/>
      <c r="ADY82"/>
      <c r="ADZ82"/>
      <c r="AEA82"/>
      <c r="AEB82"/>
      <c r="AEE82" s="36"/>
      <c r="AEG82"/>
      <c r="AEH82"/>
      <c r="AEI82"/>
      <c r="AEJ82"/>
      <c r="AEL82" s="35"/>
      <c r="AEM82" s="35"/>
      <c r="AEN82" t="s">
        <v>1522</v>
      </c>
      <c r="AEO82" t="s">
        <v>1524</v>
      </c>
      <c r="AEP82" t="s">
        <v>382</v>
      </c>
      <c r="AEQ82">
        <v>2.0299999999999998</v>
      </c>
      <c r="AER82">
        <v>1</v>
      </c>
      <c r="AES82">
        <f>+Tabla5789141516343536373839404142434445464748495051525355606264[[#This Row],[G. Total]]*Tabla5789141516343536373839404142434445464748495051525355606264[[#This Row],[Recuento]]</f>
        <v>2.0299999999999998</v>
      </c>
      <c r="AET82" s="36"/>
      <c r="AEV82"/>
      <c r="AEW82"/>
      <c r="AEX82"/>
      <c r="AEY82"/>
      <c r="AFA82" s="35"/>
      <c r="AFC82"/>
      <c r="AFD82"/>
      <c r="AFE82"/>
      <c r="AFF82" s="33"/>
      <c r="AFG82"/>
      <c r="AFH82"/>
      <c r="AFI82"/>
      <c r="AFJ82"/>
      <c r="AFK82"/>
      <c r="AFL82"/>
      <c r="AFM82"/>
      <c r="AFN82">
        <f>+Tabla578914151634353637383940414243444546474849505152535560626467[[#This Row],[G. Total]]*Tabla578914151634353637383940414243444546474849505152535560626467[[#This Row],[Recuento]]</f>
        <v>0</v>
      </c>
      <c r="AFO82" s="35"/>
    </row>
    <row r="83" spans="2:847" x14ac:dyDescent="0.25">
      <c r="B83"/>
      <c r="C83"/>
      <c r="D83"/>
      <c r="E83"/>
      <c r="F83" s="33"/>
      <c r="G83" s="33"/>
      <c r="H83"/>
      <c r="I83"/>
      <c r="BG83"/>
      <c r="BH83"/>
      <c r="BI83"/>
      <c r="BJ83"/>
      <c r="BK83"/>
      <c r="BL83">
        <f>+Tabla3102[[#This Row],[Longitud de eje]]*BF83</f>
        <v>0</v>
      </c>
      <c r="BM83">
        <f>+Tabla3102[[#This Row],[Longitud de eje]]*BG83</f>
        <v>0</v>
      </c>
      <c r="BO83"/>
      <c r="BP83"/>
      <c r="BQ83"/>
      <c r="BR83"/>
      <c r="BS83"/>
      <c r="BT83">
        <f>+Tabla31069[[#This Row],[Longitud de eje]]*BN83</f>
        <v>0</v>
      </c>
      <c r="BU83">
        <f>+Tabla31069[[#This Row],[Longitud de eje]]*BO83</f>
        <v>0</v>
      </c>
      <c r="BV83"/>
      <c r="BW83"/>
      <c r="BX83"/>
      <c r="BY83"/>
      <c r="BZ83"/>
      <c r="CA83"/>
      <c r="CB83">
        <f>+Tabla31011[[#This Row],[Longitud de eje]]*BV83</f>
        <v>0</v>
      </c>
      <c r="CD83">
        <v>1</v>
      </c>
      <c r="CE83"/>
      <c r="CF83"/>
      <c r="CG83"/>
      <c r="CH83"/>
      <c r="CI83"/>
      <c r="CJ83"/>
      <c r="CK83"/>
      <c r="CL83"/>
      <c r="CM83"/>
      <c r="CN83"/>
      <c r="CO83"/>
      <c r="CP83"/>
      <c r="CQ83"/>
      <c r="CR83">
        <f>+Tabla31011116[[#This Row],[Longitud de eje]]*CL83</f>
        <v>0</v>
      </c>
      <c r="CT83">
        <v>1</v>
      </c>
      <c r="CU83"/>
      <c r="CV83"/>
      <c r="CW83"/>
      <c r="CX83"/>
      <c r="CY83"/>
      <c r="CZ83"/>
      <c r="DA83"/>
      <c r="DB83">
        <v>1</v>
      </c>
      <c r="DC83"/>
      <c r="DD83"/>
      <c r="DE83"/>
      <c r="DF83"/>
      <c r="DG83">
        <f>+Tabla31011704[[#This Row],[Longitud de eje]]*DB83</f>
        <v>0</v>
      </c>
      <c r="DH83"/>
      <c r="DI83">
        <v>1</v>
      </c>
      <c r="DJ83"/>
      <c r="DK83"/>
      <c r="DL83"/>
      <c r="DM83"/>
      <c r="DN83">
        <f>+Tabla3101170411[[#This Row],[Longitud de eje]]*DI83</f>
        <v>0</v>
      </c>
      <c r="DO83"/>
      <c r="DP83">
        <v>1</v>
      </c>
      <c r="DQ83"/>
      <c r="DR83"/>
      <c r="DS83"/>
      <c r="DT83"/>
      <c r="DU83">
        <f>+Tabla3101170411120[[#This Row],[Longitud de eje]]*DP83</f>
        <v>0</v>
      </c>
      <c r="DV83"/>
      <c r="DW83">
        <v>1</v>
      </c>
      <c r="DX83"/>
      <c r="DY83"/>
      <c r="DZ83"/>
      <c r="EA83"/>
      <c r="EB83">
        <f>+Tabla3101170411120122[[#This Row],[Longitud de eje]]*DW83</f>
        <v>0</v>
      </c>
      <c r="EC83"/>
      <c r="ED83"/>
      <c r="EE83"/>
      <c r="EF83"/>
      <c r="EG83"/>
      <c r="EH83"/>
      <c r="EI83"/>
      <c r="EJ83">
        <f>+Tabla3101112[[#This Row],[En culmo]]*ED83</f>
        <v>0</v>
      </c>
      <c r="EK83"/>
      <c r="EL83"/>
      <c r="EM83"/>
      <c r="EN83"/>
      <c r="EO83"/>
      <c r="EP83"/>
      <c r="EQ83"/>
      <c r="ER83">
        <f>+Tabla3101112123[[#This Row],[En culmo]]*EL83</f>
        <v>0</v>
      </c>
      <c r="ES83"/>
      <c r="ET83"/>
      <c r="EU83"/>
      <c r="EV83"/>
      <c r="EW83"/>
      <c r="EX83"/>
      <c r="EY83"/>
      <c r="EZ83">
        <f>+Tabla310111257[[#This Row],[En culmo]]*ET83</f>
        <v>0</v>
      </c>
      <c r="FA83"/>
      <c r="FB83"/>
      <c r="FC83"/>
      <c r="FD83"/>
      <c r="FE83"/>
      <c r="FF83"/>
      <c r="FG83"/>
      <c r="FH83">
        <f>+Tabla310111257124[[#This Row],[En culmo]]*FB83</f>
        <v>0</v>
      </c>
      <c r="FI83"/>
      <c r="FK83"/>
      <c r="FL83"/>
      <c r="FM83"/>
      <c r="FN83"/>
      <c r="FO83"/>
      <c r="FP83"/>
      <c r="FQ83"/>
      <c r="FS83"/>
      <c r="FT83"/>
      <c r="FU83"/>
      <c r="FV83"/>
      <c r="FW83"/>
      <c r="FX83"/>
      <c r="FY83"/>
      <c r="GA83"/>
      <c r="GB83"/>
      <c r="GC83"/>
      <c r="GD83"/>
      <c r="GE83"/>
      <c r="GF83"/>
      <c r="GG83"/>
      <c r="GI83"/>
      <c r="GJ83"/>
      <c r="GK83"/>
      <c r="GL83"/>
      <c r="GM83"/>
      <c r="GN83"/>
      <c r="GO83"/>
      <c r="GQ83"/>
      <c r="GR83"/>
      <c r="GS83"/>
      <c r="GT83"/>
      <c r="GU83"/>
      <c r="GV83"/>
      <c r="GW83"/>
      <c r="GX83"/>
      <c r="GY83" s="36"/>
      <c r="HA83"/>
      <c r="HB83"/>
      <c r="HC83"/>
      <c r="HD83"/>
      <c r="HE83"/>
      <c r="HF83"/>
      <c r="HG83"/>
      <c r="HH83"/>
      <c r="HI83" s="36"/>
      <c r="HK83"/>
      <c r="HL83"/>
      <c r="HM83"/>
      <c r="HN83"/>
      <c r="HO83"/>
      <c r="HP83"/>
      <c r="HQ83"/>
      <c r="HR83"/>
      <c r="HS83" s="36"/>
      <c r="HU83"/>
      <c r="HV83"/>
      <c r="HW83"/>
      <c r="HX83"/>
      <c r="HY83"/>
      <c r="HZ83"/>
      <c r="IA83"/>
      <c r="IB83"/>
      <c r="IC83" s="35"/>
      <c r="IE83"/>
      <c r="IF83"/>
      <c r="IG83"/>
      <c r="IH83"/>
      <c r="II83"/>
      <c r="IJ83"/>
      <c r="IK83"/>
      <c r="IL83"/>
      <c r="IM83" s="35"/>
      <c r="IY83"/>
      <c r="IZ83"/>
      <c r="JA83"/>
      <c r="JB83"/>
      <c r="JC83"/>
      <c r="JD83"/>
      <c r="JE83" s="2">
        <f>+Tabla520212224[[#This Row],[Recuento]]*Tabla520212224[[#This Row],[Volúmen bruto]]</f>
        <v>0</v>
      </c>
      <c r="JF83" s="2">
        <f>+Tabla520212224[[#This Row],[Recuento]]*Tabla520212224[[#This Row],[Área neta]]</f>
        <v>0</v>
      </c>
      <c r="JG83" s="26"/>
      <c r="JI83"/>
      <c r="JJ83"/>
      <c r="JK83"/>
      <c r="JL83"/>
      <c r="JM83"/>
      <c r="JN83"/>
      <c r="JO83" s="2">
        <f>+Tabla52021222425[[#This Row],[Recuento]]*Tabla52021222425[[#This Row],[Volúmen bruto]]</f>
        <v>0</v>
      </c>
      <c r="JP83" s="2">
        <f>+Tabla52021222425[[#This Row],[Recuento]]*Tabla52021222425[[#This Row],[Área neta]]</f>
        <v>0</v>
      </c>
      <c r="JQ83" s="26"/>
      <c r="JS83"/>
      <c r="JT83"/>
      <c r="JU83"/>
      <c r="JV83"/>
      <c r="JW83"/>
      <c r="JX83"/>
      <c r="JY83" s="2">
        <f>+Tabla5202122242526[[#This Row],[Recuento]]*Tabla5202122242526[[#This Row],[Volúmen bruto]]</f>
        <v>0</v>
      </c>
      <c r="JZ83" s="2">
        <f>+Tabla5202122242526[[#This Row],[Recuento]]*Tabla5202122242526[[#This Row],[Área neta]]</f>
        <v>0</v>
      </c>
      <c r="KA83" s="26"/>
      <c r="KC83"/>
      <c r="KD83"/>
      <c r="KE83"/>
      <c r="KF83"/>
      <c r="KG83"/>
      <c r="KH83"/>
      <c r="KI83" s="2">
        <f>+Tabla5202122242526104[[#This Row],[Recuento]]*Tabla5202122242526104[[#This Row],[Volúmen bruto]]</f>
        <v>0</v>
      </c>
      <c r="KJ83" s="2">
        <f>+Tabla5202122242526104[[#This Row],[Recuento]]*Tabla5202122242526104[[#This Row],[Área neta]]</f>
        <v>0</v>
      </c>
      <c r="KK83" s="26"/>
      <c r="KM83" t="s">
        <v>1863</v>
      </c>
      <c r="KN83" t="s">
        <v>1525</v>
      </c>
      <c r="KO83" t="s">
        <v>1679</v>
      </c>
      <c r="KP83">
        <v>0</v>
      </c>
      <c r="KQ83">
        <v>2.5</v>
      </c>
      <c r="KR83">
        <v>1</v>
      </c>
      <c r="KS83" s="2">
        <f>+Tabla5202122242526104110[[#This Row],[Recuento]]*Tabla5202122242526104110[[#This Row],[Volúmen bruto]]</f>
        <v>0</v>
      </c>
      <c r="KT83" s="2">
        <f>+Tabla5202122242526104110[[#This Row],[Recuento]]*Tabla5202122242526104110[[#This Row],[Área neta]]</f>
        <v>2.5</v>
      </c>
      <c r="KU83" s="26"/>
      <c r="KW83"/>
      <c r="KX83"/>
      <c r="KY83"/>
      <c r="KZ83"/>
      <c r="LA83"/>
      <c r="LB83"/>
      <c r="LC83" s="2">
        <f>+Tabla520212224252659[[#This Row],[Recuento]]*Tabla520212224252659[[#This Row],[Volúmen bruto]]</f>
        <v>0</v>
      </c>
      <c r="LD83" s="2">
        <f>+Tabla520212224252659[[#This Row],[Recuento]]*Tabla520212224252659[[#This Row],[Área neta]]</f>
        <v>0</v>
      </c>
      <c r="LE83" s="26"/>
      <c r="LG83"/>
      <c r="LH83"/>
      <c r="LI83"/>
      <c r="LJ83"/>
      <c r="LK83"/>
      <c r="LL83"/>
      <c r="LM83" s="2">
        <f>+Tabla520212224252659111[[#This Row],[Recuento]]*Tabla520212224252659111[[#This Row],[Volúmen bruto]]</f>
        <v>0</v>
      </c>
      <c r="LN83" s="2">
        <f>+Tabla520212224252659111[[#This Row],[Recuento]]*Tabla520212224252659111[[#This Row],[Área neta]]</f>
        <v>0</v>
      </c>
      <c r="LO83" s="26"/>
      <c r="LQ83"/>
      <c r="LR83"/>
      <c r="LS83"/>
      <c r="LT83"/>
      <c r="LU83"/>
      <c r="LV83"/>
      <c r="LW83" s="2">
        <f>+Tabla520212224252659111114[[#This Row],[Recuento]]*Tabla520212224252659111114[[#This Row],[Volúmen bruto]]</f>
        <v>0</v>
      </c>
      <c r="LX83" s="2">
        <f>+Tabla520212224252659111114[[#This Row],[Recuento]]*Tabla520212224252659111114[[#This Row],[Área neta]]</f>
        <v>0</v>
      </c>
      <c r="LY83" s="26"/>
      <c r="MA83"/>
      <c r="MB83"/>
      <c r="MC83"/>
      <c r="MD83"/>
      <c r="ME83"/>
      <c r="MF83"/>
      <c r="MG83" s="2">
        <f>+Tabla520212224252659111114128[[#This Row],[Recuento]]*Tabla520212224252659111114128[[#This Row],[Volúmen bruto]]</f>
        <v>0</v>
      </c>
      <c r="MH83" s="2">
        <f>+Tabla520212224252659111114128[[#This Row],[Recuento]]*Tabla520212224252659111114128[[#This Row],[Área neta]]</f>
        <v>0</v>
      </c>
      <c r="MI83" s="26"/>
      <c r="MK83"/>
      <c r="ML83"/>
      <c r="MM83"/>
      <c r="MN83"/>
      <c r="MO83"/>
      <c r="MP83"/>
      <c r="MQ83">
        <f>+Tabla520212224252627[[#This Row],[Recuento]]*Tabla520212224252627[[#This Row],[Volúmen bruto]]</f>
        <v>0</v>
      </c>
      <c r="MR83">
        <f>+Tabla520212224252627[[#This Row],[Recuento]]*Tabla520212224252627[[#This Row],[Área neta]]</f>
        <v>0</v>
      </c>
      <c r="MS83" s="26"/>
      <c r="MU83"/>
      <c r="MV83"/>
      <c r="MW83"/>
      <c r="MX83"/>
      <c r="MY83"/>
      <c r="MZ83"/>
      <c r="NA83">
        <f>+Tabla520212224252627129[[#This Row],[Recuento]]*Tabla520212224252627129[[#This Row],[Volúmen bruto]]</f>
        <v>0</v>
      </c>
      <c r="NB83">
        <f>+Tabla520212224252627129[[#This Row],[Recuento]]*Tabla520212224252627129[[#This Row],[Área neta]]</f>
        <v>0</v>
      </c>
      <c r="NC83" s="26"/>
      <c r="NE83"/>
      <c r="NF83"/>
      <c r="NG83"/>
      <c r="NH83"/>
      <c r="NI83"/>
      <c r="NJ83"/>
      <c r="NK83">
        <f>+Tabla520212224252627129125[[#This Row],[Recuento]]*Tabla520212224252627129125[[#This Row],[Volúmen bruto]]</f>
        <v>0</v>
      </c>
      <c r="NL83">
        <f>+Tabla520212224252627129125[[#This Row],[Recuento]]*Tabla520212224252627129125[[#This Row],[Área neta]]</f>
        <v>0</v>
      </c>
      <c r="NM83" s="26"/>
      <c r="NO83"/>
      <c r="NP83"/>
      <c r="NQ83"/>
      <c r="NR83"/>
      <c r="NS83"/>
      <c r="NT83"/>
      <c r="NU83">
        <f>+Tabla520212224252627129125130[[#This Row],[Recuento]]*Tabla520212224252627129125130[[#This Row],[Volúmen bruto]]</f>
        <v>0</v>
      </c>
      <c r="NV83">
        <f>+Tabla520212224252627129125130[[#This Row],[Recuento]]*Tabla520212224252627129125130[[#This Row],[Área neta]]</f>
        <v>0</v>
      </c>
      <c r="NW83" s="26"/>
      <c r="NY83"/>
      <c r="NZ83"/>
      <c r="OA83"/>
      <c r="OB83"/>
      <c r="OC83"/>
      <c r="OD83"/>
      <c r="OE83">
        <f>+Tabla520212224252627129125130131[[#This Row],[Recuento]]*Tabla520212224252627129125130131[[#This Row],[Volúmen bruto]]</f>
        <v>0</v>
      </c>
      <c r="OF83">
        <f>+Tabla520212224252627129125130131[[#This Row],[Recuento]]*Tabla520212224252627129125130131[[#This Row],[Área neta]]</f>
        <v>0</v>
      </c>
      <c r="OG83" s="26"/>
      <c r="OI83"/>
      <c r="OJ83"/>
      <c r="OK83"/>
      <c r="OL83"/>
      <c r="OM83"/>
      <c r="ON83"/>
      <c r="OO83">
        <f>+Tabla520212224252627129125130131132[[#This Row],[Recuento]]*Tabla520212224252627129125130131132[[#This Row],[Volúmen bruto]]</f>
        <v>0</v>
      </c>
      <c r="OP83">
        <f>+Tabla520212224252627129125130131132[[#This Row],[Recuento]]*Tabla520212224252627129125130131132[[#This Row],[Área neta]]</f>
        <v>0</v>
      </c>
      <c r="OQ83" s="26"/>
      <c r="OS83"/>
      <c r="OT83"/>
      <c r="OU83"/>
      <c r="OV83"/>
      <c r="OW83"/>
      <c r="OX83"/>
      <c r="OY83">
        <f>+Tabla52021222425262728[[#This Row],[Recuento]]*Tabla52021222425262728[[#This Row],[Volúmen bruto]]</f>
        <v>0</v>
      </c>
      <c r="OZ83">
        <f>+Tabla52021222425262728[[#This Row],[Recuento]]*Tabla52021222425262728[[#This Row],[Área neta]]</f>
        <v>0</v>
      </c>
      <c r="PA83" s="26">
        <f t="shared" si="41"/>
        <v>0</v>
      </c>
      <c r="PC83"/>
      <c r="PD83"/>
      <c r="PE83"/>
      <c r="PF83"/>
      <c r="PG83"/>
      <c r="PH83"/>
      <c r="PI83">
        <f>+Tabla52021222425262728133[[#This Row],[Recuento]]*Tabla52021222425262728133[[#This Row],[Volúmen bruto]]</f>
        <v>0</v>
      </c>
      <c r="PJ83">
        <f>+Tabla52021222425262728133[[#This Row],[Recuento]]*Tabla52021222425262728133[[#This Row],[Área neta]]</f>
        <v>0</v>
      </c>
      <c r="PK83" s="26"/>
      <c r="PM83"/>
      <c r="PN83"/>
      <c r="PO83"/>
      <c r="PP83"/>
      <c r="PQ83"/>
      <c r="PR83"/>
      <c r="PS83">
        <f>+Tabla5202122242526272893[[#This Row],[Recuento]]*Tabla5202122242526272893[[#This Row],[Volúmen bruto]]</f>
        <v>0</v>
      </c>
      <c r="PT83">
        <f>+Tabla5202122242526272893[[#This Row],[Recuento]]*Tabla5202122242526272893[[#This Row],[Área neta]]</f>
        <v>0</v>
      </c>
      <c r="PU83" s="26"/>
      <c r="PW83"/>
      <c r="PX83"/>
      <c r="PY83"/>
      <c r="PZ83"/>
      <c r="QA83"/>
      <c r="QB83"/>
      <c r="QC83">
        <f>+Tabla520212224252627289349[[#This Row],[Recuento]]*Tabla520212224252627289349[[#This Row],[Volúmen bruto]]</f>
        <v>0</v>
      </c>
      <c r="QD83">
        <f>+Tabla520212224252627289349[[#This Row],[Recuento]]*Tabla520212224252627289349[[#This Row],[Área neta]]</f>
        <v>0</v>
      </c>
      <c r="QE83" s="26"/>
      <c r="QG83"/>
      <c r="QH83"/>
      <c r="QI83"/>
      <c r="QJ83"/>
      <c r="QK83"/>
      <c r="QL83"/>
      <c r="QM83">
        <f>+Tabla520212224252627289349134[[#This Row],[Recuento]]*Tabla520212224252627289349134[[#This Row],[Volúmen bruto]]</f>
        <v>0</v>
      </c>
      <c r="QN83">
        <f>+Tabla520212224252627289349134[[#This Row],[Recuento]]*Tabla520212224252627289349134[[#This Row],[Área neta]]</f>
        <v>0</v>
      </c>
      <c r="QO83" s="26"/>
      <c r="QQ83"/>
      <c r="QR83"/>
      <c r="QS83"/>
      <c r="QT83"/>
      <c r="QU83"/>
      <c r="QV83"/>
      <c r="QW83"/>
      <c r="QX83"/>
      <c r="QY83"/>
      <c r="QZ83"/>
      <c r="RA83" s="26"/>
      <c r="RC83"/>
      <c r="RD83"/>
      <c r="RE83"/>
      <c r="RF83"/>
      <c r="RG83"/>
      <c r="RH83"/>
      <c r="RK83" s="26"/>
      <c r="RM83"/>
      <c r="RN83"/>
      <c r="RO83"/>
      <c r="RP83"/>
      <c r="RQ83"/>
      <c r="RR83"/>
      <c r="RU83" s="26">
        <f t="shared" si="42"/>
        <v>0</v>
      </c>
      <c r="RW83"/>
      <c r="RX83"/>
      <c r="RY83"/>
      <c r="RZ83"/>
      <c r="SA83"/>
      <c r="SB83"/>
      <c r="SC83"/>
      <c r="SD83"/>
      <c r="SE83" s="26"/>
      <c r="SG83"/>
      <c r="SH83"/>
      <c r="SI83"/>
      <c r="SJ83"/>
      <c r="SK83"/>
      <c r="SL83"/>
      <c r="SM83"/>
      <c r="SN83"/>
      <c r="SO83" s="26"/>
      <c r="YK83"/>
      <c r="YL83"/>
      <c r="YM83"/>
      <c r="YN83"/>
      <c r="YO83"/>
      <c r="ADD83" t="s">
        <v>1720</v>
      </c>
      <c r="ADE83">
        <v>1.4</v>
      </c>
      <c r="ADF83">
        <v>2</v>
      </c>
      <c r="ADG83" s="26">
        <f t="shared" si="43"/>
        <v>2.8</v>
      </c>
      <c r="ADJ83"/>
      <c r="ADK83"/>
      <c r="ADL83"/>
      <c r="ADM83"/>
      <c r="ADN83"/>
      <c r="ADO83"/>
      <c r="ADP83" s="36"/>
      <c r="ADR83"/>
      <c r="ADS83"/>
      <c r="ADT83"/>
      <c r="ADU83"/>
      <c r="ADV83"/>
      <c r="ADW83" s="35"/>
      <c r="ADX83" s="35"/>
      <c r="ADY83"/>
      <c r="ADZ83"/>
      <c r="AEA83"/>
      <c r="AEB83"/>
      <c r="AEE83" s="36"/>
      <c r="AEG83"/>
      <c r="AEH83"/>
      <c r="AEI83"/>
      <c r="AEJ83"/>
      <c r="AEL83" s="35"/>
      <c r="AEM83" s="35"/>
      <c r="AEN83" t="s">
        <v>1522</v>
      </c>
      <c r="AEO83" t="s">
        <v>1524</v>
      </c>
      <c r="AEP83" t="s">
        <v>382</v>
      </c>
      <c r="AEQ83">
        <v>0.73</v>
      </c>
      <c r="AER83">
        <v>2</v>
      </c>
      <c r="AES83">
        <f>+Tabla5789141516343536373839404142434445464748495051525355606264[[#This Row],[G. Total]]*Tabla5789141516343536373839404142434445464748495051525355606264[[#This Row],[Recuento]]</f>
        <v>1.46</v>
      </c>
      <c r="AET83" s="35"/>
      <c r="AEV83"/>
      <c r="AEW83"/>
      <c r="AEX83"/>
      <c r="AEY83"/>
      <c r="AFA83" s="35"/>
      <c r="AFC83"/>
      <c r="AFD83"/>
      <c r="AFE83"/>
      <c r="AFF83" s="33"/>
      <c r="AFG83"/>
      <c r="AFH83"/>
      <c r="AFI83"/>
      <c r="AFJ83"/>
      <c r="AFK83"/>
      <c r="AFL83"/>
      <c r="AFM83"/>
      <c r="AFN83">
        <f>+Tabla578914151634353637383940414243444546474849505152535560626467[[#This Row],[G. Total]]*Tabla578914151634353637383940414243444546474849505152535560626467[[#This Row],[Recuento]]</f>
        <v>0</v>
      </c>
      <c r="AFO83" s="36"/>
    </row>
    <row r="84" spans="2:847" x14ac:dyDescent="0.25">
      <c r="B84"/>
      <c r="C84"/>
      <c r="D84"/>
      <c r="E84"/>
      <c r="F84" s="33"/>
      <c r="G84" s="33"/>
      <c r="H84"/>
      <c r="I84"/>
      <c r="BG84"/>
      <c r="BH84"/>
      <c r="BI84"/>
      <c r="BJ84"/>
      <c r="BK84"/>
      <c r="BL84">
        <f>+Tabla3102[[#This Row],[Longitud de eje]]*BF84</f>
        <v>0</v>
      </c>
      <c r="BM84">
        <f>+Tabla3102[[#This Row],[Longitud de eje]]*BG84</f>
        <v>0</v>
      </c>
      <c r="BO84"/>
      <c r="BP84"/>
      <c r="BQ84"/>
      <c r="BR84"/>
      <c r="BS84"/>
      <c r="BT84">
        <f>+Tabla31069[[#This Row],[Longitud de eje]]*BN84</f>
        <v>0</v>
      </c>
      <c r="BU84">
        <f>+Tabla31069[[#This Row],[Longitud de eje]]*BO84</f>
        <v>0</v>
      </c>
      <c r="BV84"/>
      <c r="BW84"/>
      <c r="BX84"/>
      <c r="BY84"/>
      <c r="BZ84"/>
      <c r="CA84"/>
      <c r="CB84">
        <f>+Tabla31011[[#This Row],[Longitud de eje]]*BV84</f>
        <v>0</v>
      </c>
      <c r="CD84">
        <v>1</v>
      </c>
      <c r="CE84"/>
      <c r="CF84"/>
      <c r="CG84"/>
      <c r="CH84"/>
      <c r="CI84"/>
      <c r="CJ84"/>
      <c r="CK84"/>
      <c r="CL84"/>
      <c r="CM84"/>
      <c r="CN84"/>
      <c r="CO84"/>
      <c r="CP84"/>
      <c r="CQ84"/>
      <c r="CR84">
        <f>+Tabla31011116[[#This Row],[Longitud de eje]]*CL84</f>
        <v>0</v>
      </c>
      <c r="CT84">
        <v>1</v>
      </c>
      <c r="CU84"/>
      <c r="CV84"/>
      <c r="CW84"/>
      <c r="CX84"/>
      <c r="CY84"/>
      <c r="CZ84"/>
      <c r="DA84"/>
      <c r="DB84">
        <v>1</v>
      </c>
      <c r="DC84"/>
      <c r="DD84"/>
      <c r="DE84"/>
      <c r="DF84"/>
      <c r="DG84">
        <f>+Tabla31011704[[#This Row],[Longitud de eje]]*DB84</f>
        <v>0</v>
      </c>
      <c r="DH84"/>
      <c r="DI84">
        <v>1</v>
      </c>
      <c r="DJ84"/>
      <c r="DK84"/>
      <c r="DL84"/>
      <c r="DM84"/>
      <c r="DN84">
        <f>+Tabla3101170411[[#This Row],[Longitud de eje]]*DI84</f>
        <v>0</v>
      </c>
      <c r="DO84"/>
      <c r="DP84">
        <v>1</v>
      </c>
      <c r="DQ84"/>
      <c r="DR84"/>
      <c r="DS84"/>
      <c r="DT84"/>
      <c r="DU84">
        <f>+Tabla3101170411120[[#This Row],[Longitud de eje]]*DP84</f>
        <v>0</v>
      </c>
      <c r="DV84"/>
      <c r="DW84">
        <v>1</v>
      </c>
      <c r="DX84"/>
      <c r="DY84"/>
      <c r="DZ84"/>
      <c r="EA84"/>
      <c r="EB84">
        <f>+Tabla3101170411120122[[#This Row],[Longitud de eje]]*DW84</f>
        <v>0</v>
      </c>
      <c r="EC84"/>
      <c r="ED84"/>
      <c r="EE84"/>
      <c r="EF84"/>
      <c r="EG84"/>
      <c r="EH84"/>
      <c r="EI84"/>
      <c r="EJ84">
        <f>+Tabla3101112[[#This Row],[En culmo]]*ED84</f>
        <v>0</v>
      </c>
      <c r="EK84"/>
      <c r="EL84"/>
      <c r="EM84"/>
      <c r="EN84"/>
      <c r="EO84"/>
      <c r="EP84"/>
      <c r="EQ84"/>
      <c r="ER84">
        <f>+Tabla3101112123[[#This Row],[En culmo]]*EL84</f>
        <v>0</v>
      </c>
      <c r="ES84"/>
      <c r="ET84"/>
      <c r="EU84"/>
      <c r="EV84"/>
      <c r="EW84"/>
      <c r="EX84"/>
      <c r="EY84"/>
      <c r="EZ84">
        <f>+Tabla310111257[[#This Row],[En culmo]]*ET84</f>
        <v>0</v>
      </c>
      <c r="FA84"/>
      <c r="FB84"/>
      <c r="FC84"/>
      <c r="FD84"/>
      <c r="FE84"/>
      <c r="FF84"/>
      <c r="FG84"/>
      <c r="FH84">
        <f>+Tabla310111257124[[#This Row],[En culmo]]*FB84</f>
        <v>0</v>
      </c>
      <c r="FI84"/>
      <c r="FK84"/>
      <c r="FL84"/>
      <c r="FM84"/>
      <c r="FN84"/>
      <c r="FO84"/>
      <c r="FP84"/>
      <c r="FQ84"/>
      <c r="FS84"/>
      <c r="FT84"/>
      <c r="FU84"/>
      <c r="FV84"/>
      <c r="FW84"/>
      <c r="FX84"/>
      <c r="FY84"/>
      <c r="GA84"/>
      <c r="GB84"/>
      <c r="GC84"/>
      <c r="GD84"/>
      <c r="GE84"/>
      <c r="GF84"/>
      <c r="GG84"/>
      <c r="GI84"/>
      <c r="GJ84"/>
      <c r="GK84"/>
      <c r="GL84"/>
      <c r="GM84"/>
      <c r="GN84"/>
      <c r="GO84"/>
      <c r="GQ84"/>
      <c r="GR84"/>
      <c r="GS84"/>
      <c r="GT84"/>
      <c r="GU84"/>
      <c r="GV84"/>
      <c r="GW84"/>
      <c r="GX84"/>
      <c r="GY84" s="36"/>
      <c r="HA84"/>
      <c r="HB84"/>
      <c r="HC84"/>
      <c r="HD84"/>
      <c r="HE84"/>
      <c r="HF84"/>
      <c r="HG84"/>
      <c r="HH84"/>
      <c r="HI84" s="36"/>
      <c r="HK84"/>
      <c r="HL84"/>
      <c r="HM84"/>
      <c r="HN84"/>
      <c r="HO84"/>
      <c r="HP84"/>
      <c r="HQ84"/>
      <c r="HR84"/>
      <c r="HS84" s="36"/>
      <c r="HU84"/>
      <c r="HV84"/>
      <c r="HW84"/>
      <c r="HX84"/>
      <c r="HY84"/>
      <c r="HZ84"/>
      <c r="IA84"/>
      <c r="IB84"/>
      <c r="IC84" s="36"/>
      <c r="IE84"/>
      <c r="IF84"/>
      <c r="IG84"/>
      <c r="IH84"/>
      <c r="II84"/>
      <c r="IJ84"/>
      <c r="IK84"/>
      <c r="IL84"/>
      <c r="IM84" s="36"/>
      <c r="IY84"/>
      <c r="IZ84"/>
      <c r="JA84"/>
      <c r="JB84"/>
      <c r="JC84"/>
      <c r="JD84"/>
      <c r="JE84" s="2">
        <f>+Tabla520212224[[#This Row],[Recuento]]*Tabla520212224[[#This Row],[Volúmen bruto]]</f>
        <v>0</v>
      </c>
      <c r="JF84" s="2">
        <f>+Tabla520212224[[#This Row],[Recuento]]*Tabla520212224[[#This Row],[Área neta]]</f>
        <v>0</v>
      </c>
      <c r="JG84" s="26"/>
      <c r="JI84"/>
      <c r="JJ84"/>
      <c r="JK84"/>
      <c r="JL84"/>
      <c r="JM84"/>
      <c r="JN84"/>
      <c r="JO84" s="2">
        <f>+Tabla52021222425[[#This Row],[Recuento]]*Tabla52021222425[[#This Row],[Volúmen bruto]]</f>
        <v>0</v>
      </c>
      <c r="JP84" s="2">
        <f>+Tabla52021222425[[#This Row],[Recuento]]*Tabla52021222425[[#This Row],[Área neta]]</f>
        <v>0</v>
      </c>
      <c r="JQ84" s="26"/>
      <c r="JS84"/>
      <c r="JT84"/>
      <c r="JU84"/>
      <c r="JV84"/>
      <c r="JW84"/>
      <c r="JX84"/>
      <c r="JY84" s="2">
        <f>+Tabla5202122242526[[#This Row],[Recuento]]*Tabla5202122242526[[#This Row],[Volúmen bruto]]</f>
        <v>0</v>
      </c>
      <c r="JZ84" s="2">
        <f>+Tabla5202122242526[[#This Row],[Recuento]]*Tabla5202122242526[[#This Row],[Área neta]]</f>
        <v>0</v>
      </c>
      <c r="KA84" s="26"/>
      <c r="KC84"/>
      <c r="KD84"/>
      <c r="KE84"/>
      <c r="KF84"/>
      <c r="KG84"/>
      <c r="KH84"/>
      <c r="KI84" s="2">
        <f>+Tabla5202122242526104[[#This Row],[Recuento]]*Tabla5202122242526104[[#This Row],[Volúmen bruto]]</f>
        <v>0</v>
      </c>
      <c r="KJ84" s="2">
        <f>+Tabla5202122242526104[[#This Row],[Recuento]]*Tabla5202122242526104[[#This Row],[Área neta]]</f>
        <v>0</v>
      </c>
      <c r="KK84" s="26"/>
      <c r="KM84" t="s">
        <v>1863</v>
      </c>
      <c r="KN84" t="s">
        <v>1524</v>
      </c>
      <c r="KO84" t="s">
        <v>1680</v>
      </c>
      <c r="KP84">
        <v>0</v>
      </c>
      <c r="KQ84">
        <v>0.56999999999999995</v>
      </c>
      <c r="KR84">
        <v>2</v>
      </c>
      <c r="KS84" s="2">
        <f>+Tabla5202122242526104110[[#This Row],[Recuento]]*Tabla5202122242526104110[[#This Row],[Volúmen bruto]]</f>
        <v>0</v>
      </c>
      <c r="KT84" s="2">
        <f>+Tabla5202122242526104110[[#This Row],[Recuento]]*Tabla5202122242526104110[[#This Row],[Área neta]]</f>
        <v>1.1399999999999999</v>
      </c>
      <c r="KU84" s="26">
        <f>+SUM(KT84:KT86)</f>
        <v>4.49</v>
      </c>
      <c r="KW84"/>
      <c r="KX84"/>
      <c r="KY84"/>
      <c r="KZ84"/>
      <c r="LA84"/>
      <c r="LB84"/>
      <c r="LC84" s="2">
        <f>+Tabla520212224252659[[#This Row],[Recuento]]*Tabla520212224252659[[#This Row],[Volúmen bruto]]</f>
        <v>0</v>
      </c>
      <c r="LD84" s="2">
        <f>+Tabla520212224252659[[#This Row],[Recuento]]*Tabla520212224252659[[#This Row],[Área neta]]</f>
        <v>0</v>
      </c>
      <c r="LE84" s="26"/>
      <c r="LG84"/>
      <c r="LH84"/>
      <c r="LI84"/>
      <c r="LJ84"/>
      <c r="LK84"/>
      <c r="LL84"/>
      <c r="LM84" s="2">
        <f>+Tabla520212224252659111[[#This Row],[Recuento]]*Tabla520212224252659111[[#This Row],[Volúmen bruto]]</f>
        <v>0</v>
      </c>
      <c r="LN84" s="2">
        <f>+Tabla520212224252659111[[#This Row],[Recuento]]*Tabla520212224252659111[[#This Row],[Área neta]]</f>
        <v>0</v>
      </c>
      <c r="LO84" s="26"/>
      <c r="LQ84"/>
      <c r="LR84"/>
      <c r="LS84"/>
      <c r="LT84"/>
      <c r="LU84"/>
      <c r="LV84"/>
      <c r="LW84" s="2">
        <f>+Tabla520212224252659111114[[#This Row],[Recuento]]*Tabla520212224252659111114[[#This Row],[Volúmen bruto]]</f>
        <v>0</v>
      </c>
      <c r="LX84" s="2">
        <f>+Tabla520212224252659111114[[#This Row],[Recuento]]*Tabla520212224252659111114[[#This Row],[Área neta]]</f>
        <v>0</v>
      </c>
      <c r="LY84" s="26"/>
      <c r="MA84"/>
      <c r="MB84"/>
      <c r="MC84"/>
      <c r="MD84"/>
      <c r="ME84"/>
      <c r="MF84"/>
      <c r="MG84" s="2">
        <f>+Tabla520212224252659111114128[[#This Row],[Recuento]]*Tabla520212224252659111114128[[#This Row],[Volúmen bruto]]</f>
        <v>0</v>
      </c>
      <c r="MH84" s="2">
        <f>+Tabla520212224252659111114128[[#This Row],[Recuento]]*Tabla520212224252659111114128[[#This Row],[Área neta]]</f>
        <v>0</v>
      </c>
      <c r="MI84" s="26"/>
      <c r="MK84"/>
      <c r="ML84"/>
      <c r="MM84"/>
      <c r="MN84"/>
      <c r="MO84"/>
      <c r="MP84"/>
      <c r="MQ84" s="2">
        <f>+Tabla520212224252627[[#This Row],[Recuento]]*Tabla520212224252627[[#This Row],[Volúmen bruto]]</f>
        <v>0</v>
      </c>
      <c r="MR84" s="2">
        <f>+Tabla520212224252627[[#This Row],[Recuento]]*Tabla520212224252627[[#This Row],[Área neta]]</f>
        <v>0</v>
      </c>
      <c r="MS84" s="26"/>
      <c r="MU84"/>
      <c r="MV84"/>
      <c r="MW84"/>
      <c r="MX84"/>
      <c r="MY84"/>
      <c r="MZ84"/>
      <c r="NA84" s="2">
        <f>+Tabla520212224252627129[[#This Row],[Recuento]]*Tabla520212224252627129[[#This Row],[Volúmen bruto]]</f>
        <v>0</v>
      </c>
      <c r="NB84" s="2">
        <f>+Tabla520212224252627129[[#This Row],[Recuento]]*Tabla520212224252627129[[#This Row],[Área neta]]</f>
        <v>0</v>
      </c>
      <c r="NC84" s="26"/>
      <c r="NE84"/>
      <c r="NF84"/>
      <c r="NG84"/>
      <c r="NH84"/>
      <c r="NI84"/>
      <c r="NJ84"/>
      <c r="NK84" s="2">
        <f>+Tabla520212224252627129125[[#This Row],[Recuento]]*Tabla520212224252627129125[[#This Row],[Volúmen bruto]]</f>
        <v>0</v>
      </c>
      <c r="NL84" s="2">
        <f>+Tabla520212224252627129125[[#This Row],[Recuento]]*Tabla520212224252627129125[[#This Row],[Área neta]]</f>
        <v>0</v>
      </c>
      <c r="NM84" s="26"/>
      <c r="NO84"/>
      <c r="NP84"/>
      <c r="NQ84"/>
      <c r="NR84"/>
      <c r="NS84"/>
      <c r="NT84"/>
      <c r="NU84" s="2">
        <f>+Tabla520212224252627129125130[[#This Row],[Recuento]]*Tabla520212224252627129125130[[#This Row],[Volúmen bruto]]</f>
        <v>0</v>
      </c>
      <c r="NV84" s="2">
        <f>+Tabla520212224252627129125130[[#This Row],[Recuento]]*Tabla520212224252627129125130[[#This Row],[Área neta]]</f>
        <v>0</v>
      </c>
      <c r="NW84" s="26"/>
      <c r="NY84"/>
      <c r="NZ84"/>
      <c r="OA84"/>
      <c r="OB84"/>
      <c r="OC84"/>
      <c r="OD84"/>
      <c r="OE84" s="2">
        <f>+Tabla520212224252627129125130131[[#This Row],[Recuento]]*Tabla520212224252627129125130131[[#This Row],[Volúmen bruto]]</f>
        <v>0</v>
      </c>
      <c r="OF84" s="2">
        <f>+Tabla520212224252627129125130131[[#This Row],[Recuento]]*Tabla520212224252627129125130131[[#This Row],[Área neta]]</f>
        <v>0</v>
      </c>
      <c r="OG84" s="26"/>
      <c r="OI84"/>
      <c r="OJ84"/>
      <c r="OK84"/>
      <c r="OL84"/>
      <c r="OM84"/>
      <c r="ON84"/>
      <c r="OO84" s="2">
        <f>+Tabla520212224252627129125130131132[[#This Row],[Recuento]]*Tabla520212224252627129125130131132[[#This Row],[Volúmen bruto]]</f>
        <v>0</v>
      </c>
      <c r="OP84" s="2">
        <f>+Tabla520212224252627129125130131132[[#This Row],[Recuento]]*Tabla520212224252627129125130131132[[#This Row],[Área neta]]</f>
        <v>0</v>
      </c>
      <c r="OQ84" s="26"/>
      <c r="OS84"/>
      <c r="OT84"/>
      <c r="OU84"/>
      <c r="OV84"/>
      <c r="OW84"/>
      <c r="OX84"/>
      <c r="OY84" s="2">
        <f>+Tabla52021222425262728[[#This Row],[Recuento]]*Tabla52021222425262728[[#This Row],[Volúmen bruto]]</f>
        <v>0</v>
      </c>
      <c r="OZ84" s="2">
        <f>+Tabla52021222425262728[[#This Row],[Recuento]]*Tabla52021222425262728[[#This Row],[Área neta]]</f>
        <v>0</v>
      </c>
      <c r="PA84" s="26">
        <f t="shared" si="41"/>
        <v>0</v>
      </c>
      <c r="PC84"/>
      <c r="PD84"/>
      <c r="PE84"/>
      <c r="PF84"/>
      <c r="PG84"/>
      <c r="PH84"/>
      <c r="PI84" s="2">
        <f>+Tabla52021222425262728133[[#This Row],[Recuento]]*Tabla52021222425262728133[[#This Row],[Volúmen bruto]]</f>
        <v>0</v>
      </c>
      <c r="PJ84" s="2">
        <f>+Tabla52021222425262728133[[#This Row],[Recuento]]*Tabla52021222425262728133[[#This Row],[Área neta]]</f>
        <v>0</v>
      </c>
      <c r="PK84" s="26"/>
      <c r="PM84"/>
      <c r="PN84"/>
      <c r="PO84"/>
      <c r="PP84"/>
      <c r="PQ84"/>
      <c r="PR84"/>
      <c r="PS84" s="2">
        <f>+Tabla5202122242526272893[[#This Row],[Recuento]]*Tabla5202122242526272893[[#This Row],[Volúmen bruto]]</f>
        <v>0</v>
      </c>
      <c r="PT84" s="2">
        <f>+Tabla5202122242526272893[[#This Row],[Recuento]]*Tabla5202122242526272893[[#This Row],[Área neta]]</f>
        <v>0</v>
      </c>
      <c r="PU84" s="26"/>
      <c r="PW84"/>
      <c r="PX84"/>
      <c r="PY84"/>
      <c r="PZ84"/>
      <c r="QA84"/>
      <c r="QB84"/>
      <c r="QC84" s="2">
        <f>+Tabla520212224252627289349[[#This Row],[Recuento]]*Tabla520212224252627289349[[#This Row],[Volúmen bruto]]</f>
        <v>0</v>
      </c>
      <c r="QD84" s="2">
        <f>+Tabla520212224252627289349[[#This Row],[Recuento]]*Tabla520212224252627289349[[#This Row],[Área neta]]</f>
        <v>0</v>
      </c>
      <c r="QE84" s="26"/>
      <c r="QG84"/>
      <c r="QH84"/>
      <c r="QI84"/>
      <c r="QJ84"/>
      <c r="QK84"/>
      <c r="QL84"/>
      <c r="QM84" s="2">
        <f>+Tabla520212224252627289349134[[#This Row],[Recuento]]*Tabla520212224252627289349134[[#This Row],[Volúmen bruto]]</f>
        <v>0</v>
      </c>
      <c r="QN84" s="2">
        <f>+Tabla520212224252627289349134[[#This Row],[Recuento]]*Tabla520212224252627289349134[[#This Row],[Área neta]]</f>
        <v>0</v>
      </c>
      <c r="QO84" s="26"/>
      <c r="QQ84"/>
      <c r="QR84"/>
      <c r="QS84"/>
      <c r="QT84"/>
      <c r="QU84"/>
      <c r="QV84"/>
      <c r="QW84"/>
      <c r="RA84" s="26"/>
      <c r="RC84"/>
      <c r="RD84"/>
      <c r="RE84"/>
      <c r="RF84"/>
      <c r="RG84"/>
      <c r="RH84"/>
      <c r="RK84" s="26"/>
      <c r="RM84"/>
      <c r="RN84"/>
      <c r="RO84"/>
      <c r="RP84"/>
      <c r="RQ84"/>
      <c r="RR84"/>
      <c r="RU84" s="26">
        <f t="shared" si="42"/>
        <v>0</v>
      </c>
      <c r="RW84"/>
      <c r="RX84"/>
      <c r="RY84"/>
      <c r="RZ84"/>
      <c r="SA84"/>
      <c r="SB84"/>
      <c r="SE84" s="26"/>
      <c r="SG84"/>
      <c r="SH84"/>
      <c r="SI84"/>
      <c r="SJ84"/>
      <c r="SK84"/>
      <c r="SL84"/>
      <c r="SO84" s="26"/>
      <c r="YK84"/>
      <c r="YL84"/>
      <c r="YM84"/>
      <c r="YN84"/>
      <c r="YO84"/>
      <c r="ADD84" t="s">
        <v>1720</v>
      </c>
      <c r="ADE84">
        <v>1.65</v>
      </c>
      <c r="ADF84">
        <v>1</v>
      </c>
      <c r="ADG84" s="26">
        <f t="shared" si="43"/>
        <v>1.65</v>
      </c>
      <c r="ADJ84"/>
      <c r="ADK84"/>
      <c r="ADL84"/>
      <c r="ADM84"/>
      <c r="ADN84"/>
      <c r="ADO84"/>
      <c r="ADP84" s="36"/>
      <c r="ADR84"/>
      <c r="ADS84"/>
      <c r="ADT84"/>
      <c r="ADU84"/>
      <c r="ADV84"/>
      <c r="ADW84" s="35"/>
      <c r="ADX84" s="35"/>
      <c r="ADY84"/>
      <c r="ADZ84"/>
      <c r="AEA84"/>
      <c r="AEB84"/>
      <c r="AEE84" s="36"/>
      <c r="AEG84"/>
      <c r="AEH84"/>
      <c r="AEI84"/>
      <c r="AEJ84"/>
      <c r="AEL84" s="35"/>
      <c r="AEM84" s="35"/>
      <c r="AEN84" t="s">
        <v>1522</v>
      </c>
      <c r="AEO84" t="s">
        <v>1524</v>
      </c>
      <c r="AEP84" t="s">
        <v>382</v>
      </c>
      <c r="AEQ84">
        <v>0.03</v>
      </c>
      <c r="AER84">
        <v>1</v>
      </c>
      <c r="AES84">
        <f>+Tabla5789141516343536373839404142434445464748495051525355606264[[#This Row],[G. Total]]*Tabla5789141516343536373839404142434445464748495051525355606264[[#This Row],[Recuento]]</f>
        <v>0.03</v>
      </c>
      <c r="AET84" s="36"/>
      <c r="AEV84"/>
      <c r="AEW84"/>
      <c r="AEX84"/>
      <c r="AEY84"/>
      <c r="AFA84" s="35"/>
      <c r="AFC84"/>
      <c r="AFD84"/>
      <c r="AFE84"/>
      <c r="AFF84" s="33"/>
      <c r="AFG84"/>
      <c r="AFH84"/>
      <c r="AFI84"/>
      <c r="AFJ84"/>
      <c r="AFK84"/>
      <c r="AFL84"/>
      <c r="AFM84"/>
      <c r="AFN84">
        <f>+Tabla578914151634353637383940414243444546474849505152535560626467[[#This Row],[G. Total]]*Tabla578914151634353637383940414243444546474849505152535560626467[[#This Row],[Recuento]]</f>
        <v>0</v>
      </c>
      <c r="AFO84" s="36"/>
    </row>
    <row r="85" spans="2:847" x14ac:dyDescent="0.25">
      <c r="B85"/>
      <c r="C85"/>
      <c r="D85"/>
      <c r="E85"/>
      <c r="F85" s="33"/>
      <c r="G85" s="33"/>
      <c r="H85"/>
      <c r="I85"/>
      <c r="BG85"/>
      <c r="BH85"/>
      <c r="BI85"/>
      <c r="BJ85"/>
      <c r="BK85"/>
      <c r="BL85">
        <f>+Tabla3102[[#This Row],[Longitud de eje]]*BF85</f>
        <v>0</v>
      </c>
      <c r="BM85">
        <f>+Tabla3102[[#This Row],[Longitud de eje]]*BG85</f>
        <v>0</v>
      </c>
      <c r="BO85"/>
      <c r="BP85"/>
      <c r="BQ85"/>
      <c r="BR85"/>
      <c r="BS85"/>
      <c r="BT85">
        <f>+Tabla31069[[#This Row],[Longitud de eje]]*BN85</f>
        <v>0</v>
      </c>
      <c r="BU85">
        <f>+Tabla31069[[#This Row],[Longitud de eje]]*BO85</f>
        <v>0</v>
      </c>
      <c r="BV85"/>
      <c r="BW85"/>
      <c r="BX85"/>
      <c r="BY85"/>
      <c r="BZ85"/>
      <c r="CA85"/>
      <c r="CB85">
        <f>+Tabla31011[[#This Row],[Longitud de eje]]*BV85</f>
        <v>0</v>
      </c>
      <c r="CD85">
        <v>1</v>
      </c>
      <c r="CE85"/>
      <c r="CF85"/>
      <c r="CG85"/>
      <c r="CH85"/>
      <c r="CI85"/>
      <c r="CJ85"/>
      <c r="CK85"/>
      <c r="CL85"/>
      <c r="CM85"/>
      <c r="CN85"/>
      <c r="CO85"/>
      <c r="CP85"/>
      <c r="CQ85"/>
      <c r="CR85">
        <f>+Tabla31011116[[#This Row],[Longitud de eje]]*CL85</f>
        <v>0</v>
      </c>
      <c r="CT85">
        <v>1</v>
      </c>
      <c r="CU85"/>
      <c r="CV85"/>
      <c r="CW85"/>
      <c r="CX85"/>
      <c r="CY85"/>
      <c r="CZ85"/>
      <c r="DA85"/>
      <c r="DB85">
        <v>1</v>
      </c>
      <c r="DC85"/>
      <c r="DD85"/>
      <c r="DE85"/>
      <c r="DF85"/>
      <c r="DG85">
        <f>+Tabla31011704[[#This Row],[Longitud de eje]]*DB85</f>
        <v>0</v>
      </c>
      <c r="DH85"/>
      <c r="DI85">
        <v>1</v>
      </c>
      <c r="DJ85"/>
      <c r="DK85"/>
      <c r="DL85"/>
      <c r="DM85"/>
      <c r="DN85">
        <f>+Tabla3101170411[[#This Row],[Longitud de eje]]*DI85</f>
        <v>0</v>
      </c>
      <c r="DO85"/>
      <c r="DP85">
        <v>1</v>
      </c>
      <c r="DQ85"/>
      <c r="DR85"/>
      <c r="DS85"/>
      <c r="DT85"/>
      <c r="DU85">
        <f>+Tabla3101170411120[[#This Row],[Longitud de eje]]*DP85</f>
        <v>0</v>
      </c>
      <c r="DV85"/>
      <c r="DW85">
        <v>1</v>
      </c>
      <c r="DX85"/>
      <c r="DY85"/>
      <c r="DZ85"/>
      <c r="EA85"/>
      <c r="EB85">
        <f>+Tabla3101170411120122[[#This Row],[Longitud de eje]]*DW85</f>
        <v>0</v>
      </c>
      <c r="EC85"/>
      <c r="ED85"/>
      <c r="EE85"/>
      <c r="EF85"/>
      <c r="EG85"/>
      <c r="EH85"/>
      <c r="EI85"/>
      <c r="EJ85">
        <f>+Tabla3101112[[#This Row],[En culmo]]*ED85</f>
        <v>0</v>
      </c>
      <c r="EK85"/>
      <c r="EL85"/>
      <c r="EM85"/>
      <c r="EN85"/>
      <c r="EO85"/>
      <c r="EP85"/>
      <c r="EQ85"/>
      <c r="ER85">
        <f>+Tabla3101112123[[#This Row],[En culmo]]*EL85</f>
        <v>0</v>
      </c>
      <c r="ES85"/>
      <c r="ET85"/>
      <c r="EU85"/>
      <c r="EV85"/>
      <c r="EW85"/>
      <c r="EX85"/>
      <c r="EY85"/>
      <c r="EZ85">
        <f>+Tabla310111257[[#This Row],[En culmo]]*ET85</f>
        <v>0</v>
      </c>
      <c r="FA85"/>
      <c r="FB85"/>
      <c r="FC85"/>
      <c r="FD85"/>
      <c r="FE85"/>
      <c r="FF85"/>
      <c r="FG85"/>
      <c r="FH85">
        <f>+Tabla310111257124[[#This Row],[En culmo]]*FB85</f>
        <v>0</v>
      </c>
      <c r="FI85"/>
      <c r="FK85"/>
      <c r="FL85"/>
      <c r="FM85"/>
      <c r="FN85"/>
      <c r="FO85"/>
      <c r="FP85"/>
      <c r="FQ85"/>
      <c r="FS85"/>
      <c r="FT85"/>
      <c r="FU85"/>
      <c r="FV85"/>
      <c r="FW85"/>
      <c r="FX85"/>
      <c r="FY85"/>
      <c r="GA85"/>
      <c r="GB85"/>
      <c r="GC85"/>
      <c r="GD85"/>
      <c r="GE85"/>
      <c r="GF85"/>
      <c r="GG85"/>
      <c r="GI85"/>
      <c r="GJ85"/>
      <c r="GK85"/>
      <c r="GL85"/>
      <c r="GM85"/>
      <c r="GN85"/>
      <c r="GO85"/>
      <c r="GQ85"/>
      <c r="GR85"/>
      <c r="GS85"/>
      <c r="GT85"/>
      <c r="GU85"/>
      <c r="GV85"/>
      <c r="GW85"/>
      <c r="GX85"/>
      <c r="GY85" s="36"/>
      <c r="HA85"/>
      <c r="HB85"/>
      <c r="HC85"/>
      <c r="HD85"/>
      <c r="HE85"/>
      <c r="HF85"/>
      <c r="HG85"/>
      <c r="HH85"/>
      <c r="HI85" s="36"/>
      <c r="HK85"/>
      <c r="HL85"/>
      <c r="HM85"/>
      <c r="HN85"/>
      <c r="HO85"/>
      <c r="HP85"/>
      <c r="HQ85"/>
      <c r="HR85"/>
      <c r="HS85" s="36"/>
      <c r="HU85"/>
      <c r="HV85"/>
      <c r="HW85"/>
      <c r="HX85"/>
      <c r="HY85"/>
      <c r="HZ85"/>
      <c r="IA85"/>
      <c r="IB85"/>
      <c r="IC85" s="35"/>
      <c r="IE85"/>
      <c r="IF85"/>
      <c r="IG85"/>
      <c r="IH85"/>
      <c r="II85"/>
      <c r="IJ85"/>
      <c r="IK85"/>
      <c r="IL85"/>
      <c r="IM85" s="35"/>
      <c r="IY85"/>
      <c r="IZ85"/>
      <c r="JA85"/>
      <c r="JB85"/>
      <c r="JC85"/>
      <c r="JD85"/>
      <c r="JE85" s="2">
        <f>+Tabla520212224[[#This Row],[Recuento]]*Tabla520212224[[#This Row],[Volúmen bruto]]</f>
        <v>0</v>
      </c>
      <c r="JF85" s="2">
        <f>+Tabla520212224[[#This Row],[Recuento]]*Tabla520212224[[#This Row],[Área neta]]</f>
        <v>0</v>
      </c>
      <c r="JG85" s="26"/>
      <c r="JI85"/>
      <c r="JJ85"/>
      <c r="JK85"/>
      <c r="JL85"/>
      <c r="JM85"/>
      <c r="JN85"/>
      <c r="JO85" s="2">
        <f>+Tabla52021222425[[#This Row],[Recuento]]*Tabla52021222425[[#This Row],[Volúmen bruto]]</f>
        <v>0</v>
      </c>
      <c r="JP85" s="2">
        <f>+Tabla52021222425[[#This Row],[Recuento]]*Tabla52021222425[[#This Row],[Área neta]]</f>
        <v>0</v>
      </c>
      <c r="JQ85" s="26"/>
      <c r="JS85"/>
      <c r="JT85"/>
      <c r="JU85"/>
      <c r="JV85"/>
      <c r="JW85"/>
      <c r="JX85"/>
      <c r="JY85" s="2">
        <f>+Tabla5202122242526[[#This Row],[Recuento]]*Tabla5202122242526[[#This Row],[Volúmen bruto]]</f>
        <v>0</v>
      </c>
      <c r="JZ85" s="2">
        <f>+Tabla5202122242526[[#This Row],[Recuento]]*Tabla5202122242526[[#This Row],[Área neta]]</f>
        <v>0</v>
      </c>
      <c r="KA85" s="26"/>
      <c r="KC85"/>
      <c r="KD85"/>
      <c r="KE85"/>
      <c r="KF85"/>
      <c r="KG85"/>
      <c r="KH85"/>
      <c r="KI85" s="2">
        <f>+Tabla5202122242526104[[#This Row],[Recuento]]*Tabla5202122242526104[[#This Row],[Volúmen bruto]]</f>
        <v>0</v>
      </c>
      <c r="KJ85" s="2">
        <f>+Tabla5202122242526104[[#This Row],[Recuento]]*Tabla5202122242526104[[#This Row],[Área neta]]</f>
        <v>0</v>
      </c>
      <c r="KK85" s="26"/>
      <c r="KM85" t="s">
        <v>1863</v>
      </c>
      <c r="KN85" t="s">
        <v>1525</v>
      </c>
      <c r="KO85" t="s">
        <v>1680</v>
      </c>
      <c r="KP85">
        <v>0</v>
      </c>
      <c r="KQ85">
        <v>0.84</v>
      </c>
      <c r="KR85">
        <v>1</v>
      </c>
      <c r="KS85" s="2">
        <f>+Tabla5202122242526104110[[#This Row],[Recuento]]*Tabla5202122242526104110[[#This Row],[Volúmen bruto]]</f>
        <v>0</v>
      </c>
      <c r="KT85" s="2">
        <f>+Tabla5202122242526104110[[#This Row],[Recuento]]*Tabla5202122242526104110[[#This Row],[Área neta]]</f>
        <v>0.84</v>
      </c>
      <c r="KU85" s="26"/>
      <c r="KW85"/>
      <c r="KX85"/>
      <c r="KY85"/>
      <c r="KZ85"/>
      <c r="LA85"/>
      <c r="LB85"/>
      <c r="LC85" s="2">
        <f>+Tabla520212224252659[[#This Row],[Recuento]]*Tabla520212224252659[[#This Row],[Volúmen bruto]]</f>
        <v>0</v>
      </c>
      <c r="LD85" s="2">
        <f>+Tabla520212224252659[[#This Row],[Recuento]]*Tabla520212224252659[[#This Row],[Área neta]]</f>
        <v>0</v>
      </c>
      <c r="LE85" s="26"/>
      <c r="LG85"/>
      <c r="LH85"/>
      <c r="LI85"/>
      <c r="LJ85"/>
      <c r="LK85"/>
      <c r="LL85"/>
      <c r="LM85" s="2">
        <f>+Tabla520212224252659111[[#This Row],[Recuento]]*Tabla520212224252659111[[#This Row],[Volúmen bruto]]</f>
        <v>0</v>
      </c>
      <c r="LN85" s="2">
        <f>+Tabla520212224252659111[[#This Row],[Recuento]]*Tabla520212224252659111[[#This Row],[Área neta]]</f>
        <v>0</v>
      </c>
      <c r="LO85" s="26"/>
      <c r="LQ85"/>
      <c r="LR85"/>
      <c r="LS85"/>
      <c r="LT85"/>
      <c r="LU85"/>
      <c r="LV85"/>
      <c r="LW85" s="2">
        <f>+Tabla520212224252659111114[[#This Row],[Recuento]]*Tabla520212224252659111114[[#This Row],[Volúmen bruto]]</f>
        <v>0</v>
      </c>
      <c r="LX85" s="2">
        <f>+Tabla520212224252659111114[[#This Row],[Recuento]]*Tabla520212224252659111114[[#This Row],[Área neta]]</f>
        <v>0</v>
      </c>
      <c r="LY85" s="26"/>
      <c r="MA85"/>
      <c r="MB85"/>
      <c r="MC85"/>
      <c r="MD85"/>
      <c r="ME85"/>
      <c r="MF85"/>
      <c r="MG85" s="2">
        <f>+Tabla520212224252659111114128[[#This Row],[Recuento]]*Tabla520212224252659111114128[[#This Row],[Volúmen bruto]]</f>
        <v>0</v>
      </c>
      <c r="MH85" s="2">
        <f>+Tabla520212224252659111114128[[#This Row],[Recuento]]*Tabla520212224252659111114128[[#This Row],[Área neta]]</f>
        <v>0</v>
      </c>
      <c r="MI85" s="26"/>
      <c r="MK85"/>
      <c r="ML85"/>
      <c r="MM85"/>
      <c r="MN85"/>
      <c r="MO85"/>
      <c r="MP85"/>
      <c r="MQ85" s="2">
        <f>+Tabla520212224252627[[#This Row],[Recuento]]*Tabla520212224252627[[#This Row],[Volúmen bruto]]</f>
        <v>0</v>
      </c>
      <c r="MR85" s="2">
        <f>+Tabla520212224252627[[#This Row],[Recuento]]*Tabla520212224252627[[#This Row],[Área neta]]</f>
        <v>0</v>
      </c>
      <c r="MS85" s="26"/>
      <c r="MU85"/>
      <c r="MV85"/>
      <c r="MW85"/>
      <c r="MX85"/>
      <c r="MY85"/>
      <c r="MZ85"/>
      <c r="NA85" s="2">
        <f>+Tabla520212224252627129[[#This Row],[Recuento]]*Tabla520212224252627129[[#This Row],[Volúmen bruto]]</f>
        <v>0</v>
      </c>
      <c r="NB85" s="2">
        <f>+Tabla520212224252627129[[#This Row],[Recuento]]*Tabla520212224252627129[[#This Row],[Área neta]]</f>
        <v>0</v>
      </c>
      <c r="NC85" s="26"/>
      <c r="NE85"/>
      <c r="NF85"/>
      <c r="NG85"/>
      <c r="NH85"/>
      <c r="NI85"/>
      <c r="NJ85"/>
      <c r="NK85" s="2">
        <f>+Tabla520212224252627129125[[#This Row],[Recuento]]*Tabla520212224252627129125[[#This Row],[Volúmen bruto]]</f>
        <v>0</v>
      </c>
      <c r="NL85" s="2">
        <f>+Tabla520212224252627129125[[#This Row],[Recuento]]*Tabla520212224252627129125[[#This Row],[Área neta]]</f>
        <v>0</v>
      </c>
      <c r="NM85" s="26"/>
      <c r="NO85"/>
      <c r="NP85"/>
      <c r="NQ85"/>
      <c r="NR85"/>
      <c r="NS85"/>
      <c r="NT85"/>
      <c r="NU85" s="2">
        <f>+Tabla520212224252627129125130[[#This Row],[Recuento]]*Tabla520212224252627129125130[[#This Row],[Volúmen bruto]]</f>
        <v>0</v>
      </c>
      <c r="NV85" s="2">
        <f>+Tabla520212224252627129125130[[#This Row],[Recuento]]*Tabla520212224252627129125130[[#This Row],[Área neta]]</f>
        <v>0</v>
      </c>
      <c r="NW85" s="26"/>
      <c r="NY85"/>
      <c r="NZ85"/>
      <c r="OA85"/>
      <c r="OB85"/>
      <c r="OC85"/>
      <c r="OD85"/>
      <c r="OE85" s="2">
        <f>+Tabla520212224252627129125130131[[#This Row],[Recuento]]*Tabla520212224252627129125130131[[#This Row],[Volúmen bruto]]</f>
        <v>0</v>
      </c>
      <c r="OF85" s="2">
        <f>+Tabla520212224252627129125130131[[#This Row],[Recuento]]*Tabla520212224252627129125130131[[#This Row],[Área neta]]</f>
        <v>0</v>
      </c>
      <c r="OG85" s="26"/>
      <c r="OI85"/>
      <c r="OJ85"/>
      <c r="OK85"/>
      <c r="OL85"/>
      <c r="OM85"/>
      <c r="ON85"/>
      <c r="OO85" s="2">
        <f>+Tabla520212224252627129125130131132[[#This Row],[Recuento]]*Tabla520212224252627129125130131132[[#This Row],[Volúmen bruto]]</f>
        <v>0</v>
      </c>
      <c r="OP85" s="2">
        <f>+Tabla520212224252627129125130131132[[#This Row],[Recuento]]*Tabla520212224252627129125130131132[[#This Row],[Área neta]]</f>
        <v>0</v>
      </c>
      <c r="OQ85" s="26"/>
      <c r="OS85"/>
      <c r="OT85"/>
      <c r="OU85"/>
      <c r="OV85"/>
      <c r="OW85"/>
      <c r="OX85"/>
      <c r="OY85" s="2">
        <f>+Tabla52021222425262728[[#This Row],[Recuento]]*Tabla52021222425262728[[#This Row],[Volúmen bruto]]</f>
        <v>0</v>
      </c>
      <c r="OZ85" s="2">
        <f>+Tabla52021222425262728[[#This Row],[Recuento]]*Tabla52021222425262728[[#This Row],[Área neta]]</f>
        <v>0</v>
      </c>
      <c r="PA85" s="26">
        <f t="shared" si="41"/>
        <v>0</v>
      </c>
      <c r="PC85"/>
      <c r="PD85"/>
      <c r="PE85"/>
      <c r="PF85"/>
      <c r="PG85"/>
      <c r="PH85"/>
      <c r="PI85" s="2">
        <f>+Tabla52021222425262728133[[#This Row],[Recuento]]*Tabla52021222425262728133[[#This Row],[Volúmen bruto]]</f>
        <v>0</v>
      </c>
      <c r="PJ85" s="2">
        <f>+Tabla52021222425262728133[[#This Row],[Recuento]]*Tabla52021222425262728133[[#This Row],[Área neta]]</f>
        <v>0</v>
      </c>
      <c r="PK85" s="26"/>
      <c r="PM85"/>
      <c r="PN85"/>
      <c r="PO85"/>
      <c r="PP85"/>
      <c r="PQ85"/>
      <c r="PR85"/>
      <c r="PS85" s="2">
        <f>+Tabla5202122242526272893[[#This Row],[Recuento]]*Tabla5202122242526272893[[#This Row],[Volúmen bruto]]</f>
        <v>0</v>
      </c>
      <c r="PT85" s="2">
        <f>+Tabla5202122242526272893[[#This Row],[Recuento]]*Tabla5202122242526272893[[#This Row],[Área neta]]</f>
        <v>0</v>
      </c>
      <c r="PU85" s="26"/>
      <c r="PW85"/>
      <c r="PX85"/>
      <c r="PY85"/>
      <c r="PZ85"/>
      <c r="QA85"/>
      <c r="QB85"/>
      <c r="QC85" s="2">
        <f>+Tabla520212224252627289349[[#This Row],[Recuento]]*Tabla520212224252627289349[[#This Row],[Volúmen bruto]]</f>
        <v>0</v>
      </c>
      <c r="QD85" s="2">
        <f>+Tabla520212224252627289349[[#This Row],[Recuento]]*Tabla520212224252627289349[[#This Row],[Área neta]]</f>
        <v>0</v>
      </c>
      <c r="QE85" s="26"/>
      <c r="QG85"/>
      <c r="QH85"/>
      <c r="QI85"/>
      <c r="QJ85"/>
      <c r="QK85"/>
      <c r="QL85"/>
      <c r="QM85" s="2">
        <f>+Tabla520212224252627289349134[[#This Row],[Recuento]]*Tabla520212224252627289349134[[#This Row],[Volúmen bruto]]</f>
        <v>0</v>
      </c>
      <c r="QN85" s="2">
        <f>+Tabla520212224252627289349134[[#This Row],[Recuento]]*Tabla520212224252627289349134[[#This Row],[Área neta]]</f>
        <v>0</v>
      </c>
      <c r="QO85" s="26"/>
      <c r="QQ85"/>
      <c r="QR85"/>
      <c r="QS85"/>
      <c r="QT85"/>
      <c r="QU85"/>
      <c r="QV85"/>
      <c r="QW85"/>
      <c r="RA85" s="26"/>
      <c r="RC85"/>
      <c r="RD85"/>
      <c r="RE85"/>
      <c r="RF85"/>
      <c r="RG85"/>
      <c r="RH85"/>
      <c r="RK85" s="26"/>
      <c r="RM85"/>
      <c r="RN85"/>
      <c r="RO85"/>
      <c r="RP85"/>
      <c r="RQ85"/>
      <c r="RR85"/>
      <c r="RU85" s="26">
        <f t="shared" si="42"/>
        <v>0</v>
      </c>
      <c r="RW85"/>
      <c r="RX85"/>
      <c r="RY85"/>
      <c r="RZ85"/>
      <c r="SA85"/>
      <c r="SB85"/>
      <c r="SE85" s="26"/>
      <c r="SG85"/>
      <c r="SH85"/>
      <c r="SI85"/>
      <c r="SJ85"/>
      <c r="SK85"/>
      <c r="SL85"/>
      <c r="SO85" s="26"/>
      <c r="YK85"/>
      <c r="YL85"/>
      <c r="YM85"/>
      <c r="YN85"/>
      <c r="YO85"/>
      <c r="ADD85" t="s">
        <v>1720</v>
      </c>
      <c r="ADE85">
        <v>4.4000000000000004</v>
      </c>
      <c r="ADF85">
        <v>2</v>
      </c>
      <c r="ADG85" s="26">
        <f t="shared" si="43"/>
        <v>8.8000000000000007</v>
      </c>
      <c r="ADJ85"/>
      <c r="ADK85"/>
      <c r="ADL85"/>
      <c r="ADM85"/>
      <c r="ADN85"/>
      <c r="ADO85"/>
      <c r="ADP85" s="36"/>
      <c r="ADR85"/>
      <c r="ADS85"/>
      <c r="ADT85"/>
      <c r="ADU85"/>
      <c r="ADV85"/>
      <c r="ADW85" s="35"/>
      <c r="ADX85" s="35"/>
      <c r="ADY85"/>
      <c r="ADZ85"/>
      <c r="AEA85"/>
      <c r="AEB85"/>
      <c r="AEE85" s="36"/>
      <c r="AEG85"/>
      <c r="AEH85"/>
      <c r="AEI85"/>
      <c r="AEJ85"/>
      <c r="AEL85" s="35"/>
      <c r="AEM85" s="35"/>
      <c r="AEN85" t="s">
        <v>1522</v>
      </c>
      <c r="AEO85" t="s">
        <v>1524</v>
      </c>
      <c r="AEP85" t="s">
        <v>382</v>
      </c>
      <c r="AEQ85">
        <v>0.78</v>
      </c>
      <c r="AER85">
        <v>1</v>
      </c>
      <c r="AES85">
        <f>+Tabla5789141516343536373839404142434445464748495051525355606264[[#This Row],[G. Total]]*Tabla5789141516343536373839404142434445464748495051525355606264[[#This Row],[Recuento]]</f>
        <v>0.78</v>
      </c>
      <c r="AET85" s="36"/>
      <c r="AEV85"/>
      <c r="AEW85"/>
      <c r="AEX85"/>
      <c r="AEY85"/>
      <c r="AFA85" s="35"/>
      <c r="AFC85"/>
      <c r="AFD85"/>
      <c r="AFE85"/>
      <c r="AFF85" s="33"/>
      <c r="AFG85"/>
      <c r="AFH85"/>
      <c r="AFI85"/>
      <c r="AFJ85"/>
      <c r="AFK85"/>
      <c r="AFL85"/>
      <c r="AFM85"/>
      <c r="AFN85">
        <f>+Tabla578914151634353637383940414243444546474849505152535560626467[[#This Row],[G. Total]]*Tabla578914151634353637383940414243444546474849505152535560626467[[#This Row],[Recuento]]</f>
        <v>0</v>
      </c>
      <c r="AFO85" s="36"/>
    </row>
    <row r="86" spans="2:847" x14ac:dyDescent="0.25">
      <c r="B86"/>
      <c r="C86"/>
      <c r="D86"/>
      <c r="E86"/>
      <c r="F86" s="33"/>
      <c r="G86" s="33"/>
      <c r="H86"/>
      <c r="I86"/>
      <c r="BG86"/>
      <c r="BH86"/>
      <c r="BI86"/>
      <c r="BJ86"/>
      <c r="BK86"/>
      <c r="BL86">
        <f>+Tabla3102[[#This Row],[Longitud de eje]]*BF86</f>
        <v>0</v>
      </c>
      <c r="BM86">
        <f>+Tabla3102[[#This Row],[Longitud de eje]]*BG86</f>
        <v>0</v>
      </c>
      <c r="BO86"/>
      <c r="BP86"/>
      <c r="BQ86"/>
      <c r="BR86"/>
      <c r="BS86"/>
      <c r="BT86">
        <f>+Tabla31069[[#This Row],[Longitud de eje]]*BN86</f>
        <v>0</v>
      </c>
      <c r="BU86">
        <f>+Tabla31069[[#This Row],[Longitud de eje]]*BO86</f>
        <v>0</v>
      </c>
      <c r="BV86"/>
      <c r="BW86"/>
      <c r="BX86"/>
      <c r="BY86"/>
      <c r="BZ86"/>
      <c r="CA86"/>
      <c r="CB86">
        <f>+Tabla31011[[#This Row],[Longitud de eje]]*BV86</f>
        <v>0</v>
      </c>
      <c r="CD86">
        <v>1</v>
      </c>
      <c r="CE86"/>
      <c r="CF86"/>
      <c r="CG86"/>
      <c r="CH86"/>
      <c r="CI86"/>
      <c r="CJ86"/>
      <c r="CK86"/>
      <c r="CL86"/>
      <c r="CM86"/>
      <c r="CN86"/>
      <c r="CO86"/>
      <c r="CP86"/>
      <c r="CQ86"/>
      <c r="CR86">
        <f>+Tabla31011116[[#This Row],[Longitud de eje]]*CL86</f>
        <v>0</v>
      </c>
      <c r="CT86">
        <v>1</v>
      </c>
      <c r="CU86"/>
      <c r="CV86"/>
      <c r="CW86"/>
      <c r="CX86"/>
      <c r="CY86"/>
      <c r="CZ86"/>
      <c r="DA86"/>
      <c r="DB86">
        <v>1</v>
      </c>
      <c r="DC86"/>
      <c r="DD86"/>
      <c r="DE86"/>
      <c r="DF86"/>
      <c r="DG86">
        <f>+Tabla31011704[[#This Row],[Longitud de eje]]*DB86</f>
        <v>0</v>
      </c>
      <c r="DH86"/>
      <c r="DI86">
        <v>1</v>
      </c>
      <c r="DJ86"/>
      <c r="DK86"/>
      <c r="DL86"/>
      <c r="DM86"/>
      <c r="DN86">
        <f>+Tabla3101170411[[#This Row],[Longitud de eje]]*DI86</f>
        <v>0</v>
      </c>
      <c r="DO86"/>
      <c r="DP86">
        <v>1</v>
      </c>
      <c r="DQ86"/>
      <c r="DR86"/>
      <c r="DS86"/>
      <c r="DT86"/>
      <c r="DU86">
        <f>+Tabla3101170411120[[#This Row],[Longitud de eje]]*DP86</f>
        <v>0</v>
      </c>
      <c r="DV86"/>
      <c r="DW86">
        <v>1</v>
      </c>
      <c r="DX86"/>
      <c r="DY86"/>
      <c r="DZ86"/>
      <c r="EA86"/>
      <c r="EB86">
        <f>+Tabla3101170411120122[[#This Row],[Longitud de eje]]*DW86</f>
        <v>0</v>
      </c>
      <c r="EC86"/>
      <c r="ED86"/>
      <c r="EE86"/>
      <c r="EF86"/>
      <c r="EG86"/>
      <c r="EH86"/>
      <c r="EI86"/>
      <c r="EJ86">
        <f>+Tabla3101112[[#This Row],[En culmo]]*ED86</f>
        <v>0</v>
      </c>
      <c r="EK86"/>
      <c r="EL86"/>
      <c r="EM86"/>
      <c r="EN86"/>
      <c r="EO86"/>
      <c r="EP86"/>
      <c r="EQ86"/>
      <c r="ER86">
        <f>+Tabla3101112123[[#This Row],[En culmo]]*EL86</f>
        <v>0</v>
      </c>
      <c r="ES86"/>
      <c r="ET86"/>
      <c r="EU86"/>
      <c r="EV86"/>
      <c r="EW86"/>
      <c r="EX86"/>
      <c r="EY86"/>
      <c r="EZ86">
        <f>+Tabla310111257[[#This Row],[En culmo]]*ET86</f>
        <v>0</v>
      </c>
      <c r="FA86"/>
      <c r="FB86"/>
      <c r="FC86"/>
      <c r="FD86"/>
      <c r="FE86"/>
      <c r="FF86"/>
      <c r="FG86"/>
      <c r="FH86">
        <f>+Tabla310111257124[[#This Row],[En culmo]]*FB86</f>
        <v>0</v>
      </c>
      <c r="FI86"/>
      <c r="FK86"/>
      <c r="FL86"/>
      <c r="FM86"/>
      <c r="FN86"/>
      <c r="FO86"/>
      <c r="FP86"/>
      <c r="FQ86"/>
      <c r="FS86"/>
      <c r="FT86"/>
      <c r="FU86"/>
      <c r="FV86"/>
      <c r="FW86"/>
      <c r="FX86"/>
      <c r="FY86"/>
      <c r="GA86"/>
      <c r="GB86"/>
      <c r="GC86"/>
      <c r="GD86"/>
      <c r="GE86"/>
      <c r="GF86"/>
      <c r="GG86"/>
      <c r="GI86"/>
      <c r="GJ86"/>
      <c r="GK86"/>
      <c r="GL86"/>
      <c r="GM86"/>
      <c r="GN86"/>
      <c r="GO86"/>
      <c r="GQ86"/>
      <c r="GR86"/>
      <c r="GS86"/>
      <c r="GT86"/>
      <c r="GU86"/>
      <c r="GV86"/>
      <c r="GW86"/>
      <c r="GX86"/>
      <c r="GY86" s="36"/>
      <c r="HA86"/>
      <c r="HB86"/>
      <c r="HC86"/>
      <c r="HD86"/>
      <c r="HE86"/>
      <c r="HF86"/>
      <c r="HG86"/>
      <c r="HH86"/>
      <c r="HI86" s="36"/>
      <c r="HK86"/>
      <c r="HL86"/>
      <c r="HM86"/>
      <c r="HN86"/>
      <c r="HO86"/>
      <c r="HP86"/>
      <c r="HQ86"/>
      <c r="HR86"/>
      <c r="HS86" s="36"/>
      <c r="HU86"/>
      <c r="HV86"/>
      <c r="HW86"/>
      <c r="HX86"/>
      <c r="HY86"/>
      <c r="HZ86"/>
      <c r="IA86"/>
      <c r="IB86"/>
      <c r="IC86" s="36"/>
      <c r="IE86"/>
      <c r="IF86"/>
      <c r="IG86"/>
      <c r="IH86"/>
      <c r="II86"/>
      <c r="IJ86"/>
      <c r="IK86"/>
      <c r="IL86"/>
      <c r="IM86" s="36"/>
      <c r="IY86"/>
      <c r="IZ86"/>
      <c r="JA86"/>
      <c r="JB86"/>
      <c r="JC86"/>
      <c r="JD86"/>
      <c r="JE86" s="2">
        <f>+Tabla520212224[[#This Row],[Recuento]]*Tabla520212224[[#This Row],[Volúmen bruto]]</f>
        <v>0</v>
      </c>
      <c r="JF86" s="2">
        <f>+Tabla520212224[[#This Row],[Recuento]]*Tabla520212224[[#This Row],[Área neta]]</f>
        <v>0</v>
      </c>
      <c r="JG86" s="26"/>
      <c r="JI86"/>
      <c r="JJ86"/>
      <c r="JK86"/>
      <c r="JL86"/>
      <c r="JM86"/>
      <c r="JN86"/>
      <c r="JO86" s="2">
        <f>+Tabla52021222425[[#This Row],[Recuento]]*Tabla52021222425[[#This Row],[Volúmen bruto]]</f>
        <v>0</v>
      </c>
      <c r="JP86" s="2">
        <f>+Tabla52021222425[[#This Row],[Recuento]]*Tabla52021222425[[#This Row],[Área neta]]</f>
        <v>0</v>
      </c>
      <c r="JQ86" s="26"/>
      <c r="JS86"/>
      <c r="JT86"/>
      <c r="JU86"/>
      <c r="JV86"/>
      <c r="JW86"/>
      <c r="JX86"/>
      <c r="JY86" s="2">
        <f>+Tabla5202122242526[[#This Row],[Recuento]]*Tabla5202122242526[[#This Row],[Volúmen bruto]]</f>
        <v>0</v>
      </c>
      <c r="JZ86" s="2">
        <f>+Tabla5202122242526[[#This Row],[Recuento]]*Tabla5202122242526[[#This Row],[Área neta]]</f>
        <v>0</v>
      </c>
      <c r="KA86" s="26"/>
      <c r="KC86"/>
      <c r="KD86"/>
      <c r="KE86"/>
      <c r="KF86"/>
      <c r="KG86"/>
      <c r="KH86"/>
      <c r="KI86" s="2">
        <f>+Tabla5202122242526104[[#This Row],[Recuento]]*Tabla5202122242526104[[#This Row],[Volúmen bruto]]</f>
        <v>0</v>
      </c>
      <c r="KJ86" s="2">
        <f>+Tabla5202122242526104[[#This Row],[Recuento]]*Tabla5202122242526104[[#This Row],[Área neta]]</f>
        <v>0</v>
      </c>
      <c r="KK86" s="26"/>
      <c r="KM86" t="s">
        <v>1863</v>
      </c>
      <c r="KN86" t="s">
        <v>1525</v>
      </c>
      <c r="KO86" t="s">
        <v>1680</v>
      </c>
      <c r="KP86">
        <v>0.02</v>
      </c>
      <c r="KQ86">
        <v>2.5099999999999998</v>
      </c>
      <c r="KR86">
        <v>1</v>
      </c>
      <c r="KS86" s="2">
        <f>+Tabla5202122242526104110[[#This Row],[Recuento]]*Tabla5202122242526104110[[#This Row],[Volúmen bruto]]</f>
        <v>0.02</v>
      </c>
      <c r="KT86" s="2">
        <f>+Tabla5202122242526104110[[#This Row],[Recuento]]*Tabla5202122242526104110[[#This Row],[Área neta]]</f>
        <v>2.5099999999999998</v>
      </c>
      <c r="KU86" s="26"/>
      <c r="KW86"/>
      <c r="KX86"/>
      <c r="KY86"/>
      <c r="KZ86"/>
      <c r="LA86"/>
      <c r="LB86"/>
      <c r="LC86" s="2">
        <f>+Tabla520212224252659[[#This Row],[Recuento]]*Tabla520212224252659[[#This Row],[Volúmen bruto]]</f>
        <v>0</v>
      </c>
      <c r="LD86" s="2">
        <f>+Tabla520212224252659[[#This Row],[Recuento]]*Tabla520212224252659[[#This Row],[Área neta]]</f>
        <v>0</v>
      </c>
      <c r="LE86" s="26"/>
      <c r="LG86"/>
      <c r="LH86"/>
      <c r="LI86"/>
      <c r="LJ86"/>
      <c r="LK86"/>
      <c r="LL86"/>
      <c r="LM86" s="2">
        <f>+Tabla520212224252659111[[#This Row],[Recuento]]*Tabla520212224252659111[[#This Row],[Volúmen bruto]]</f>
        <v>0</v>
      </c>
      <c r="LN86" s="2">
        <f>+Tabla520212224252659111[[#This Row],[Recuento]]*Tabla520212224252659111[[#This Row],[Área neta]]</f>
        <v>0</v>
      </c>
      <c r="LO86" s="26"/>
      <c r="LQ86"/>
      <c r="LR86"/>
      <c r="LS86"/>
      <c r="LT86"/>
      <c r="LU86"/>
      <c r="LV86"/>
      <c r="LW86" s="2">
        <f>+Tabla520212224252659111114[[#This Row],[Recuento]]*Tabla520212224252659111114[[#This Row],[Volúmen bruto]]</f>
        <v>0</v>
      </c>
      <c r="LX86" s="2">
        <f>+Tabla520212224252659111114[[#This Row],[Recuento]]*Tabla520212224252659111114[[#This Row],[Área neta]]</f>
        <v>0</v>
      </c>
      <c r="LY86" s="26"/>
      <c r="MA86"/>
      <c r="MB86"/>
      <c r="MC86"/>
      <c r="MD86"/>
      <c r="ME86"/>
      <c r="MF86"/>
      <c r="MG86" s="2">
        <f>+Tabla520212224252659111114128[[#This Row],[Recuento]]*Tabla520212224252659111114128[[#This Row],[Volúmen bruto]]</f>
        <v>0</v>
      </c>
      <c r="MH86" s="2">
        <f>+Tabla520212224252659111114128[[#This Row],[Recuento]]*Tabla520212224252659111114128[[#This Row],[Área neta]]</f>
        <v>0</v>
      </c>
      <c r="MI86" s="26"/>
      <c r="MK86"/>
      <c r="ML86"/>
      <c r="MM86"/>
      <c r="MN86"/>
      <c r="MO86"/>
      <c r="MP86"/>
      <c r="MQ86" s="2">
        <f>+Tabla520212224252627[[#This Row],[Recuento]]*Tabla520212224252627[[#This Row],[Volúmen bruto]]</f>
        <v>0</v>
      </c>
      <c r="MR86" s="2">
        <f>+Tabla520212224252627[[#This Row],[Recuento]]*Tabla520212224252627[[#This Row],[Área neta]]</f>
        <v>0</v>
      </c>
      <c r="MS86" s="26"/>
      <c r="MU86"/>
      <c r="MV86"/>
      <c r="MW86"/>
      <c r="MX86"/>
      <c r="MY86"/>
      <c r="MZ86"/>
      <c r="NA86" s="2">
        <f>+Tabla520212224252627129[[#This Row],[Recuento]]*Tabla520212224252627129[[#This Row],[Volúmen bruto]]</f>
        <v>0</v>
      </c>
      <c r="NB86" s="2">
        <f>+Tabla520212224252627129[[#This Row],[Recuento]]*Tabla520212224252627129[[#This Row],[Área neta]]</f>
        <v>0</v>
      </c>
      <c r="NC86" s="26"/>
      <c r="NE86"/>
      <c r="NF86"/>
      <c r="NG86"/>
      <c r="NH86"/>
      <c r="NI86"/>
      <c r="NJ86"/>
      <c r="NK86" s="2">
        <f>+Tabla520212224252627129125[[#This Row],[Recuento]]*Tabla520212224252627129125[[#This Row],[Volúmen bruto]]</f>
        <v>0</v>
      </c>
      <c r="NL86" s="2">
        <f>+Tabla520212224252627129125[[#This Row],[Recuento]]*Tabla520212224252627129125[[#This Row],[Área neta]]</f>
        <v>0</v>
      </c>
      <c r="NM86" s="26"/>
      <c r="NO86"/>
      <c r="NP86"/>
      <c r="NQ86"/>
      <c r="NR86"/>
      <c r="NS86"/>
      <c r="NT86"/>
      <c r="NU86" s="2">
        <f>+Tabla520212224252627129125130[[#This Row],[Recuento]]*Tabla520212224252627129125130[[#This Row],[Volúmen bruto]]</f>
        <v>0</v>
      </c>
      <c r="NV86" s="2">
        <f>+Tabla520212224252627129125130[[#This Row],[Recuento]]*Tabla520212224252627129125130[[#This Row],[Área neta]]</f>
        <v>0</v>
      </c>
      <c r="NW86" s="26"/>
      <c r="NY86"/>
      <c r="NZ86"/>
      <c r="OA86"/>
      <c r="OB86"/>
      <c r="OC86"/>
      <c r="OD86"/>
      <c r="OE86" s="2">
        <f>+Tabla520212224252627129125130131[[#This Row],[Recuento]]*Tabla520212224252627129125130131[[#This Row],[Volúmen bruto]]</f>
        <v>0</v>
      </c>
      <c r="OF86" s="2">
        <f>+Tabla520212224252627129125130131[[#This Row],[Recuento]]*Tabla520212224252627129125130131[[#This Row],[Área neta]]</f>
        <v>0</v>
      </c>
      <c r="OG86" s="26"/>
      <c r="OI86"/>
      <c r="OJ86"/>
      <c r="OK86"/>
      <c r="OL86"/>
      <c r="OM86"/>
      <c r="ON86"/>
      <c r="OO86" s="2">
        <f>+Tabla520212224252627129125130131132[[#This Row],[Recuento]]*Tabla520212224252627129125130131132[[#This Row],[Volúmen bruto]]</f>
        <v>0</v>
      </c>
      <c r="OP86" s="2">
        <f>+Tabla520212224252627129125130131132[[#This Row],[Recuento]]*Tabla520212224252627129125130131132[[#This Row],[Área neta]]</f>
        <v>0</v>
      </c>
      <c r="OQ86" s="26"/>
      <c r="OS86"/>
      <c r="OT86"/>
      <c r="OU86"/>
      <c r="OV86"/>
      <c r="OW86"/>
      <c r="OX86"/>
      <c r="OY86" s="2">
        <f>+Tabla52021222425262728[[#This Row],[Recuento]]*Tabla52021222425262728[[#This Row],[Volúmen bruto]]</f>
        <v>0</v>
      </c>
      <c r="OZ86" s="2">
        <f>+Tabla52021222425262728[[#This Row],[Recuento]]*Tabla52021222425262728[[#This Row],[Área neta]]</f>
        <v>0</v>
      </c>
      <c r="PA86" s="26">
        <f t="shared" si="41"/>
        <v>0</v>
      </c>
      <c r="PC86"/>
      <c r="PD86"/>
      <c r="PE86"/>
      <c r="PF86"/>
      <c r="PG86"/>
      <c r="PH86"/>
      <c r="PI86" s="2">
        <f>+Tabla52021222425262728133[[#This Row],[Recuento]]*Tabla52021222425262728133[[#This Row],[Volúmen bruto]]</f>
        <v>0</v>
      </c>
      <c r="PJ86" s="2">
        <f>+Tabla52021222425262728133[[#This Row],[Recuento]]*Tabla52021222425262728133[[#This Row],[Área neta]]</f>
        <v>0</v>
      </c>
      <c r="PK86" s="26"/>
      <c r="PM86"/>
      <c r="PN86"/>
      <c r="PO86"/>
      <c r="PP86"/>
      <c r="PQ86"/>
      <c r="PR86"/>
      <c r="PS86" s="2">
        <f>+Tabla5202122242526272893[[#This Row],[Recuento]]*Tabla5202122242526272893[[#This Row],[Volúmen bruto]]</f>
        <v>0</v>
      </c>
      <c r="PT86" s="2">
        <f>+Tabla5202122242526272893[[#This Row],[Recuento]]*Tabla5202122242526272893[[#This Row],[Área neta]]</f>
        <v>0</v>
      </c>
      <c r="PU86" s="26"/>
      <c r="PW86"/>
      <c r="PX86"/>
      <c r="PY86"/>
      <c r="PZ86"/>
      <c r="QA86"/>
      <c r="QB86"/>
      <c r="QC86" s="2">
        <f>+Tabla520212224252627289349[[#This Row],[Recuento]]*Tabla520212224252627289349[[#This Row],[Volúmen bruto]]</f>
        <v>0</v>
      </c>
      <c r="QD86" s="2">
        <f>+Tabla520212224252627289349[[#This Row],[Recuento]]*Tabla520212224252627289349[[#This Row],[Área neta]]</f>
        <v>0</v>
      </c>
      <c r="QE86" s="26"/>
      <c r="QG86"/>
      <c r="QH86"/>
      <c r="QI86"/>
      <c r="QJ86"/>
      <c r="QK86"/>
      <c r="QL86"/>
      <c r="QM86" s="2">
        <f>+Tabla520212224252627289349134[[#This Row],[Recuento]]*Tabla520212224252627289349134[[#This Row],[Volúmen bruto]]</f>
        <v>0</v>
      </c>
      <c r="QN86" s="2">
        <f>+Tabla520212224252627289349134[[#This Row],[Recuento]]*Tabla520212224252627289349134[[#This Row],[Área neta]]</f>
        <v>0</v>
      </c>
      <c r="QO86" s="26"/>
      <c r="QQ86"/>
      <c r="QR86"/>
      <c r="QS86"/>
      <c r="QT86"/>
      <c r="QU86"/>
      <c r="QV86"/>
      <c r="QW86"/>
      <c r="RA86" s="26"/>
      <c r="RC86"/>
      <c r="RD86"/>
      <c r="RE86"/>
      <c r="RF86"/>
      <c r="RG86"/>
      <c r="RH86"/>
      <c r="RK86" s="26"/>
      <c r="RM86"/>
      <c r="RN86"/>
      <c r="RO86"/>
      <c r="RP86"/>
      <c r="RQ86"/>
      <c r="RR86"/>
      <c r="RU86" s="26">
        <f t="shared" si="42"/>
        <v>0</v>
      </c>
      <c r="RW86"/>
      <c r="RX86"/>
      <c r="RY86"/>
      <c r="RZ86"/>
      <c r="SA86"/>
      <c r="SB86"/>
      <c r="SE86" s="26"/>
      <c r="SG86"/>
      <c r="SH86"/>
      <c r="SI86"/>
      <c r="SJ86"/>
      <c r="SK86"/>
      <c r="SL86"/>
      <c r="SO86" s="26"/>
      <c r="YK86"/>
      <c r="YL86"/>
      <c r="YM86"/>
      <c r="YN86"/>
      <c r="YO86"/>
      <c r="ADJ86"/>
      <c r="ADK86"/>
      <c r="ADL86"/>
      <c r="ADM86"/>
      <c r="ADN86"/>
      <c r="ADO86"/>
      <c r="ADP86" s="36"/>
      <c r="ADR86"/>
      <c r="ADS86"/>
      <c r="ADT86"/>
      <c r="ADU86"/>
      <c r="ADV86"/>
      <c r="ADW86" s="35"/>
      <c r="ADX86" s="35"/>
      <c r="ADY86"/>
      <c r="ADZ86"/>
      <c r="AEA86"/>
      <c r="AEB86"/>
      <c r="AEE86" s="36"/>
      <c r="AEG86"/>
      <c r="AEH86"/>
      <c r="AEI86"/>
      <c r="AEJ86"/>
      <c r="AEL86" s="35"/>
      <c r="AEM86" s="35"/>
      <c r="AEN86" t="s">
        <v>1522</v>
      </c>
      <c r="AEO86" t="s">
        <v>1524</v>
      </c>
      <c r="AEP86" t="s">
        <v>382</v>
      </c>
      <c r="AEQ86">
        <v>0.56000000000000005</v>
      </c>
      <c r="AER86">
        <v>1</v>
      </c>
      <c r="AES86">
        <f>+Tabla5789141516343536373839404142434445464748495051525355606264[[#This Row],[G. Total]]*Tabla5789141516343536373839404142434445464748495051525355606264[[#This Row],[Recuento]]</f>
        <v>0.56000000000000005</v>
      </c>
      <c r="AET86" s="36"/>
      <c r="AEV86"/>
      <c r="AEW86"/>
      <c r="AEX86"/>
      <c r="AEY86"/>
      <c r="AFA86" s="35"/>
      <c r="AFC86"/>
      <c r="AFD86"/>
      <c r="AFE86"/>
      <c r="AFF86" s="33"/>
      <c r="AFG86"/>
      <c r="AFH86"/>
      <c r="AFI86"/>
      <c r="AFJ86"/>
      <c r="AFK86"/>
      <c r="AFL86"/>
      <c r="AFM86"/>
      <c r="AFN86">
        <f>+Tabla578914151634353637383940414243444546474849505152535560626467[[#This Row],[G. Total]]*Tabla578914151634353637383940414243444546474849505152535560626467[[#This Row],[Recuento]]</f>
        <v>0</v>
      </c>
      <c r="AFO86" s="36"/>
    </row>
    <row r="87" spans="2:847" x14ac:dyDescent="0.25">
      <c r="B87"/>
      <c r="C87"/>
      <c r="D87"/>
      <c r="E87"/>
      <c r="F87" s="33"/>
      <c r="G87" s="33"/>
      <c r="H87"/>
      <c r="I87"/>
      <c r="BG87"/>
      <c r="BH87"/>
      <c r="BI87"/>
      <c r="BJ87"/>
      <c r="BK87"/>
      <c r="BL87">
        <f>+Tabla3102[[#This Row],[Longitud de eje]]*BF87</f>
        <v>0</v>
      </c>
      <c r="BM87">
        <f>+Tabla3102[[#This Row],[Longitud de eje]]*BG87</f>
        <v>0</v>
      </c>
      <c r="BO87"/>
      <c r="BP87"/>
      <c r="BQ87"/>
      <c r="BR87"/>
      <c r="BS87"/>
      <c r="BT87">
        <f>+Tabla31069[[#This Row],[Longitud de eje]]*BN87</f>
        <v>0</v>
      </c>
      <c r="BU87">
        <f>+Tabla31069[[#This Row],[Longitud de eje]]*BO87</f>
        <v>0</v>
      </c>
      <c r="BV87"/>
      <c r="BW87"/>
      <c r="BX87"/>
      <c r="BY87"/>
      <c r="BZ87"/>
      <c r="CA87"/>
      <c r="CB87">
        <f>+Tabla31011[[#This Row],[Longitud de eje]]*BV87</f>
        <v>0</v>
      </c>
      <c r="CD87">
        <v>1</v>
      </c>
      <c r="CE87"/>
      <c r="CF87"/>
      <c r="CG87"/>
      <c r="CH87"/>
      <c r="CI87"/>
      <c r="CJ87"/>
      <c r="CK87"/>
      <c r="CL87"/>
      <c r="CM87"/>
      <c r="CN87"/>
      <c r="CO87"/>
      <c r="CP87"/>
      <c r="CQ87"/>
      <c r="CR87">
        <f>+Tabla31011116[[#This Row],[Longitud de eje]]*CL87</f>
        <v>0</v>
      </c>
      <c r="CT87">
        <v>1</v>
      </c>
      <c r="CU87"/>
      <c r="CV87"/>
      <c r="CW87"/>
      <c r="CX87"/>
      <c r="CY87"/>
      <c r="CZ87"/>
      <c r="DA87"/>
      <c r="DB87">
        <v>1</v>
      </c>
      <c r="DC87"/>
      <c r="DD87"/>
      <c r="DE87"/>
      <c r="DF87"/>
      <c r="DG87">
        <f>+Tabla31011704[[#This Row],[Longitud de eje]]*DB87</f>
        <v>0</v>
      </c>
      <c r="DH87"/>
      <c r="DI87">
        <v>1</v>
      </c>
      <c r="DJ87"/>
      <c r="DK87"/>
      <c r="DL87"/>
      <c r="DM87"/>
      <c r="DN87">
        <f>+Tabla3101170411[[#This Row],[Longitud de eje]]*DI87</f>
        <v>0</v>
      </c>
      <c r="DO87"/>
      <c r="DP87">
        <v>1</v>
      </c>
      <c r="DQ87"/>
      <c r="DR87"/>
      <c r="DS87"/>
      <c r="DT87"/>
      <c r="DU87">
        <f>+Tabla3101170411120[[#This Row],[Longitud de eje]]*DP87</f>
        <v>0</v>
      </c>
      <c r="DV87"/>
      <c r="DW87">
        <v>1</v>
      </c>
      <c r="DX87"/>
      <c r="DY87"/>
      <c r="DZ87"/>
      <c r="EA87"/>
      <c r="EB87">
        <f>+Tabla3101170411120122[[#This Row],[Longitud de eje]]*DW87</f>
        <v>0</v>
      </c>
      <c r="EC87"/>
      <c r="ED87"/>
      <c r="EE87"/>
      <c r="EF87"/>
      <c r="EG87"/>
      <c r="EH87"/>
      <c r="EI87"/>
      <c r="EJ87">
        <f>+Tabla3101112[[#This Row],[En culmo]]*ED87</f>
        <v>0</v>
      </c>
      <c r="EK87"/>
      <c r="EL87"/>
      <c r="EM87"/>
      <c r="EN87"/>
      <c r="EO87"/>
      <c r="EP87"/>
      <c r="EQ87"/>
      <c r="ER87">
        <f>+Tabla3101112123[[#This Row],[En culmo]]*EL87</f>
        <v>0</v>
      </c>
      <c r="ES87"/>
      <c r="ET87"/>
      <c r="EU87"/>
      <c r="EV87"/>
      <c r="EW87"/>
      <c r="EX87"/>
      <c r="EY87"/>
      <c r="EZ87">
        <f>+Tabla310111257[[#This Row],[En culmo]]*ET87</f>
        <v>0</v>
      </c>
      <c r="FA87"/>
      <c r="FB87"/>
      <c r="FC87"/>
      <c r="FD87"/>
      <c r="FE87"/>
      <c r="FF87"/>
      <c r="FG87"/>
      <c r="FH87">
        <f>+Tabla310111257124[[#This Row],[En culmo]]*FB87</f>
        <v>0</v>
      </c>
      <c r="FI87"/>
      <c r="FK87"/>
      <c r="FL87"/>
      <c r="FM87"/>
      <c r="FN87"/>
      <c r="FO87"/>
      <c r="FP87"/>
      <c r="FQ87"/>
      <c r="FS87"/>
      <c r="FT87"/>
      <c r="FU87"/>
      <c r="FV87"/>
      <c r="FW87"/>
      <c r="FX87"/>
      <c r="FY87"/>
      <c r="GA87"/>
      <c r="GB87"/>
      <c r="GC87"/>
      <c r="GD87"/>
      <c r="GE87"/>
      <c r="GF87"/>
      <c r="GG87"/>
      <c r="GI87"/>
      <c r="GJ87"/>
      <c r="GK87"/>
      <c r="GL87"/>
      <c r="GM87"/>
      <c r="GN87"/>
      <c r="GO87"/>
      <c r="GQ87"/>
      <c r="GR87"/>
      <c r="GS87"/>
      <c r="GT87"/>
      <c r="GU87"/>
      <c r="GV87"/>
      <c r="GW87"/>
      <c r="GX87"/>
      <c r="GY87" s="35"/>
      <c r="HA87"/>
      <c r="HB87"/>
      <c r="HC87"/>
      <c r="HD87"/>
      <c r="HE87"/>
      <c r="HF87"/>
      <c r="HG87"/>
      <c r="HH87"/>
      <c r="HI87" s="35"/>
      <c r="HK87"/>
      <c r="HL87"/>
      <c r="HM87"/>
      <c r="HN87"/>
      <c r="HO87"/>
      <c r="HP87"/>
      <c r="HQ87"/>
      <c r="HR87"/>
      <c r="HS87" s="35"/>
      <c r="HU87"/>
      <c r="HV87"/>
      <c r="HW87"/>
      <c r="HX87"/>
      <c r="HY87"/>
      <c r="HZ87"/>
      <c r="IA87"/>
      <c r="IB87"/>
      <c r="IC87" s="36"/>
      <c r="IE87"/>
      <c r="IF87"/>
      <c r="IG87"/>
      <c r="IH87"/>
      <c r="II87"/>
      <c r="IJ87"/>
      <c r="IK87"/>
      <c r="IL87"/>
      <c r="IM87" s="36"/>
      <c r="IY87"/>
      <c r="IZ87"/>
      <c r="JA87"/>
      <c r="JB87"/>
      <c r="JC87"/>
      <c r="JD87"/>
      <c r="JE87" s="2">
        <f>+Tabla520212224[[#This Row],[Recuento]]*Tabla520212224[[#This Row],[Volúmen bruto]]</f>
        <v>0</v>
      </c>
      <c r="JF87" s="2">
        <f>+Tabla520212224[[#This Row],[Recuento]]*Tabla520212224[[#This Row],[Área neta]]</f>
        <v>0</v>
      </c>
      <c r="JG87" s="26"/>
      <c r="JI87"/>
      <c r="JJ87"/>
      <c r="JK87"/>
      <c r="JL87"/>
      <c r="JM87"/>
      <c r="JN87"/>
      <c r="JO87" s="2">
        <f>+Tabla52021222425[[#This Row],[Recuento]]*Tabla52021222425[[#This Row],[Volúmen bruto]]</f>
        <v>0</v>
      </c>
      <c r="JP87" s="2">
        <f>+Tabla52021222425[[#This Row],[Recuento]]*Tabla52021222425[[#This Row],[Área neta]]</f>
        <v>0</v>
      </c>
      <c r="JQ87" s="26"/>
      <c r="JS87"/>
      <c r="JT87"/>
      <c r="JU87"/>
      <c r="JV87"/>
      <c r="JW87"/>
      <c r="JX87"/>
      <c r="JY87" s="2">
        <f>+Tabla5202122242526[[#This Row],[Recuento]]*Tabla5202122242526[[#This Row],[Volúmen bruto]]</f>
        <v>0</v>
      </c>
      <c r="JZ87" s="2">
        <f>+Tabla5202122242526[[#This Row],[Recuento]]*Tabla5202122242526[[#This Row],[Área neta]]</f>
        <v>0</v>
      </c>
      <c r="KA87" s="26"/>
      <c r="KC87"/>
      <c r="KD87"/>
      <c r="KE87"/>
      <c r="KF87"/>
      <c r="KG87"/>
      <c r="KH87"/>
      <c r="KI87" s="2">
        <f>+Tabla5202122242526104[[#This Row],[Recuento]]*Tabla5202122242526104[[#This Row],[Volúmen bruto]]</f>
        <v>0</v>
      </c>
      <c r="KJ87" s="2">
        <f>+Tabla5202122242526104[[#This Row],[Recuento]]*Tabla5202122242526104[[#This Row],[Área neta]]</f>
        <v>0</v>
      </c>
      <c r="KK87" s="26"/>
      <c r="KM87" t="s">
        <v>1863</v>
      </c>
      <c r="KN87" t="s">
        <v>1524</v>
      </c>
      <c r="KO87" t="s">
        <v>1676</v>
      </c>
      <c r="KP87">
        <v>7.0000000000000007E-2</v>
      </c>
      <c r="KQ87">
        <v>0.56999999999999995</v>
      </c>
      <c r="KR87">
        <v>2</v>
      </c>
      <c r="KS87" s="2">
        <f>+Tabla5202122242526104110[[#This Row],[Recuento]]*Tabla5202122242526104110[[#This Row],[Volúmen bruto]]</f>
        <v>0.14000000000000001</v>
      </c>
      <c r="KT87" s="2">
        <f>+Tabla5202122242526104110[[#This Row],[Recuento]]*Tabla5202122242526104110[[#This Row],[Área neta]]</f>
        <v>1.1399999999999999</v>
      </c>
      <c r="KU87" s="26">
        <f>+SUM(KT87:KT89)</f>
        <v>4.8100000000000005</v>
      </c>
      <c r="KW87"/>
      <c r="KX87"/>
      <c r="KY87"/>
      <c r="KZ87"/>
      <c r="LA87"/>
      <c r="LB87"/>
      <c r="LC87" s="2">
        <f>+Tabla520212224252659[[#This Row],[Recuento]]*Tabla520212224252659[[#This Row],[Volúmen bruto]]</f>
        <v>0</v>
      </c>
      <c r="LD87" s="2">
        <f>+Tabla520212224252659[[#This Row],[Recuento]]*Tabla520212224252659[[#This Row],[Área neta]]</f>
        <v>0</v>
      </c>
      <c r="LE87" s="26"/>
      <c r="LG87"/>
      <c r="LH87"/>
      <c r="LI87"/>
      <c r="LJ87"/>
      <c r="LK87"/>
      <c r="LL87"/>
      <c r="LM87" s="2">
        <f>+Tabla520212224252659111[[#This Row],[Recuento]]*Tabla520212224252659111[[#This Row],[Volúmen bruto]]</f>
        <v>0</v>
      </c>
      <c r="LN87" s="2">
        <f>+Tabla520212224252659111[[#This Row],[Recuento]]*Tabla520212224252659111[[#This Row],[Área neta]]</f>
        <v>0</v>
      </c>
      <c r="LO87" s="26"/>
      <c r="LQ87"/>
      <c r="LR87"/>
      <c r="LS87"/>
      <c r="LT87"/>
      <c r="LU87"/>
      <c r="LV87"/>
      <c r="LW87" s="2">
        <f>+Tabla520212224252659111114[[#This Row],[Recuento]]*Tabla520212224252659111114[[#This Row],[Volúmen bruto]]</f>
        <v>0</v>
      </c>
      <c r="LX87" s="2">
        <f>+Tabla520212224252659111114[[#This Row],[Recuento]]*Tabla520212224252659111114[[#This Row],[Área neta]]</f>
        <v>0</v>
      </c>
      <c r="LY87" s="26"/>
      <c r="MA87"/>
      <c r="MB87"/>
      <c r="MC87"/>
      <c r="MD87"/>
      <c r="ME87"/>
      <c r="MF87"/>
      <c r="MG87" s="2">
        <f>+Tabla520212224252659111114128[[#This Row],[Recuento]]*Tabla520212224252659111114128[[#This Row],[Volúmen bruto]]</f>
        <v>0</v>
      </c>
      <c r="MH87" s="2">
        <f>+Tabla520212224252659111114128[[#This Row],[Recuento]]*Tabla520212224252659111114128[[#This Row],[Área neta]]</f>
        <v>0</v>
      </c>
      <c r="MI87" s="26"/>
      <c r="MK87"/>
      <c r="ML87"/>
      <c r="MM87"/>
      <c r="MN87"/>
      <c r="MO87"/>
      <c r="MP87"/>
      <c r="MQ87" s="2">
        <f>+Tabla520212224252627[[#This Row],[Recuento]]*Tabla520212224252627[[#This Row],[Volúmen bruto]]</f>
        <v>0</v>
      </c>
      <c r="MR87" s="2">
        <f>+Tabla520212224252627[[#This Row],[Recuento]]*Tabla520212224252627[[#This Row],[Área neta]]</f>
        <v>0</v>
      </c>
      <c r="MS87" s="26"/>
      <c r="MU87"/>
      <c r="MV87"/>
      <c r="MW87"/>
      <c r="MX87"/>
      <c r="MY87"/>
      <c r="MZ87"/>
      <c r="NA87" s="2">
        <f>+Tabla520212224252627129[[#This Row],[Recuento]]*Tabla520212224252627129[[#This Row],[Volúmen bruto]]</f>
        <v>0</v>
      </c>
      <c r="NB87" s="2">
        <f>+Tabla520212224252627129[[#This Row],[Recuento]]*Tabla520212224252627129[[#This Row],[Área neta]]</f>
        <v>0</v>
      </c>
      <c r="NC87" s="26"/>
      <c r="NE87"/>
      <c r="NF87"/>
      <c r="NG87"/>
      <c r="NH87"/>
      <c r="NI87"/>
      <c r="NJ87"/>
      <c r="NK87" s="2">
        <f>+Tabla520212224252627129125[[#This Row],[Recuento]]*Tabla520212224252627129125[[#This Row],[Volúmen bruto]]</f>
        <v>0</v>
      </c>
      <c r="NL87" s="2">
        <f>+Tabla520212224252627129125[[#This Row],[Recuento]]*Tabla520212224252627129125[[#This Row],[Área neta]]</f>
        <v>0</v>
      </c>
      <c r="NM87" s="26"/>
      <c r="NO87"/>
      <c r="NP87"/>
      <c r="NQ87"/>
      <c r="NR87"/>
      <c r="NS87"/>
      <c r="NT87"/>
      <c r="NU87" s="2">
        <f>+Tabla520212224252627129125130[[#This Row],[Recuento]]*Tabla520212224252627129125130[[#This Row],[Volúmen bruto]]</f>
        <v>0</v>
      </c>
      <c r="NV87" s="2">
        <f>+Tabla520212224252627129125130[[#This Row],[Recuento]]*Tabla520212224252627129125130[[#This Row],[Área neta]]</f>
        <v>0</v>
      </c>
      <c r="NW87" s="26"/>
      <c r="NY87"/>
      <c r="NZ87"/>
      <c r="OA87"/>
      <c r="OB87"/>
      <c r="OC87"/>
      <c r="OD87"/>
      <c r="OE87" s="2">
        <f>+Tabla520212224252627129125130131[[#This Row],[Recuento]]*Tabla520212224252627129125130131[[#This Row],[Volúmen bruto]]</f>
        <v>0</v>
      </c>
      <c r="OF87" s="2">
        <f>+Tabla520212224252627129125130131[[#This Row],[Recuento]]*Tabla520212224252627129125130131[[#This Row],[Área neta]]</f>
        <v>0</v>
      </c>
      <c r="OG87" s="26"/>
      <c r="OI87"/>
      <c r="OJ87"/>
      <c r="OK87"/>
      <c r="OL87"/>
      <c r="OM87"/>
      <c r="ON87"/>
      <c r="OO87" s="2">
        <f>+Tabla520212224252627129125130131132[[#This Row],[Recuento]]*Tabla520212224252627129125130131132[[#This Row],[Volúmen bruto]]</f>
        <v>0</v>
      </c>
      <c r="OP87" s="2">
        <f>+Tabla520212224252627129125130131132[[#This Row],[Recuento]]*Tabla520212224252627129125130131132[[#This Row],[Área neta]]</f>
        <v>0</v>
      </c>
      <c r="OQ87" s="26"/>
      <c r="OS87"/>
      <c r="OT87"/>
      <c r="OU87"/>
      <c r="OV87"/>
      <c r="OW87"/>
      <c r="OX87"/>
      <c r="OY87" s="2">
        <f>+Tabla52021222425262728[[#This Row],[Recuento]]*Tabla52021222425262728[[#This Row],[Volúmen bruto]]</f>
        <v>0</v>
      </c>
      <c r="OZ87" s="2">
        <f>+Tabla52021222425262728[[#This Row],[Recuento]]*Tabla52021222425262728[[#This Row],[Área neta]]</f>
        <v>0</v>
      </c>
      <c r="PA87" s="26">
        <f t="shared" si="41"/>
        <v>0</v>
      </c>
      <c r="PC87"/>
      <c r="PD87"/>
      <c r="PE87"/>
      <c r="PF87"/>
      <c r="PG87"/>
      <c r="PH87"/>
      <c r="PI87" s="2">
        <f>+Tabla52021222425262728133[[#This Row],[Recuento]]*Tabla52021222425262728133[[#This Row],[Volúmen bruto]]</f>
        <v>0</v>
      </c>
      <c r="PJ87" s="2">
        <f>+Tabla52021222425262728133[[#This Row],[Recuento]]*Tabla52021222425262728133[[#This Row],[Área neta]]</f>
        <v>0</v>
      </c>
      <c r="PK87" s="26"/>
      <c r="PM87"/>
      <c r="PN87"/>
      <c r="PO87"/>
      <c r="PP87"/>
      <c r="PQ87"/>
      <c r="PR87"/>
      <c r="PS87" s="2">
        <f>+Tabla5202122242526272893[[#This Row],[Recuento]]*Tabla5202122242526272893[[#This Row],[Volúmen bruto]]</f>
        <v>0</v>
      </c>
      <c r="PT87" s="2">
        <f>+Tabla5202122242526272893[[#This Row],[Recuento]]*Tabla5202122242526272893[[#This Row],[Área neta]]</f>
        <v>0</v>
      </c>
      <c r="PU87" s="26"/>
      <c r="PW87"/>
      <c r="PX87"/>
      <c r="PY87"/>
      <c r="PZ87"/>
      <c r="QA87"/>
      <c r="QB87"/>
      <c r="QC87" s="2">
        <f>+Tabla520212224252627289349[[#This Row],[Recuento]]*Tabla520212224252627289349[[#This Row],[Volúmen bruto]]</f>
        <v>0</v>
      </c>
      <c r="QD87" s="2">
        <f>+Tabla520212224252627289349[[#This Row],[Recuento]]*Tabla520212224252627289349[[#This Row],[Área neta]]</f>
        <v>0</v>
      </c>
      <c r="QE87" s="26"/>
      <c r="QG87"/>
      <c r="QH87"/>
      <c r="QI87"/>
      <c r="QJ87"/>
      <c r="QK87"/>
      <c r="QL87"/>
      <c r="QM87" s="2">
        <f>+Tabla520212224252627289349134[[#This Row],[Recuento]]*Tabla520212224252627289349134[[#This Row],[Volúmen bruto]]</f>
        <v>0</v>
      </c>
      <c r="QN87" s="2">
        <f>+Tabla520212224252627289349134[[#This Row],[Recuento]]*Tabla520212224252627289349134[[#This Row],[Área neta]]</f>
        <v>0</v>
      </c>
      <c r="QO87" s="26"/>
      <c r="QQ87"/>
      <c r="QR87"/>
      <c r="QS87"/>
      <c r="QT87"/>
      <c r="QU87"/>
      <c r="QV87"/>
      <c r="QW87"/>
      <c r="RA87" s="26"/>
      <c r="RC87"/>
      <c r="RD87"/>
      <c r="RE87"/>
      <c r="RF87"/>
      <c r="RG87"/>
      <c r="RH87"/>
      <c r="RK87" s="26"/>
      <c r="RM87"/>
      <c r="RN87"/>
      <c r="RO87"/>
      <c r="RP87"/>
      <c r="RQ87"/>
      <c r="RR87"/>
      <c r="RU87" s="26">
        <f t="shared" si="42"/>
        <v>0</v>
      </c>
      <c r="RW87"/>
      <c r="RX87"/>
      <c r="RY87"/>
      <c r="RZ87"/>
      <c r="SA87"/>
      <c r="SB87"/>
      <c r="SE87" s="26"/>
      <c r="SG87"/>
      <c r="SH87"/>
      <c r="SI87"/>
      <c r="SJ87"/>
      <c r="SK87"/>
      <c r="SL87"/>
      <c r="SO87" s="26"/>
      <c r="YK87"/>
      <c r="YL87"/>
      <c r="YM87"/>
      <c r="YN87"/>
      <c r="YO87"/>
      <c r="ADJ87"/>
      <c r="ADK87"/>
      <c r="ADL87"/>
      <c r="ADM87"/>
      <c r="ADN87"/>
      <c r="ADO87"/>
      <c r="ADP87" s="36"/>
      <c r="ADR87"/>
      <c r="ADS87"/>
      <c r="ADT87"/>
      <c r="ADU87"/>
      <c r="ADV87"/>
      <c r="ADW87" s="35"/>
      <c r="ADX87" s="35"/>
      <c r="ADY87"/>
      <c r="ADZ87"/>
      <c r="AEA87"/>
      <c r="AEB87"/>
      <c r="AEE87" s="36"/>
      <c r="AEG87"/>
      <c r="AEH87"/>
      <c r="AEI87"/>
      <c r="AEJ87"/>
      <c r="AEL87" s="35"/>
      <c r="AEM87" s="35"/>
      <c r="AEN87" t="s">
        <v>1522</v>
      </c>
      <c r="AEO87" t="s">
        <v>1524</v>
      </c>
      <c r="AEP87" t="s">
        <v>382</v>
      </c>
      <c r="AEQ87">
        <v>0.14000000000000001</v>
      </c>
      <c r="AER87">
        <v>1</v>
      </c>
      <c r="AES87">
        <f>+Tabla5789141516343536373839404142434445464748495051525355606264[[#This Row],[G. Total]]*Tabla5789141516343536373839404142434445464748495051525355606264[[#This Row],[Recuento]]</f>
        <v>0.14000000000000001</v>
      </c>
      <c r="AET87" s="36"/>
      <c r="AEV87"/>
      <c r="AEW87"/>
      <c r="AEX87"/>
      <c r="AEY87"/>
      <c r="AFA87" s="35"/>
      <c r="AFC87"/>
      <c r="AFD87"/>
      <c r="AFE87"/>
      <c r="AFF87" s="33"/>
      <c r="AFG87"/>
      <c r="AFH87"/>
      <c r="AFI87"/>
      <c r="AFJ87"/>
      <c r="AFK87"/>
      <c r="AFL87"/>
      <c r="AFM87"/>
      <c r="AFN87">
        <f>+Tabla578914151634353637383940414243444546474849505152535560626467[[#This Row],[G. Total]]*Tabla578914151634353637383940414243444546474849505152535560626467[[#This Row],[Recuento]]</f>
        <v>0</v>
      </c>
      <c r="AFO87" s="36"/>
    </row>
    <row r="88" spans="2:847" x14ac:dyDescent="0.25">
      <c r="B88"/>
      <c r="C88"/>
      <c r="D88"/>
      <c r="E88"/>
      <c r="F88" s="33"/>
      <c r="G88" s="33"/>
      <c r="H88"/>
      <c r="I88"/>
      <c r="BG88"/>
      <c r="BH88"/>
      <c r="BI88"/>
      <c r="BJ88"/>
      <c r="BK88"/>
      <c r="BL88">
        <f>+Tabla3102[[#This Row],[Longitud de eje]]*BF88</f>
        <v>0</v>
      </c>
      <c r="BM88">
        <f>+Tabla3102[[#This Row],[Longitud de eje]]*BG88</f>
        <v>0</v>
      </c>
      <c r="BO88"/>
      <c r="BP88"/>
      <c r="BQ88"/>
      <c r="BR88"/>
      <c r="BS88"/>
      <c r="BT88">
        <f>+Tabla31069[[#This Row],[Longitud de eje]]*BN88</f>
        <v>0</v>
      </c>
      <c r="BU88">
        <f>+Tabla31069[[#This Row],[Longitud de eje]]*BO88</f>
        <v>0</v>
      </c>
      <c r="BV88"/>
      <c r="BW88"/>
      <c r="BX88"/>
      <c r="BY88"/>
      <c r="BZ88"/>
      <c r="CA88"/>
      <c r="CB88">
        <f>+Tabla31011[[#This Row],[Longitud de eje]]*BV88</f>
        <v>0</v>
      </c>
      <c r="CD88">
        <v>1</v>
      </c>
      <c r="CE88"/>
      <c r="CF88"/>
      <c r="CG88"/>
      <c r="CH88"/>
      <c r="CI88"/>
      <c r="CJ88"/>
      <c r="CK88"/>
      <c r="CL88"/>
      <c r="CM88"/>
      <c r="CN88"/>
      <c r="CO88"/>
      <c r="CP88"/>
      <c r="CQ88"/>
      <c r="CR88">
        <f>+Tabla31011116[[#This Row],[Longitud de eje]]*CL88</f>
        <v>0</v>
      </c>
      <c r="CT88">
        <v>1</v>
      </c>
      <c r="CU88"/>
      <c r="CV88"/>
      <c r="CW88"/>
      <c r="CX88"/>
      <c r="CY88"/>
      <c r="CZ88"/>
      <c r="DA88"/>
      <c r="DB88">
        <v>1</v>
      </c>
      <c r="DC88"/>
      <c r="DD88"/>
      <c r="DE88"/>
      <c r="DF88"/>
      <c r="DG88">
        <f>+Tabla31011704[[#This Row],[Longitud de eje]]*DB88</f>
        <v>0</v>
      </c>
      <c r="DH88"/>
      <c r="DI88">
        <v>1</v>
      </c>
      <c r="DJ88"/>
      <c r="DK88"/>
      <c r="DL88"/>
      <c r="DM88"/>
      <c r="DN88">
        <f>+Tabla3101170411[[#This Row],[Longitud de eje]]*DI88</f>
        <v>0</v>
      </c>
      <c r="DO88"/>
      <c r="DP88">
        <v>1</v>
      </c>
      <c r="DQ88"/>
      <c r="DR88"/>
      <c r="DS88"/>
      <c r="DT88"/>
      <c r="DU88">
        <f>+Tabla3101170411120[[#This Row],[Longitud de eje]]*DP88</f>
        <v>0</v>
      </c>
      <c r="DV88"/>
      <c r="DW88">
        <v>1</v>
      </c>
      <c r="DX88"/>
      <c r="DY88"/>
      <c r="DZ88"/>
      <c r="EA88"/>
      <c r="EB88">
        <f>+Tabla3101170411120122[[#This Row],[Longitud de eje]]*DW88</f>
        <v>0</v>
      </c>
      <c r="EC88"/>
      <c r="ED88"/>
      <c r="EE88"/>
      <c r="EF88"/>
      <c r="EG88"/>
      <c r="EH88"/>
      <c r="EI88"/>
      <c r="EJ88">
        <f>+Tabla3101112[[#This Row],[En culmo]]*ED88</f>
        <v>0</v>
      </c>
      <c r="EK88"/>
      <c r="EL88"/>
      <c r="EM88"/>
      <c r="EN88"/>
      <c r="EO88"/>
      <c r="EP88"/>
      <c r="EQ88"/>
      <c r="ER88">
        <f>+Tabla3101112123[[#This Row],[En culmo]]*EL88</f>
        <v>0</v>
      </c>
      <c r="ES88"/>
      <c r="ET88"/>
      <c r="EU88"/>
      <c r="EV88"/>
      <c r="EW88"/>
      <c r="EX88"/>
      <c r="EY88"/>
      <c r="EZ88">
        <f>+Tabla310111257[[#This Row],[En culmo]]*ET88</f>
        <v>0</v>
      </c>
      <c r="FA88"/>
      <c r="FB88"/>
      <c r="FC88"/>
      <c r="FD88"/>
      <c r="FE88"/>
      <c r="FF88"/>
      <c r="FG88"/>
      <c r="FH88">
        <f>+Tabla310111257124[[#This Row],[En culmo]]*FB88</f>
        <v>0</v>
      </c>
      <c r="FI88"/>
      <c r="FK88"/>
      <c r="FL88"/>
      <c r="FM88"/>
      <c r="FN88"/>
      <c r="FO88"/>
      <c r="FP88"/>
      <c r="FQ88"/>
      <c r="FS88"/>
      <c r="FT88"/>
      <c r="FU88"/>
      <c r="FV88"/>
      <c r="FW88"/>
      <c r="FX88"/>
      <c r="FY88"/>
      <c r="GA88"/>
      <c r="GB88"/>
      <c r="GC88"/>
      <c r="GD88"/>
      <c r="GE88"/>
      <c r="GF88"/>
      <c r="GG88"/>
      <c r="GI88"/>
      <c r="GJ88"/>
      <c r="GK88"/>
      <c r="GL88"/>
      <c r="GM88"/>
      <c r="GN88"/>
      <c r="GO88"/>
      <c r="GQ88"/>
      <c r="GR88"/>
      <c r="GS88"/>
      <c r="GT88"/>
      <c r="GU88"/>
      <c r="GV88"/>
      <c r="GW88"/>
      <c r="GX88"/>
      <c r="GY88" s="36"/>
      <c r="HA88"/>
      <c r="HB88"/>
      <c r="HC88"/>
      <c r="HD88"/>
      <c r="HE88"/>
      <c r="HF88"/>
      <c r="HG88"/>
      <c r="HH88"/>
      <c r="HI88" s="36"/>
      <c r="HK88"/>
      <c r="HL88"/>
      <c r="HM88"/>
      <c r="HN88"/>
      <c r="HO88"/>
      <c r="HP88"/>
      <c r="HQ88"/>
      <c r="HR88"/>
      <c r="HS88" s="36"/>
      <c r="HU88"/>
      <c r="HV88"/>
      <c r="HW88"/>
      <c r="HX88"/>
      <c r="HY88"/>
      <c r="HZ88"/>
      <c r="IA88"/>
      <c r="IB88"/>
      <c r="IC88" s="36"/>
      <c r="IE88"/>
      <c r="IF88"/>
      <c r="IG88"/>
      <c r="IH88"/>
      <c r="II88"/>
      <c r="IJ88"/>
      <c r="IK88"/>
      <c r="IL88"/>
      <c r="IM88" s="36"/>
      <c r="IY88"/>
      <c r="IZ88"/>
      <c r="JA88"/>
      <c r="JB88"/>
      <c r="JC88"/>
      <c r="JD88"/>
      <c r="JE88" s="2">
        <f>+Tabla520212224[[#This Row],[Recuento]]*Tabla520212224[[#This Row],[Volúmen bruto]]</f>
        <v>0</v>
      </c>
      <c r="JF88" s="2">
        <f>+Tabla520212224[[#This Row],[Recuento]]*Tabla520212224[[#This Row],[Área neta]]</f>
        <v>0</v>
      </c>
      <c r="JG88" s="26"/>
      <c r="JI88"/>
      <c r="JJ88"/>
      <c r="JK88"/>
      <c r="JL88"/>
      <c r="JM88"/>
      <c r="JN88"/>
      <c r="JO88" s="2">
        <f>+Tabla52021222425[[#This Row],[Recuento]]*Tabla52021222425[[#This Row],[Volúmen bruto]]</f>
        <v>0</v>
      </c>
      <c r="JP88" s="2">
        <f>+Tabla52021222425[[#This Row],[Recuento]]*Tabla52021222425[[#This Row],[Área neta]]</f>
        <v>0</v>
      </c>
      <c r="JQ88" s="26"/>
      <c r="JS88"/>
      <c r="JT88"/>
      <c r="JU88"/>
      <c r="JV88"/>
      <c r="JW88"/>
      <c r="JX88"/>
      <c r="JY88" s="2">
        <f>+Tabla5202122242526[[#This Row],[Recuento]]*Tabla5202122242526[[#This Row],[Volúmen bruto]]</f>
        <v>0</v>
      </c>
      <c r="JZ88" s="2">
        <f>+Tabla5202122242526[[#This Row],[Recuento]]*Tabla5202122242526[[#This Row],[Área neta]]</f>
        <v>0</v>
      </c>
      <c r="KA88" s="26"/>
      <c r="KC88"/>
      <c r="KD88"/>
      <c r="KE88"/>
      <c r="KF88"/>
      <c r="KG88"/>
      <c r="KH88"/>
      <c r="KI88" s="2">
        <f>+Tabla5202122242526104[[#This Row],[Recuento]]*Tabla5202122242526104[[#This Row],[Volúmen bruto]]</f>
        <v>0</v>
      </c>
      <c r="KJ88" s="2">
        <f>+Tabla5202122242526104[[#This Row],[Recuento]]*Tabla5202122242526104[[#This Row],[Área neta]]</f>
        <v>0</v>
      </c>
      <c r="KK88" s="26"/>
      <c r="KM88" t="s">
        <v>1863</v>
      </c>
      <c r="KN88" t="s">
        <v>1525</v>
      </c>
      <c r="KO88" t="s">
        <v>1676</v>
      </c>
      <c r="KP88">
        <v>0.1</v>
      </c>
      <c r="KQ88">
        <v>0.84</v>
      </c>
      <c r="KR88">
        <v>1</v>
      </c>
      <c r="KS88" s="2">
        <f>+Tabla5202122242526104110[[#This Row],[Recuento]]*Tabla5202122242526104110[[#This Row],[Volúmen bruto]]</f>
        <v>0.1</v>
      </c>
      <c r="KT88" s="2">
        <f>+Tabla5202122242526104110[[#This Row],[Recuento]]*Tabla5202122242526104110[[#This Row],[Área neta]]</f>
        <v>0.84</v>
      </c>
      <c r="KU88" s="26"/>
      <c r="KW88"/>
      <c r="KX88"/>
      <c r="KY88"/>
      <c r="KZ88"/>
      <c r="LA88"/>
      <c r="LB88"/>
      <c r="LC88" s="2">
        <f>+Tabla520212224252659[[#This Row],[Recuento]]*Tabla520212224252659[[#This Row],[Volúmen bruto]]</f>
        <v>0</v>
      </c>
      <c r="LD88" s="2">
        <f>+Tabla520212224252659[[#This Row],[Recuento]]*Tabla520212224252659[[#This Row],[Área neta]]</f>
        <v>0</v>
      </c>
      <c r="LE88" s="26"/>
      <c r="LG88"/>
      <c r="LH88"/>
      <c r="LI88"/>
      <c r="LJ88"/>
      <c r="LK88"/>
      <c r="LL88"/>
      <c r="LM88" s="2">
        <f>+Tabla520212224252659111[[#This Row],[Recuento]]*Tabla520212224252659111[[#This Row],[Volúmen bruto]]</f>
        <v>0</v>
      </c>
      <c r="LN88" s="2">
        <f>+Tabla520212224252659111[[#This Row],[Recuento]]*Tabla520212224252659111[[#This Row],[Área neta]]</f>
        <v>0</v>
      </c>
      <c r="LO88" s="26"/>
      <c r="LQ88"/>
      <c r="LR88"/>
      <c r="LS88"/>
      <c r="LT88"/>
      <c r="LU88"/>
      <c r="LV88"/>
      <c r="LW88" s="2">
        <f>+Tabla520212224252659111114[[#This Row],[Recuento]]*Tabla520212224252659111114[[#This Row],[Volúmen bruto]]</f>
        <v>0</v>
      </c>
      <c r="LX88" s="2">
        <f>+Tabla520212224252659111114[[#This Row],[Recuento]]*Tabla520212224252659111114[[#This Row],[Área neta]]</f>
        <v>0</v>
      </c>
      <c r="LY88" s="26"/>
      <c r="MA88"/>
      <c r="MB88"/>
      <c r="MC88"/>
      <c r="MD88"/>
      <c r="ME88"/>
      <c r="MF88"/>
      <c r="MG88" s="2">
        <f>+Tabla520212224252659111114128[[#This Row],[Recuento]]*Tabla520212224252659111114128[[#This Row],[Volúmen bruto]]</f>
        <v>0</v>
      </c>
      <c r="MH88" s="2">
        <f>+Tabla520212224252659111114128[[#This Row],[Recuento]]*Tabla520212224252659111114128[[#This Row],[Área neta]]</f>
        <v>0</v>
      </c>
      <c r="MI88" s="26"/>
      <c r="MK88"/>
      <c r="ML88"/>
      <c r="MM88"/>
      <c r="MN88"/>
      <c r="MO88"/>
      <c r="MP88"/>
      <c r="MQ88" s="2">
        <f>+Tabla520212224252627[[#This Row],[Recuento]]*Tabla520212224252627[[#This Row],[Volúmen bruto]]</f>
        <v>0</v>
      </c>
      <c r="MR88" s="2">
        <f>+Tabla520212224252627[[#This Row],[Recuento]]*Tabla520212224252627[[#This Row],[Área neta]]</f>
        <v>0</v>
      </c>
      <c r="MS88" s="26"/>
      <c r="MU88"/>
      <c r="MV88"/>
      <c r="MW88"/>
      <c r="MX88"/>
      <c r="MY88"/>
      <c r="MZ88"/>
      <c r="NA88" s="2">
        <f>+Tabla520212224252627129[[#This Row],[Recuento]]*Tabla520212224252627129[[#This Row],[Volúmen bruto]]</f>
        <v>0</v>
      </c>
      <c r="NB88" s="2">
        <f>+Tabla520212224252627129[[#This Row],[Recuento]]*Tabla520212224252627129[[#This Row],[Área neta]]</f>
        <v>0</v>
      </c>
      <c r="NC88" s="26"/>
      <c r="NE88"/>
      <c r="NF88"/>
      <c r="NG88"/>
      <c r="NH88"/>
      <c r="NI88"/>
      <c r="NJ88"/>
      <c r="NK88" s="2">
        <f>+Tabla520212224252627129125[[#This Row],[Recuento]]*Tabla520212224252627129125[[#This Row],[Volúmen bruto]]</f>
        <v>0</v>
      </c>
      <c r="NL88" s="2">
        <f>+Tabla520212224252627129125[[#This Row],[Recuento]]*Tabla520212224252627129125[[#This Row],[Área neta]]</f>
        <v>0</v>
      </c>
      <c r="NM88" s="26"/>
      <c r="NO88"/>
      <c r="NP88"/>
      <c r="NQ88"/>
      <c r="NR88"/>
      <c r="NS88"/>
      <c r="NT88"/>
      <c r="NU88" s="2">
        <f>+Tabla520212224252627129125130[[#This Row],[Recuento]]*Tabla520212224252627129125130[[#This Row],[Volúmen bruto]]</f>
        <v>0</v>
      </c>
      <c r="NV88" s="2">
        <f>+Tabla520212224252627129125130[[#This Row],[Recuento]]*Tabla520212224252627129125130[[#This Row],[Área neta]]</f>
        <v>0</v>
      </c>
      <c r="NW88" s="26"/>
      <c r="NY88"/>
      <c r="NZ88"/>
      <c r="OA88"/>
      <c r="OB88"/>
      <c r="OC88"/>
      <c r="OD88"/>
      <c r="OE88" s="2">
        <f>+Tabla520212224252627129125130131[[#This Row],[Recuento]]*Tabla520212224252627129125130131[[#This Row],[Volúmen bruto]]</f>
        <v>0</v>
      </c>
      <c r="OF88" s="2">
        <f>+Tabla520212224252627129125130131[[#This Row],[Recuento]]*Tabla520212224252627129125130131[[#This Row],[Área neta]]</f>
        <v>0</v>
      </c>
      <c r="OG88" s="26"/>
      <c r="OI88"/>
      <c r="OJ88"/>
      <c r="OK88"/>
      <c r="OL88"/>
      <c r="OM88"/>
      <c r="ON88"/>
      <c r="OO88" s="2">
        <f>+Tabla520212224252627129125130131132[[#This Row],[Recuento]]*Tabla520212224252627129125130131132[[#This Row],[Volúmen bruto]]</f>
        <v>0</v>
      </c>
      <c r="OP88" s="2">
        <f>+Tabla520212224252627129125130131132[[#This Row],[Recuento]]*Tabla520212224252627129125130131132[[#This Row],[Área neta]]</f>
        <v>0</v>
      </c>
      <c r="OQ88" s="26"/>
      <c r="OS88"/>
      <c r="OT88"/>
      <c r="OU88"/>
      <c r="OV88"/>
      <c r="OW88"/>
      <c r="OX88"/>
      <c r="OY88" s="2">
        <f>+Tabla52021222425262728[[#This Row],[Recuento]]*Tabla52021222425262728[[#This Row],[Volúmen bruto]]</f>
        <v>0</v>
      </c>
      <c r="OZ88" s="2">
        <f>+Tabla52021222425262728[[#This Row],[Recuento]]*Tabla52021222425262728[[#This Row],[Área neta]]</f>
        <v>0</v>
      </c>
      <c r="PA88" s="26">
        <f t="shared" si="41"/>
        <v>0</v>
      </c>
      <c r="PC88"/>
      <c r="PD88"/>
      <c r="PE88"/>
      <c r="PF88"/>
      <c r="PG88"/>
      <c r="PH88"/>
      <c r="PI88" s="2">
        <f>+Tabla52021222425262728133[[#This Row],[Recuento]]*Tabla52021222425262728133[[#This Row],[Volúmen bruto]]</f>
        <v>0</v>
      </c>
      <c r="PJ88" s="2">
        <f>+Tabla52021222425262728133[[#This Row],[Recuento]]*Tabla52021222425262728133[[#This Row],[Área neta]]</f>
        <v>0</v>
      </c>
      <c r="PK88" s="26"/>
      <c r="PM88"/>
      <c r="PN88"/>
      <c r="PO88"/>
      <c r="PP88"/>
      <c r="PQ88"/>
      <c r="PR88"/>
      <c r="PS88" s="2">
        <f>+Tabla5202122242526272893[[#This Row],[Recuento]]*Tabla5202122242526272893[[#This Row],[Volúmen bruto]]</f>
        <v>0</v>
      </c>
      <c r="PT88" s="2">
        <f>+Tabla5202122242526272893[[#This Row],[Recuento]]*Tabla5202122242526272893[[#This Row],[Área neta]]</f>
        <v>0</v>
      </c>
      <c r="PU88" s="26"/>
      <c r="PW88"/>
      <c r="PX88"/>
      <c r="PY88"/>
      <c r="PZ88"/>
      <c r="QA88"/>
      <c r="QB88"/>
      <c r="QC88" s="2">
        <f>+Tabla520212224252627289349[[#This Row],[Recuento]]*Tabla520212224252627289349[[#This Row],[Volúmen bruto]]</f>
        <v>0</v>
      </c>
      <c r="QD88" s="2">
        <f>+Tabla520212224252627289349[[#This Row],[Recuento]]*Tabla520212224252627289349[[#This Row],[Área neta]]</f>
        <v>0</v>
      </c>
      <c r="QE88" s="26"/>
      <c r="QG88"/>
      <c r="QH88"/>
      <c r="QI88"/>
      <c r="QJ88"/>
      <c r="QK88"/>
      <c r="QL88"/>
      <c r="QM88" s="2">
        <f>+Tabla520212224252627289349134[[#This Row],[Recuento]]*Tabla520212224252627289349134[[#This Row],[Volúmen bruto]]</f>
        <v>0</v>
      </c>
      <c r="QN88" s="2">
        <f>+Tabla520212224252627289349134[[#This Row],[Recuento]]*Tabla520212224252627289349134[[#This Row],[Área neta]]</f>
        <v>0</v>
      </c>
      <c r="QO88" s="26"/>
      <c r="QQ88"/>
      <c r="QR88"/>
      <c r="QS88"/>
      <c r="QT88"/>
      <c r="QU88"/>
      <c r="QV88"/>
      <c r="QW88"/>
      <c r="RA88" s="26"/>
      <c r="RC88"/>
      <c r="RD88"/>
      <c r="RE88"/>
      <c r="RF88"/>
      <c r="RG88"/>
      <c r="RH88"/>
      <c r="RK88" s="26"/>
      <c r="RM88"/>
      <c r="RN88"/>
      <c r="RO88"/>
      <c r="RP88"/>
      <c r="RQ88"/>
      <c r="RR88"/>
      <c r="RU88" s="26">
        <f t="shared" si="42"/>
        <v>0</v>
      </c>
      <c r="RW88"/>
      <c r="RX88"/>
      <c r="RY88"/>
      <c r="RZ88"/>
      <c r="SA88"/>
      <c r="SB88"/>
      <c r="SE88" s="26"/>
      <c r="SG88"/>
      <c r="SH88"/>
      <c r="SI88"/>
      <c r="SJ88"/>
      <c r="SK88"/>
      <c r="SL88"/>
      <c r="SO88" s="26"/>
      <c r="YK88"/>
      <c r="YL88"/>
      <c r="YM88"/>
      <c r="YN88"/>
      <c r="YO88"/>
      <c r="ADJ88"/>
      <c r="ADK88"/>
      <c r="ADL88"/>
      <c r="ADM88"/>
      <c r="ADN88"/>
      <c r="ADO88"/>
      <c r="ADP88" s="36"/>
      <c r="ADR88"/>
      <c r="ADS88"/>
      <c r="ADT88"/>
      <c r="ADU88"/>
      <c r="ADV88"/>
      <c r="ADW88" s="35"/>
      <c r="ADX88" s="35"/>
      <c r="ADY88"/>
      <c r="ADZ88"/>
      <c r="AEA88"/>
      <c r="AEB88"/>
      <c r="AEE88" s="36"/>
      <c r="AEG88"/>
      <c r="AEH88"/>
      <c r="AEI88"/>
      <c r="AEJ88"/>
      <c r="AEL88" s="35"/>
      <c r="AEM88" s="35"/>
      <c r="AEN88" t="s">
        <v>1522</v>
      </c>
      <c r="AEO88" t="s">
        <v>1524</v>
      </c>
      <c r="AEP88" t="s">
        <v>382</v>
      </c>
      <c r="AEQ88">
        <v>2.0699999999999998</v>
      </c>
      <c r="AER88">
        <v>1</v>
      </c>
      <c r="AES88">
        <f>+Tabla5789141516343536373839404142434445464748495051525355606264[[#This Row],[G. Total]]*Tabla5789141516343536373839404142434445464748495051525355606264[[#This Row],[Recuento]]</f>
        <v>2.0699999999999998</v>
      </c>
      <c r="AET88" s="36"/>
      <c r="AEV88"/>
      <c r="AEW88"/>
      <c r="AEX88"/>
      <c r="AEY88"/>
      <c r="AFA88" s="35"/>
      <c r="AFC88"/>
      <c r="AFD88"/>
      <c r="AFE88"/>
      <c r="AFF88" s="33"/>
      <c r="AFG88"/>
      <c r="AFH88"/>
      <c r="AFI88"/>
      <c r="AFJ88"/>
      <c r="AFK88"/>
      <c r="AFL88"/>
      <c r="AFM88"/>
      <c r="AFN88">
        <f>+Tabla578914151634353637383940414243444546474849505152535560626467[[#This Row],[G. Total]]*Tabla578914151634353637383940414243444546474849505152535560626467[[#This Row],[Recuento]]</f>
        <v>0</v>
      </c>
      <c r="AFO88" s="36"/>
    </row>
    <row r="89" spans="2:847" x14ac:dyDescent="0.25">
      <c r="B89"/>
      <c r="C89"/>
      <c r="D89"/>
      <c r="E89"/>
      <c r="F89" s="33"/>
      <c r="G89" s="33"/>
      <c r="H89"/>
      <c r="I89"/>
      <c r="BG89"/>
      <c r="BH89"/>
      <c r="BI89"/>
      <c r="BJ89"/>
      <c r="BK89"/>
      <c r="BL89">
        <f>+Tabla3102[[#This Row],[Longitud de eje]]*BF89</f>
        <v>0</v>
      </c>
      <c r="BM89">
        <f>+Tabla3102[[#This Row],[Longitud de eje]]*BG89</f>
        <v>0</v>
      </c>
      <c r="BO89"/>
      <c r="BP89"/>
      <c r="BQ89"/>
      <c r="BR89"/>
      <c r="BS89"/>
      <c r="BT89">
        <f>+Tabla31069[[#This Row],[Longitud de eje]]*BN89</f>
        <v>0</v>
      </c>
      <c r="BU89">
        <f>+Tabla31069[[#This Row],[Longitud de eje]]*BO89</f>
        <v>0</v>
      </c>
      <c r="BV89"/>
      <c r="BW89"/>
      <c r="BX89"/>
      <c r="BY89"/>
      <c r="BZ89"/>
      <c r="CA89"/>
      <c r="CB89">
        <f>+Tabla31011[[#This Row],[Longitud de eje]]*BV89</f>
        <v>0</v>
      </c>
      <c r="CD89">
        <v>1</v>
      </c>
      <c r="CE89"/>
      <c r="CF89"/>
      <c r="CG89"/>
      <c r="CH89"/>
      <c r="CI89"/>
      <c r="CJ89"/>
      <c r="CK89"/>
      <c r="CL89"/>
      <c r="CM89"/>
      <c r="CN89"/>
      <c r="CO89"/>
      <c r="CP89"/>
      <c r="CQ89"/>
      <c r="CR89">
        <f>+Tabla31011116[[#This Row],[Longitud de eje]]*CL89</f>
        <v>0</v>
      </c>
      <c r="CT89">
        <v>1</v>
      </c>
      <c r="CU89"/>
      <c r="CV89"/>
      <c r="CW89"/>
      <c r="CX89"/>
      <c r="CY89"/>
      <c r="CZ89"/>
      <c r="DA89"/>
      <c r="DB89">
        <v>1</v>
      </c>
      <c r="DC89"/>
      <c r="DD89"/>
      <c r="DE89"/>
      <c r="DF89"/>
      <c r="DG89">
        <f>+Tabla31011704[[#This Row],[Longitud de eje]]*DB89</f>
        <v>0</v>
      </c>
      <c r="DH89"/>
      <c r="DI89">
        <v>1</v>
      </c>
      <c r="DJ89"/>
      <c r="DK89"/>
      <c r="DL89"/>
      <c r="DM89"/>
      <c r="DN89">
        <f>+Tabla3101170411[[#This Row],[Longitud de eje]]*DI89</f>
        <v>0</v>
      </c>
      <c r="DO89"/>
      <c r="DP89">
        <v>1</v>
      </c>
      <c r="DQ89"/>
      <c r="DR89"/>
      <c r="DS89"/>
      <c r="DT89"/>
      <c r="DU89">
        <f>+Tabla3101170411120[[#This Row],[Longitud de eje]]*DP89</f>
        <v>0</v>
      </c>
      <c r="DV89"/>
      <c r="DW89">
        <v>1</v>
      </c>
      <c r="DX89"/>
      <c r="DY89"/>
      <c r="DZ89"/>
      <c r="EA89"/>
      <c r="EB89">
        <f>+Tabla3101170411120122[[#This Row],[Longitud de eje]]*DW89</f>
        <v>0</v>
      </c>
      <c r="EC89"/>
      <c r="ED89"/>
      <c r="EE89"/>
      <c r="EF89"/>
      <c r="EG89"/>
      <c r="EH89"/>
      <c r="EI89"/>
      <c r="EJ89">
        <f>+Tabla3101112[[#This Row],[En culmo]]*ED89</f>
        <v>0</v>
      </c>
      <c r="EK89"/>
      <c r="EL89"/>
      <c r="EM89"/>
      <c r="EN89"/>
      <c r="EO89"/>
      <c r="EP89"/>
      <c r="EQ89"/>
      <c r="ER89">
        <f>+Tabla3101112123[[#This Row],[En culmo]]*EL89</f>
        <v>0</v>
      </c>
      <c r="ES89"/>
      <c r="ET89"/>
      <c r="EU89"/>
      <c r="EV89"/>
      <c r="EW89"/>
      <c r="EX89"/>
      <c r="EY89"/>
      <c r="EZ89">
        <f>+Tabla310111257[[#This Row],[En culmo]]*ET89</f>
        <v>0</v>
      </c>
      <c r="FA89"/>
      <c r="FB89"/>
      <c r="FC89"/>
      <c r="FD89"/>
      <c r="FE89"/>
      <c r="FF89"/>
      <c r="FG89"/>
      <c r="FH89">
        <f>+Tabla310111257124[[#This Row],[En culmo]]*FB89</f>
        <v>0</v>
      </c>
      <c r="FI89"/>
      <c r="FK89"/>
      <c r="FL89"/>
      <c r="FM89"/>
      <c r="FN89"/>
      <c r="FO89"/>
      <c r="FP89"/>
      <c r="FQ89"/>
      <c r="FS89"/>
      <c r="FT89"/>
      <c r="FU89"/>
      <c r="FV89"/>
      <c r="FW89"/>
      <c r="FX89"/>
      <c r="FY89"/>
      <c r="GA89"/>
      <c r="GB89"/>
      <c r="GC89"/>
      <c r="GD89"/>
      <c r="GE89"/>
      <c r="GF89"/>
      <c r="GG89"/>
      <c r="GI89"/>
      <c r="GJ89"/>
      <c r="GK89"/>
      <c r="GL89"/>
      <c r="GM89"/>
      <c r="GN89"/>
      <c r="GO89"/>
      <c r="GQ89"/>
      <c r="GR89"/>
      <c r="GS89"/>
      <c r="GT89"/>
      <c r="GU89"/>
      <c r="GV89"/>
      <c r="GW89"/>
      <c r="GX89"/>
      <c r="GY89" s="36"/>
      <c r="HA89"/>
      <c r="HB89"/>
      <c r="HC89"/>
      <c r="HD89"/>
      <c r="HE89"/>
      <c r="HF89"/>
      <c r="HG89"/>
      <c r="HH89"/>
      <c r="HI89" s="36"/>
      <c r="HK89"/>
      <c r="HL89"/>
      <c r="HM89"/>
      <c r="HN89"/>
      <c r="HO89"/>
      <c r="HP89"/>
      <c r="HQ89"/>
      <c r="HR89"/>
      <c r="HS89" s="36"/>
      <c r="HU89"/>
      <c r="HV89"/>
      <c r="HW89"/>
      <c r="HX89"/>
      <c r="HY89"/>
      <c r="HZ89"/>
      <c r="IA89"/>
      <c r="IB89"/>
      <c r="IC89" s="36"/>
      <c r="IE89"/>
      <c r="IF89"/>
      <c r="IG89"/>
      <c r="IH89"/>
      <c r="II89"/>
      <c r="IJ89"/>
      <c r="IK89"/>
      <c r="IL89"/>
      <c r="IM89" s="36"/>
      <c r="IY89"/>
      <c r="IZ89"/>
      <c r="JA89"/>
      <c r="JB89"/>
      <c r="JC89"/>
      <c r="JD89"/>
      <c r="JE89" s="2">
        <f>+Tabla520212224[[#This Row],[Recuento]]*Tabla520212224[[#This Row],[Volúmen bruto]]</f>
        <v>0</v>
      </c>
      <c r="JF89" s="2">
        <f>+Tabla520212224[[#This Row],[Recuento]]*Tabla520212224[[#This Row],[Área neta]]</f>
        <v>0</v>
      </c>
      <c r="JG89" s="26"/>
      <c r="JI89"/>
      <c r="JJ89"/>
      <c r="JK89"/>
      <c r="JL89"/>
      <c r="JM89"/>
      <c r="JN89"/>
      <c r="JO89" s="2">
        <f>+Tabla52021222425[[#This Row],[Recuento]]*Tabla52021222425[[#This Row],[Volúmen bruto]]</f>
        <v>0</v>
      </c>
      <c r="JP89" s="2">
        <f>+Tabla52021222425[[#This Row],[Recuento]]*Tabla52021222425[[#This Row],[Área neta]]</f>
        <v>0</v>
      </c>
      <c r="JQ89" s="26"/>
      <c r="JS89"/>
      <c r="JT89"/>
      <c r="JU89"/>
      <c r="JV89"/>
      <c r="JW89"/>
      <c r="JX89"/>
      <c r="JY89" s="2">
        <f>+Tabla5202122242526[[#This Row],[Recuento]]*Tabla5202122242526[[#This Row],[Volúmen bruto]]</f>
        <v>0</v>
      </c>
      <c r="JZ89" s="2">
        <f>+Tabla5202122242526[[#This Row],[Recuento]]*Tabla5202122242526[[#This Row],[Área neta]]</f>
        <v>0</v>
      </c>
      <c r="KA89" s="26"/>
      <c r="KC89"/>
      <c r="KD89"/>
      <c r="KE89"/>
      <c r="KF89"/>
      <c r="KG89"/>
      <c r="KH89"/>
      <c r="KI89" s="2">
        <f>+Tabla5202122242526104[[#This Row],[Recuento]]*Tabla5202122242526104[[#This Row],[Volúmen bruto]]</f>
        <v>0</v>
      </c>
      <c r="KJ89" s="2">
        <f>+Tabla5202122242526104[[#This Row],[Recuento]]*Tabla5202122242526104[[#This Row],[Área neta]]</f>
        <v>0</v>
      </c>
      <c r="KK89" s="26"/>
      <c r="KM89" t="s">
        <v>1863</v>
      </c>
      <c r="KN89" t="s">
        <v>1525</v>
      </c>
      <c r="KO89" t="s">
        <v>1676</v>
      </c>
      <c r="KP89">
        <v>0.56000000000000005</v>
      </c>
      <c r="KQ89">
        <v>2.83</v>
      </c>
      <c r="KR89">
        <v>1</v>
      </c>
      <c r="KS89" s="2">
        <f>+Tabla5202122242526104110[[#This Row],[Recuento]]*Tabla5202122242526104110[[#This Row],[Volúmen bruto]]</f>
        <v>0.56000000000000005</v>
      </c>
      <c r="KT89" s="2">
        <f>+Tabla5202122242526104110[[#This Row],[Recuento]]*Tabla5202122242526104110[[#This Row],[Área neta]]</f>
        <v>2.83</v>
      </c>
      <c r="KU89" s="26"/>
      <c r="KW89"/>
      <c r="KX89"/>
      <c r="KY89"/>
      <c r="KZ89"/>
      <c r="LA89"/>
      <c r="LB89"/>
      <c r="LC89" s="2">
        <f>+Tabla520212224252659[[#This Row],[Recuento]]*Tabla520212224252659[[#This Row],[Volúmen bruto]]</f>
        <v>0</v>
      </c>
      <c r="LD89" s="2">
        <f>+Tabla520212224252659[[#This Row],[Recuento]]*Tabla520212224252659[[#This Row],[Área neta]]</f>
        <v>0</v>
      </c>
      <c r="LE89" s="26"/>
      <c r="LG89"/>
      <c r="LH89"/>
      <c r="LI89"/>
      <c r="LJ89"/>
      <c r="LK89"/>
      <c r="LL89"/>
      <c r="LM89" s="2">
        <f>+Tabla520212224252659111[[#This Row],[Recuento]]*Tabla520212224252659111[[#This Row],[Volúmen bruto]]</f>
        <v>0</v>
      </c>
      <c r="LN89" s="2">
        <f>+Tabla520212224252659111[[#This Row],[Recuento]]*Tabla520212224252659111[[#This Row],[Área neta]]</f>
        <v>0</v>
      </c>
      <c r="LO89" s="26"/>
      <c r="LQ89"/>
      <c r="LR89"/>
      <c r="LS89"/>
      <c r="LT89"/>
      <c r="LU89"/>
      <c r="LV89"/>
      <c r="LW89" s="2">
        <f>+Tabla520212224252659111114[[#This Row],[Recuento]]*Tabla520212224252659111114[[#This Row],[Volúmen bruto]]</f>
        <v>0</v>
      </c>
      <c r="LX89" s="2">
        <f>+Tabla520212224252659111114[[#This Row],[Recuento]]*Tabla520212224252659111114[[#This Row],[Área neta]]</f>
        <v>0</v>
      </c>
      <c r="LY89" s="26"/>
      <c r="MA89"/>
      <c r="MB89"/>
      <c r="MC89"/>
      <c r="MD89"/>
      <c r="ME89"/>
      <c r="MF89"/>
      <c r="MG89" s="2">
        <f>+Tabla520212224252659111114128[[#This Row],[Recuento]]*Tabla520212224252659111114128[[#This Row],[Volúmen bruto]]</f>
        <v>0</v>
      </c>
      <c r="MH89" s="2">
        <f>+Tabla520212224252659111114128[[#This Row],[Recuento]]*Tabla520212224252659111114128[[#This Row],[Área neta]]</f>
        <v>0</v>
      </c>
      <c r="MI89" s="26"/>
      <c r="MK89"/>
      <c r="ML89"/>
      <c r="MM89"/>
      <c r="MN89"/>
      <c r="MO89"/>
      <c r="MP89"/>
      <c r="MQ89" s="2">
        <f>+Tabla520212224252627[[#This Row],[Recuento]]*Tabla520212224252627[[#This Row],[Volúmen bruto]]</f>
        <v>0</v>
      </c>
      <c r="MR89" s="2">
        <f>+Tabla520212224252627[[#This Row],[Recuento]]*Tabla520212224252627[[#This Row],[Área neta]]</f>
        <v>0</v>
      </c>
      <c r="MS89" s="26"/>
      <c r="MU89"/>
      <c r="MV89"/>
      <c r="MW89"/>
      <c r="MX89"/>
      <c r="MY89"/>
      <c r="MZ89"/>
      <c r="NA89" s="2">
        <f>+Tabla520212224252627129[[#This Row],[Recuento]]*Tabla520212224252627129[[#This Row],[Volúmen bruto]]</f>
        <v>0</v>
      </c>
      <c r="NB89" s="2">
        <f>+Tabla520212224252627129[[#This Row],[Recuento]]*Tabla520212224252627129[[#This Row],[Área neta]]</f>
        <v>0</v>
      </c>
      <c r="NC89" s="26"/>
      <c r="NE89"/>
      <c r="NF89"/>
      <c r="NG89"/>
      <c r="NH89"/>
      <c r="NI89"/>
      <c r="NJ89"/>
      <c r="NK89" s="2">
        <f>+Tabla520212224252627129125[[#This Row],[Recuento]]*Tabla520212224252627129125[[#This Row],[Volúmen bruto]]</f>
        <v>0</v>
      </c>
      <c r="NL89" s="2">
        <f>+Tabla520212224252627129125[[#This Row],[Recuento]]*Tabla520212224252627129125[[#This Row],[Área neta]]</f>
        <v>0</v>
      </c>
      <c r="NM89" s="26"/>
      <c r="NO89"/>
      <c r="NP89"/>
      <c r="NQ89"/>
      <c r="NR89"/>
      <c r="NS89"/>
      <c r="NT89"/>
      <c r="NU89" s="2">
        <f>+Tabla520212224252627129125130[[#This Row],[Recuento]]*Tabla520212224252627129125130[[#This Row],[Volúmen bruto]]</f>
        <v>0</v>
      </c>
      <c r="NV89" s="2">
        <f>+Tabla520212224252627129125130[[#This Row],[Recuento]]*Tabla520212224252627129125130[[#This Row],[Área neta]]</f>
        <v>0</v>
      </c>
      <c r="NW89" s="26"/>
      <c r="NY89"/>
      <c r="NZ89"/>
      <c r="OA89"/>
      <c r="OB89"/>
      <c r="OC89"/>
      <c r="OD89"/>
      <c r="OE89" s="2">
        <f>+Tabla520212224252627129125130131[[#This Row],[Recuento]]*Tabla520212224252627129125130131[[#This Row],[Volúmen bruto]]</f>
        <v>0</v>
      </c>
      <c r="OF89" s="2">
        <f>+Tabla520212224252627129125130131[[#This Row],[Recuento]]*Tabla520212224252627129125130131[[#This Row],[Área neta]]</f>
        <v>0</v>
      </c>
      <c r="OG89" s="26"/>
      <c r="OI89"/>
      <c r="OJ89"/>
      <c r="OK89"/>
      <c r="OL89"/>
      <c r="OM89"/>
      <c r="ON89"/>
      <c r="OO89" s="2">
        <f>+Tabla520212224252627129125130131132[[#This Row],[Recuento]]*Tabla520212224252627129125130131132[[#This Row],[Volúmen bruto]]</f>
        <v>0</v>
      </c>
      <c r="OP89" s="2">
        <f>+Tabla520212224252627129125130131132[[#This Row],[Recuento]]*Tabla520212224252627129125130131132[[#This Row],[Área neta]]</f>
        <v>0</v>
      </c>
      <c r="OQ89" s="26"/>
      <c r="OS89"/>
      <c r="OT89"/>
      <c r="OU89"/>
      <c r="OV89"/>
      <c r="OW89"/>
      <c r="OX89"/>
      <c r="OY89" s="2">
        <f>+Tabla52021222425262728[[#This Row],[Recuento]]*Tabla52021222425262728[[#This Row],[Volúmen bruto]]</f>
        <v>0</v>
      </c>
      <c r="OZ89" s="2">
        <f>+Tabla52021222425262728[[#This Row],[Recuento]]*Tabla52021222425262728[[#This Row],[Área neta]]</f>
        <v>0</v>
      </c>
      <c r="PA89" s="26">
        <f t="shared" si="41"/>
        <v>0</v>
      </c>
      <c r="PC89"/>
      <c r="PD89"/>
      <c r="PE89"/>
      <c r="PF89"/>
      <c r="PG89"/>
      <c r="PH89"/>
      <c r="PI89" s="2">
        <f>+Tabla52021222425262728133[[#This Row],[Recuento]]*Tabla52021222425262728133[[#This Row],[Volúmen bruto]]</f>
        <v>0</v>
      </c>
      <c r="PJ89" s="2">
        <f>+Tabla52021222425262728133[[#This Row],[Recuento]]*Tabla52021222425262728133[[#This Row],[Área neta]]</f>
        <v>0</v>
      </c>
      <c r="PK89" s="26"/>
      <c r="PM89"/>
      <c r="PN89"/>
      <c r="PO89"/>
      <c r="PP89"/>
      <c r="PQ89"/>
      <c r="PR89"/>
      <c r="PS89" s="2">
        <f>+Tabla5202122242526272893[[#This Row],[Recuento]]*Tabla5202122242526272893[[#This Row],[Volúmen bruto]]</f>
        <v>0</v>
      </c>
      <c r="PT89" s="2">
        <f>+Tabla5202122242526272893[[#This Row],[Recuento]]*Tabla5202122242526272893[[#This Row],[Área neta]]</f>
        <v>0</v>
      </c>
      <c r="PU89" s="26"/>
      <c r="PW89"/>
      <c r="PX89"/>
      <c r="PY89"/>
      <c r="PZ89"/>
      <c r="QA89"/>
      <c r="QB89"/>
      <c r="QC89" s="2">
        <f>+Tabla520212224252627289349[[#This Row],[Recuento]]*Tabla520212224252627289349[[#This Row],[Volúmen bruto]]</f>
        <v>0</v>
      </c>
      <c r="QD89" s="2">
        <f>+Tabla520212224252627289349[[#This Row],[Recuento]]*Tabla520212224252627289349[[#This Row],[Área neta]]</f>
        <v>0</v>
      </c>
      <c r="QE89" s="26"/>
      <c r="QG89"/>
      <c r="QH89"/>
      <c r="QI89"/>
      <c r="QJ89"/>
      <c r="QK89"/>
      <c r="QL89"/>
      <c r="QM89" s="2">
        <f>+Tabla520212224252627289349134[[#This Row],[Recuento]]*Tabla520212224252627289349134[[#This Row],[Volúmen bruto]]</f>
        <v>0</v>
      </c>
      <c r="QN89" s="2">
        <f>+Tabla520212224252627289349134[[#This Row],[Recuento]]*Tabla520212224252627289349134[[#This Row],[Área neta]]</f>
        <v>0</v>
      </c>
      <c r="QO89" s="26"/>
      <c r="QQ89"/>
      <c r="QR89"/>
      <c r="QS89"/>
      <c r="QT89"/>
      <c r="QU89"/>
      <c r="QV89"/>
      <c r="QW89"/>
      <c r="RA89" s="26"/>
      <c r="RC89"/>
      <c r="RD89"/>
      <c r="RE89"/>
      <c r="RF89"/>
      <c r="RG89"/>
      <c r="RH89"/>
      <c r="RK89" s="26"/>
      <c r="RM89"/>
      <c r="RN89"/>
      <c r="RO89"/>
      <c r="RP89"/>
      <c r="RQ89"/>
      <c r="RR89"/>
      <c r="RU89" s="26">
        <f t="shared" si="42"/>
        <v>0</v>
      </c>
      <c r="RW89"/>
      <c r="RX89"/>
      <c r="RY89"/>
      <c r="RZ89"/>
      <c r="SA89"/>
      <c r="SB89"/>
      <c r="SE89" s="26"/>
      <c r="SG89"/>
      <c r="SH89"/>
      <c r="SI89"/>
      <c r="SJ89"/>
      <c r="SK89"/>
      <c r="SL89"/>
      <c r="SO89" s="26"/>
      <c r="YK89"/>
      <c r="YL89"/>
      <c r="YM89"/>
      <c r="YN89"/>
      <c r="YO89"/>
      <c r="ADJ89"/>
      <c r="ADK89"/>
      <c r="ADL89"/>
      <c r="ADM89"/>
      <c r="ADN89"/>
      <c r="ADO89"/>
      <c r="ADP89" s="36"/>
      <c r="ADR89"/>
      <c r="ADS89"/>
      <c r="ADT89"/>
      <c r="ADU89"/>
      <c r="ADV89"/>
      <c r="ADW89" s="35"/>
      <c r="ADX89" s="35"/>
      <c r="ADY89"/>
      <c r="ADZ89"/>
      <c r="AEA89"/>
      <c r="AEB89"/>
      <c r="AEE89" s="36"/>
      <c r="AEG89"/>
      <c r="AEH89"/>
      <c r="AEI89"/>
      <c r="AEJ89"/>
      <c r="AEL89" s="35"/>
      <c r="AEM89" s="35"/>
      <c r="AEN89" t="s">
        <v>1522</v>
      </c>
      <c r="AEO89" t="s">
        <v>1524</v>
      </c>
      <c r="AEP89" t="s">
        <v>382</v>
      </c>
      <c r="AEQ89">
        <v>0.43</v>
      </c>
      <c r="AER89">
        <v>2</v>
      </c>
      <c r="AES89">
        <f>+Tabla5789141516343536373839404142434445464748495051525355606264[[#This Row],[G. Total]]*Tabla5789141516343536373839404142434445464748495051525355606264[[#This Row],[Recuento]]</f>
        <v>0.86</v>
      </c>
      <c r="AET89" s="36"/>
      <c r="AEV89"/>
      <c r="AEW89"/>
      <c r="AEX89"/>
      <c r="AEY89"/>
      <c r="AFA89" s="35"/>
      <c r="AFC89"/>
      <c r="AFD89"/>
      <c r="AFE89"/>
      <c r="AFF89" s="33"/>
      <c r="AFG89"/>
      <c r="AFH89"/>
      <c r="AFI89"/>
      <c r="AFJ89"/>
      <c r="AFK89"/>
      <c r="AFL89"/>
      <c r="AFM89"/>
      <c r="AFN89">
        <f>+Tabla578914151634353637383940414243444546474849505152535560626467[[#This Row],[G. Total]]*Tabla578914151634353637383940414243444546474849505152535560626467[[#This Row],[Recuento]]</f>
        <v>0</v>
      </c>
      <c r="AFO89" s="36"/>
    </row>
    <row r="90" spans="2:847" x14ac:dyDescent="0.25">
      <c r="B90"/>
      <c r="C90"/>
      <c r="D90"/>
      <c r="E90"/>
      <c r="F90" s="33"/>
      <c r="G90" s="33"/>
      <c r="H90"/>
      <c r="I90"/>
      <c r="BG90"/>
      <c r="BH90"/>
      <c r="BI90"/>
      <c r="BJ90"/>
      <c r="BK90"/>
      <c r="BL90">
        <f>+Tabla3102[[#This Row],[Longitud de eje]]*BF90</f>
        <v>0</v>
      </c>
      <c r="BM90">
        <f>+Tabla3102[[#This Row],[Longitud de eje]]*BG90</f>
        <v>0</v>
      </c>
      <c r="BO90"/>
      <c r="BP90"/>
      <c r="BQ90"/>
      <c r="BR90"/>
      <c r="BS90"/>
      <c r="BT90">
        <f>+Tabla31069[[#This Row],[Longitud de eje]]*BN90</f>
        <v>0</v>
      </c>
      <c r="BU90">
        <f>+Tabla31069[[#This Row],[Longitud de eje]]*BO90</f>
        <v>0</v>
      </c>
      <c r="BV90"/>
      <c r="BW90"/>
      <c r="BX90"/>
      <c r="BY90"/>
      <c r="BZ90"/>
      <c r="CA90"/>
      <c r="CB90">
        <f>+Tabla31011[[#This Row],[Longitud de eje]]*BV90</f>
        <v>0</v>
      </c>
      <c r="CD90">
        <v>1</v>
      </c>
      <c r="CE90"/>
      <c r="CF90"/>
      <c r="CG90"/>
      <c r="CH90"/>
      <c r="CI90"/>
      <c r="CJ90"/>
      <c r="CK90"/>
      <c r="CL90"/>
      <c r="CM90"/>
      <c r="CN90"/>
      <c r="CO90"/>
      <c r="CP90"/>
      <c r="CQ90"/>
      <c r="CR90">
        <f>+Tabla31011116[[#This Row],[Longitud de eje]]*CL90</f>
        <v>0</v>
      </c>
      <c r="CT90">
        <v>1</v>
      </c>
      <c r="CU90"/>
      <c r="CV90"/>
      <c r="CW90"/>
      <c r="CX90"/>
      <c r="CY90"/>
      <c r="CZ90"/>
      <c r="DA90"/>
      <c r="DB90">
        <v>1</v>
      </c>
      <c r="DC90"/>
      <c r="DD90"/>
      <c r="DE90"/>
      <c r="DF90"/>
      <c r="DG90">
        <f>+Tabla31011704[[#This Row],[Longitud de eje]]*DB90</f>
        <v>0</v>
      </c>
      <c r="DH90"/>
      <c r="DI90">
        <v>1</v>
      </c>
      <c r="DJ90"/>
      <c r="DK90"/>
      <c r="DL90"/>
      <c r="DM90"/>
      <c r="DN90">
        <f>+Tabla3101170411[[#This Row],[Longitud de eje]]*DI90</f>
        <v>0</v>
      </c>
      <c r="DO90"/>
      <c r="DP90">
        <v>1</v>
      </c>
      <c r="DQ90"/>
      <c r="DR90"/>
      <c r="DS90"/>
      <c r="DT90"/>
      <c r="DU90">
        <f>+Tabla3101170411120[[#This Row],[Longitud de eje]]*DP90</f>
        <v>0</v>
      </c>
      <c r="DV90"/>
      <c r="DW90">
        <v>1</v>
      </c>
      <c r="DX90"/>
      <c r="DY90"/>
      <c r="DZ90"/>
      <c r="EA90"/>
      <c r="EB90">
        <f>+Tabla3101170411120122[[#This Row],[Longitud de eje]]*DW90</f>
        <v>0</v>
      </c>
      <c r="EC90"/>
      <c r="ED90"/>
      <c r="EE90"/>
      <c r="EF90"/>
      <c r="EG90"/>
      <c r="EH90"/>
      <c r="EI90"/>
      <c r="EJ90">
        <f>+Tabla3101112[[#This Row],[En culmo]]*ED90</f>
        <v>0</v>
      </c>
      <c r="EK90"/>
      <c r="EL90"/>
      <c r="EM90"/>
      <c r="EN90"/>
      <c r="EO90"/>
      <c r="EP90"/>
      <c r="EQ90"/>
      <c r="ER90">
        <f>+Tabla3101112123[[#This Row],[En culmo]]*EL90</f>
        <v>0</v>
      </c>
      <c r="ES90"/>
      <c r="ET90"/>
      <c r="EU90"/>
      <c r="EV90"/>
      <c r="EW90"/>
      <c r="EX90"/>
      <c r="EY90"/>
      <c r="EZ90">
        <f>+Tabla310111257[[#This Row],[En culmo]]*ET90</f>
        <v>0</v>
      </c>
      <c r="FA90"/>
      <c r="FB90"/>
      <c r="FC90"/>
      <c r="FD90"/>
      <c r="FE90"/>
      <c r="FF90"/>
      <c r="FG90"/>
      <c r="FH90">
        <f>+Tabla310111257124[[#This Row],[En culmo]]*FB90</f>
        <v>0</v>
      </c>
      <c r="FI90"/>
      <c r="FK90"/>
      <c r="FL90"/>
      <c r="FM90"/>
      <c r="FN90"/>
      <c r="FO90"/>
      <c r="FP90"/>
      <c r="FQ90"/>
      <c r="FS90"/>
      <c r="FT90"/>
      <c r="FU90"/>
      <c r="FV90"/>
      <c r="FW90"/>
      <c r="FX90"/>
      <c r="FY90"/>
      <c r="GA90"/>
      <c r="GB90"/>
      <c r="GC90"/>
      <c r="GD90"/>
      <c r="GE90"/>
      <c r="GF90"/>
      <c r="GG90"/>
      <c r="GI90"/>
      <c r="GJ90"/>
      <c r="GK90"/>
      <c r="GL90"/>
      <c r="GM90"/>
      <c r="GN90"/>
      <c r="GO90"/>
      <c r="GQ90"/>
      <c r="GR90"/>
      <c r="GS90"/>
      <c r="GT90"/>
      <c r="GU90"/>
      <c r="GV90"/>
      <c r="GW90"/>
      <c r="GX90"/>
      <c r="GY90" s="36"/>
      <c r="HA90"/>
      <c r="HB90"/>
      <c r="HC90"/>
      <c r="HD90"/>
      <c r="HE90"/>
      <c r="HF90"/>
      <c r="HG90"/>
      <c r="HH90"/>
      <c r="HI90" s="36"/>
      <c r="HK90"/>
      <c r="HL90"/>
      <c r="HM90"/>
      <c r="HN90"/>
      <c r="HO90"/>
      <c r="HP90"/>
      <c r="HQ90"/>
      <c r="HR90"/>
      <c r="HS90" s="36"/>
      <c r="HU90"/>
      <c r="HV90"/>
      <c r="HW90"/>
      <c r="HX90"/>
      <c r="HY90"/>
      <c r="HZ90"/>
      <c r="IA90"/>
      <c r="IB90"/>
      <c r="IC90" s="36"/>
      <c r="IE90"/>
      <c r="IF90"/>
      <c r="IG90"/>
      <c r="IH90"/>
      <c r="II90"/>
      <c r="IJ90"/>
      <c r="IK90"/>
      <c r="IL90"/>
      <c r="IM90" s="36"/>
      <c r="IY90"/>
      <c r="IZ90"/>
      <c r="JA90"/>
      <c r="JB90"/>
      <c r="JC90"/>
      <c r="JD90"/>
      <c r="JE90" s="2">
        <f>+Tabla520212224[[#This Row],[Recuento]]*Tabla520212224[[#This Row],[Volúmen bruto]]</f>
        <v>0</v>
      </c>
      <c r="JF90" s="2">
        <f>+Tabla520212224[[#This Row],[Recuento]]*Tabla520212224[[#This Row],[Área neta]]</f>
        <v>0</v>
      </c>
      <c r="JG90" s="26"/>
      <c r="JI90"/>
      <c r="JJ90"/>
      <c r="JK90"/>
      <c r="JL90"/>
      <c r="JM90"/>
      <c r="JN90"/>
      <c r="JO90" s="2">
        <f>+Tabla52021222425[[#This Row],[Recuento]]*Tabla52021222425[[#This Row],[Volúmen bruto]]</f>
        <v>0</v>
      </c>
      <c r="JP90" s="2">
        <f>+Tabla52021222425[[#This Row],[Recuento]]*Tabla52021222425[[#This Row],[Área neta]]</f>
        <v>0</v>
      </c>
      <c r="JQ90" s="26"/>
      <c r="JS90"/>
      <c r="JT90"/>
      <c r="JU90"/>
      <c r="JV90"/>
      <c r="JW90"/>
      <c r="JX90"/>
      <c r="JY90" s="2">
        <f>+Tabla5202122242526[[#This Row],[Recuento]]*Tabla5202122242526[[#This Row],[Volúmen bruto]]</f>
        <v>0</v>
      </c>
      <c r="JZ90" s="2">
        <f>+Tabla5202122242526[[#This Row],[Recuento]]*Tabla5202122242526[[#This Row],[Área neta]]</f>
        <v>0</v>
      </c>
      <c r="KA90" s="26"/>
      <c r="KC90"/>
      <c r="KD90"/>
      <c r="KE90"/>
      <c r="KF90"/>
      <c r="KG90"/>
      <c r="KH90"/>
      <c r="KI90" s="2">
        <f>+Tabla5202122242526104[[#This Row],[Recuento]]*Tabla5202122242526104[[#This Row],[Volúmen bruto]]</f>
        <v>0</v>
      </c>
      <c r="KJ90" s="2">
        <f>+Tabla5202122242526104[[#This Row],[Recuento]]*Tabla5202122242526104[[#This Row],[Área neta]]</f>
        <v>0</v>
      </c>
      <c r="KK90" s="26"/>
      <c r="KM90"/>
      <c r="KN90"/>
      <c r="KO90"/>
      <c r="KP90"/>
      <c r="KQ90"/>
      <c r="KR90"/>
      <c r="KS90" s="2">
        <f>+Tabla5202122242526104110[[#This Row],[Recuento]]*Tabla5202122242526104110[[#This Row],[Volúmen bruto]]</f>
        <v>0</v>
      </c>
      <c r="KT90" s="2">
        <f>+Tabla5202122242526104110[[#This Row],[Recuento]]*Tabla5202122242526104110[[#This Row],[Área neta]]</f>
        <v>0</v>
      </c>
      <c r="KU90" s="26"/>
      <c r="KW90"/>
      <c r="KX90"/>
      <c r="KY90"/>
      <c r="KZ90"/>
      <c r="LA90"/>
      <c r="LB90"/>
      <c r="LC90" s="2">
        <f>+Tabla520212224252659[[#This Row],[Recuento]]*Tabla520212224252659[[#This Row],[Volúmen bruto]]</f>
        <v>0</v>
      </c>
      <c r="LD90" s="2">
        <f>+Tabla520212224252659[[#This Row],[Recuento]]*Tabla520212224252659[[#This Row],[Área neta]]</f>
        <v>0</v>
      </c>
      <c r="LE90" s="26"/>
      <c r="LG90"/>
      <c r="LH90"/>
      <c r="LI90"/>
      <c r="LJ90"/>
      <c r="LK90"/>
      <c r="LL90"/>
      <c r="LM90" s="2">
        <f>+Tabla520212224252659111[[#This Row],[Recuento]]*Tabla520212224252659111[[#This Row],[Volúmen bruto]]</f>
        <v>0</v>
      </c>
      <c r="LN90" s="2">
        <f>+Tabla520212224252659111[[#This Row],[Recuento]]*Tabla520212224252659111[[#This Row],[Área neta]]</f>
        <v>0</v>
      </c>
      <c r="LO90" s="26"/>
      <c r="LQ90"/>
      <c r="LR90"/>
      <c r="LS90"/>
      <c r="LT90"/>
      <c r="LU90"/>
      <c r="LV90"/>
      <c r="LW90" s="2">
        <f>+Tabla520212224252659111114[[#This Row],[Recuento]]*Tabla520212224252659111114[[#This Row],[Volúmen bruto]]</f>
        <v>0</v>
      </c>
      <c r="LX90" s="2">
        <f>+Tabla520212224252659111114[[#This Row],[Recuento]]*Tabla520212224252659111114[[#This Row],[Área neta]]</f>
        <v>0</v>
      </c>
      <c r="LY90" s="26"/>
      <c r="MA90"/>
      <c r="MB90"/>
      <c r="MC90"/>
      <c r="MD90"/>
      <c r="ME90"/>
      <c r="MF90"/>
      <c r="MG90" s="2">
        <f>+Tabla520212224252659111114128[[#This Row],[Recuento]]*Tabla520212224252659111114128[[#This Row],[Volúmen bruto]]</f>
        <v>0</v>
      </c>
      <c r="MH90" s="2">
        <f>+Tabla520212224252659111114128[[#This Row],[Recuento]]*Tabla520212224252659111114128[[#This Row],[Área neta]]</f>
        <v>0</v>
      </c>
      <c r="MI90" s="26"/>
      <c r="MK90"/>
      <c r="ML90"/>
      <c r="MM90"/>
      <c r="MN90"/>
      <c r="MO90"/>
      <c r="MP90"/>
      <c r="MQ90" s="2">
        <f>+Tabla520212224252627[[#This Row],[Recuento]]*Tabla520212224252627[[#This Row],[Volúmen bruto]]</f>
        <v>0</v>
      </c>
      <c r="MR90" s="2">
        <f>+Tabla520212224252627[[#This Row],[Recuento]]*Tabla520212224252627[[#This Row],[Área neta]]</f>
        <v>0</v>
      </c>
      <c r="MS90" s="26"/>
      <c r="MU90"/>
      <c r="MV90"/>
      <c r="MW90"/>
      <c r="MX90"/>
      <c r="MY90"/>
      <c r="MZ90"/>
      <c r="NA90" s="2">
        <f>+Tabla520212224252627129[[#This Row],[Recuento]]*Tabla520212224252627129[[#This Row],[Volúmen bruto]]</f>
        <v>0</v>
      </c>
      <c r="NB90" s="2">
        <f>+Tabla520212224252627129[[#This Row],[Recuento]]*Tabla520212224252627129[[#This Row],[Área neta]]</f>
        <v>0</v>
      </c>
      <c r="NC90" s="26"/>
      <c r="NE90"/>
      <c r="NF90"/>
      <c r="NG90"/>
      <c r="NH90"/>
      <c r="NI90"/>
      <c r="NJ90"/>
      <c r="NK90" s="2">
        <f>+Tabla520212224252627129125[[#This Row],[Recuento]]*Tabla520212224252627129125[[#This Row],[Volúmen bruto]]</f>
        <v>0</v>
      </c>
      <c r="NL90" s="2">
        <f>+Tabla520212224252627129125[[#This Row],[Recuento]]*Tabla520212224252627129125[[#This Row],[Área neta]]</f>
        <v>0</v>
      </c>
      <c r="NM90" s="26"/>
      <c r="NO90"/>
      <c r="NP90"/>
      <c r="NQ90"/>
      <c r="NR90"/>
      <c r="NS90"/>
      <c r="NT90"/>
      <c r="NU90" s="2">
        <f>+Tabla520212224252627129125130[[#This Row],[Recuento]]*Tabla520212224252627129125130[[#This Row],[Volúmen bruto]]</f>
        <v>0</v>
      </c>
      <c r="NV90" s="2">
        <f>+Tabla520212224252627129125130[[#This Row],[Recuento]]*Tabla520212224252627129125130[[#This Row],[Área neta]]</f>
        <v>0</v>
      </c>
      <c r="NW90" s="26"/>
      <c r="NY90"/>
      <c r="NZ90"/>
      <c r="OA90"/>
      <c r="OB90"/>
      <c r="OC90"/>
      <c r="OD90"/>
      <c r="OE90" s="2">
        <f>+Tabla520212224252627129125130131[[#This Row],[Recuento]]*Tabla520212224252627129125130131[[#This Row],[Volúmen bruto]]</f>
        <v>0</v>
      </c>
      <c r="OF90" s="2">
        <f>+Tabla520212224252627129125130131[[#This Row],[Recuento]]*Tabla520212224252627129125130131[[#This Row],[Área neta]]</f>
        <v>0</v>
      </c>
      <c r="OG90" s="26"/>
      <c r="OI90"/>
      <c r="OJ90"/>
      <c r="OK90"/>
      <c r="OL90"/>
      <c r="OM90"/>
      <c r="ON90"/>
      <c r="OO90" s="2">
        <f>+Tabla520212224252627129125130131132[[#This Row],[Recuento]]*Tabla520212224252627129125130131132[[#This Row],[Volúmen bruto]]</f>
        <v>0</v>
      </c>
      <c r="OP90" s="2">
        <f>+Tabla520212224252627129125130131132[[#This Row],[Recuento]]*Tabla520212224252627129125130131132[[#This Row],[Área neta]]</f>
        <v>0</v>
      </c>
      <c r="OQ90" s="26"/>
      <c r="OS90"/>
      <c r="OT90"/>
      <c r="OU90"/>
      <c r="OV90"/>
      <c r="OW90"/>
      <c r="OX90"/>
      <c r="OY90" s="2">
        <f>+Tabla52021222425262728[[#This Row],[Recuento]]*Tabla52021222425262728[[#This Row],[Volúmen bruto]]</f>
        <v>0</v>
      </c>
      <c r="OZ90" s="2">
        <f>+Tabla52021222425262728[[#This Row],[Recuento]]*Tabla52021222425262728[[#This Row],[Área neta]]</f>
        <v>0</v>
      </c>
      <c r="PA90" s="26">
        <f t="shared" si="41"/>
        <v>0</v>
      </c>
      <c r="PC90"/>
      <c r="PD90"/>
      <c r="PE90"/>
      <c r="PF90"/>
      <c r="PG90"/>
      <c r="PH90"/>
      <c r="PI90" s="2">
        <f>+Tabla52021222425262728133[[#This Row],[Recuento]]*Tabla52021222425262728133[[#This Row],[Volúmen bruto]]</f>
        <v>0</v>
      </c>
      <c r="PJ90" s="2">
        <f>+Tabla52021222425262728133[[#This Row],[Recuento]]*Tabla52021222425262728133[[#This Row],[Área neta]]</f>
        <v>0</v>
      </c>
      <c r="PK90" s="26"/>
      <c r="PM90"/>
      <c r="PN90"/>
      <c r="PO90"/>
      <c r="PP90"/>
      <c r="PQ90"/>
      <c r="PR90"/>
      <c r="PS90" s="2">
        <f>+Tabla5202122242526272893[[#This Row],[Recuento]]*Tabla5202122242526272893[[#This Row],[Volúmen bruto]]</f>
        <v>0</v>
      </c>
      <c r="PT90" s="2">
        <f>+Tabla5202122242526272893[[#This Row],[Recuento]]*Tabla5202122242526272893[[#This Row],[Área neta]]</f>
        <v>0</v>
      </c>
      <c r="PU90" s="26"/>
      <c r="PW90"/>
      <c r="PX90"/>
      <c r="PY90"/>
      <c r="PZ90"/>
      <c r="QA90"/>
      <c r="QB90"/>
      <c r="QC90" s="2">
        <f>+Tabla520212224252627289349[[#This Row],[Recuento]]*Tabla520212224252627289349[[#This Row],[Volúmen bruto]]</f>
        <v>0</v>
      </c>
      <c r="QD90" s="2">
        <f>+Tabla520212224252627289349[[#This Row],[Recuento]]*Tabla520212224252627289349[[#This Row],[Área neta]]</f>
        <v>0</v>
      </c>
      <c r="QE90" s="26"/>
      <c r="QG90"/>
      <c r="QH90"/>
      <c r="QI90"/>
      <c r="QJ90"/>
      <c r="QK90"/>
      <c r="QL90"/>
      <c r="QM90" s="2">
        <f>+Tabla520212224252627289349134[[#This Row],[Recuento]]*Tabla520212224252627289349134[[#This Row],[Volúmen bruto]]</f>
        <v>0</v>
      </c>
      <c r="QN90" s="2">
        <f>+Tabla520212224252627289349134[[#This Row],[Recuento]]*Tabla520212224252627289349134[[#This Row],[Área neta]]</f>
        <v>0</v>
      </c>
      <c r="QO90" s="26"/>
      <c r="QQ90"/>
      <c r="QR90"/>
      <c r="QS90"/>
      <c r="QT90"/>
      <c r="QU90"/>
      <c r="QV90"/>
      <c r="QW90"/>
      <c r="RA90" s="26"/>
      <c r="RC90"/>
      <c r="RD90"/>
      <c r="RE90"/>
      <c r="RF90"/>
      <c r="RG90"/>
      <c r="RH90"/>
      <c r="RK90" s="26"/>
      <c r="RM90"/>
      <c r="RN90"/>
      <c r="RO90"/>
      <c r="RP90"/>
      <c r="RQ90"/>
      <c r="RR90"/>
      <c r="RU90" s="26">
        <f t="shared" si="42"/>
        <v>0</v>
      </c>
      <c r="RW90"/>
      <c r="RX90"/>
      <c r="RY90"/>
      <c r="RZ90"/>
      <c r="SA90"/>
      <c r="SB90"/>
      <c r="SE90" s="26"/>
      <c r="SG90"/>
      <c r="SH90"/>
      <c r="SI90"/>
      <c r="SJ90"/>
      <c r="SK90"/>
      <c r="SL90"/>
      <c r="SO90" s="26"/>
      <c r="YK90"/>
      <c r="YL90"/>
      <c r="YM90"/>
      <c r="YN90"/>
      <c r="YO90"/>
      <c r="ADJ90"/>
      <c r="ADK90"/>
      <c r="ADL90"/>
      <c r="ADM90"/>
      <c r="ADN90"/>
      <c r="ADO90"/>
      <c r="ADP90" s="36"/>
      <c r="ADR90"/>
      <c r="ADS90"/>
      <c r="ADT90"/>
      <c r="ADU90"/>
      <c r="ADV90"/>
      <c r="ADW90" s="35"/>
      <c r="ADX90" s="35"/>
      <c r="ADY90"/>
      <c r="ADZ90"/>
      <c r="AEA90"/>
      <c r="AEB90"/>
      <c r="AEE90" s="36"/>
      <c r="AEN90" t="s">
        <v>1522</v>
      </c>
      <c r="AEO90" t="s">
        <v>1524</v>
      </c>
      <c r="AEP90" t="s">
        <v>382</v>
      </c>
      <c r="AEQ90">
        <v>0.5</v>
      </c>
      <c r="AER90">
        <v>1</v>
      </c>
      <c r="AES90">
        <f>+Tabla5789141516343536373839404142434445464748495051525355606264[[#This Row],[G. Total]]*Tabla5789141516343536373839404142434445464748495051525355606264[[#This Row],[Recuento]]</f>
        <v>0.5</v>
      </c>
      <c r="AET90" s="36"/>
      <c r="AEV90"/>
      <c r="AEW90"/>
      <c r="AEX90"/>
      <c r="AEY90"/>
      <c r="AFA90" s="35"/>
      <c r="AFC90"/>
      <c r="AFD90"/>
      <c r="AFE90"/>
      <c r="AFF90" s="33"/>
      <c r="AFG90"/>
      <c r="AFH90"/>
      <c r="AFI90"/>
      <c r="AFJ90"/>
      <c r="AFK90"/>
      <c r="AFL90"/>
      <c r="AFM90"/>
      <c r="AFN90">
        <f>+Tabla578914151634353637383940414243444546474849505152535560626467[[#This Row],[G. Total]]*Tabla578914151634353637383940414243444546474849505152535560626467[[#This Row],[Recuento]]</f>
        <v>0</v>
      </c>
      <c r="AFO90" s="36"/>
    </row>
    <row r="91" spans="2:847" x14ac:dyDescent="0.25">
      <c r="B91"/>
      <c r="C91"/>
      <c r="D91"/>
      <c r="E91"/>
      <c r="F91" s="33"/>
      <c r="G91" s="33"/>
      <c r="H91"/>
      <c r="I91"/>
      <c r="BG91"/>
      <c r="BH91"/>
      <c r="BI91"/>
      <c r="BJ91"/>
      <c r="BK91"/>
      <c r="BL91">
        <f>+Tabla3102[[#This Row],[Longitud de eje]]*BF91</f>
        <v>0</v>
      </c>
      <c r="BM91">
        <f>+Tabla3102[[#This Row],[Longitud de eje]]*BG91</f>
        <v>0</v>
      </c>
      <c r="BO91"/>
      <c r="BP91"/>
      <c r="BQ91"/>
      <c r="BR91"/>
      <c r="BS91"/>
      <c r="BT91">
        <f>+Tabla31069[[#This Row],[Longitud de eje]]*BN91</f>
        <v>0</v>
      </c>
      <c r="BU91">
        <f>+Tabla31069[[#This Row],[Longitud de eje]]*BO91</f>
        <v>0</v>
      </c>
      <c r="BV91"/>
      <c r="BW91"/>
      <c r="BX91"/>
      <c r="BY91"/>
      <c r="BZ91"/>
      <c r="CA91"/>
      <c r="CB91">
        <f>+Tabla31011[[#This Row],[Longitud de eje]]*BV91</f>
        <v>0</v>
      </c>
      <c r="CD91">
        <v>1</v>
      </c>
      <c r="CE91"/>
      <c r="CF91"/>
      <c r="CG91"/>
      <c r="CH91"/>
      <c r="CI91"/>
      <c r="CJ91"/>
      <c r="CK91"/>
      <c r="CL91"/>
      <c r="CM91"/>
      <c r="CN91"/>
      <c r="CO91"/>
      <c r="CP91"/>
      <c r="CQ91"/>
      <c r="CR91">
        <f>+Tabla31011116[[#This Row],[Longitud de eje]]*CL91</f>
        <v>0</v>
      </c>
      <c r="CT91">
        <v>1</v>
      </c>
      <c r="CU91"/>
      <c r="CV91"/>
      <c r="CW91"/>
      <c r="CX91"/>
      <c r="CY91"/>
      <c r="CZ91"/>
      <c r="DA91"/>
      <c r="DB91">
        <v>1</v>
      </c>
      <c r="DC91"/>
      <c r="DD91"/>
      <c r="DE91"/>
      <c r="DF91"/>
      <c r="DG91">
        <f>+Tabla31011704[[#This Row],[Longitud de eje]]*DB91</f>
        <v>0</v>
      </c>
      <c r="DH91"/>
      <c r="DI91">
        <v>1</v>
      </c>
      <c r="DJ91"/>
      <c r="DK91"/>
      <c r="DL91"/>
      <c r="DM91"/>
      <c r="DN91">
        <f>+Tabla3101170411[[#This Row],[Longitud de eje]]*DI91</f>
        <v>0</v>
      </c>
      <c r="DO91"/>
      <c r="DP91">
        <v>1</v>
      </c>
      <c r="DQ91"/>
      <c r="DR91"/>
      <c r="DS91"/>
      <c r="DT91"/>
      <c r="DU91">
        <f>+Tabla3101170411120[[#This Row],[Longitud de eje]]*DP91</f>
        <v>0</v>
      </c>
      <c r="DV91"/>
      <c r="DW91">
        <v>1</v>
      </c>
      <c r="DX91"/>
      <c r="DY91"/>
      <c r="DZ91"/>
      <c r="EA91"/>
      <c r="EB91">
        <f>+Tabla3101170411120122[[#This Row],[Longitud de eje]]*DW91</f>
        <v>0</v>
      </c>
      <c r="EC91"/>
      <c r="ED91"/>
      <c r="EE91"/>
      <c r="EF91"/>
      <c r="EG91"/>
      <c r="EH91"/>
      <c r="EI91"/>
      <c r="EJ91">
        <f>+Tabla3101112[[#This Row],[En culmo]]*ED91</f>
        <v>0</v>
      </c>
      <c r="EK91"/>
      <c r="EL91"/>
      <c r="EM91"/>
      <c r="EN91"/>
      <c r="EO91"/>
      <c r="EP91"/>
      <c r="EQ91"/>
      <c r="ER91">
        <f>+Tabla3101112123[[#This Row],[En culmo]]*EL91</f>
        <v>0</v>
      </c>
      <c r="ES91"/>
      <c r="ET91"/>
      <c r="EU91"/>
      <c r="EV91"/>
      <c r="EW91"/>
      <c r="EX91"/>
      <c r="EY91"/>
      <c r="EZ91">
        <f>+Tabla310111257[[#This Row],[En culmo]]*ET91</f>
        <v>0</v>
      </c>
      <c r="FA91"/>
      <c r="FB91"/>
      <c r="FC91"/>
      <c r="FD91"/>
      <c r="FE91"/>
      <c r="FF91"/>
      <c r="FG91"/>
      <c r="FH91">
        <f>+Tabla310111257124[[#This Row],[En culmo]]*FB91</f>
        <v>0</v>
      </c>
      <c r="FI91"/>
      <c r="FK91"/>
      <c r="FL91"/>
      <c r="FM91"/>
      <c r="FN91"/>
      <c r="FO91"/>
      <c r="FP91"/>
      <c r="FQ91"/>
      <c r="FS91"/>
      <c r="FT91"/>
      <c r="FU91"/>
      <c r="FV91"/>
      <c r="FW91"/>
      <c r="FX91"/>
      <c r="FY91"/>
      <c r="GA91"/>
      <c r="GB91"/>
      <c r="GC91"/>
      <c r="GD91"/>
      <c r="GE91"/>
      <c r="GF91"/>
      <c r="GG91"/>
      <c r="GI91"/>
      <c r="GJ91"/>
      <c r="GK91"/>
      <c r="GL91"/>
      <c r="GM91"/>
      <c r="GN91"/>
      <c r="GO91"/>
      <c r="GQ91"/>
      <c r="GR91"/>
      <c r="GS91"/>
      <c r="GT91"/>
      <c r="GU91"/>
      <c r="GV91"/>
      <c r="GW91"/>
      <c r="GX91"/>
      <c r="GY91" s="36"/>
      <c r="HA91"/>
      <c r="HB91"/>
      <c r="HC91"/>
      <c r="HD91"/>
      <c r="HE91"/>
      <c r="HF91"/>
      <c r="HG91"/>
      <c r="HH91"/>
      <c r="HI91" s="36"/>
      <c r="HK91"/>
      <c r="HL91"/>
      <c r="HM91"/>
      <c r="HN91"/>
      <c r="HO91"/>
      <c r="HP91"/>
      <c r="HQ91"/>
      <c r="HR91"/>
      <c r="HS91" s="36"/>
      <c r="HU91"/>
      <c r="HV91"/>
      <c r="HW91"/>
      <c r="HX91"/>
      <c r="HY91"/>
      <c r="HZ91"/>
      <c r="IA91"/>
      <c r="IB91"/>
      <c r="IC91" s="36"/>
      <c r="IE91"/>
      <c r="IF91"/>
      <c r="IG91"/>
      <c r="IH91"/>
      <c r="II91"/>
      <c r="IJ91"/>
      <c r="IK91"/>
      <c r="IL91"/>
      <c r="IM91" s="36"/>
      <c r="IY91"/>
      <c r="IZ91"/>
      <c r="JA91"/>
      <c r="JB91"/>
      <c r="JC91"/>
      <c r="JD91"/>
      <c r="JE91" s="2">
        <f>+Tabla520212224[[#This Row],[Recuento]]*Tabla520212224[[#This Row],[Volúmen bruto]]</f>
        <v>0</v>
      </c>
      <c r="JF91" s="2">
        <f>+Tabla520212224[[#This Row],[Recuento]]*Tabla520212224[[#This Row],[Área neta]]</f>
        <v>0</v>
      </c>
      <c r="JG91" s="26"/>
      <c r="JI91"/>
      <c r="JJ91"/>
      <c r="JK91"/>
      <c r="JL91"/>
      <c r="JM91"/>
      <c r="JN91"/>
      <c r="JO91" s="2">
        <f>+Tabla52021222425[[#This Row],[Recuento]]*Tabla52021222425[[#This Row],[Volúmen bruto]]</f>
        <v>0</v>
      </c>
      <c r="JP91" s="2">
        <f>+Tabla52021222425[[#This Row],[Recuento]]*Tabla52021222425[[#This Row],[Área neta]]</f>
        <v>0</v>
      </c>
      <c r="JQ91" s="26"/>
      <c r="JS91"/>
      <c r="JT91"/>
      <c r="JU91"/>
      <c r="JV91"/>
      <c r="JW91"/>
      <c r="JX91"/>
      <c r="JY91" s="2">
        <f>+Tabla5202122242526[[#This Row],[Recuento]]*Tabla5202122242526[[#This Row],[Volúmen bruto]]</f>
        <v>0</v>
      </c>
      <c r="JZ91" s="2">
        <f>+Tabla5202122242526[[#This Row],[Recuento]]*Tabla5202122242526[[#This Row],[Área neta]]</f>
        <v>0</v>
      </c>
      <c r="KA91" s="26"/>
      <c r="KC91"/>
      <c r="KD91"/>
      <c r="KE91"/>
      <c r="KF91"/>
      <c r="KG91"/>
      <c r="KH91"/>
      <c r="KI91" s="2">
        <f>+Tabla5202122242526104[[#This Row],[Recuento]]*Tabla5202122242526104[[#This Row],[Volúmen bruto]]</f>
        <v>0</v>
      </c>
      <c r="KJ91" s="2">
        <f>+Tabla5202122242526104[[#This Row],[Recuento]]*Tabla5202122242526104[[#This Row],[Área neta]]</f>
        <v>0</v>
      </c>
      <c r="KK91" s="26"/>
      <c r="KM91"/>
      <c r="KN91"/>
      <c r="KO91"/>
      <c r="KP91"/>
      <c r="KQ91"/>
      <c r="KR91"/>
      <c r="KS91" s="2">
        <f>+Tabla5202122242526104110[[#This Row],[Recuento]]*Tabla5202122242526104110[[#This Row],[Volúmen bruto]]</f>
        <v>0</v>
      </c>
      <c r="KT91" s="2">
        <f>+Tabla5202122242526104110[[#This Row],[Recuento]]*Tabla5202122242526104110[[#This Row],[Área neta]]</f>
        <v>0</v>
      </c>
      <c r="KU91" s="26"/>
      <c r="KW91"/>
      <c r="KX91"/>
      <c r="KY91"/>
      <c r="KZ91"/>
      <c r="LA91"/>
      <c r="LB91"/>
      <c r="LC91" s="2">
        <f>+Tabla520212224252659[[#This Row],[Recuento]]*Tabla520212224252659[[#This Row],[Volúmen bruto]]</f>
        <v>0</v>
      </c>
      <c r="LD91" s="2">
        <f>+Tabla520212224252659[[#This Row],[Recuento]]*Tabla520212224252659[[#This Row],[Área neta]]</f>
        <v>0</v>
      </c>
      <c r="LE91" s="26"/>
      <c r="LG91"/>
      <c r="LH91"/>
      <c r="LI91"/>
      <c r="LJ91"/>
      <c r="LK91"/>
      <c r="LL91"/>
      <c r="LM91" s="2">
        <f>+Tabla520212224252659111[[#This Row],[Recuento]]*Tabla520212224252659111[[#This Row],[Volúmen bruto]]</f>
        <v>0</v>
      </c>
      <c r="LN91" s="2">
        <f>+Tabla520212224252659111[[#This Row],[Recuento]]*Tabla520212224252659111[[#This Row],[Área neta]]</f>
        <v>0</v>
      </c>
      <c r="LO91" s="26"/>
      <c r="LQ91"/>
      <c r="LR91"/>
      <c r="LS91"/>
      <c r="LT91"/>
      <c r="LU91"/>
      <c r="LV91"/>
      <c r="LW91" s="2">
        <f>+Tabla520212224252659111114[[#This Row],[Recuento]]*Tabla520212224252659111114[[#This Row],[Volúmen bruto]]</f>
        <v>0</v>
      </c>
      <c r="LX91" s="2">
        <f>+Tabla520212224252659111114[[#This Row],[Recuento]]*Tabla520212224252659111114[[#This Row],[Área neta]]</f>
        <v>0</v>
      </c>
      <c r="LY91" s="26"/>
      <c r="MA91"/>
      <c r="MB91"/>
      <c r="MC91"/>
      <c r="MD91"/>
      <c r="ME91"/>
      <c r="MF91"/>
      <c r="MG91" s="2">
        <f>+Tabla520212224252659111114128[[#This Row],[Recuento]]*Tabla520212224252659111114128[[#This Row],[Volúmen bruto]]</f>
        <v>0</v>
      </c>
      <c r="MH91" s="2">
        <f>+Tabla520212224252659111114128[[#This Row],[Recuento]]*Tabla520212224252659111114128[[#This Row],[Área neta]]</f>
        <v>0</v>
      </c>
      <c r="MI91" s="26"/>
      <c r="MK91"/>
      <c r="ML91"/>
      <c r="MM91"/>
      <c r="MN91"/>
      <c r="MO91"/>
      <c r="MP91"/>
      <c r="MQ91" s="2">
        <f>+Tabla520212224252627[[#This Row],[Recuento]]*Tabla520212224252627[[#This Row],[Volúmen bruto]]</f>
        <v>0</v>
      </c>
      <c r="MR91" s="2">
        <f>+Tabla520212224252627[[#This Row],[Recuento]]*Tabla520212224252627[[#This Row],[Área neta]]</f>
        <v>0</v>
      </c>
      <c r="MS91" s="26"/>
      <c r="MU91"/>
      <c r="MV91"/>
      <c r="MW91"/>
      <c r="MX91"/>
      <c r="MY91"/>
      <c r="MZ91"/>
      <c r="NA91" s="2">
        <f>+Tabla520212224252627129[[#This Row],[Recuento]]*Tabla520212224252627129[[#This Row],[Volúmen bruto]]</f>
        <v>0</v>
      </c>
      <c r="NB91" s="2">
        <f>+Tabla520212224252627129[[#This Row],[Recuento]]*Tabla520212224252627129[[#This Row],[Área neta]]</f>
        <v>0</v>
      </c>
      <c r="NC91" s="26"/>
      <c r="NE91"/>
      <c r="NF91"/>
      <c r="NG91"/>
      <c r="NH91"/>
      <c r="NI91"/>
      <c r="NJ91"/>
      <c r="NK91" s="2">
        <f>+Tabla520212224252627129125[[#This Row],[Recuento]]*Tabla520212224252627129125[[#This Row],[Volúmen bruto]]</f>
        <v>0</v>
      </c>
      <c r="NL91" s="2">
        <f>+Tabla520212224252627129125[[#This Row],[Recuento]]*Tabla520212224252627129125[[#This Row],[Área neta]]</f>
        <v>0</v>
      </c>
      <c r="NM91" s="26"/>
      <c r="NO91"/>
      <c r="NP91"/>
      <c r="NQ91"/>
      <c r="NR91"/>
      <c r="NS91"/>
      <c r="NT91"/>
      <c r="NU91" s="2">
        <f>+Tabla520212224252627129125130[[#This Row],[Recuento]]*Tabla520212224252627129125130[[#This Row],[Volúmen bruto]]</f>
        <v>0</v>
      </c>
      <c r="NV91" s="2">
        <f>+Tabla520212224252627129125130[[#This Row],[Recuento]]*Tabla520212224252627129125130[[#This Row],[Área neta]]</f>
        <v>0</v>
      </c>
      <c r="NW91" s="26"/>
      <c r="NY91"/>
      <c r="NZ91"/>
      <c r="OA91"/>
      <c r="OB91"/>
      <c r="OC91"/>
      <c r="OD91"/>
      <c r="OE91" s="2">
        <f>+Tabla520212224252627129125130131[[#This Row],[Recuento]]*Tabla520212224252627129125130131[[#This Row],[Volúmen bruto]]</f>
        <v>0</v>
      </c>
      <c r="OF91" s="2">
        <f>+Tabla520212224252627129125130131[[#This Row],[Recuento]]*Tabla520212224252627129125130131[[#This Row],[Área neta]]</f>
        <v>0</v>
      </c>
      <c r="OG91" s="26"/>
      <c r="OI91"/>
      <c r="OJ91"/>
      <c r="OK91"/>
      <c r="OL91"/>
      <c r="OM91"/>
      <c r="ON91"/>
      <c r="OO91" s="2">
        <f>+Tabla520212224252627129125130131132[[#This Row],[Recuento]]*Tabla520212224252627129125130131132[[#This Row],[Volúmen bruto]]</f>
        <v>0</v>
      </c>
      <c r="OP91" s="2">
        <f>+Tabla520212224252627129125130131132[[#This Row],[Recuento]]*Tabla520212224252627129125130131132[[#This Row],[Área neta]]</f>
        <v>0</v>
      </c>
      <c r="OQ91" s="26"/>
      <c r="OS91"/>
      <c r="OT91"/>
      <c r="OU91"/>
      <c r="OV91"/>
      <c r="OW91"/>
      <c r="OX91"/>
      <c r="OY91" s="2">
        <f>+Tabla52021222425262728[[#This Row],[Recuento]]*Tabla52021222425262728[[#This Row],[Volúmen bruto]]</f>
        <v>0</v>
      </c>
      <c r="OZ91" s="2">
        <f>+Tabla52021222425262728[[#This Row],[Recuento]]*Tabla52021222425262728[[#This Row],[Área neta]]</f>
        <v>0</v>
      </c>
      <c r="PA91" s="26">
        <f t="shared" si="41"/>
        <v>0</v>
      </c>
      <c r="PC91"/>
      <c r="PD91"/>
      <c r="PE91"/>
      <c r="PF91"/>
      <c r="PG91"/>
      <c r="PH91"/>
      <c r="PI91" s="2">
        <f>+Tabla52021222425262728133[[#This Row],[Recuento]]*Tabla52021222425262728133[[#This Row],[Volúmen bruto]]</f>
        <v>0</v>
      </c>
      <c r="PJ91" s="2">
        <f>+Tabla52021222425262728133[[#This Row],[Recuento]]*Tabla52021222425262728133[[#This Row],[Área neta]]</f>
        <v>0</v>
      </c>
      <c r="PK91" s="26"/>
      <c r="PM91"/>
      <c r="PN91"/>
      <c r="PO91"/>
      <c r="PP91"/>
      <c r="PQ91"/>
      <c r="PR91"/>
      <c r="PS91" s="2">
        <f>+Tabla5202122242526272893[[#This Row],[Recuento]]*Tabla5202122242526272893[[#This Row],[Volúmen bruto]]</f>
        <v>0</v>
      </c>
      <c r="PT91" s="2">
        <f>+Tabla5202122242526272893[[#This Row],[Recuento]]*Tabla5202122242526272893[[#This Row],[Área neta]]</f>
        <v>0</v>
      </c>
      <c r="PU91" s="26"/>
      <c r="PW91"/>
      <c r="PX91"/>
      <c r="PY91"/>
      <c r="PZ91"/>
      <c r="QA91"/>
      <c r="QB91"/>
      <c r="QC91" s="2">
        <f>+Tabla520212224252627289349[[#This Row],[Recuento]]*Tabla520212224252627289349[[#This Row],[Volúmen bruto]]</f>
        <v>0</v>
      </c>
      <c r="QD91" s="2">
        <f>+Tabla520212224252627289349[[#This Row],[Recuento]]*Tabla520212224252627289349[[#This Row],[Área neta]]</f>
        <v>0</v>
      </c>
      <c r="QE91" s="26"/>
      <c r="QG91"/>
      <c r="QH91"/>
      <c r="QI91"/>
      <c r="QJ91"/>
      <c r="QK91"/>
      <c r="QL91"/>
      <c r="QM91" s="2">
        <f>+Tabla520212224252627289349134[[#This Row],[Recuento]]*Tabla520212224252627289349134[[#This Row],[Volúmen bruto]]</f>
        <v>0</v>
      </c>
      <c r="QN91" s="2">
        <f>+Tabla520212224252627289349134[[#This Row],[Recuento]]*Tabla520212224252627289349134[[#This Row],[Área neta]]</f>
        <v>0</v>
      </c>
      <c r="QO91" s="26"/>
      <c r="QQ91"/>
      <c r="QR91"/>
      <c r="QS91"/>
      <c r="QT91"/>
      <c r="QU91"/>
      <c r="QV91"/>
      <c r="QW91"/>
      <c r="RA91" s="26"/>
      <c r="RC91"/>
      <c r="RD91"/>
      <c r="RE91"/>
      <c r="RF91"/>
      <c r="RG91"/>
      <c r="RH91"/>
      <c r="RK91" s="26"/>
      <c r="RM91"/>
      <c r="RN91"/>
      <c r="RO91"/>
      <c r="RP91"/>
      <c r="RQ91"/>
      <c r="RR91"/>
      <c r="RU91" s="26">
        <f t="shared" si="42"/>
        <v>0</v>
      </c>
      <c r="RW91"/>
      <c r="RX91"/>
      <c r="RY91"/>
      <c r="RZ91"/>
      <c r="SA91"/>
      <c r="SB91"/>
      <c r="SE91" s="26"/>
      <c r="SG91"/>
      <c r="SH91"/>
      <c r="SI91"/>
      <c r="SJ91"/>
      <c r="SK91"/>
      <c r="SL91"/>
      <c r="SO91" s="26"/>
      <c r="YK91"/>
      <c r="YL91"/>
      <c r="YM91"/>
      <c r="YN91"/>
      <c r="YO91"/>
      <c r="ADJ91"/>
      <c r="ADK91"/>
      <c r="ADL91"/>
      <c r="ADM91"/>
      <c r="ADN91"/>
      <c r="ADO91"/>
      <c r="ADP91" s="36"/>
      <c r="ADR91"/>
      <c r="ADS91"/>
      <c r="ADT91"/>
      <c r="ADU91"/>
      <c r="ADV91"/>
      <c r="ADW91" s="35"/>
      <c r="ADX91" s="35"/>
      <c r="ADY91"/>
      <c r="ADZ91"/>
      <c r="AEA91"/>
      <c r="AEB91"/>
      <c r="AEE91" s="36"/>
      <c r="AEN91" t="s">
        <v>1522</v>
      </c>
      <c r="AEO91" t="s">
        <v>1524</v>
      </c>
      <c r="AEP91" t="s">
        <v>382</v>
      </c>
      <c r="AEQ91">
        <v>0.89</v>
      </c>
      <c r="AER91">
        <v>1</v>
      </c>
      <c r="AES91">
        <f>+Tabla5789141516343536373839404142434445464748495051525355606264[[#This Row],[G. Total]]*Tabla5789141516343536373839404142434445464748495051525355606264[[#This Row],[Recuento]]</f>
        <v>0.89</v>
      </c>
      <c r="AET91" s="36"/>
      <c r="AEV91"/>
      <c r="AEW91"/>
      <c r="AEX91"/>
      <c r="AEY91"/>
      <c r="AFA91" s="35"/>
      <c r="AFC91"/>
      <c r="AFD91"/>
      <c r="AFE91"/>
      <c r="AFF91" s="33"/>
      <c r="AFG91"/>
      <c r="AFH91"/>
      <c r="AFI91"/>
      <c r="AFJ91"/>
      <c r="AFK91"/>
      <c r="AFL91"/>
      <c r="AFM91"/>
      <c r="AFN91">
        <f>+Tabla578914151634353637383940414243444546474849505152535560626467[[#This Row],[G. Total]]*Tabla578914151634353637383940414243444546474849505152535560626467[[#This Row],[Recuento]]</f>
        <v>0</v>
      </c>
      <c r="AFO91" s="36"/>
    </row>
    <row r="92" spans="2:847" x14ac:dyDescent="0.25">
      <c r="B92"/>
      <c r="C92"/>
      <c r="D92"/>
      <c r="E92"/>
      <c r="F92" s="33"/>
      <c r="G92" s="33"/>
      <c r="H92"/>
      <c r="I92"/>
      <c r="BG92"/>
      <c r="BH92"/>
      <c r="BI92"/>
      <c r="BJ92"/>
      <c r="BK92"/>
      <c r="BL92">
        <f>+Tabla3102[[#This Row],[Longitud de eje]]*BF92</f>
        <v>0</v>
      </c>
      <c r="BM92">
        <f>+Tabla3102[[#This Row],[Longitud de eje]]*BG92</f>
        <v>0</v>
      </c>
      <c r="BO92"/>
      <c r="BP92"/>
      <c r="BQ92"/>
      <c r="BR92"/>
      <c r="BS92"/>
      <c r="BT92">
        <f>+Tabla31069[[#This Row],[Longitud de eje]]*BN92</f>
        <v>0</v>
      </c>
      <c r="BU92">
        <f>+Tabla31069[[#This Row],[Longitud de eje]]*BO92</f>
        <v>0</v>
      </c>
      <c r="BV92"/>
      <c r="BW92"/>
      <c r="BX92"/>
      <c r="BY92"/>
      <c r="BZ92"/>
      <c r="CA92"/>
      <c r="CB92">
        <f>+Tabla31011[[#This Row],[Longitud de eje]]*BV92</f>
        <v>0</v>
      </c>
      <c r="CD92">
        <v>1</v>
      </c>
      <c r="CE92"/>
      <c r="CF92"/>
      <c r="CG92"/>
      <c r="CH92"/>
      <c r="CI92"/>
      <c r="CJ92"/>
      <c r="CK92"/>
      <c r="CL92"/>
      <c r="CM92"/>
      <c r="CN92"/>
      <c r="CO92"/>
      <c r="CP92"/>
      <c r="CQ92"/>
      <c r="CR92">
        <f>+Tabla31011116[[#This Row],[Longitud de eje]]*CL92</f>
        <v>0</v>
      </c>
      <c r="CT92">
        <v>1</v>
      </c>
      <c r="CU92"/>
      <c r="CV92"/>
      <c r="CW92"/>
      <c r="CX92"/>
      <c r="CY92"/>
      <c r="CZ92"/>
      <c r="DA92"/>
      <c r="DB92">
        <v>1</v>
      </c>
      <c r="DC92"/>
      <c r="DD92"/>
      <c r="DE92"/>
      <c r="DF92"/>
      <c r="DG92">
        <f>+Tabla31011704[[#This Row],[Longitud de eje]]*DB92</f>
        <v>0</v>
      </c>
      <c r="DH92"/>
      <c r="DI92">
        <v>1</v>
      </c>
      <c r="DJ92"/>
      <c r="DK92"/>
      <c r="DL92"/>
      <c r="DM92"/>
      <c r="DN92">
        <f>+Tabla3101170411[[#This Row],[Longitud de eje]]*DI92</f>
        <v>0</v>
      </c>
      <c r="DO92"/>
      <c r="DP92">
        <v>1</v>
      </c>
      <c r="DQ92"/>
      <c r="DR92"/>
      <c r="DS92"/>
      <c r="DT92"/>
      <c r="DU92">
        <f>+Tabla3101170411120[[#This Row],[Longitud de eje]]*DP92</f>
        <v>0</v>
      </c>
      <c r="DV92"/>
      <c r="DW92">
        <v>1</v>
      </c>
      <c r="DX92"/>
      <c r="DY92"/>
      <c r="DZ92"/>
      <c r="EA92"/>
      <c r="EB92">
        <f>+Tabla3101170411120122[[#This Row],[Longitud de eje]]*DW92</f>
        <v>0</v>
      </c>
      <c r="EC92"/>
      <c r="ED92"/>
      <c r="EE92"/>
      <c r="EF92"/>
      <c r="EG92"/>
      <c r="EH92"/>
      <c r="EI92"/>
      <c r="EJ92">
        <f>+Tabla3101112[[#This Row],[En culmo]]*ED92</f>
        <v>0</v>
      </c>
      <c r="EK92"/>
      <c r="EL92"/>
      <c r="EM92"/>
      <c r="EN92"/>
      <c r="EO92"/>
      <c r="EP92"/>
      <c r="EQ92"/>
      <c r="ER92">
        <f>+Tabla3101112123[[#This Row],[En culmo]]*EL92</f>
        <v>0</v>
      </c>
      <c r="ES92"/>
      <c r="ET92"/>
      <c r="EU92"/>
      <c r="EV92"/>
      <c r="EW92"/>
      <c r="EX92"/>
      <c r="EY92"/>
      <c r="EZ92">
        <f>+Tabla310111257[[#This Row],[En culmo]]*ET92</f>
        <v>0</v>
      </c>
      <c r="FA92"/>
      <c r="FB92"/>
      <c r="FC92"/>
      <c r="FD92"/>
      <c r="FE92"/>
      <c r="FF92"/>
      <c r="FG92"/>
      <c r="FH92">
        <f>+Tabla310111257124[[#This Row],[En culmo]]*FB92</f>
        <v>0</v>
      </c>
      <c r="FI92"/>
      <c r="FK92"/>
      <c r="FL92"/>
      <c r="FM92"/>
      <c r="FN92"/>
      <c r="FO92"/>
      <c r="FP92"/>
      <c r="FQ92"/>
      <c r="FS92"/>
      <c r="FT92"/>
      <c r="FU92"/>
      <c r="FV92"/>
      <c r="FW92"/>
      <c r="FX92"/>
      <c r="FY92"/>
      <c r="GA92"/>
      <c r="GB92"/>
      <c r="GC92"/>
      <c r="GD92"/>
      <c r="GE92"/>
      <c r="GF92"/>
      <c r="GG92"/>
      <c r="GI92"/>
      <c r="GJ92"/>
      <c r="GK92"/>
      <c r="GL92"/>
      <c r="GM92"/>
      <c r="GN92"/>
      <c r="GO92"/>
      <c r="GQ92"/>
      <c r="GR92"/>
      <c r="GS92"/>
      <c r="GT92"/>
      <c r="GU92"/>
      <c r="GV92"/>
      <c r="GW92"/>
      <c r="GX92"/>
      <c r="GY92" s="36"/>
      <c r="HA92"/>
      <c r="HB92"/>
      <c r="HC92"/>
      <c r="HD92"/>
      <c r="HE92"/>
      <c r="HF92"/>
      <c r="HG92"/>
      <c r="HH92"/>
      <c r="HI92" s="36"/>
      <c r="HK92"/>
      <c r="HL92"/>
      <c r="HM92"/>
      <c r="HN92"/>
      <c r="HO92"/>
      <c r="HP92"/>
      <c r="HQ92"/>
      <c r="HR92"/>
      <c r="HS92" s="36"/>
      <c r="HU92"/>
      <c r="HV92"/>
      <c r="HW92"/>
      <c r="HX92"/>
      <c r="HY92"/>
      <c r="HZ92"/>
      <c r="IA92"/>
      <c r="IB92"/>
      <c r="IC92" s="36"/>
      <c r="IE92"/>
      <c r="IF92"/>
      <c r="IG92"/>
      <c r="IH92"/>
      <c r="II92"/>
      <c r="IJ92"/>
      <c r="IK92"/>
      <c r="IL92"/>
      <c r="IM92" s="36"/>
      <c r="IY92"/>
      <c r="IZ92"/>
      <c r="JA92"/>
      <c r="JB92"/>
      <c r="JC92"/>
      <c r="JD92"/>
      <c r="JE92" s="2">
        <f>+Tabla520212224[[#This Row],[Recuento]]*Tabla520212224[[#This Row],[Volúmen bruto]]</f>
        <v>0</v>
      </c>
      <c r="JF92" s="2">
        <f>+Tabla520212224[[#This Row],[Recuento]]*Tabla520212224[[#This Row],[Área neta]]</f>
        <v>0</v>
      </c>
      <c r="JG92" s="26"/>
      <c r="JI92"/>
      <c r="JJ92"/>
      <c r="JK92"/>
      <c r="JL92"/>
      <c r="JM92"/>
      <c r="JN92"/>
      <c r="JO92" s="2">
        <f>+Tabla52021222425[[#This Row],[Recuento]]*Tabla52021222425[[#This Row],[Volúmen bruto]]</f>
        <v>0</v>
      </c>
      <c r="JP92" s="2">
        <f>+Tabla52021222425[[#This Row],[Recuento]]*Tabla52021222425[[#This Row],[Área neta]]</f>
        <v>0</v>
      </c>
      <c r="JQ92" s="26"/>
      <c r="JS92"/>
      <c r="JT92"/>
      <c r="JU92"/>
      <c r="JV92"/>
      <c r="JW92"/>
      <c r="JX92"/>
      <c r="JY92" s="2">
        <f>+Tabla5202122242526[[#This Row],[Recuento]]*Tabla5202122242526[[#This Row],[Volúmen bruto]]</f>
        <v>0</v>
      </c>
      <c r="JZ92" s="2">
        <f>+Tabla5202122242526[[#This Row],[Recuento]]*Tabla5202122242526[[#This Row],[Área neta]]</f>
        <v>0</v>
      </c>
      <c r="KA92" s="26"/>
      <c r="KC92"/>
      <c r="KD92"/>
      <c r="KE92"/>
      <c r="KF92"/>
      <c r="KG92"/>
      <c r="KH92"/>
      <c r="KI92" s="2">
        <f>+Tabla5202122242526104[[#This Row],[Recuento]]*Tabla5202122242526104[[#This Row],[Volúmen bruto]]</f>
        <v>0</v>
      </c>
      <c r="KJ92" s="2">
        <f>+Tabla5202122242526104[[#This Row],[Recuento]]*Tabla5202122242526104[[#This Row],[Área neta]]</f>
        <v>0</v>
      </c>
      <c r="KK92" s="26"/>
      <c r="KM92"/>
      <c r="KN92"/>
      <c r="KO92"/>
      <c r="KP92"/>
      <c r="KQ92"/>
      <c r="KR92"/>
      <c r="KS92" s="2">
        <f>+Tabla5202122242526104110[[#This Row],[Recuento]]*Tabla5202122242526104110[[#This Row],[Volúmen bruto]]</f>
        <v>0</v>
      </c>
      <c r="KT92" s="2">
        <f>+Tabla5202122242526104110[[#This Row],[Recuento]]*Tabla5202122242526104110[[#This Row],[Área neta]]</f>
        <v>0</v>
      </c>
      <c r="KU92" s="26"/>
      <c r="KW92"/>
      <c r="KX92"/>
      <c r="KY92"/>
      <c r="KZ92"/>
      <c r="LA92"/>
      <c r="LB92"/>
      <c r="LC92" s="2">
        <f>+Tabla520212224252659[[#This Row],[Recuento]]*Tabla520212224252659[[#This Row],[Volúmen bruto]]</f>
        <v>0</v>
      </c>
      <c r="LD92" s="2">
        <f>+Tabla520212224252659[[#This Row],[Recuento]]*Tabla520212224252659[[#This Row],[Área neta]]</f>
        <v>0</v>
      </c>
      <c r="LE92" s="26"/>
      <c r="LG92"/>
      <c r="LH92"/>
      <c r="LI92"/>
      <c r="LJ92"/>
      <c r="LK92"/>
      <c r="LL92"/>
      <c r="LM92" s="2">
        <f>+Tabla520212224252659111[[#This Row],[Recuento]]*Tabla520212224252659111[[#This Row],[Volúmen bruto]]</f>
        <v>0</v>
      </c>
      <c r="LN92" s="2">
        <f>+Tabla520212224252659111[[#This Row],[Recuento]]*Tabla520212224252659111[[#This Row],[Área neta]]</f>
        <v>0</v>
      </c>
      <c r="LO92" s="26"/>
      <c r="LQ92"/>
      <c r="LR92"/>
      <c r="LS92"/>
      <c r="LT92"/>
      <c r="LU92"/>
      <c r="LV92"/>
      <c r="LW92" s="2">
        <f>+Tabla520212224252659111114[[#This Row],[Recuento]]*Tabla520212224252659111114[[#This Row],[Volúmen bruto]]</f>
        <v>0</v>
      </c>
      <c r="LX92" s="2">
        <f>+Tabla520212224252659111114[[#This Row],[Recuento]]*Tabla520212224252659111114[[#This Row],[Área neta]]</f>
        <v>0</v>
      </c>
      <c r="LY92" s="26"/>
      <c r="MA92"/>
      <c r="MB92"/>
      <c r="MC92"/>
      <c r="MD92"/>
      <c r="ME92"/>
      <c r="MF92"/>
      <c r="MG92" s="2">
        <f>+Tabla520212224252659111114128[[#This Row],[Recuento]]*Tabla520212224252659111114128[[#This Row],[Volúmen bruto]]</f>
        <v>0</v>
      </c>
      <c r="MH92" s="2">
        <f>+Tabla520212224252659111114128[[#This Row],[Recuento]]*Tabla520212224252659111114128[[#This Row],[Área neta]]</f>
        <v>0</v>
      </c>
      <c r="MI92" s="26"/>
      <c r="MK92"/>
      <c r="ML92"/>
      <c r="MM92"/>
      <c r="MN92"/>
      <c r="MO92"/>
      <c r="MP92"/>
      <c r="MQ92" s="2">
        <f>+Tabla520212224252627[[#This Row],[Recuento]]*Tabla520212224252627[[#This Row],[Volúmen bruto]]</f>
        <v>0</v>
      </c>
      <c r="MR92" s="2">
        <f>+Tabla520212224252627[[#This Row],[Recuento]]*Tabla520212224252627[[#This Row],[Área neta]]</f>
        <v>0</v>
      </c>
      <c r="MS92" s="26"/>
      <c r="MU92"/>
      <c r="MV92"/>
      <c r="MW92"/>
      <c r="MX92"/>
      <c r="MY92"/>
      <c r="MZ92"/>
      <c r="NA92" s="2">
        <f>+Tabla520212224252627129[[#This Row],[Recuento]]*Tabla520212224252627129[[#This Row],[Volúmen bruto]]</f>
        <v>0</v>
      </c>
      <c r="NB92" s="2">
        <f>+Tabla520212224252627129[[#This Row],[Recuento]]*Tabla520212224252627129[[#This Row],[Área neta]]</f>
        <v>0</v>
      </c>
      <c r="NC92" s="26"/>
      <c r="NE92"/>
      <c r="NF92"/>
      <c r="NG92"/>
      <c r="NH92"/>
      <c r="NI92"/>
      <c r="NJ92"/>
      <c r="NK92" s="2">
        <f>+Tabla520212224252627129125[[#This Row],[Recuento]]*Tabla520212224252627129125[[#This Row],[Volúmen bruto]]</f>
        <v>0</v>
      </c>
      <c r="NL92" s="2">
        <f>+Tabla520212224252627129125[[#This Row],[Recuento]]*Tabla520212224252627129125[[#This Row],[Área neta]]</f>
        <v>0</v>
      </c>
      <c r="NM92" s="26"/>
      <c r="NO92"/>
      <c r="NP92"/>
      <c r="NQ92"/>
      <c r="NR92"/>
      <c r="NS92"/>
      <c r="NT92"/>
      <c r="NU92" s="2">
        <f>+Tabla520212224252627129125130[[#This Row],[Recuento]]*Tabla520212224252627129125130[[#This Row],[Volúmen bruto]]</f>
        <v>0</v>
      </c>
      <c r="NV92" s="2">
        <f>+Tabla520212224252627129125130[[#This Row],[Recuento]]*Tabla520212224252627129125130[[#This Row],[Área neta]]</f>
        <v>0</v>
      </c>
      <c r="NW92" s="26"/>
      <c r="NY92"/>
      <c r="NZ92"/>
      <c r="OA92"/>
      <c r="OB92"/>
      <c r="OC92"/>
      <c r="OD92"/>
      <c r="OE92" s="2">
        <f>+Tabla520212224252627129125130131[[#This Row],[Recuento]]*Tabla520212224252627129125130131[[#This Row],[Volúmen bruto]]</f>
        <v>0</v>
      </c>
      <c r="OF92" s="2">
        <f>+Tabla520212224252627129125130131[[#This Row],[Recuento]]*Tabla520212224252627129125130131[[#This Row],[Área neta]]</f>
        <v>0</v>
      </c>
      <c r="OG92" s="26"/>
      <c r="OI92"/>
      <c r="OJ92"/>
      <c r="OK92"/>
      <c r="OL92"/>
      <c r="OM92"/>
      <c r="ON92"/>
      <c r="OO92" s="2">
        <f>+Tabla520212224252627129125130131132[[#This Row],[Recuento]]*Tabla520212224252627129125130131132[[#This Row],[Volúmen bruto]]</f>
        <v>0</v>
      </c>
      <c r="OP92" s="2">
        <f>+Tabla520212224252627129125130131132[[#This Row],[Recuento]]*Tabla520212224252627129125130131132[[#This Row],[Área neta]]</f>
        <v>0</v>
      </c>
      <c r="OQ92" s="26"/>
      <c r="OS92"/>
      <c r="OT92"/>
      <c r="OU92"/>
      <c r="OV92"/>
      <c r="OW92"/>
      <c r="OX92"/>
      <c r="OY92" s="2">
        <f>+Tabla52021222425262728[[#This Row],[Recuento]]*Tabla52021222425262728[[#This Row],[Volúmen bruto]]</f>
        <v>0</v>
      </c>
      <c r="OZ92" s="2">
        <f>+Tabla52021222425262728[[#This Row],[Recuento]]*Tabla52021222425262728[[#This Row],[Área neta]]</f>
        <v>0</v>
      </c>
      <c r="PA92" s="26">
        <f t="shared" si="41"/>
        <v>0</v>
      </c>
      <c r="PC92"/>
      <c r="PD92"/>
      <c r="PE92"/>
      <c r="PF92"/>
      <c r="PG92"/>
      <c r="PH92"/>
      <c r="PI92" s="2">
        <f>+Tabla52021222425262728133[[#This Row],[Recuento]]*Tabla52021222425262728133[[#This Row],[Volúmen bruto]]</f>
        <v>0</v>
      </c>
      <c r="PJ92" s="2">
        <f>+Tabla52021222425262728133[[#This Row],[Recuento]]*Tabla52021222425262728133[[#This Row],[Área neta]]</f>
        <v>0</v>
      </c>
      <c r="PK92" s="26"/>
      <c r="PM92"/>
      <c r="PN92"/>
      <c r="PO92"/>
      <c r="PP92"/>
      <c r="PQ92"/>
      <c r="PR92"/>
      <c r="PS92" s="2">
        <f>+Tabla5202122242526272893[[#This Row],[Recuento]]*Tabla5202122242526272893[[#This Row],[Volúmen bruto]]</f>
        <v>0</v>
      </c>
      <c r="PT92" s="2">
        <f>+Tabla5202122242526272893[[#This Row],[Recuento]]*Tabla5202122242526272893[[#This Row],[Área neta]]</f>
        <v>0</v>
      </c>
      <c r="PU92" s="26"/>
      <c r="PW92"/>
      <c r="PX92"/>
      <c r="PY92"/>
      <c r="PZ92"/>
      <c r="QA92"/>
      <c r="QB92"/>
      <c r="QC92" s="2">
        <f>+Tabla520212224252627289349[[#This Row],[Recuento]]*Tabla520212224252627289349[[#This Row],[Volúmen bruto]]</f>
        <v>0</v>
      </c>
      <c r="QD92" s="2">
        <f>+Tabla520212224252627289349[[#This Row],[Recuento]]*Tabla520212224252627289349[[#This Row],[Área neta]]</f>
        <v>0</v>
      </c>
      <c r="QE92" s="26"/>
      <c r="QG92"/>
      <c r="QH92"/>
      <c r="QI92"/>
      <c r="QJ92"/>
      <c r="QK92"/>
      <c r="QL92"/>
      <c r="QM92" s="2">
        <f>+Tabla520212224252627289349134[[#This Row],[Recuento]]*Tabla520212224252627289349134[[#This Row],[Volúmen bruto]]</f>
        <v>0</v>
      </c>
      <c r="QN92" s="2">
        <f>+Tabla520212224252627289349134[[#This Row],[Recuento]]*Tabla520212224252627289349134[[#This Row],[Área neta]]</f>
        <v>0</v>
      </c>
      <c r="QO92" s="26"/>
      <c r="QQ92"/>
      <c r="QR92"/>
      <c r="QS92"/>
      <c r="QT92"/>
      <c r="QU92"/>
      <c r="QV92"/>
      <c r="QW92"/>
      <c r="RA92" s="26"/>
      <c r="RC92"/>
      <c r="RD92"/>
      <c r="RE92"/>
      <c r="RF92"/>
      <c r="RG92"/>
      <c r="RH92"/>
      <c r="RK92" s="26"/>
      <c r="RM92"/>
      <c r="RN92"/>
      <c r="RO92"/>
      <c r="RP92"/>
      <c r="RQ92"/>
      <c r="RR92"/>
      <c r="RU92" s="26">
        <f t="shared" si="42"/>
        <v>0</v>
      </c>
      <c r="RW92"/>
      <c r="RX92"/>
      <c r="RY92"/>
      <c r="RZ92"/>
      <c r="SA92"/>
      <c r="SB92"/>
      <c r="SE92" s="26"/>
      <c r="SG92"/>
      <c r="SH92"/>
      <c r="SI92"/>
      <c r="SJ92"/>
      <c r="SK92"/>
      <c r="SL92"/>
      <c r="SO92" s="26"/>
      <c r="YK92"/>
      <c r="YL92"/>
      <c r="YM92"/>
      <c r="YN92"/>
      <c r="YO92"/>
      <c r="ADJ92"/>
      <c r="ADK92"/>
      <c r="ADL92"/>
      <c r="ADM92"/>
      <c r="ADN92"/>
      <c r="ADO92"/>
      <c r="ADP92" s="36"/>
      <c r="ADR92"/>
      <c r="ADS92"/>
      <c r="ADT92"/>
      <c r="ADU92"/>
      <c r="ADV92"/>
      <c r="ADW92" s="35"/>
      <c r="ADX92" s="35"/>
      <c r="ADY92"/>
      <c r="ADZ92"/>
      <c r="AEA92"/>
      <c r="AEB92"/>
      <c r="AEE92" s="36"/>
      <c r="AEN92" t="s">
        <v>1522</v>
      </c>
      <c r="AEO92" t="s">
        <v>1524</v>
      </c>
      <c r="AEP92" t="s">
        <v>382</v>
      </c>
      <c r="AEQ92">
        <v>0.15</v>
      </c>
      <c r="AER92">
        <v>1</v>
      </c>
      <c r="AES92">
        <f>+Tabla5789141516343536373839404142434445464748495051525355606264[[#This Row],[G. Total]]*Tabla5789141516343536373839404142434445464748495051525355606264[[#This Row],[Recuento]]</f>
        <v>0.15</v>
      </c>
      <c r="AET92" s="36"/>
      <c r="AEV92"/>
      <c r="AEW92"/>
      <c r="AEX92"/>
      <c r="AEY92"/>
      <c r="AFA92" s="35"/>
      <c r="AFC92"/>
      <c r="AFD92"/>
      <c r="AFE92"/>
      <c r="AFF92" s="33"/>
      <c r="AFG92"/>
      <c r="AFH92"/>
      <c r="AFI92"/>
      <c r="AFJ92"/>
      <c r="AFK92"/>
      <c r="AFL92"/>
      <c r="AFM92"/>
      <c r="AFN92">
        <f>+Tabla578914151634353637383940414243444546474849505152535560626467[[#This Row],[G. Total]]*Tabla578914151634353637383940414243444546474849505152535560626467[[#This Row],[Recuento]]</f>
        <v>0</v>
      </c>
      <c r="AFO92" s="36"/>
    </row>
    <row r="93" spans="2:847" x14ac:dyDescent="0.25">
      <c r="B93"/>
      <c r="C93"/>
      <c r="D93"/>
      <c r="E93"/>
      <c r="F93" s="33"/>
      <c r="G93" s="33"/>
      <c r="H93"/>
      <c r="I93"/>
      <c r="BG93"/>
      <c r="BH93"/>
      <c r="BI93"/>
      <c r="BJ93"/>
      <c r="BK93"/>
      <c r="BL93">
        <f>+Tabla3102[[#This Row],[Longitud de eje]]*BF93</f>
        <v>0</v>
      </c>
      <c r="BM93">
        <f>+Tabla3102[[#This Row],[Longitud de eje]]*BG93</f>
        <v>0</v>
      </c>
      <c r="BO93"/>
      <c r="BP93"/>
      <c r="BQ93"/>
      <c r="BR93"/>
      <c r="BS93"/>
      <c r="BT93">
        <f>+Tabla31069[[#This Row],[Longitud de eje]]*BN93</f>
        <v>0</v>
      </c>
      <c r="BU93">
        <f>+Tabla31069[[#This Row],[Longitud de eje]]*BO93</f>
        <v>0</v>
      </c>
      <c r="BV93"/>
      <c r="BW93"/>
      <c r="BX93"/>
      <c r="BY93"/>
      <c r="BZ93"/>
      <c r="CA93"/>
      <c r="CB93">
        <f>+Tabla31011[[#This Row],[Longitud de eje]]*BV93</f>
        <v>0</v>
      </c>
      <c r="CD93">
        <v>1</v>
      </c>
      <c r="CE93"/>
      <c r="CF93"/>
      <c r="CG93"/>
      <c r="CH93"/>
      <c r="CI93"/>
      <c r="CJ93"/>
      <c r="CK93"/>
      <c r="CL93"/>
      <c r="CM93"/>
      <c r="CN93"/>
      <c r="CO93"/>
      <c r="CP93"/>
      <c r="CQ93"/>
      <c r="CR93">
        <f>+Tabla31011116[[#This Row],[Longitud de eje]]*CL93</f>
        <v>0</v>
      </c>
      <c r="CT93">
        <v>1</v>
      </c>
      <c r="CU93"/>
      <c r="CV93"/>
      <c r="CW93"/>
      <c r="CX93"/>
      <c r="CY93"/>
      <c r="CZ93"/>
      <c r="DA93"/>
      <c r="DB93">
        <v>1</v>
      </c>
      <c r="DC93"/>
      <c r="DD93"/>
      <c r="DE93"/>
      <c r="DF93"/>
      <c r="DG93">
        <f>+Tabla31011704[[#This Row],[Longitud de eje]]*DB93</f>
        <v>0</v>
      </c>
      <c r="DH93"/>
      <c r="DI93">
        <v>1</v>
      </c>
      <c r="DJ93"/>
      <c r="DK93"/>
      <c r="DL93"/>
      <c r="DM93"/>
      <c r="DN93">
        <f>+Tabla3101170411[[#This Row],[Longitud de eje]]*DI93</f>
        <v>0</v>
      </c>
      <c r="DO93"/>
      <c r="DP93">
        <v>1</v>
      </c>
      <c r="DQ93"/>
      <c r="DR93"/>
      <c r="DS93"/>
      <c r="DT93"/>
      <c r="DU93">
        <f>+Tabla3101170411120[[#This Row],[Longitud de eje]]*DP93</f>
        <v>0</v>
      </c>
      <c r="DV93"/>
      <c r="DW93">
        <v>1</v>
      </c>
      <c r="DX93"/>
      <c r="DY93"/>
      <c r="DZ93"/>
      <c r="EA93"/>
      <c r="EB93">
        <f>+Tabla3101170411120122[[#This Row],[Longitud de eje]]*DW93</f>
        <v>0</v>
      </c>
      <c r="EC93"/>
      <c r="ED93"/>
      <c r="EE93"/>
      <c r="EF93"/>
      <c r="EG93"/>
      <c r="EH93"/>
      <c r="EI93"/>
      <c r="EJ93">
        <f>+Tabla3101112[[#This Row],[En culmo]]*ED93</f>
        <v>0</v>
      </c>
      <c r="EK93"/>
      <c r="EL93"/>
      <c r="EM93"/>
      <c r="EN93"/>
      <c r="EO93"/>
      <c r="EP93"/>
      <c r="EQ93"/>
      <c r="ER93">
        <f>+Tabla3101112123[[#This Row],[En culmo]]*EL93</f>
        <v>0</v>
      </c>
      <c r="ES93"/>
      <c r="ET93"/>
      <c r="EU93"/>
      <c r="EV93"/>
      <c r="EW93"/>
      <c r="EX93"/>
      <c r="EY93"/>
      <c r="EZ93">
        <f>+Tabla310111257[[#This Row],[En culmo]]*ET93</f>
        <v>0</v>
      </c>
      <c r="FA93"/>
      <c r="FB93"/>
      <c r="FC93"/>
      <c r="FD93"/>
      <c r="FE93"/>
      <c r="FF93"/>
      <c r="FG93"/>
      <c r="FH93">
        <f>+Tabla310111257124[[#This Row],[En culmo]]*FB93</f>
        <v>0</v>
      </c>
      <c r="FI93"/>
      <c r="FK93"/>
      <c r="FL93"/>
      <c r="FM93"/>
      <c r="FN93"/>
      <c r="FO93"/>
      <c r="FP93"/>
      <c r="FQ93"/>
      <c r="FS93"/>
      <c r="FT93"/>
      <c r="FU93"/>
      <c r="FV93"/>
      <c r="FW93"/>
      <c r="FX93"/>
      <c r="FY93"/>
      <c r="GA93"/>
      <c r="GB93"/>
      <c r="GC93"/>
      <c r="GD93"/>
      <c r="GE93"/>
      <c r="GF93"/>
      <c r="GG93"/>
      <c r="GI93"/>
      <c r="GJ93"/>
      <c r="GK93"/>
      <c r="GL93"/>
      <c r="GM93"/>
      <c r="GN93"/>
      <c r="GO93"/>
      <c r="GQ93"/>
      <c r="GR93"/>
      <c r="GS93"/>
      <c r="GT93"/>
      <c r="GU93"/>
      <c r="GV93"/>
      <c r="GW93"/>
      <c r="GX93"/>
      <c r="GY93" s="36"/>
      <c r="HA93"/>
      <c r="HB93"/>
      <c r="HC93"/>
      <c r="HD93"/>
      <c r="HE93"/>
      <c r="HF93"/>
      <c r="HG93"/>
      <c r="HH93"/>
      <c r="HI93" s="36"/>
      <c r="HK93"/>
      <c r="HL93"/>
      <c r="HM93"/>
      <c r="HN93"/>
      <c r="HO93"/>
      <c r="HP93"/>
      <c r="HQ93"/>
      <c r="HR93"/>
      <c r="HS93" s="36"/>
      <c r="HU93"/>
      <c r="HV93"/>
      <c r="HW93"/>
      <c r="HX93"/>
      <c r="HY93"/>
      <c r="HZ93"/>
      <c r="IA93"/>
      <c r="IB93"/>
      <c r="IC93" s="35"/>
      <c r="IE93"/>
      <c r="IF93"/>
      <c r="IG93"/>
      <c r="IH93"/>
      <c r="II93"/>
      <c r="IJ93"/>
      <c r="IK93"/>
      <c r="IL93"/>
      <c r="IM93" s="35"/>
      <c r="IY93"/>
      <c r="IZ93"/>
      <c r="JA93"/>
      <c r="JB93"/>
      <c r="JC93"/>
      <c r="JD93"/>
      <c r="JE93" s="2">
        <f>+Tabla520212224[[#This Row],[Recuento]]*Tabla520212224[[#This Row],[Volúmen bruto]]</f>
        <v>0</v>
      </c>
      <c r="JF93" s="2">
        <f>+Tabla520212224[[#This Row],[Recuento]]*Tabla520212224[[#This Row],[Área neta]]</f>
        <v>0</v>
      </c>
      <c r="JG93" s="26"/>
      <c r="JI93"/>
      <c r="JJ93"/>
      <c r="JK93"/>
      <c r="JL93"/>
      <c r="JM93"/>
      <c r="JN93"/>
      <c r="JO93" s="2">
        <f>+Tabla52021222425[[#This Row],[Recuento]]*Tabla52021222425[[#This Row],[Volúmen bruto]]</f>
        <v>0</v>
      </c>
      <c r="JP93" s="2">
        <f>+Tabla52021222425[[#This Row],[Recuento]]*Tabla52021222425[[#This Row],[Área neta]]</f>
        <v>0</v>
      </c>
      <c r="JQ93" s="26"/>
      <c r="JS93"/>
      <c r="JT93"/>
      <c r="JU93"/>
      <c r="JV93"/>
      <c r="JW93"/>
      <c r="JX93"/>
      <c r="JY93" s="2">
        <f>+Tabla5202122242526[[#This Row],[Recuento]]*Tabla5202122242526[[#This Row],[Volúmen bruto]]</f>
        <v>0</v>
      </c>
      <c r="JZ93" s="2">
        <f>+Tabla5202122242526[[#This Row],[Recuento]]*Tabla5202122242526[[#This Row],[Área neta]]</f>
        <v>0</v>
      </c>
      <c r="KA93" s="26"/>
      <c r="KC93"/>
      <c r="KD93"/>
      <c r="KE93"/>
      <c r="KF93"/>
      <c r="KG93"/>
      <c r="KH93"/>
      <c r="KI93" s="2">
        <f>+Tabla5202122242526104[[#This Row],[Recuento]]*Tabla5202122242526104[[#This Row],[Volúmen bruto]]</f>
        <v>0</v>
      </c>
      <c r="KJ93" s="2">
        <f>+Tabla5202122242526104[[#This Row],[Recuento]]*Tabla5202122242526104[[#This Row],[Área neta]]</f>
        <v>0</v>
      </c>
      <c r="KK93" s="26"/>
      <c r="KM93"/>
      <c r="KN93"/>
      <c r="KO93"/>
      <c r="KP93"/>
      <c r="KQ93"/>
      <c r="KR93"/>
      <c r="KS93" s="2">
        <f>+Tabla5202122242526104110[[#This Row],[Recuento]]*Tabla5202122242526104110[[#This Row],[Volúmen bruto]]</f>
        <v>0</v>
      </c>
      <c r="KT93" s="2">
        <f>+Tabla5202122242526104110[[#This Row],[Recuento]]*Tabla5202122242526104110[[#This Row],[Área neta]]</f>
        <v>0</v>
      </c>
      <c r="KU93" s="26"/>
      <c r="KW93"/>
      <c r="KX93"/>
      <c r="KY93"/>
      <c r="KZ93"/>
      <c r="LA93"/>
      <c r="LB93"/>
      <c r="LC93" s="2">
        <f>+Tabla520212224252659[[#This Row],[Recuento]]*Tabla520212224252659[[#This Row],[Volúmen bruto]]</f>
        <v>0</v>
      </c>
      <c r="LD93" s="2">
        <f>+Tabla520212224252659[[#This Row],[Recuento]]*Tabla520212224252659[[#This Row],[Área neta]]</f>
        <v>0</v>
      </c>
      <c r="LE93" s="26"/>
      <c r="LG93"/>
      <c r="LH93"/>
      <c r="LI93"/>
      <c r="LJ93"/>
      <c r="LK93"/>
      <c r="LL93"/>
      <c r="LM93" s="2">
        <f>+Tabla520212224252659111[[#This Row],[Recuento]]*Tabla520212224252659111[[#This Row],[Volúmen bruto]]</f>
        <v>0</v>
      </c>
      <c r="LN93" s="2">
        <f>+Tabla520212224252659111[[#This Row],[Recuento]]*Tabla520212224252659111[[#This Row],[Área neta]]</f>
        <v>0</v>
      </c>
      <c r="LO93" s="26"/>
      <c r="LQ93"/>
      <c r="LR93"/>
      <c r="LS93"/>
      <c r="LT93"/>
      <c r="LU93"/>
      <c r="LV93"/>
      <c r="LW93" s="2">
        <f>+Tabla520212224252659111114[[#This Row],[Recuento]]*Tabla520212224252659111114[[#This Row],[Volúmen bruto]]</f>
        <v>0</v>
      </c>
      <c r="LX93" s="2">
        <f>+Tabla520212224252659111114[[#This Row],[Recuento]]*Tabla520212224252659111114[[#This Row],[Área neta]]</f>
        <v>0</v>
      </c>
      <c r="LY93" s="26"/>
      <c r="MA93"/>
      <c r="MB93"/>
      <c r="MC93"/>
      <c r="MD93"/>
      <c r="ME93"/>
      <c r="MF93"/>
      <c r="MG93" s="2">
        <f>+Tabla520212224252659111114128[[#This Row],[Recuento]]*Tabla520212224252659111114128[[#This Row],[Volúmen bruto]]</f>
        <v>0</v>
      </c>
      <c r="MH93" s="2">
        <f>+Tabla520212224252659111114128[[#This Row],[Recuento]]*Tabla520212224252659111114128[[#This Row],[Área neta]]</f>
        <v>0</v>
      </c>
      <c r="MI93" s="26"/>
      <c r="MK93"/>
      <c r="ML93"/>
      <c r="MM93"/>
      <c r="MN93"/>
      <c r="MO93"/>
      <c r="MP93"/>
      <c r="MQ93" s="2">
        <f>+Tabla520212224252627[[#This Row],[Recuento]]*Tabla520212224252627[[#This Row],[Volúmen bruto]]</f>
        <v>0</v>
      </c>
      <c r="MR93" s="2">
        <f>+Tabla520212224252627[[#This Row],[Recuento]]*Tabla520212224252627[[#This Row],[Área neta]]</f>
        <v>0</v>
      </c>
      <c r="MS93" s="26"/>
      <c r="MU93"/>
      <c r="MV93"/>
      <c r="MW93"/>
      <c r="MX93"/>
      <c r="MY93"/>
      <c r="MZ93"/>
      <c r="NA93" s="2">
        <f>+Tabla520212224252627129[[#This Row],[Recuento]]*Tabla520212224252627129[[#This Row],[Volúmen bruto]]</f>
        <v>0</v>
      </c>
      <c r="NB93" s="2">
        <f>+Tabla520212224252627129[[#This Row],[Recuento]]*Tabla520212224252627129[[#This Row],[Área neta]]</f>
        <v>0</v>
      </c>
      <c r="NC93" s="26"/>
      <c r="NE93"/>
      <c r="NF93"/>
      <c r="NG93"/>
      <c r="NH93"/>
      <c r="NI93"/>
      <c r="NJ93"/>
      <c r="NK93" s="2">
        <f>+Tabla520212224252627129125[[#This Row],[Recuento]]*Tabla520212224252627129125[[#This Row],[Volúmen bruto]]</f>
        <v>0</v>
      </c>
      <c r="NL93" s="2">
        <f>+Tabla520212224252627129125[[#This Row],[Recuento]]*Tabla520212224252627129125[[#This Row],[Área neta]]</f>
        <v>0</v>
      </c>
      <c r="NM93" s="26"/>
      <c r="NO93"/>
      <c r="NP93"/>
      <c r="NQ93"/>
      <c r="NR93"/>
      <c r="NS93"/>
      <c r="NT93"/>
      <c r="NU93" s="2">
        <f>+Tabla520212224252627129125130[[#This Row],[Recuento]]*Tabla520212224252627129125130[[#This Row],[Volúmen bruto]]</f>
        <v>0</v>
      </c>
      <c r="NV93" s="2">
        <f>+Tabla520212224252627129125130[[#This Row],[Recuento]]*Tabla520212224252627129125130[[#This Row],[Área neta]]</f>
        <v>0</v>
      </c>
      <c r="NW93" s="26"/>
      <c r="NY93"/>
      <c r="NZ93"/>
      <c r="OA93"/>
      <c r="OB93"/>
      <c r="OC93"/>
      <c r="OD93"/>
      <c r="OE93" s="2">
        <f>+Tabla520212224252627129125130131[[#This Row],[Recuento]]*Tabla520212224252627129125130131[[#This Row],[Volúmen bruto]]</f>
        <v>0</v>
      </c>
      <c r="OF93" s="2">
        <f>+Tabla520212224252627129125130131[[#This Row],[Recuento]]*Tabla520212224252627129125130131[[#This Row],[Área neta]]</f>
        <v>0</v>
      </c>
      <c r="OG93" s="26"/>
      <c r="OI93"/>
      <c r="OJ93"/>
      <c r="OK93"/>
      <c r="OL93"/>
      <c r="OM93"/>
      <c r="ON93"/>
      <c r="OO93" s="2">
        <f>+Tabla520212224252627129125130131132[[#This Row],[Recuento]]*Tabla520212224252627129125130131132[[#This Row],[Volúmen bruto]]</f>
        <v>0</v>
      </c>
      <c r="OP93" s="2">
        <f>+Tabla520212224252627129125130131132[[#This Row],[Recuento]]*Tabla520212224252627129125130131132[[#This Row],[Área neta]]</f>
        <v>0</v>
      </c>
      <c r="OQ93" s="26"/>
      <c r="OS93"/>
      <c r="OT93"/>
      <c r="OU93"/>
      <c r="OV93"/>
      <c r="OW93"/>
      <c r="OX93"/>
      <c r="OY93" s="2">
        <f>+Tabla52021222425262728[[#This Row],[Recuento]]*Tabla52021222425262728[[#This Row],[Volúmen bruto]]</f>
        <v>0</v>
      </c>
      <c r="OZ93" s="2">
        <f>+Tabla52021222425262728[[#This Row],[Recuento]]*Tabla52021222425262728[[#This Row],[Área neta]]</f>
        <v>0</v>
      </c>
      <c r="PA93" s="26">
        <f t="shared" si="41"/>
        <v>0</v>
      </c>
      <c r="PC93"/>
      <c r="PD93"/>
      <c r="PE93"/>
      <c r="PF93"/>
      <c r="PG93"/>
      <c r="PH93"/>
      <c r="PI93" s="2">
        <f>+Tabla52021222425262728133[[#This Row],[Recuento]]*Tabla52021222425262728133[[#This Row],[Volúmen bruto]]</f>
        <v>0</v>
      </c>
      <c r="PJ93" s="2">
        <f>+Tabla52021222425262728133[[#This Row],[Recuento]]*Tabla52021222425262728133[[#This Row],[Área neta]]</f>
        <v>0</v>
      </c>
      <c r="PK93" s="26"/>
      <c r="PM93"/>
      <c r="PN93"/>
      <c r="PO93"/>
      <c r="PP93"/>
      <c r="PQ93"/>
      <c r="PR93"/>
      <c r="PS93" s="2">
        <f>+Tabla5202122242526272893[[#This Row],[Recuento]]*Tabla5202122242526272893[[#This Row],[Volúmen bruto]]</f>
        <v>0</v>
      </c>
      <c r="PT93" s="2">
        <f>+Tabla5202122242526272893[[#This Row],[Recuento]]*Tabla5202122242526272893[[#This Row],[Área neta]]</f>
        <v>0</v>
      </c>
      <c r="PU93" s="26"/>
      <c r="PW93"/>
      <c r="PX93"/>
      <c r="PY93"/>
      <c r="PZ93"/>
      <c r="QA93"/>
      <c r="QB93"/>
      <c r="QC93" s="2">
        <f>+Tabla520212224252627289349[[#This Row],[Recuento]]*Tabla520212224252627289349[[#This Row],[Volúmen bruto]]</f>
        <v>0</v>
      </c>
      <c r="QD93" s="2">
        <f>+Tabla520212224252627289349[[#This Row],[Recuento]]*Tabla520212224252627289349[[#This Row],[Área neta]]</f>
        <v>0</v>
      </c>
      <c r="QE93" s="26"/>
      <c r="QG93"/>
      <c r="QH93"/>
      <c r="QI93"/>
      <c r="QJ93"/>
      <c r="QK93"/>
      <c r="QL93"/>
      <c r="QM93" s="2">
        <f>+Tabla520212224252627289349134[[#This Row],[Recuento]]*Tabla520212224252627289349134[[#This Row],[Volúmen bruto]]</f>
        <v>0</v>
      </c>
      <c r="QN93" s="2">
        <f>+Tabla520212224252627289349134[[#This Row],[Recuento]]*Tabla520212224252627289349134[[#This Row],[Área neta]]</f>
        <v>0</v>
      </c>
      <c r="QO93" s="26"/>
      <c r="QQ93"/>
      <c r="QR93"/>
      <c r="QS93"/>
      <c r="QT93"/>
      <c r="QU93"/>
      <c r="QV93"/>
      <c r="QW93"/>
      <c r="RA93" s="26"/>
      <c r="RC93"/>
      <c r="RD93"/>
      <c r="RE93"/>
      <c r="RF93"/>
      <c r="RG93"/>
      <c r="RH93"/>
      <c r="RK93" s="26"/>
      <c r="RM93"/>
      <c r="RN93"/>
      <c r="RO93"/>
      <c r="RP93"/>
      <c r="RQ93"/>
      <c r="RR93"/>
      <c r="RU93" s="26">
        <f t="shared" si="42"/>
        <v>0</v>
      </c>
      <c r="RW93"/>
      <c r="RX93"/>
      <c r="RY93"/>
      <c r="RZ93"/>
      <c r="SA93"/>
      <c r="SB93"/>
      <c r="SE93" s="26"/>
      <c r="SG93"/>
      <c r="SH93"/>
      <c r="SI93"/>
      <c r="SJ93"/>
      <c r="SK93"/>
      <c r="SL93"/>
      <c r="SO93" s="26"/>
      <c r="YK93"/>
      <c r="YL93"/>
      <c r="YM93"/>
      <c r="YN93"/>
      <c r="YO93"/>
      <c r="ADJ93"/>
      <c r="ADK93"/>
      <c r="ADL93"/>
      <c r="ADM93"/>
      <c r="ADN93"/>
      <c r="ADO93"/>
      <c r="ADP93" s="36"/>
      <c r="ADR93"/>
      <c r="ADS93"/>
      <c r="ADT93"/>
      <c r="ADU93"/>
      <c r="ADV93"/>
      <c r="ADW93" s="35"/>
      <c r="ADX93" s="35"/>
      <c r="ADY93"/>
      <c r="ADZ93"/>
      <c r="AEA93"/>
      <c r="AEB93"/>
      <c r="AEE93" s="36"/>
      <c r="AEN93" t="s">
        <v>1522</v>
      </c>
      <c r="AEO93" t="s">
        <v>1524</v>
      </c>
      <c r="AEP93" t="s">
        <v>382</v>
      </c>
      <c r="AEQ93">
        <v>1.52</v>
      </c>
      <c r="AER93">
        <v>1</v>
      </c>
      <c r="AES93">
        <f>+Tabla5789141516343536373839404142434445464748495051525355606264[[#This Row],[G. Total]]*Tabla5789141516343536373839404142434445464748495051525355606264[[#This Row],[Recuento]]</f>
        <v>1.52</v>
      </c>
      <c r="AET93" s="36"/>
      <c r="AEV93"/>
      <c r="AEW93"/>
      <c r="AEX93"/>
      <c r="AEY93"/>
      <c r="AFA93" s="35"/>
      <c r="AFC93"/>
      <c r="AFD93"/>
      <c r="AFE93"/>
      <c r="AFF93" s="33"/>
      <c r="AFG93"/>
      <c r="AFH93"/>
      <c r="AFI93"/>
      <c r="AFJ93"/>
      <c r="AFK93"/>
      <c r="AFL93"/>
      <c r="AFM93"/>
      <c r="AFN93">
        <f>+Tabla578914151634353637383940414243444546474849505152535560626467[[#This Row],[G. Total]]*Tabla578914151634353637383940414243444546474849505152535560626467[[#This Row],[Recuento]]</f>
        <v>0</v>
      </c>
      <c r="AFO93" s="36"/>
    </row>
    <row r="94" spans="2:847" x14ac:dyDescent="0.25">
      <c r="B94"/>
      <c r="C94"/>
      <c r="D94"/>
      <c r="E94"/>
      <c r="F94" s="33"/>
      <c r="G94" s="33"/>
      <c r="H94"/>
      <c r="I94"/>
      <c r="BG94"/>
      <c r="BH94"/>
      <c r="BI94"/>
      <c r="BJ94"/>
      <c r="BK94"/>
      <c r="BL94">
        <f>+Tabla3102[[#This Row],[Longitud de eje]]*BF94</f>
        <v>0</v>
      </c>
      <c r="BM94">
        <f>+Tabla3102[[#This Row],[Longitud de eje]]*BG94</f>
        <v>0</v>
      </c>
      <c r="BO94"/>
      <c r="BP94"/>
      <c r="BQ94"/>
      <c r="BR94"/>
      <c r="BS94"/>
      <c r="BT94">
        <f>+Tabla31069[[#This Row],[Longitud de eje]]*BN94</f>
        <v>0</v>
      </c>
      <c r="BU94">
        <f>+Tabla31069[[#This Row],[Longitud de eje]]*BO94</f>
        <v>0</v>
      </c>
      <c r="BV94"/>
      <c r="BW94"/>
      <c r="BX94"/>
      <c r="BY94"/>
      <c r="BZ94"/>
      <c r="CA94"/>
      <c r="CB94">
        <f>+Tabla31011[[#This Row],[Longitud de eje]]*BV94</f>
        <v>0</v>
      </c>
      <c r="CD94">
        <v>1</v>
      </c>
      <c r="CE94"/>
      <c r="CF94"/>
      <c r="CG94"/>
      <c r="CH94"/>
      <c r="CI94"/>
      <c r="CJ94"/>
      <c r="CK94"/>
      <c r="CL94"/>
      <c r="CM94"/>
      <c r="CN94"/>
      <c r="CO94"/>
      <c r="CP94"/>
      <c r="CQ94"/>
      <c r="CR94">
        <f>+Tabla31011116[[#This Row],[Longitud de eje]]*CL94</f>
        <v>0</v>
      </c>
      <c r="CT94">
        <v>1</v>
      </c>
      <c r="CU94"/>
      <c r="CV94"/>
      <c r="CW94"/>
      <c r="CX94"/>
      <c r="CY94"/>
      <c r="CZ94"/>
      <c r="DA94"/>
      <c r="DB94">
        <v>1</v>
      </c>
      <c r="DC94"/>
      <c r="DD94"/>
      <c r="DE94"/>
      <c r="DF94"/>
      <c r="DG94">
        <f>+Tabla31011704[[#This Row],[Longitud de eje]]*DB94</f>
        <v>0</v>
      </c>
      <c r="DH94"/>
      <c r="DI94">
        <v>1</v>
      </c>
      <c r="DJ94"/>
      <c r="DK94"/>
      <c r="DL94"/>
      <c r="DM94"/>
      <c r="DN94">
        <f>+Tabla3101170411[[#This Row],[Longitud de eje]]*DI94</f>
        <v>0</v>
      </c>
      <c r="DO94"/>
      <c r="DP94">
        <v>1</v>
      </c>
      <c r="DQ94"/>
      <c r="DR94"/>
      <c r="DS94"/>
      <c r="DT94"/>
      <c r="DU94">
        <f>+Tabla3101170411120[[#This Row],[Longitud de eje]]*DP94</f>
        <v>0</v>
      </c>
      <c r="DV94"/>
      <c r="DW94">
        <v>1</v>
      </c>
      <c r="DX94"/>
      <c r="DY94"/>
      <c r="DZ94"/>
      <c r="EA94"/>
      <c r="EB94">
        <f>+Tabla3101170411120122[[#This Row],[Longitud de eje]]*DW94</f>
        <v>0</v>
      </c>
      <c r="EC94"/>
      <c r="ED94"/>
      <c r="EE94"/>
      <c r="EF94"/>
      <c r="EG94"/>
      <c r="EH94"/>
      <c r="EI94"/>
      <c r="EJ94">
        <f>+Tabla3101112[[#This Row],[En culmo]]*ED94</f>
        <v>0</v>
      </c>
      <c r="EK94"/>
      <c r="EL94"/>
      <c r="EM94"/>
      <c r="EN94"/>
      <c r="EO94"/>
      <c r="EP94"/>
      <c r="EQ94"/>
      <c r="ER94">
        <f>+Tabla3101112123[[#This Row],[En culmo]]*EL94</f>
        <v>0</v>
      </c>
      <c r="ES94"/>
      <c r="ET94"/>
      <c r="EU94"/>
      <c r="EV94"/>
      <c r="EW94"/>
      <c r="EX94"/>
      <c r="EY94"/>
      <c r="EZ94">
        <f>+Tabla310111257[[#This Row],[En culmo]]*ET94</f>
        <v>0</v>
      </c>
      <c r="FA94"/>
      <c r="FB94"/>
      <c r="FC94"/>
      <c r="FD94"/>
      <c r="FE94"/>
      <c r="FF94"/>
      <c r="FG94"/>
      <c r="FH94">
        <f>+Tabla310111257124[[#This Row],[En culmo]]*FB94</f>
        <v>0</v>
      </c>
      <c r="FI94"/>
      <c r="FK94"/>
      <c r="FL94"/>
      <c r="FM94"/>
      <c r="FN94"/>
      <c r="FO94"/>
      <c r="FP94"/>
      <c r="FQ94"/>
      <c r="FS94"/>
      <c r="FT94"/>
      <c r="FU94"/>
      <c r="FV94"/>
      <c r="FW94"/>
      <c r="FX94"/>
      <c r="FY94"/>
      <c r="GA94"/>
      <c r="GB94"/>
      <c r="GC94"/>
      <c r="GD94"/>
      <c r="GE94"/>
      <c r="GF94"/>
      <c r="GG94"/>
      <c r="GI94"/>
      <c r="GJ94"/>
      <c r="GK94"/>
      <c r="GL94"/>
      <c r="GM94"/>
      <c r="GN94"/>
      <c r="GO94"/>
      <c r="GQ94"/>
      <c r="GR94"/>
      <c r="GS94"/>
      <c r="GT94"/>
      <c r="GU94"/>
      <c r="GV94"/>
      <c r="GW94"/>
      <c r="GX94"/>
      <c r="GY94" s="36"/>
      <c r="HA94"/>
      <c r="HB94"/>
      <c r="HC94"/>
      <c r="HD94"/>
      <c r="HE94"/>
      <c r="HF94"/>
      <c r="HG94"/>
      <c r="HH94"/>
      <c r="HI94" s="36"/>
      <c r="HK94"/>
      <c r="HL94"/>
      <c r="HM94"/>
      <c r="HN94"/>
      <c r="HO94"/>
      <c r="HP94"/>
      <c r="HQ94"/>
      <c r="HR94"/>
      <c r="HS94" s="36"/>
      <c r="HU94"/>
      <c r="HV94"/>
      <c r="HW94"/>
      <c r="HX94"/>
      <c r="HY94"/>
      <c r="HZ94"/>
      <c r="IA94"/>
      <c r="IB94"/>
      <c r="IC94" s="36"/>
      <c r="IE94"/>
      <c r="IF94"/>
      <c r="IG94"/>
      <c r="IH94"/>
      <c r="II94"/>
      <c r="IJ94"/>
      <c r="IK94"/>
      <c r="IL94"/>
      <c r="IM94" s="36"/>
      <c r="IY94"/>
      <c r="IZ94"/>
      <c r="JA94"/>
      <c r="JB94"/>
      <c r="JC94"/>
      <c r="JD94"/>
      <c r="JE94" s="2">
        <f>+Tabla520212224[[#This Row],[Recuento]]*Tabla520212224[[#This Row],[Volúmen bruto]]</f>
        <v>0</v>
      </c>
      <c r="JF94" s="2">
        <f>+Tabla520212224[[#This Row],[Recuento]]*Tabla520212224[[#This Row],[Área neta]]</f>
        <v>0</v>
      </c>
      <c r="JG94" s="26"/>
      <c r="JI94"/>
      <c r="JJ94"/>
      <c r="JK94"/>
      <c r="JL94"/>
      <c r="JM94"/>
      <c r="JN94"/>
      <c r="JO94" s="2">
        <f>+Tabla52021222425[[#This Row],[Recuento]]*Tabla52021222425[[#This Row],[Volúmen bruto]]</f>
        <v>0</v>
      </c>
      <c r="JP94" s="2">
        <f>+Tabla52021222425[[#This Row],[Recuento]]*Tabla52021222425[[#This Row],[Área neta]]</f>
        <v>0</v>
      </c>
      <c r="JQ94" s="26"/>
      <c r="JS94"/>
      <c r="JT94"/>
      <c r="JU94"/>
      <c r="JV94"/>
      <c r="JW94"/>
      <c r="JX94"/>
      <c r="JY94" s="2">
        <f>+Tabla5202122242526[[#This Row],[Recuento]]*Tabla5202122242526[[#This Row],[Volúmen bruto]]</f>
        <v>0</v>
      </c>
      <c r="JZ94" s="2">
        <f>+Tabla5202122242526[[#This Row],[Recuento]]*Tabla5202122242526[[#This Row],[Área neta]]</f>
        <v>0</v>
      </c>
      <c r="KA94" s="26"/>
      <c r="KC94"/>
      <c r="KD94"/>
      <c r="KE94"/>
      <c r="KF94"/>
      <c r="KG94"/>
      <c r="KH94"/>
      <c r="KI94" s="2">
        <f>+Tabla5202122242526104[[#This Row],[Recuento]]*Tabla5202122242526104[[#This Row],[Volúmen bruto]]</f>
        <v>0</v>
      </c>
      <c r="KJ94" s="2">
        <f>+Tabla5202122242526104[[#This Row],[Recuento]]*Tabla5202122242526104[[#This Row],[Área neta]]</f>
        <v>0</v>
      </c>
      <c r="KK94" s="26"/>
      <c r="KM94"/>
      <c r="KN94"/>
      <c r="KO94"/>
      <c r="KP94"/>
      <c r="KQ94"/>
      <c r="KR94"/>
      <c r="KS94" s="2">
        <f>+Tabla5202122242526104110[[#This Row],[Recuento]]*Tabla5202122242526104110[[#This Row],[Volúmen bruto]]</f>
        <v>0</v>
      </c>
      <c r="KT94" s="2">
        <f>+Tabla5202122242526104110[[#This Row],[Recuento]]*Tabla5202122242526104110[[#This Row],[Área neta]]</f>
        <v>0</v>
      </c>
      <c r="KU94" s="26"/>
      <c r="KW94"/>
      <c r="KX94"/>
      <c r="KY94"/>
      <c r="KZ94"/>
      <c r="LA94"/>
      <c r="LB94"/>
      <c r="LC94" s="2">
        <f>+Tabla520212224252659[[#This Row],[Recuento]]*Tabla520212224252659[[#This Row],[Volúmen bruto]]</f>
        <v>0</v>
      </c>
      <c r="LD94" s="2">
        <f>+Tabla520212224252659[[#This Row],[Recuento]]*Tabla520212224252659[[#This Row],[Área neta]]</f>
        <v>0</v>
      </c>
      <c r="LE94" s="26"/>
      <c r="LG94"/>
      <c r="LH94"/>
      <c r="LI94"/>
      <c r="LJ94"/>
      <c r="LK94"/>
      <c r="LL94"/>
      <c r="LM94" s="2">
        <f>+Tabla520212224252659111[[#This Row],[Recuento]]*Tabla520212224252659111[[#This Row],[Volúmen bruto]]</f>
        <v>0</v>
      </c>
      <c r="LN94" s="2">
        <f>+Tabla520212224252659111[[#This Row],[Recuento]]*Tabla520212224252659111[[#This Row],[Área neta]]</f>
        <v>0</v>
      </c>
      <c r="LO94" s="26"/>
      <c r="LQ94"/>
      <c r="LR94"/>
      <c r="LS94"/>
      <c r="LT94"/>
      <c r="LU94"/>
      <c r="LV94"/>
      <c r="LW94" s="2">
        <f>+Tabla520212224252659111114[[#This Row],[Recuento]]*Tabla520212224252659111114[[#This Row],[Volúmen bruto]]</f>
        <v>0</v>
      </c>
      <c r="LX94" s="2">
        <f>+Tabla520212224252659111114[[#This Row],[Recuento]]*Tabla520212224252659111114[[#This Row],[Área neta]]</f>
        <v>0</v>
      </c>
      <c r="LY94" s="26"/>
      <c r="MA94"/>
      <c r="MB94"/>
      <c r="MC94"/>
      <c r="MD94"/>
      <c r="ME94"/>
      <c r="MF94"/>
      <c r="MG94" s="2">
        <f>+Tabla520212224252659111114128[[#This Row],[Recuento]]*Tabla520212224252659111114128[[#This Row],[Volúmen bruto]]</f>
        <v>0</v>
      </c>
      <c r="MH94" s="2">
        <f>+Tabla520212224252659111114128[[#This Row],[Recuento]]*Tabla520212224252659111114128[[#This Row],[Área neta]]</f>
        <v>0</v>
      </c>
      <c r="MI94" s="26"/>
      <c r="MK94"/>
      <c r="ML94"/>
      <c r="MM94"/>
      <c r="MN94"/>
      <c r="MO94"/>
      <c r="MP94"/>
      <c r="MQ94" s="2">
        <f>+Tabla520212224252627[[#This Row],[Recuento]]*Tabla520212224252627[[#This Row],[Volúmen bruto]]</f>
        <v>0</v>
      </c>
      <c r="MR94" s="2">
        <f>+Tabla520212224252627[[#This Row],[Recuento]]*Tabla520212224252627[[#This Row],[Área neta]]</f>
        <v>0</v>
      </c>
      <c r="MS94" s="26"/>
      <c r="MU94"/>
      <c r="MV94"/>
      <c r="MW94"/>
      <c r="MX94"/>
      <c r="MY94"/>
      <c r="MZ94"/>
      <c r="NA94" s="2">
        <f>+Tabla520212224252627129[[#This Row],[Recuento]]*Tabla520212224252627129[[#This Row],[Volúmen bruto]]</f>
        <v>0</v>
      </c>
      <c r="NB94" s="2">
        <f>+Tabla520212224252627129[[#This Row],[Recuento]]*Tabla520212224252627129[[#This Row],[Área neta]]</f>
        <v>0</v>
      </c>
      <c r="NC94" s="26"/>
      <c r="NE94"/>
      <c r="NF94"/>
      <c r="NG94"/>
      <c r="NH94"/>
      <c r="NI94"/>
      <c r="NJ94"/>
      <c r="NK94" s="2">
        <f>+Tabla520212224252627129125[[#This Row],[Recuento]]*Tabla520212224252627129125[[#This Row],[Volúmen bruto]]</f>
        <v>0</v>
      </c>
      <c r="NL94" s="2">
        <f>+Tabla520212224252627129125[[#This Row],[Recuento]]*Tabla520212224252627129125[[#This Row],[Área neta]]</f>
        <v>0</v>
      </c>
      <c r="NM94" s="26"/>
      <c r="NO94"/>
      <c r="NP94"/>
      <c r="NQ94"/>
      <c r="NR94"/>
      <c r="NS94"/>
      <c r="NT94"/>
      <c r="NU94" s="2">
        <f>+Tabla520212224252627129125130[[#This Row],[Recuento]]*Tabla520212224252627129125130[[#This Row],[Volúmen bruto]]</f>
        <v>0</v>
      </c>
      <c r="NV94" s="2">
        <f>+Tabla520212224252627129125130[[#This Row],[Recuento]]*Tabla520212224252627129125130[[#This Row],[Área neta]]</f>
        <v>0</v>
      </c>
      <c r="NW94" s="26"/>
      <c r="NY94"/>
      <c r="NZ94"/>
      <c r="OA94"/>
      <c r="OB94"/>
      <c r="OC94"/>
      <c r="OD94"/>
      <c r="OE94" s="2">
        <f>+Tabla520212224252627129125130131[[#This Row],[Recuento]]*Tabla520212224252627129125130131[[#This Row],[Volúmen bruto]]</f>
        <v>0</v>
      </c>
      <c r="OF94" s="2">
        <f>+Tabla520212224252627129125130131[[#This Row],[Recuento]]*Tabla520212224252627129125130131[[#This Row],[Área neta]]</f>
        <v>0</v>
      </c>
      <c r="OG94" s="26"/>
      <c r="OI94"/>
      <c r="OJ94"/>
      <c r="OK94"/>
      <c r="OL94"/>
      <c r="OM94"/>
      <c r="ON94"/>
      <c r="OO94" s="2">
        <f>+Tabla520212224252627129125130131132[[#This Row],[Recuento]]*Tabla520212224252627129125130131132[[#This Row],[Volúmen bruto]]</f>
        <v>0</v>
      </c>
      <c r="OP94" s="2">
        <f>+Tabla520212224252627129125130131132[[#This Row],[Recuento]]*Tabla520212224252627129125130131132[[#This Row],[Área neta]]</f>
        <v>0</v>
      </c>
      <c r="OQ94" s="26"/>
      <c r="OS94"/>
      <c r="OT94"/>
      <c r="OU94"/>
      <c r="OV94"/>
      <c r="OW94"/>
      <c r="OX94"/>
      <c r="OY94" s="2">
        <f>+Tabla52021222425262728[[#This Row],[Recuento]]*Tabla52021222425262728[[#This Row],[Volúmen bruto]]</f>
        <v>0</v>
      </c>
      <c r="OZ94" s="2">
        <f>+Tabla52021222425262728[[#This Row],[Recuento]]*Tabla52021222425262728[[#This Row],[Área neta]]</f>
        <v>0</v>
      </c>
      <c r="PA94" s="26">
        <f t="shared" si="41"/>
        <v>0</v>
      </c>
      <c r="PC94"/>
      <c r="PD94"/>
      <c r="PE94"/>
      <c r="PF94"/>
      <c r="PG94"/>
      <c r="PH94"/>
      <c r="PI94" s="2">
        <f>+Tabla52021222425262728133[[#This Row],[Recuento]]*Tabla52021222425262728133[[#This Row],[Volúmen bruto]]</f>
        <v>0</v>
      </c>
      <c r="PJ94" s="2">
        <f>+Tabla52021222425262728133[[#This Row],[Recuento]]*Tabla52021222425262728133[[#This Row],[Área neta]]</f>
        <v>0</v>
      </c>
      <c r="PK94" s="26"/>
      <c r="PM94"/>
      <c r="PN94"/>
      <c r="PO94"/>
      <c r="PP94"/>
      <c r="PQ94"/>
      <c r="PR94"/>
      <c r="PS94" s="2">
        <f>+Tabla5202122242526272893[[#This Row],[Recuento]]*Tabla5202122242526272893[[#This Row],[Volúmen bruto]]</f>
        <v>0</v>
      </c>
      <c r="PT94" s="2">
        <f>+Tabla5202122242526272893[[#This Row],[Recuento]]*Tabla5202122242526272893[[#This Row],[Área neta]]</f>
        <v>0</v>
      </c>
      <c r="PU94" s="26"/>
      <c r="PW94"/>
      <c r="PX94"/>
      <c r="PY94"/>
      <c r="PZ94"/>
      <c r="QA94"/>
      <c r="QB94"/>
      <c r="QC94" s="2">
        <f>+Tabla520212224252627289349[[#This Row],[Recuento]]*Tabla520212224252627289349[[#This Row],[Volúmen bruto]]</f>
        <v>0</v>
      </c>
      <c r="QD94" s="2">
        <f>+Tabla520212224252627289349[[#This Row],[Recuento]]*Tabla520212224252627289349[[#This Row],[Área neta]]</f>
        <v>0</v>
      </c>
      <c r="QE94" s="26"/>
      <c r="QG94"/>
      <c r="QH94"/>
      <c r="QI94"/>
      <c r="QJ94"/>
      <c r="QK94"/>
      <c r="QL94"/>
      <c r="QM94" s="2">
        <f>+Tabla520212224252627289349134[[#This Row],[Recuento]]*Tabla520212224252627289349134[[#This Row],[Volúmen bruto]]</f>
        <v>0</v>
      </c>
      <c r="QN94" s="2">
        <f>+Tabla520212224252627289349134[[#This Row],[Recuento]]*Tabla520212224252627289349134[[#This Row],[Área neta]]</f>
        <v>0</v>
      </c>
      <c r="QO94" s="26"/>
      <c r="QQ94"/>
      <c r="QR94"/>
      <c r="QS94"/>
      <c r="QT94"/>
      <c r="QU94"/>
      <c r="QV94"/>
      <c r="QW94"/>
      <c r="RA94" s="26"/>
      <c r="RC94"/>
      <c r="RD94"/>
      <c r="RE94"/>
      <c r="RF94"/>
      <c r="RG94"/>
      <c r="RH94"/>
      <c r="RK94" s="26"/>
      <c r="RM94"/>
      <c r="RN94"/>
      <c r="RO94"/>
      <c r="RP94"/>
      <c r="RQ94"/>
      <c r="RR94"/>
      <c r="RU94" s="26">
        <f t="shared" si="42"/>
        <v>0</v>
      </c>
      <c r="RW94"/>
      <c r="RX94"/>
      <c r="RY94"/>
      <c r="RZ94"/>
      <c r="SA94"/>
      <c r="SB94"/>
      <c r="SE94" s="26"/>
      <c r="SG94"/>
      <c r="SH94"/>
      <c r="SI94"/>
      <c r="SJ94"/>
      <c r="SK94"/>
      <c r="SL94"/>
      <c r="SO94" s="26"/>
      <c r="YK94"/>
      <c r="YL94"/>
      <c r="YM94"/>
      <c r="YN94"/>
      <c r="YO94"/>
      <c r="ADJ94"/>
      <c r="ADK94"/>
      <c r="ADL94"/>
      <c r="ADM94"/>
      <c r="ADN94"/>
      <c r="ADO94"/>
      <c r="ADP94" s="36"/>
      <c r="ADR94"/>
      <c r="ADS94"/>
      <c r="ADT94"/>
      <c r="ADU94"/>
      <c r="ADV94"/>
      <c r="ADW94" s="35"/>
      <c r="ADX94" s="35"/>
      <c r="ADY94"/>
      <c r="ADZ94"/>
      <c r="AEA94"/>
      <c r="AEB94"/>
      <c r="AEE94" s="36"/>
      <c r="AEN94" t="s">
        <v>1522</v>
      </c>
      <c r="AEO94" t="s">
        <v>1524</v>
      </c>
      <c r="AEP94" t="s">
        <v>382</v>
      </c>
      <c r="AEQ94">
        <v>0.81</v>
      </c>
      <c r="AER94">
        <v>1</v>
      </c>
      <c r="AES94">
        <f>+Tabla5789141516343536373839404142434445464748495051525355606264[[#This Row],[G. Total]]*Tabla5789141516343536373839404142434445464748495051525355606264[[#This Row],[Recuento]]</f>
        <v>0.81</v>
      </c>
      <c r="AET94" s="36"/>
      <c r="AEV94"/>
      <c r="AEW94"/>
      <c r="AEX94"/>
      <c r="AEY94"/>
      <c r="AFA94" s="35"/>
      <c r="AFC94"/>
      <c r="AFD94"/>
      <c r="AFE94"/>
      <c r="AFF94" s="33"/>
      <c r="AFG94"/>
      <c r="AFH94"/>
      <c r="AFI94"/>
      <c r="AFJ94"/>
      <c r="AFK94"/>
      <c r="AFL94"/>
      <c r="AFM94"/>
      <c r="AFN94">
        <f>+Tabla578914151634353637383940414243444546474849505152535560626467[[#This Row],[G. Total]]*Tabla578914151634353637383940414243444546474849505152535560626467[[#This Row],[Recuento]]</f>
        <v>0</v>
      </c>
      <c r="AFO94" s="36"/>
    </row>
    <row r="95" spans="2:847" x14ac:dyDescent="0.25">
      <c r="B95"/>
      <c r="C95"/>
      <c r="D95"/>
      <c r="E95"/>
      <c r="F95"/>
      <c r="G95"/>
      <c r="H95"/>
      <c r="I95"/>
      <c r="BG95"/>
      <c r="BH95"/>
      <c r="BI95"/>
      <c r="BJ95"/>
      <c r="BK95"/>
      <c r="BL95">
        <f>+Tabla3102[[#This Row],[Longitud de eje]]*BF95</f>
        <v>0</v>
      </c>
      <c r="BM95">
        <f>+Tabla3102[[#This Row],[Longitud de eje]]*BG95</f>
        <v>0</v>
      </c>
      <c r="BO95"/>
      <c r="BP95"/>
      <c r="BQ95"/>
      <c r="BR95"/>
      <c r="BS95"/>
      <c r="BT95"/>
      <c r="BU95"/>
      <c r="BV95">
        <v>1</v>
      </c>
      <c r="BW95"/>
      <c r="BX95"/>
      <c r="BY95"/>
      <c r="BZ95"/>
      <c r="CA95"/>
      <c r="CB95">
        <f>+Tabla31011[[#This Row],[Longitud de eje]]*BV95</f>
        <v>0</v>
      </c>
      <c r="CD95">
        <v>1</v>
      </c>
      <c r="CE95"/>
      <c r="CF95"/>
      <c r="CG95"/>
      <c r="CH95"/>
      <c r="CI95"/>
      <c r="CJ95"/>
      <c r="CK95"/>
      <c r="CL95">
        <v>1</v>
      </c>
      <c r="CM95"/>
      <c r="CN95"/>
      <c r="CO95"/>
      <c r="CP95"/>
      <c r="CQ95"/>
      <c r="CR95">
        <f>+Tabla31011116[[#This Row],[Longitud de eje]]*CL95</f>
        <v>0</v>
      </c>
      <c r="CT95">
        <v>1</v>
      </c>
      <c r="CU95"/>
      <c r="CV95"/>
      <c r="CW95"/>
      <c r="CX95"/>
      <c r="CY95"/>
      <c r="CZ95"/>
      <c r="DA95"/>
      <c r="DB95">
        <v>1</v>
      </c>
      <c r="DC95"/>
      <c r="DD95"/>
      <c r="DE95"/>
      <c r="DF95"/>
      <c r="DG95">
        <f>+Tabla31011704[[#This Row],[Longitud de eje]]*DB95</f>
        <v>0</v>
      </c>
      <c r="DH95"/>
      <c r="DI95">
        <v>1</v>
      </c>
      <c r="DJ95"/>
      <c r="DK95"/>
      <c r="DL95"/>
      <c r="DM95"/>
      <c r="DN95">
        <f>+Tabla3101170411[[#This Row],[Longitud de eje]]*DI95</f>
        <v>0</v>
      </c>
      <c r="DO95"/>
      <c r="DP95">
        <v>1</v>
      </c>
      <c r="DQ95"/>
      <c r="DR95"/>
      <c r="DS95"/>
      <c r="DT95"/>
      <c r="DU95">
        <f>+Tabla3101170411120[[#This Row],[Longitud de eje]]*DP95</f>
        <v>0</v>
      </c>
      <c r="DV95"/>
      <c r="DW95">
        <v>1</v>
      </c>
      <c r="DX95"/>
      <c r="DY95"/>
      <c r="DZ95"/>
      <c r="EA95"/>
      <c r="EB95">
        <f>+Tabla3101170411120122[[#This Row],[Longitud de eje]]*DW95</f>
        <v>0</v>
      </c>
      <c r="EC95"/>
      <c r="EE95"/>
      <c r="EF95"/>
      <c r="EG95"/>
      <c r="EH95"/>
      <c r="EI95"/>
      <c r="EJ95">
        <f>+Tabla3101112[[#This Row],[En culmo]]*ED95</f>
        <v>0</v>
      </c>
      <c r="EK95"/>
      <c r="EM95"/>
      <c r="EN95"/>
      <c r="EO95"/>
      <c r="EP95"/>
      <c r="EQ95"/>
      <c r="ER95">
        <f>+Tabla3101112123[[#This Row],[En culmo]]*EL95</f>
        <v>0</v>
      </c>
      <c r="ES95"/>
      <c r="EU95"/>
      <c r="EV95"/>
      <c r="EW95"/>
      <c r="EX95"/>
      <c r="EY95"/>
      <c r="EZ95">
        <f>+Tabla310111257[[#This Row],[En culmo]]*ET95</f>
        <v>0</v>
      </c>
      <c r="FA95"/>
      <c r="FC95"/>
      <c r="FD95"/>
      <c r="FE95"/>
      <c r="FF95"/>
      <c r="FG95"/>
      <c r="FH95">
        <f>+Tabla310111257124[[#This Row],[En culmo]]*FB95</f>
        <v>0</v>
      </c>
      <c r="FI95"/>
      <c r="FK95"/>
      <c r="FL95"/>
      <c r="FM95"/>
      <c r="FN95"/>
      <c r="FO95"/>
      <c r="FP95"/>
      <c r="FQ95"/>
      <c r="FS95"/>
      <c r="FT95"/>
      <c r="FU95"/>
      <c r="FV95"/>
      <c r="FW95"/>
      <c r="FX95"/>
      <c r="FY95"/>
      <c r="GA95"/>
      <c r="GB95"/>
      <c r="GC95"/>
      <c r="GD95"/>
      <c r="GE95"/>
      <c r="GF95"/>
      <c r="GG95"/>
      <c r="GI95"/>
      <c r="GJ95"/>
      <c r="GK95"/>
      <c r="GL95"/>
      <c r="GM95"/>
      <c r="GN95"/>
      <c r="GO95"/>
      <c r="GQ95"/>
      <c r="GR95"/>
      <c r="GS95"/>
      <c r="GT95"/>
      <c r="GU95"/>
      <c r="GV95"/>
      <c r="GW95"/>
      <c r="GX95"/>
      <c r="GY95" s="36"/>
      <c r="HA95"/>
      <c r="HB95"/>
      <c r="HC95"/>
      <c r="HD95"/>
      <c r="HE95"/>
      <c r="HF95"/>
      <c r="HG95"/>
      <c r="HH95"/>
      <c r="HI95" s="36"/>
      <c r="HK95"/>
      <c r="HL95"/>
      <c r="HM95"/>
      <c r="HN95"/>
      <c r="HO95"/>
      <c r="HP95"/>
      <c r="HQ95"/>
      <c r="HR95"/>
      <c r="HS95" s="36"/>
      <c r="HU95"/>
      <c r="HV95"/>
      <c r="HW95"/>
      <c r="HX95"/>
      <c r="HY95"/>
      <c r="HZ95"/>
      <c r="IA95"/>
      <c r="IB95"/>
      <c r="IC95" s="35"/>
      <c r="IE95"/>
      <c r="IF95"/>
      <c r="IG95"/>
      <c r="IH95"/>
      <c r="II95"/>
      <c r="IJ95"/>
      <c r="IK95"/>
      <c r="IL95"/>
      <c r="IM95" s="35"/>
      <c r="IY95"/>
      <c r="IZ95"/>
      <c r="JA95"/>
      <c r="JB95"/>
      <c r="JC95"/>
      <c r="JD95"/>
      <c r="JE95" s="2">
        <f>+Tabla520212224[[#This Row],[Recuento]]*Tabla520212224[[#This Row],[Volúmen bruto]]</f>
        <v>0</v>
      </c>
      <c r="JF95" s="2">
        <f>+Tabla520212224[[#This Row],[Recuento]]*Tabla520212224[[#This Row],[Área neta]]</f>
        <v>0</v>
      </c>
      <c r="JG95" s="26"/>
      <c r="JI95"/>
      <c r="JJ95"/>
      <c r="JK95"/>
      <c r="JL95"/>
      <c r="JM95"/>
      <c r="JN95"/>
      <c r="JO95" s="2">
        <f>+Tabla52021222425[[#This Row],[Recuento]]*Tabla52021222425[[#This Row],[Volúmen bruto]]</f>
        <v>0</v>
      </c>
      <c r="JP95" s="2">
        <f>+Tabla52021222425[[#This Row],[Recuento]]*Tabla52021222425[[#This Row],[Área neta]]</f>
        <v>0</v>
      </c>
      <c r="JQ95" s="26"/>
      <c r="JS95"/>
      <c r="JT95"/>
      <c r="JU95"/>
      <c r="JV95"/>
      <c r="JW95"/>
      <c r="JX95"/>
      <c r="JY95" s="2">
        <f>+Tabla5202122242526[[#This Row],[Recuento]]*Tabla5202122242526[[#This Row],[Volúmen bruto]]</f>
        <v>0</v>
      </c>
      <c r="JZ95" s="2">
        <f>+Tabla5202122242526[[#This Row],[Recuento]]*Tabla5202122242526[[#This Row],[Área neta]]</f>
        <v>0</v>
      </c>
      <c r="KA95" s="26"/>
      <c r="KC95"/>
      <c r="KD95"/>
      <c r="KE95"/>
      <c r="KF95"/>
      <c r="KG95"/>
      <c r="KH95"/>
      <c r="KI95" s="2">
        <f>+Tabla5202122242526104[[#This Row],[Recuento]]*Tabla5202122242526104[[#This Row],[Volúmen bruto]]</f>
        <v>0</v>
      </c>
      <c r="KJ95" s="2">
        <f>+Tabla5202122242526104[[#This Row],[Recuento]]*Tabla5202122242526104[[#This Row],[Área neta]]</f>
        <v>0</v>
      </c>
      <c r="KK95" s="26"/>
      <c r="KM95"/>
      <c r="KN95"/>
      <c r="KO95"/>
      <c r="KP95"/>
      <c r="KQ95"/>
      <c r="KR95"/>
      <c r="KS95" s="2">
        <f>+Tabla5202122242526104110[[#This Row],[Recuento]]*Tabla5202122242526104110[[#This Row],[Volúmen bruto]]</f>
        <v>0</v>
      </c>
      <c r="KT95" s="2">
        <f>+Tabla5202122242526104110[[#This Row],[Recuento]]*Tabla5202122242526104110[[#This Row],[Área neta]]</f>
        <v>0</v>
      </c>
      <c r="KU95" s="26"/>
      <c r="KW95"/>
      <c r="KX95"/>
      <c r="KY95"/>
      <c r="KZ95"/>
      <c r="LA95"/>
      <c r="LB95"/>
      <c r="LC95" s="2">
        <f>+Tabla520212224252659[[#This Row],[Recuento]]*Tabla520212224252659[[#This Row],[Volúmen bruto]]</f>
        <v>0</v>
      </c>
      <c r="LD95" s="2">
        <f>+Tabla520212224252659[[#This Row],[Recuento]]*Tabla520212224252659[[#This Row],[Área neta]]</f>
        <v>0</v>
      </c>
      <c r="LE95" s="26"/>
      <c r="LG95"/>
      <c r="LH95"/>
      <c r="LI95"/>
      <c r="LJ95"/>
      <c r="LK95"/>
      <c r="LL95"/>
      <c r="LM95" s="2">
        <f>+Tabla520212224252659111[[#This Row],[Recuento]]*Tabla520212224252659111[[#This Row],[Volúmen bruto]]</f>
        <v>0</v>
      </c>
      <c r="LN95" s="2">
        <f>+Tabla520212224252659111[[#This Row],[Recuento]]*Tabla520212224252659111[[#This Row],[Área neta]]</f>
        <v>0</v>
      </c>
      <c r="LO95" s="26"/>
      <c r="LQ95"/>
      <c r="LR95"/>
      <c r="LS95"/>
      <c r="LT95"/>
      <c r="LU95"/>
      <c r="LV95"/>
      <c r="LW95" s="2">
        <f>+Tabla520212224252659111114[[#This Row],[Recuento]]*Tabla520212224252659111114[[#This Row],[Volúmen bruto]]</f>
        <v>0</v>
      </c>
      <c r="LX95" s="2">
        <f>+Tabla520212224252659111114[[#This Row],[Recuento]]*Tabla520212224252659111114[[#This Row],[Área neta]]</f>
        <v>0</v>
      </c>
      <c r="LY95" s="26"/>
      <c r="MA95"/>
      <c r="MB95"/>
      <c r="MC95"/>
      <c r="MD95"/>
      <c r="ME95"/>
      <c r="MF95"/>
      <c r="MG95" s="2">
        <f>+Tabla520212224252659111114128[[#This Row],[Recuento]]*Tabla520212224252659111114128[[#This Row],[Volúmen bruto]]</f>
        <v>0</v>
      </c>
      <c r="MH95" s="2">
        <f>+Tabla520212224252659111114128[[#This Row],[Recuento]]*Tabla520212224252659111114128[[#This Row],[Área neta]]</f>
        <v>0</v>
      </c>
      <c r="MI95" s="26"/>
      <c r="MK95"/>
      <c r="ML95"/>
      <c r="MM95"/>
      <c r="MN95"/>
      <c r="MO95"/>
      <c r="MP95"/>
      <c r="MQ95" s="2">
        <f>+Tabla520212224252627[[#This Row],[Recuento]]*Tabla520212224252627[[#This Row],[Volúmen bruto]]</f>
        <v>0</v>
      </c>
      <c r="MR95" s="2">
        <f>+Tabla520212224252627[[#This Row],[Recuento]]*Tabla520212224252627[[#This Row],[Área neta]]</f>
        <v>0</v>
      </c>
      <c r="MS95" s="26"/>
      <c r="MU95"/>
      <c r="MV95"/>
      <c r="MW95"/>
      <c r="MX95"/>
      <c r="MY95"/>
      <c r="MZ95"/>
      <c r="NA95" s="2">
        <f>+Tabla520212224252627129[[#This Row],[Recuento]]*Tabla520212224252627129[[#This Row],[Volúmen bruto]]</f>
        <v>0</v>
      </c>
      <c r="NB95" s="2">
        <f>+Tabla520212224252627129[[#This Row],[Recuento]]*Tabla520212224252627129[[#This Row],[Área neta]]</f>
        <v>0</v>
      </c>
      <c r="NC95" s="26"/>
      <c r="NE95"/>
      <c r="NF95"/>
      <c r="NG95"/>
      <c r="NH95"/>
      <c r="NI95"/>
      <c r="NJ95"/>
      <c r="NK95" s="2">
        <f>+Tabla520212224252627129125[[#This Row],[Recuento]]*Tabla520212224252627129125[[#This Row],[Volúmen bruto]]</f>
        <v>0</v>
      </c>
      <c r="NL95" s="2">
        <f>+Tabla520212224252627129125[[#This Row],[Recuento]]*Tabla520212224252627129125[[#This Row],[Área neta]]</f>
        <v>0</v>
      </c>
      <c r="NM95" s="26"/>
      <c r="NO95"/>
      <c r="NP95"/>
      <c r="NQ95"/>
      <c r="NR95"/>
      <c r="NS95"/>
      <c r="NT95"/>
      <c r="NU95" s="2">
        <f>+Tabla520212224252627129125130[[#This Row],[Recuento]]*Tabla520212224252627129125130[[#This Row],[Volúmen bruto]]</f>
        <v>0</v>
      </c>
      <c r="NV95" s="2">
        <f>+Tabla520212224252627129125130[[#This Row],[Recuento]]*Tabla520212224252627129125130[[#This Row],[Área neta]]</f>
        <v>0</v>
      </c>
      <c r="NW95" s="26"/>
      <c r="NY95"/>
      <c r="NZ95"/>
      <c r="OA95"/>
      <c r="OB95"/>
      <c r="OC95"/>
      <c r="OD95"/>
      <c r="OE95" s="2">
        <f>+Tabla520212224252627129125130131[[#This Row],[Recuento]]*Tabla520212224252627129125130131[[#This Row],[Volúmen bruto]]</f>
        <v>0</v>
      </c>
      <c r="OF95" s="2">
        <f>+Tabla520212224252627129125130131[[#This Row],[Recuento]]*Tabla520212224252627129125130131[[#This Row],[Área neta]]</f>
        <v>0</v>
      </c>
      <c r="OG95" s="26"/>
      <c r="OI95"/>
      <c r="OJ95"/>
      <c r="OK95"/>
      <c r="OL95"/>
      <c r="OM95"/>
      <c r="ON95"/>
      <c r="OO95" s="2">
        <f>+Tabla520212224252627129125130131132[[#This Row],[Recuento]]*Tabla520212224252627129125130131132[[#This Row],[Volúmen bruto]]</f>
        <v>0</v>
      </c>
      <c r="OP95" s="2">
        <f>+Tabla520212224252627129125130131132[[#This Row],[Recuento]]*Tabla520212224252627129125130131132[[#This Row],[Área neta]]</f>
        <v>0</v>
      </c>
      <c r="OQ95" s="26"/>
      <c r="OS95"/>
      <c r="OT95"/>
      <c r="OU95"/>
      <c r="OV95"/>
      <c r="OW95"/>
      <c r="OX95"/>
      <c r="OY95" s="2">
        <f>+Tabla52021222425262728[[#This Row],[Recuento]]*Tabla52021222425262728[[#This Row],[Volúmen bruto]]</f>
        <v>0</v>
      </c>
      <c r="OZ95" s="2">
        <f>+Tabla52021222425262728[[#This Row],[Recuento]]*Tabla52021222425262728[[#This Row],[Área neta]]</f>
        <v>0</v>
      </c>
      <c r="PA95" s="26">
        <f t="shared" si="41"/>
        <v>0</v>
      </c>
      <c r="PC95"/>
      <c r="PD95"/>
      <c r="PE95"/>
      <c r="PF95"/>
      <c r="PG95"/>
      <c r="PH95"/>
      <c r="PI95" s="2">
        <f>+Tabla52021222425262728133[[#This Row],[Recuento]]*Tabla52021222425262728133[[#This Row],[Volúmen bruto]]</f>
        <v>0</v>
      </c>
      <c r="PJ95" s="2">
        <f>+Tabla52021222425262728133[[#This Row],[Recuento]]*Tabla52021222425262728133[[#This Row],[Área neta]]</f>
        <v>0</v>
      </c>
      <c r="PK95" s="26"/>
      <c r="PM95"/>
      <c r="PN95"/>
      <c r="PO95"/>
      <c r="PP95"/>
      <c r="PQ95"/>
      <c r="PR95"/>
      <c r="PS95" s="2">
        <f>+Tabla5202122242526272893[[#This Row],[Recuento]]*Tabla5202122242526272893[[#This Row],[Volúmen bruto]]</f>
        <v>0</v>
      </c>
      <c r="PT95" s="2">
        <f>+Tabla5202122242526272893[[#This Row],[Recuento]]*Tabla5202122242526272893[[#This Row],[Área neta]]</f>
        <v>0</v>
      </c>
      <c r="PU95" s="26"/>
      <c r="PW95"/>
      <c r="PX95"/>
      <c r="PY95"/>
      <c r="PZ95"/>
      <c r="QA95"/>
      <c r="QB95"/>
      <c r="QC95" s="2">
        <f>+Tabla520212224252627289349[[#This Row],[Recuento]]*Tabla520212224252627289349[[#This Row],[Volúmen bruto]]</f>
        <v>0</v>
      </c>
      <c r="QD95" s="2">
        <f>+Tabla520212224252627289349[[#This Row],[Recuento]]*Tabla520212224252627289349[[#This Row],[Área neta]]</f>
        <v>0</v>
      </c>
      <c r="QE95" s="26"/>
      <c r="QG95"/>
      <c r="QH95"/>
      <c r="QI95"/>
      <c r="QJ95"/>
      <c r="QK95"/>
      <c r="QL95"/>
      <c r="QM95" s="2">
        <f>+Tabla520212224252627289349134[[#This Row],[Recuento]]*Tabla520212224252627289349134[[#This Row],[Volúmen bruto]]</f>
        <v>0</v>
      </c>
      <c r="QN95" s="2">
        <f>+Tabla520212224252627289349134[[#This Row],[Recuento]]*Tabla520212224252627289349134[[#This Row],[Área neta]]</f>
        <v>0</v>
      </c>
      <c r="QO95" s="26"/>
      <c r="QQ95"/>
      <c r="QR95"/>
      <c r="QS95"/>
      <c r="QT95"/>
      <c r="QU95"/>
      <c r="QV95"/>
      <c r="QW95"/>
      <c r="RA95" s="26"/>
      <c r="RC95"/>
      <c r="RD95"/>
      <c r="RE95"/>
      <c r="RF95"/>
      <c r="RG95"/>
      <c r="RH95"/>
      <c r="RK95" s="26"/>
      <c r="RM95"/>
      <c r="RN95"/>
      <c r="RO95"/>
      <c r="RP95"/>
      <c r="RQ95"/>
      <c r="RR95"/>
      <c r="RU95" s="26">
        <f t="shared" si="42"/>
        <v>0</v>
      </c>
      <c r="RW95"/>
      <c r="RX95"/>
      <c r="RY95"/>
      <c r="RZ95"/>
      <c r="SA95"/>
      <c r="SB95"/>
      <c r="SE95" s="26"/>
      <c r="SG95"/>
      <c r="SH95"/>
      <c r="SI95"/>
      <c r="SJ95"/>
      <c r="SK95"/>
      <c r="SL95"/>
      <c r="SO95" s="26"/>
      <c r="YK95"/>
      <c r="YL95"/>
      <c r="YM95"/>
      <c r="YN95"/>
      <c r="YO95"/>
      <c r="ADJ95"/>
      <c r="ADK95"/>
      <c r="ADL95"/>
      <c r="ADM95"/>
      <c r="ADN95"/>
      <c r="ADO95"/>
      <c r="ADP95" s="36"/>
      <c r="ADR95"/>
      <c r="ADS95"/>
      <c r="ADT95"/>
      <c r="ADU95"/>
      <c r="ADV95"/>
      <c r="ADW95" s="35"/>
      <c r="ADX95" s="35"/>
      <c r="ADY95"/>
      <c r="ADZ95"/>
      <c r="AEA95"/>
      <c r="AEB95"/>
      <c r="AEE95" s="36"/>
      <c r="AEN95" t="s">
        <v>1522</v>
      </c>
      <c r="AEO95" t="s">
        <v>1524</v>
      </c>
      <c r="AEP95" t="s">
        <v>382</v>
      </c>
      <c r="AEQ95">
        <v>0.7</v>
      </c>
      <c r="AER95">
        <v>1</v>
      </c>
      <c r="AES95">
        <f>+Tabla5789141516343536373839404142434445464748495051525355606264[[#This Row],[G. Total]]*Tabla5789141516343536373839404142434445464748495051525355606264[[#This Row],[Recuento]]</f>
        <v>0.7</v>
      </c>
      <c r="AET95" s="36"/>
      <c r="AEV95"/>
      <c r="AEW95"/>
      <c r="AEX95"/>
      <c r="AEY95"/>
      <c r="AFA95" s="35"/>
      <c r="AFC95"/>
      <c r="AFD95"/>
      <c r="AFE95"/>
      <c r="AFF95"/>
      <c r="AFG95"/>
      <c r="AFH95"/>
      <c r="AFI95"/>
      <c r="AFJ95"/>
      <c r="AFK95"/>
      <c r="AFL95"/>
      <c r="AFM95"/>
      <c r="AFN95">
        <f>+Tabla578914151634353637383940414243444546474849505152535560626467[[#This Row],[G. Total]]*Tabla578914151634353637383940414243444546474849505152535560626467[[#This Row],[Recuento]]</f>
        <v>0</v>
      </c>
      <c r="AFO95" s="36"/>
    </row>
    <row r="96" spans="2:847" x14ac:dyDescent="0.25">
      <c r="B96"/>
      <c r="C96"/>
      <c r="D96"/>
      <c r="E96"/>
      <c r="F96"/>
      <c r="G96"/>
      <c r="H96"/>
      <c r="I96"/>
      <c r="BG96"/>
      <c r="BH96"/>
      <c r="BI96"/>
      <c r="BJ96"/>
      <c r="BK96"/>
      <c r="BL96">
        <f>+Tabla3102[[#This Row],[Longitud de eje]]*BF96</f>
        <v>0</v>
      </c>
      <c r="BM96">
        <f>+Tabla3102[[#This Row],[Longitud de eje]]*BG96</f>
        <v>0</v>
      </c>
      <c r="BO96"/>
      <c r="BP96"/>
      <c r="BQ96"/>
      <c r="BR96"/>
      <c r="BS96"/>
      <c r="BT96"/>
      <c r="BU96"/>
      <c r="BV96">
        <v>1</v>
      </c>
      <c r="BW96"/>
      <c r="BX96"/>
      <c r="BY96"/>
      <c r="BZ96"/>
      <c r="CA96"/>
      <c r="CB96">
        <f>+Tabla31011[[#This Row],[Longitud de eje]]*BV96</f>
        <v>0</v>
      </c>
      <c r="CD96">
        <v>1</v>
      </c>
      <c r="CE96"/>
      <c r="CF96"/>
      <c r="CG96"/>
      <c r="CH96"/>
      <c r="CI96"/>
      <c r="CJ96"/>
      <c r="CK96"/>
      <c r="CL96">
        <v>1</v>
      </c>
      <c r="CM96"/>
      <c r="CN96"/>
      <c r="CO96"/>
      <c r="CP96"/>
      <c r="CQ96"/>
      <c r="CR96">
        <f>+Tabla31011116[[#This Row],[Longitud de eje]]*CL96</f>
        <v>0</v>
      </c>
      <c r="CT96">
        <v>1</v>
      </c>
      <c r="CU96"/>
      <c r="CV96"/>
      <c r="CW96"/>
      <c r="CX96"/>
      <c r="CY96"/>
      <c r="CZ96"/>
      <c r="DA96"/>
      <c r="DB96">
        <v>1</v>
      </c>
      <c r="DC96"/>
      <c r="DD96"/>
      <c r="DE96"/>
      <c r="DF96"/>
      <c r="DG96">
        <f>+Tabla31011704[[#This Row],[Longitud de eje]]*DB96</f>
        <v>0</v>
      </c>
      <c r="DH96"/>
      <c r="DI96">
        <v>1</v>
      </c>
      <c r="DJ96"/>
      <c r="DK96"/>
      <c r="DL96"/>
      <c r="DM96"/>
      <c r="DN96">
        <f>+Tabla3101170411[[#This Row],[Longitud de eje]]*DI96</f>
        <v>0</v>
      </c>
      <c r="DO96"/>
      <c r="DP96">
        <v>1</v>
      </c>
      <c r="DQ96"/>
      <c r="DR96"/>
      <c r="DS96"/>
      <c r="DT96"/>
      <c r="DU96">
        <f>+Tabla3101170411120[[#This Row],[Longitud de eje]]*DP96</f>
        <v>0</v>
      </c>
      <c r="DV96"/>
      <c r="DW96">
        <v>1</v>
      </c>
      <c r="DX96"/>
      <c r="DY96"/>
      <c r="DZ96"/>
      <c r="EA96"/>
      <c r="EB96">
        <f>+Tabla3101170411120122[[#This Row],[Longitud de eje]]*DW96</f>
        <v>0</v>
      </c>
      <c r="EC96"/>
      <c r="EE96"/>
      <c r="EF96"/>
      <c r="EG96"/>
      <c r="EH96"/>
      <c r="EI96"/>
      <c r="EJ96">
        <f>+Tabla3101112[[#This Row],[En culmo]]*ED96</f>
        <v>0</v>
      </c>
      <c r="EK96"/>
      <c r="EM96"/>
      <c r="EN96"/>
      <c r="EO96"/>
      <c r="EP96"/>
      <c r="EQ96"/>
      <c r="ER96">
        <f>+Tabla3101112123[[#This Row],[En culmo]]*EL96</f>
        <v>0</v>
      </c>
      <c r="ES96"/>
      <c r="EU96"/>
      <c r="EV96"/>
      <c r="EW96"/>
      <c r="EX96"/>
      <c r="EY96"/>
      <c r="EZ96">
        <f>+Tabla310111257[[#This Row],[En culmo]]*ET96</f>
        <v>0</v>
      </c>
      <c r="FA96"/>
      <c r="FC96"/>
      <c r="FD96"/>
      <c r="FE96"/>
      <c r="FF96"/>
      <c r="FG96"/>
      <c r="FH96">
        <f>+Tabla310111257124[[#This Row],[En culmo]]*FB96</f>
        <v>0</v>
      </c>
      <c r="FI96"/>
      <c r="FK96"/>
      <c r="FL96"/>
      <c r="FM96"/>
      <c r="FN96"/>
      <c r="FO96"/>
      <c r="FP96"/>
      <c r="FQ96"/>
      <c r="FS96"/>
      <c r="FT96"/>
      <c r="FU96"/>
      <c r="FV96"/>
      <c r="FW96"/>
      <c r="FX96"/>
      <c r="FY96"/>
      <c r="GA96"/>
      <c r="GB96"/>
      <c r="GC96"/>
      <c r="GD96"/>
      <c r="GE96"/>
      <c r="GF96"/>
      <c r="GG96"/>
      <c r="GI96"/>
      <c r="GJ96"/>
      <c r="GK96"/>
      <c r="GL96"/>
      <c r="GM96"/>
      <c r="GN96"/>
      <c r="GO96"/>
      <c r="GQ96"/>
      <c r="GR96"/>
      <c r="GS96"/>
      <c r="GT96"/>
      <c r="GU96"/>
      <c r="GV96"/>
      <c r="GW96"/>
      <c r="GX96"/>
      <c r="GY96" s="35"/>
      <c r="HA96"/>
      <c r="HB96"/>
      <c r="HC96"/>
      <c r="HD96"/>
      <c r="HE96"/>
      <c r="HF96"/>
      <c r="HG96"/>
      <c r="HH96"/>
      <c r="HI96" s="35"/>
      <c r="HK96"/>
      <c r="HL96"/>
      <c r="HM96"/>
      <c r="HN96"/>
      <c r="HO96"/>
      <c r="HP96"/>
      <c r="HQ96"/>
      <c r="HR96"/>
      <c r="HS96" s="35"/>
      <c r="HU96"/>
      <c r="HV96"/>
      <c r="HW96"/>
      <c r="HX96"/>
      <c r="HY96"/>
      <c r="HZ96"/>
      <c r="IA96"/>
      <c r="IB96"/>
      <c r="IC96" s="36"/>
      <c r="IE96"/>
      <c r="IF96"/>
      <c r="IG96"/>
      <c r="IH96"/>
      <c r="II96"/>
      <c r="IJ96"/>
      <c r="IK96"/>
      <c r="IL96"/>
      <c r="IM96" s="36"/>
      <c r="IY96"/>
      <c r="IZ96"/>
      <c r="JA96"/>
      <c r="JB96"/>
      <c r="JC96"/>
      <c r="JD96"/>
      <c r="JE96" s="2">
        <f>+Tabla520212224[[#This Row],[Recuento]]*Tabla520212224[[#This Row],[Volúmen bruto]]</f>
        <v>0</v>
      </c>
      <c r="JF96" s="2">
        <f>+Tabla520212224[[#This Row],[Recuento]]*Tabla520212224[[#This Row],[Área neta]]</f>
        <v>0</v>
      </c>
      <c r="JG96" s="26"/>
      <c r="JI96"/>
      <c r="JJ96"/>
      <c r="JK96"/>
      <c r="JL96"/>
      <c r="JM96"/>
      <c r="JN96"/>
      <c r="JO96" s="2">
        <f>+Tabla52021222425[[#This Row],[Recuento]]*Tabla52021222425[[#This Row],[Volúmen bruto]]</f>
        <v>0</v>
      </c>
      <c r="JP96" s="2">
        <f>+Tabla52021222425[[#This Row],[Recuento]]*Tabla52021222425[[#This Row],[Área neta]]</f>
        <v>0</v>
      </c>
      <c r="JQ96" s="26"/>
      <c r="JS96"/>
      <c r="JT96"/>
      <c r="JU96"/>
      <c r="JV96"/>
      <c r="JW96"/>
      <c r="JX96"/>
      <c r="JY96" s="2">
        <f>+Tabla5202122242526[[#This Row],[Recuento]]*Tabla5202122242526[[#This Row],[Volúmen bruto]]</f>
        <v>0</v>
      </c>
      <c r="JZ96" s="2">
        <f>+Tabla5202122242526[[#This Row],[Recuento]]*Tabla5202122242526[[#This Row],[Área neta]]</f>
        <v>0</v>
      </c>
      <c r="KA96" s="26"/>
      <c r="KC96"/>
      <c r="KD96"/>
      <c r="KE96"/>
      <c r="KF96"/>
      <c r="KG96"/>
      <c r="KH96"/>
      <c r="KI96" s="2">
        <f>+Tabla5202122242526104[[#This Row],[Recuento]]*Tabla5202122242526104[[#This Row],[Volúmen bruto]]</f>
        <v>0</v>
      </c>
      <c r="KJ96" s="2">
        <f>+Tabla5202122242526104[[#This Row],[Recuento]]*Tabla5202122242526104[[#This Row],[Área neta]]</f>
        <v>0</v>
      </c>
      <c r="KK96" s="26"/>
      <c r="KM96"/>
      <c r="KN96"/>
      <c r="KO96"/>
      <c r="KP96"/>
      <c r="KQ96"/>
      <c r="KR96"/>
      <c r="KS96" s="2">
        <f>+Tabla5202122242526104110[[#This Row],[Recuento]]*Tabla5202122242526104110[[#This Row],[Volúmen bruto]]</f>
        <v>0</v>
      </c>
      <c r="KT96" s="2">
        <f>+Tabla5202122242526104110[[#This Row],[Recuento]]*Tabla5202122242526104110[[#This Row],[Área neta]]</f>
        <v>0</v>
      </c>
      <c r="KU96" s="26"/>
      <c r="KW96"/>
      <c r="KX96"/>
      <c r="KY96"/>
      <c r="KZ96"/>
      <c r="LA96"/>
      <c r="LB96"/>
      <c r="LC96" s="2">
        <f>+Tabla520212224252659[[#This Row],[Recuento]]*Tabla520212224252659[[#This Row],[Volúmen bruto]]</f>
        <v>0</v>
      </c>
      <c r="LD96" s="2">
        <f>+Tabla520212224252659[[#This Row],[Recuento]]*Tabla520212224252659[[#This Row],[Área neta]]</f>
        <v>0</v>
      </c>
      <c r="LE96" s="26"/>
      <c r="LG96"/>
      <c r="LH96"/>
      <c r="LI96"/>
      <c r="LJ96"/>
      <c r="LK96"/>
      <c r="LL96"/>
      <c r="LM96" s="2">
        <f>+Tabla520212224252659111[[#This Row],[Recuento]]*Tabla520212224252659111[[#This Row],[Volúmen bruto]]</f>
        <v>0</v>
      </c>
      <c r="LN96" s="2">
        <f>+Tabla520212224252659111[[#This Row],[Recuento]]*Tabla520212224252659111[[#This Row],[Área neta]]</f>
        <v>0</v>
      </c>
      <c r="LO96" s="26"/>
      <c r="LQ96"/>
      <c r="LR96"/>
      <c r="LS96"/>
      <c r="LT96"/>
      <c r="LU96"/>
      <c r="LV96"/>
      <c r="LW96" s="2">
        <f>+Tabla520212224252659111114[[#This Row],[Recuento]]*Tabla520212224252659111114[[#This Row],[Volúmen bruto]]</f>
        <v>0</v>
      </c>
      <c r="LX96" s="2">
        <f>+Tabla520212224252659111114[[#This Row],[Recuento]]*Tabla520212224252659111114[[#This Row],[Área neta]]</f>
        <v>0</v>
      </c>
      <c r="LY96" s="26"/>
      <c r="MA96"/>
      <c r="MB96"/>
      <c r="MC96"/>
      <c r="MD96"/>
      <c r="ME96"/>
      <c r="MF96"/>
      <c r="MG96" s="2">
        <f>+Tabla520212224252659111114128[[#This Row],[Recuento]]*Tabla520212224252659111114128[[#This Row],[Volúmen bruto]]</f>
        <v>0</v>
      </c>
      <c r="MH96" s="2">
        <f>+Tabla520212224252659111114128[[#This Row],[Recuento]]*Tabla520212224252659111114128[[#This Row],[Área neta]]</f>
        <v>0</v>
      </c>
      <c r="MI96" s="26"/>
      <c r="MK96"/>
      <c r="ML96"/>
      <c r="MM96"/>
      <c r="MN96"/>
      <c r="MO96"/>
      <c r="MP96"/>
      <c r="MQ96" s="2">
        <f>+Tabla520212224252627[[#This Row],[Recuento]]*Tabla520212224252627[[#This Row],[Volúmen bruto]]</f>
        <v>0</v>
      </c>
      <c r="MR96" s="2">
        <f>+Tabla520212224252627[[#This Row],[Recuento]]*Tabla520212224252627[[#This Row],[Área neta]]</f>
        <v>0</v>
      </c>
      <c r="MS96" s="26"/>
      <c r="MU96"/>
      <c r="MV96"/>
      <c r="MW96"/>
      <c r="MX96"/>
      <c r="MY96"/>
      <c r="MZ96"/>
      <c r="NA96" s="2">
        <f>+Tabla520212224252627129[[#This Row],[Recuento]]*Tabla520212224252627129[[#This Row],[Volúmen bruto]]</f>
        <v>0</v>
      </c>
      <c r="NB96" s="2">
        <f>+Tabla520212224252627129[[#This Row],[Recuento]]*Tabla520212224252627129[[#This Row],[Área neta]]</f>
        <v>0</v>
      </c>
      <c r="NC96" s="26"/>
      <c r="NE96"/>
      <c r="NF96"/>
      <c r="NG96"/>
      <c r="NH96"/>
      <c r="NI96"/>
      <c r="NJ96"/>
      <c r="NK96" s="2">
        <f>+Tabla520212224252627129125[[#This Row],[Recuento]]*Tabla520212224252627129125[[#This Row],[Volúmen bruto]]</f>
        <v>0</v>
      </c>
      <c r="NL96" s="2">
        <f>+Tabla520212224252627129125[[#This Row],[Recuento]]*Tabla520212224252627129125[[#This Row],[Área neta]]</f>
        <v>0</v>
      </c>
      <c r="NM96" s="26"/>
      <c r="NO96"/>
      <c r="NP96"/>
      <c r="NQ96"/>
      <c r="NR96"/>
      <c r="NS96"/>
      <c r="NT96"/>
      <c r="NU96" s="2">
        <f>+Tabla520212224252627129125130[[#This Row],[Recuento]]*Tabla520212224252627129125130[[#This Row],[Volúmen bruto]]</f>
        <v>0</v>
      </c>
      <c r="NV96" s="2">
        <f>+Tabla520212224252627129125130[[#This Row],[Recuento]]*Tabla520212224252627129125130[[#This Row],[Área neta]]</f>
        <v>0</v>
      </c>
      <c r="NW96" s="26"/>
      <c r="NY96"/>
      <c r="NZ96"/>
      <c r="OA96"/>
      <c r="OB96"/>
      <c r="OC96"/>
      <c r="OD96"/>
      <c r="OE96" s="2">
        <f>+Tabla520212224252627129125130131[[#This Row],[Recuento]]*Tabla520212224252627129125130131[[#This Row],[Volúmen bruto]]</f>
        <v>0</v>
      </c>
      <c r="OF96" s="2">
        <f>+Tabla520212224252627129125130131[[#This Row],[Recuento]]*Tabla520212224252627129125130131[[#This Row],[Área neta]]</f>
        <v>0</v>
      </c>
      <c r="OG96" s="26"/>
      <c r="OI96"/>
      <c r="OJ96"/>
      <c r="OK96"/>
      <c r="OL96"/>
      <c r="OM96"/>
      <c r="ON96"/>
      <c r="OO96" s="2">
        <f>+Tabla520212224252627129125130131132[[#This Row],[Recuento]]*Tabla520212224252627129125130131132[[#This Row],[Volúmen bruto]]</f>
        <v>0</v>
      </c>
      <c r="OP96" s="2">
        <f>+Tabla520212224252627129125130131132[[#This Row],[Recuento]]*Tabla520212224252627129125130131132[[#This Row],[Área neta]]</f>
        <v>0</v>
      </c>
      <c r="OQ96" s="26"/>
      <c r="OS96"/>
      <c r="OT96"/>
      <c r="OU96"/>
      <c r="OV96"/>
      <c r="OW96"/>
      <c r="OX96"/>
      <c r="OY96" s="2">
        <f>+Tabla52021222425262728[[#This Row],[Recuento]]*Tabla52021222425262728[[#This Row],[Volúmen bruto]]</f>
        <v>0</v>
      </c>
      <c r="OZ96" s="2">
        <f>+Tabla52021222425262728[[#This Row],[Recuento]]*Tabla52021222425262728[[#This Row],[Área neta]]</f>
        <v>0</v>
      </c>
      <c r="PA96" s="26">
        <f t="shared" si="41"/>
        <v>0</v>
      </c>
      <c r="PC96"/>
      <c r="PD96"/>
      <c r="PE96"/>
      <c r="PF96"/>
      <c r="PG96"/>
      <c r="PH96"/>
      <c r="PI96" s="2">
        <f>+Tabla52021222425262728133[[#This Row],[Recuento]]*Tabla52021222425262728133[[#This Row],[Volúmen bruto]]</f>
        <v>0</v>
      </c>
      <c r="PJ96" s="2">
        <f>+Tabla52021222425262728133[[#This Row],[Recuento]]*Tabla52021222425262728133[[#This Row],[Área neta]]</f>
        <v>0</v>
      </c>
      <c r="PK96" s="26"/>
      <c r="PM96"/>
      <c r="PN96"/>
      <c r="PO96"/>
      <c r="PP96"/>
      <c r="PQ96"/>
      <c r="PR96"/>
      <c r="PS96" s="2">
        <f>+Tabla5202122242526272893[[#This Row],[Recuento]]*Tabla5202122242526272893[[#This Row],[Volúmen bruto]]</f>
        <v>0</v>
      </c>
      <c r="PT96" s="2">
        <f>+Tabla5202122242526272893[[#This Row],[Recuento]]*Tabla5202122242526272893[[#This Row],[Área neta]]</f>
        <v>0</v>
      </c>
      <c r="PU96" s="26"/>
      <c r="PW96"/>
      <c r="PX96"/>
      <c r="PY96"/>
      <c r="PZ96"/>
      <c r="QA96"/>
      <c r="QB96"/>
      <c r="QC96" s="2">
        <f>+Tabla520212224252627289349[[#This Row],[Recuento]]*Tabla520212224252627289349[[#This Row],[Volúmen bruto]]</f>
        <v>0</v>
      </c>
      <c r="QD96" s="2">
        <f>+Tabla520212224252627289349[[#This Row],[Recuento]]*Tabla520212224252627289349[[#This Row],[Área neta]]</f>
        <v>0</v>
      </c>
      <c r="QE96" s="26"/>
      <c r="QG96"/>
      <c r="QH96"/>
      <c r="QI96"/>
      <c r="QJ96"/>
      <c r="QK96"/>
      <c r="QL96"/>
      <c r="QM96" s="2">
        <f>+Tabla520212224252627289349134[[#This Row],[Recuento]]*Tabla520212224252627289349134[[#This Row],[Volúmen bruto]]</f>
        <v>0</v>
      </c>
      <c r="QN96" s="2">
        <f>+Tabla520212224252627289349134[[#This Row],[Recuento]]*Tabla520212224252627289349134[[#This Row],[Área neta]]</f>
        <v>0</v>
      </c>
      <c r="QO96" s="26"/>
      <c r="QQ96"/>
      <c r="QR96"/>
      <c r="QS96"/>
      <c r="QT96"/>
      <c r="QU96"/>
      <c r="QV96"/>
      <c r="QW96"/>
      <c r="RA96" s="26"/>
      <c r="RC96"/>
      <c r="RD96"/>
      <c r="RE96"/>
      <c r="RF96"/>
      <c r="RG96"/>
      <c r="RH96"/>
      <c r="RK96" s="26"/>
      <c r="RM96"/>
      <c r="RN96"/>
      <c r="RO96"/>
      <c r="RP96"/>
      <c r="RQ96"/>
      <c r="RR96"/>
      <c r="RU96" s="26">
        <f t="shared" si="42"/>
        <v>0</v>
      </c>
      <c r="RW96"/>
      <c r="RX96"/>
      <c r="RY96"/>
      <c r="RZ96"/>
      <c r="SA96"/>
      <c r="SB96"/>
      <c r="SE96" s="26"/>
      <c r="SG96"/>
      <c r="SH96"/>
      <c r="SI96"/>
      <c r="SJ96"/>
      <c r="SK96"/>
      <c r="SL96"/>
      <c r="SO96" s="26"/>
      <c r="YK96"/>
      <c r="YL96"/>
      <c r="YM96"/>
      <c r="YN96"/>
      <c r="YO96"/>
      <c r="ADJ96"/>
      <c r="ADK96"/>
      <c r="ADL96"/>
      <c r="ADM96"/>
      <c r="ADN96"/>
      <c r="ADO96"/>
      <c r="ADP96" s="36"/>
      <c r="ADR96"/>
      <c r="ADS96"/>
      <c r="ADT96"/>
      <c r="ADU96"/>
      <c r="ADV96"/>
      <c r="ADW96" s="35"/>
      <c r="ADX96" s="35"/>
      <c r="ADY96"/>
      <c r="ADZ96"/>
      <c r="AEA96"/>
      <c r="AEB96"/>
      <c r="AEE96" s="36"/>
      <c r="AEN96" t="s">
        <v>1522</v>
      </c>
      <c r="AEO96" t="s">
        <v>1524</v>
      </c>
      <c r="AEP96" t="s">
        <v>382</v>
      </c>
      <c r="AEQ96">
        <v>1.22</v>
      </c>
      <c r="AER96">
        <v>1</v>
      </c>
      <c r="AES96">
        <f>+Tabla5789141516343536373839404142434445464748495051525355606264[[#This Row],[G. Total]]*Tabla5789141516343536373839404142434445464748495051525355606264[[#This Row],[Recuento]]</f>
        <v>1.22</v>
      </c>
      <c r="AET96" s="36"/>
      <c r="AFC96"/>
      <c r="AFD96"/>
      <c r="AFE96"/>
      <c r="AFF96"/>
      <c r="AFG96"/>
      <c r="AFH96"/>
      <c r="AFI96"/>
      <c r="AFJ96"/>
      <c r="AFK96"/>
      <c r="AFL96"/>
      <c r="AFM96"/>
      <c r="AFN96">
        <f>+Tabla578914151634353637383940414243444546474849505152535560626467[[#This Row],[G. Total]]*Tabla578914151634353637383940414243444546474849505152535560626467[[#This Row],[Recuento]]</f>
        <v>0</v>
      </c>
      <c r="AFO96" s="36"/>
    </row>
    <row r="97" spans="2:847" x14ac:dyDescent="0.25">
      <c r="B97"/>
      <c r="C97"/>
      <c r="D97"/>
      <c r="E97"/>
      <c r="F97"/>
      <c r="G97"/>
      <c r="H97"/>
      <c r="I97"/>
      <c r="BG97"/>
      <c r="BH97"/>
      <c r="BI97"/>
      <c r="BJ97"/>
      <c r="BK97"/>
      <c r="BL97">
        <f>+Tabla3102[[#This Row],[Longitud de eje]]*BF97</f>
        <v>0</v>
      </c>
      <c r="BM97">
        <f>+Tabla3102[[#This Row],[Longitud de eje]]*BG97</f>
        <v>0</v>
      </c>
      <c r="BO97"/>
      <c r="BP97"/>
      <c r="BQ97"/>
      <c r="BR97"/>
      <c r="BS97"/>
      <c r="BT97"/>
      <c r="BU97"/>
      <c r="BV97">
        <v>1</v>
      </c>
      <c r="BW97"/>
      <c r="BX97"/>
      <c r="BY97"/>
      <c r="BZ97"/>
      <c r="CA97"/>
      <c r="CB97">
        <f>+Tabla31011[[#This Row],[Longitud de eje]]*BV97</f>
        <v>0</v>
      </c>
      <c r="CD97">
        <v>1</v>
      </c>
      <c r="CE97"/>
      <c r="CF97"/>
      <c r="CG97"/>
      <c r="CH97"/>
      <c r="CI97"/>
      <c r="CJ97"/>
      <c r="CK97"/>
      <c r="CL97">
        <v>1</v>
      </c>
      <c r="CM97"/>
      <c r="CN97"/>
      <c r="CO97"/>
      <c r="CP97"/>
      <c r="CQ97"/>
      <c r="CR97">
        <f>+Tabla31011116[[#This Row],[Longitud de eje]]*CL97</f>
        <v>0</v>
      </c>
      <c r="CT97">
        <v>1</v>
      </c>
      <c r="CU97"/>
      <c r="CV97"/>
      <c r="CW97"/>
      <c r="CX97"/>
      <c r="CY97"/>
      <c r="CZ97"/>
      <c r="DA97"/>
      <c r="DB97">
        <v>1</v>
      </c>
      <c r="DC97"/>
      <c r="DD97"/>
      <c r="DE97"/>
      <c r="DF97"/>
      <c r="DG97">
        <f>+Tabla31011704[[#This Row],[Longitud de eje]]*DB97</f>
        <v>0</v>
      </c>
      <c r="DH97"/>
      <c r="DI97">
        <v>1</v>
      </c>
      <c r="DJ97"/>
      <c r="DK97"/>
      <c r="DL97"/>
      <c r="DM97"/>
      <c r="DN97">
        <f>+Tabla3101170411[[#This Row],[Longitud de eje]]*DI97</f>
        <v>0</v>
      </c>
      <c r="DO97"/>
      <c r="DP97">
        <v>1</v>
      </c>
      <c r="DQ97"/>
      <c r="DR97"/>
      <c r="DS97"/>
      <c r="DT97"/>
      <c r="DU97">
        <f>+Tabla3101170411120[[#This Row],[Longitud de eje]]*DP97</f>
        <v>0</v>
      </c>
      <c r="DV97"/>
      <c r="DW97">
        <v>1</v>
      </c>
      <c r="DX97"/>
      <c r="DY97"/>
      <c r="DZ97"/>
      <c r="EA97"/>
      <c r="EB97">
        <f>+Tabla3101170411120122[[#This Row],[Longitud de eje]]*DW97</f>
        <v>0</v>
      </c>
      <c r="EC97"/>
      <c r="EE97"/>
      <c r="EF97"/>
      <c r="EG97"/>
      <c r="EH97"/>
      <c r="EI97"/>
      <c r="EJ97">
        <f>+Tabla3101112[[#This Row],[En culmo]]*ED97</f>
        <v>0</v>
      </c>
      <c r="EK97"/>
      <c r="EM97"/>
      <c r="EN97"/>
      <c r="EO97"/>
      <c r="EP97"/>
      <c r="EQ97"/>
      <c r="ER97">
        <f>+Tabla3101112123[[#This Row],[En culmo]]*EL97</f>
        <v>0</v>
      </c>
      <c r="ES97"/>
      <c r="EU97"/>
      <c r="EV97"/>
      <c r="EW97"/>
      <c r="EX97"/>
      <c r="EY97"/>
      <c r="EZ97">
        <f>+Tabla310111257[[#This Row],[En culmo]]*ET97</f>
        <v>0</v>
      </c>
      <c r="FA97"/>
      <c r="FC97"/>
      <c r="FD97"/>
      <c r="FE97"/>
      <c r="FF97"/>
      <c r="FG97"/>
      <c r="FH97">
        <f>+Tabla310111257124[[#This Row],[En culmo]]*FB97</f>
        <v>0</v>
      </c>
      <c r="FI97"/>
      <c r="FK97"/>
      <c r="FL97"/>
      <c r="FM97"/>
      <c r="FN97"/>
      <c r="FO97"/>
      <c r="FP97"/>
      <c r="FQ97"/>
      <c r="FS97"/>
      <c r="FT97"/>
      <c r="FU97"/>
      <c r="FV97"/>
      <c r="FW97"/>
      <c r="FX97"/>
      <c r="FY97"/>
      <c r="GA97"/>
      <c r="GB97"/>
      <c r="GC97"/>
      <c r="GD97"/>
      <c r="GE97"/>
      <c r="GF97"/>
      <c r="GG97"/>
      <c r="GI97"/>
      <c r="GJ97"/>
      <c r="GK97"/>
      <c r="GL97"/>
      <c r="GM97"/>
      <c r="GN97"/>
      <c r="GO97"/>
      <c r="GQ97"/>
      <c r="GR97"/>
      <c r="GS97"/>
      <c r="GT97"/>
      <c r="GU97"/>
      <c r="GV97"/>
      <c r="GW97"/>
      <c r="GX97"/>
      <c r="GY97" s="36"/>
      <c r="HA97"/>
      <c r="HB97"/>
      <c r="HC97"/>
      <c r="HD97"/>
      <c r="HE97"/>
      <c r="HF97"/>
      <c r="HG97"/>
      <c r="HH97"/>
      <c r="HI97" s="36"/>
      <c r="HK97"/>
      <c r="HL97"/>
      <c r="HM97"/>
      <c r="HN97"/>
      <c r="HO97"/>
      <c r="HP97"/>
      <c r="HQ97"/>
      <c r="HR97"/>
      <c r="HS97" s="36"/>
      <c r="HU97"/>
      <c r="HV97"/>
      <c r="HW97"/>
      <c r="HX97"/>
      <c r="HY97"/>
      <c r="HZ97"/>
      <c r="IA97"/>
      <c r="IB97"/>
      <c r="IC97" s="36"/>
      <c r="IE97"/>
      <c r="IF97"/>
      <c r="IG97"/>
      <c r="IH97"/>
      <c r="II97"/>
      <c r="IJ97"/>
      <c r="IK97"/>
      <c r="IL97"/>
      <c r="IM97" s="36"/>
      <c r="IY97"/>
      <c r="IZ97"/>
      <c r="JA97"/>
      <c r="JB97"/>
      <c r="JC97"/>
      <c r="JD97"/>
      <c r="JE97" s="2">
        <f>+Tabla520212224[[#This Row],[Recuento]]*Tabla520212224[[#This Row],[Volúmen bruto]]</f>
        <v>0</v>
      </c>
      <c r="JF97" s="2">
        <f>+Tabla520212224[[#This Row],[Recuento]]*Tabla520212224[[#This Row],[Área neta]]</f>
        <v>0</v>
      </c>
      <c r="JG97" s="26"/>
      <c r="JI97"/>
      <c r="JJ97"/>
      <c r="JK97"/>
      <c r="JL97"/>
      <c r="JM97"/>
      <c r="JN97"/>
      <c r="JO97" s="2">
        <f>+Tabla52021222425[[#This Row],[Recuento]]*Tabla52021222425[[#This Row],[Volúmen bruto]]</f>
        <v>0</v>
      </c>
      <c r="JP97" s="2">
        <f>+Tabla52021222425[[#This Row],[Recuento]]*Tabla52021222425[[#This Row],[Área neta]]</f>
        <v>0</v>
      </c>
      <c r="JQ97" s="26"/>
      <c r="JS97"/>
      <c r="JT97"/>
      <c r="JU97"/>
      <c r="JV97"/>
      <c r="JW97"/>
      <c r="JX97"/>
      <c r="JY97" s="2">
        <f>+Tabla5202122242526[[#This Row],[Recuento]]*Tabla5202122242526[[#This Row],[Volúmen bruto]]</f>
        <v>0</v>
      </c>
      <c r="JZ97" s="2">
        <f>+Tabla5202122242526[[#This Row],[Recuento]]*Tabla5202122242526[[#This Row],[Área neta]]</f>
        <v>0</v>
      </c>
      <c r="KA97" s="26"/>
      <c r="KC97"/>
      <c r="KD97"/>
      <c r="KE97"/>
      <c r="KF97"/>
      <c r="KG97"/>
      <c r="KH97"/>
      <c r="KI97" s="2">
        <f>+Tabla5202122242526104[[#This Row],[Recuento]]*Tabla5202122242526104[[#This Row],[Volúmen bruto]]</f>
        <v>0</v>
      </c>
      <c r="KJ97" s="2">
        <f>+Tabla5202122242526104[[#This Row],[Recuento]]*Tabla5202122242526104[[#This Row],[Área neta]]</f>
        <v>0</v>
      </c>
      <c r="KK97" s="26"/>
      <c r="KM97"/>
      <c r="KN97"/>
      <c r="KO97"/>
      <c r="KP97"/>
      <c r="KQ97"/>
      <c r="KR97"/>
      <c r="KS97" s="2">
        <f>+Tabla5202122242526104110[[#This Row],[Recuento]]*Tabla5202122242526104110[[#This Row],[Volúmen bruto]]</f>
        <v>0</v>
      </c>
      <c r="KT97" s="2">
        <f>+Tabla5202122242526104110[[#This Row],[Recuento]]*Tabla5202122242526104110[[#This Row],[Área neta]]</f>
        <v>0</v>
      </c>
      <c r="KU97" s="26"/>
      <c r="KW97"/>
      <c r="KX97"/>
      <c r="KY97"/>
      <c r="KZ97"/>
      <c r="LA97"/>
      <c r="LB97"/>
      <c r="LC97" s="2">
        <f>+Tabla520212224252659[[#This Row],[Recuento]]*Tabla520212224252659[[#This Row],[Volúmen bruto]]</f>
        <v>0</v>
      </c>
      <c r="LD97" s="2">
        <f>+Tabla520212224252659[[#This Row],[Recuento]]*Tabla520212224252659[[#This Row],[Área neta]]</f>
        <v>0</v>
      </c>
      <c r="LE97" s="26"/>
      <c r="LG97"/>
      <c r="LH97"/>
      <c r="LI97"/>
      <c r="LJ97"/>
      <c r="LK97"/>
      <c r="LL97"/>
      <c r="LM97" s="2">
        <f>+Tabla520212224252659111[[#This Row],[Recuento]]*Tabla520212224252659111[[#This Row],[Volúmen bruto]]</f>
        <v>0</v>
      </c>
      <c r="LN97" s="2">
        <f>+Tabla520212224252659111[[#This Row],[Recuento]]*Tabla520212224252659111[[#This Row],[Área neta]]</f>
        <v>0</v>
      </c>
      <c r="LO97" s="26"/>
      <c r="LQ97"/>
      <c r="LR97"/>
      <c r="LS97"/>
      <c r="LT97"/>
      <c r="LU97"/>
      <c r="LV97"/>
      <c r="LW97" s="2">
        <f>+Tabla520212224252659111114[[#This Row],[Recuento]]*Tabla520212224252659111114[[#This Row],[Volúmen bruto]]</f>
        <v>0</v>
      </c>
      <c r="LX97" s="2">
        <f>+Tabla520212224252659111114[[#This Row],[Recuento]]*Tabla520212224252659111114[[#This Row],[Área neta]]</f>
        <v>0</v>
      </c>
      <c r="LY97" s="26"/>
      <c r="MA97"/>
      <c r="MB97"/>
      <c r="MC97"/>
      <c r="MD97"/>
      <c r="ME97"/>
      <c r="MF97"/>
      <c r="MG97" s="2">
        <f>+Tabla520212224252659111114128[[#This Row],[Recuento]]*Tabla520212224252659111114128[[#This Row],[Volúmen bruto]]</f>
        <v>0</v>
      </c>
      <c r="MH97" s="2">
        <f>+Tabla520212224252659111114128[[#This Row],[Recuento]]*Tabla520212224252659111114128[[#This Row],[Área neta]]</f>
        <v>0</v>
      </c>
      <c r="MI97" s="26"/>
      <c r="MK97"/>
      <c r="ML97"/>
      <c r="MM97"/>
      <c r="MN97"/>
      <c r="MO97"/>
      <c r="MP97"/>
      <c r="MQ97" s="2">
        <f>+Tabla520212224252627[[#This Row],[Recuento]]*Tabla520212224252627[[#This Row],[Volúmen bruto]]</f>
        <v>0</v>
      </c>
      <c r="MR97" s="2">
        <f>+Tabla520212224252627[[#This Row],[Recuento]]*Tabla520212224252627[[#This Row],[Área neta]]</f>
        <v>0</v>
      </c>
      <c r="MS97" s="26"/>
      <c r="MU97"/>
      <c r="MV97"/>
      <c r="MW97"/>
      <c r="MX97"/>
      <c r="MY97"/>
      <c r="MZ97"/>
      <c r="NA97" s="2">
        <f>+Tabla520212224252627129[[#This Row],[Recuento]]*Tabla520212224252627129[[#This Row],[Volúmen bruto]]</f>
        <v>0</v>
      </c>
      <c r="NB97" s="2">
        <f>+Tabla520212224252627129[[#This Row],[Recuento]]*Tabla520212224252627129[[#This Row],[Área neta]]</f>
        <v>0</v>
      </c>
      <c r="NC97" s="26"/>
      <c r="NE97"/>
      <c r="NF97"/>
      <c r="NG97"/>
      <c r="NH97"/>
      <c r="NI97"/>
      <c r="NJ97"/>
      <c r="NK97" s="2">
        <f>+Tabla520212224252627129125[[#This Row],[Recuento]]*Tabla520212224252627129125[[#This Row],[Volúmen bruto]]</f>
        <v>0</v>
      </c>
      <c r="NL97" s="2">
        <f>+Tabla520212224252627129125[[#This Row],[Recuento]]*Tabla520212224252627129125[[#This Row],[Área neta]]</f>
        <v>0</v>
      </c>
      <c r="NM97" s="26"/>
      <c r="NO97"/>
      <c r="NP97"/>
      <c r="NQ97"/>
      <c r="NR97"/>
      <c r="NS97"/>
      <c r="NT97"/>
      <c r="NU97" s="2">
        <f>+Tabla520212224252627129125130[[#This Row],[Recuento]]*Tabla520212224252627129125130[[#This Row],[Volúmen bruto]]</f>
        <v>0</v>
      </c>
      <c r="NV97" s="2">
        <f>+Tabla520212224252627129125130[[#This Row],[Recuento]]*Tabla520212224252627129125130[[#This Row],[Área neta]]</f>
        <v>0</v>
      </c>
      <c r="NW97" s="26"/>
      <c r="NY97"/>
      <c r="NZ97"/>
      <c r="OA97"/>
      <c r="OB97"/>
      <c r="OC97"/>
      <c r="OD97"/>
      <c r="OE97" s="2">
        <f>+Tabla520212224252627129125130131[[#This Row],[Recuento]]*Tabla520212224252627129125130131[[#This Row],[Volúmen bruto]]</f>
        <v>0</v>
      </c>
      <c r="OF97" s="2">
        <f>+Tabla520212224252627129125130131[[#This Row],[Recuento]]*Tabla520212224252627129125130131[[#This Row],[Área neta]]</f>
        <v>0</v>
      </c>
      <c r="OG97" s="26"/>
      <c r="OI97"/>
      <c r="OJ97"/>
      <c r="OK97"/>
      <c r="OL97"/>
      <c r="OM97"/>
      <c r="ON97"/>
      <c r="OO97" s="2">
        <f>+Tabla520212224252627129125130131132[[#This Row],[Recuento]]*Tabla520212224252627129125130131132[[#This Row],[Volúmen bruto]]</f>
        <v>0</v>
      </c>
      <c r="OP97" s="2">
        <f>+Tabla520212224252627129125130131132[[#This Row],[Recuento]]*Tabla520212224252627129125130131132[[#This Row],[Área neta]]</f>
        <v>0</v>
      </c>
      <c r="OQ97" s="26"/>
      <c r="OS97"/>
      <c r="OT97"/>
      <c r="OU97"/>
      <c r="OV97"/>
      <c r="OW97"/>
      <c r="OX97"/>
      <c r="OY97" s="2">
        <f>+Tabla52021222425262728[[#This Row],[Recuento]]*Tabla52021222425262728[[#This Row],[Volúmen bruto]]</f>
        <v>0</v>
      </c>
      <c r="OZ97" s="2">
        <f>+Tabla52021222425262728[[#This Row],[Recuento]]*Tabla52021222425262728[[#This Row],[Área neta]]</f>
        <v>0</v>
      </c>
      <c r="PA97" s="26">
        <f t="shared" si="41"/>
        <v>0</v>
      </c>
      <c r="PC97"/>
      <c r="PD97"/>
      <c r="PE97"/>
      <c r="PF97"/>
      <c r="PG97"/>
      <c r="PH97"/>
      <c r="PI97" s="2">
        <f>+Tabla52021222425262728133[[#This Row],[Recuento]]*Tabla52021222425262728133[[#This Row],[Volúmen bruto]]</f>
        <v>0</v>
      </c>
      <c r="PJ97" s="2">
        <f>+Tabla52021222425262728133[[#This Row],[Recuento]]*Tabla52021222425262728133[[#This Row],[Área neta]]</f>
        <v>0</v>
      </c>
      <c r="PK97" s="26"/>
      <c r="PM97"/>
      <c r="PN97"/>
      <c r="PO97"/>
      <c r="PP97"/>
      <c r="PQ97"/>
      <c r="PR97"/>
      <c r="PS97" s="2">
        <f>+Tabla5202122242526272893[[#This Row],[Recuento]]*Tabla5202122242526272893[[#This Row],[Volúmen bruto]]</f>
        <v>0</v>
      </c>
      <c r="PT97" s="2">
        <f>+Tabla5202122242526272893[[#This Row],[Recuento]]*Tabla5202122242526272893[[#This Row],[Área neta]]</f>
        <v>0</v>
      </c>
      <c r="PU97" s="26"/>
      <c r="PW97"/>
      <c r="PX97"/>
      <c r="PY97"/>
      <c r="PZ97"/>
      <c r="QA97"/>
      <c r="QB97"/>
      <c r="QC97" s="2">
        <f>+Tabla520212224252627289349[[#This Row],[Recuento]]*Tabla520212224252627289349[[#This Row],[Volúmen bruto]]</f>
        <v>0</v>
      </c>
      <c r="QD97" s="2">
        <f>+Tabla520212224252627289349[[#This Row],[Recuento]]*Tabla520212224252627289349[[#This Row],[Área neta]]</f>
        <v>0</v>
      </c>
      <c r="QE97" s="26"/>
      <c r="QG97"/>
      <c r="QH97"/>
      <c r="QI97"/>
      <c r="QJ97"/>
      <c r="QK97"/>
      <c r="QL97"/>
      <c r="QM97" s="2">
        <f>+Tabla520212224252627289349134[[#This Row],[Recuento]]*Tabla520212224252627289349134[[#This Row],[Volúmen bruto]]</f>
        <v>0</v>
      </c>
      <c r="QN97" s="2">
        <f>+Tabla520212224252627289349134[[#This Row],[Recuento]]*Tabla520212224252627289349134[[#This Row],[Área neta]]</f>
        <v>0</v>
      </c>
      <c r="QO97" s="26"/>
      <c r="QQ97"/>
      <c r="QR97"/>
      <c r="QS97"/>
      <c r="QT97"/>
      <c r="QU97"/>
      <c r="QV97"/>
      <c r="QW97"/>
      <c r="RA97" s="26"/>
      <c r="RC97"/>
      <c r="RD97"/>
      <c r="RE97"/>
      <c r="RF97"/>
      <c r="RG97"/>
      <c r="RH97"/>
      <c r="RK97" s="26"/>
      <c r="RM97"/>
      <c r="RN97"/>
      <c r="RO97"/>
      <c r="RP97"/>
      <c r="RQ97"/>
      <c r="RR97"/>
      <c r="RU97" s="26">
        <f t="shared" si="42"/>
        <v>0</v>
      </c>
      <c r="RW97"/>
      <c r="RX97"/>
      <c r="RY97"/>
      <c r="RZ97"/>
      <c r="SA97"/>
      <c r="SB97"/>
      <c r="SE97" s="26"/>
      <c r="SG97"/>
      <c r="SH97"/>
      <c r="SI97"/>
      <c r="SJ97"/>
      <c r="SK97"/>
      <c r="SL97"/>
      <c r="SO97" s="26"/>
      <c r="YK97"/>
      <c r="YL97"/>
      <c r="YM97"/>
      <c r="YN97"/>
      <c r="YO97"/>
      <c r="ADJ97"/>
      <c r="ADK97"/>
      <c r="ADL97"/>
      <c r="ADM97"/>
      <c r="ADN97"/>
      <c r="ADO97"/>
      <c r="ADP97" s="36"/>
      <c r="ADR97"/>
      <c r="ADS97"/>
      <c r="ADT97"/>
      <c r="ADU97"/>
      <c r="ADW97" s="35">
        <f>+SUM(ADR97)</f>
        <v>0</v>
      </c>
      <c r="ADX97" s="35"/>
      <c r="ADY97"/>
      <c r="ADZ97"/>
      <c r="AEA97"/>
      <c r="AEB97"/>
      <c r="AEC97" s="2" t="e">
        <f>+Tabla57891415163435363738394041424344454647484950515253556062[[#This Row],[Recuento]]*#REF!</f>
        <v>#REF!</v>
      </c>
      <c r="AEE97" s="36"/>
      <c r="AEN97" t="s">
        <v>1522</v>
      </c>
      <c r="AEO97" t="s">
        <v>1524</v>
      </c>
      <c r="AEP97" t="s">
        <v>382</v>
      </c>
      <c r="AEQ97">
        <v>0.39</v>
      </c>
      <c r="AER97">
        <v>1</v>
      </c>
      <c r="AES97">
        <f>+Tabla5789141516343536373839404142434445464748495051525355606264[[#This Row],[G. Total]]*Tabla5789141516343536373839404142434445464748495051525355606264[[#This Row],[Recuento]]</f>
        <v>0.39</v>
      </c>
      <c r="AET97" s="36"/>
      <c r="AFC97"/>
      <c r="AFD97"/>
      <c r="AFE97"/>
      <c r="AFF97"/>
      <c r="AFG97"/>
      <c r="AFH97"/>
      <c r="AFI97"/>
      <c r="AFJ97"/>
      <c r="AFK97"/>
      <c r="AFL97"/>
      <c r="AFM97"/>
      <c r="AFN97">
        <f>+Tabla578914151634353637383940414243444546474849505152535560626467[[#This Row],[G. Total]]*Tabla578914151634353637383940414243444546474849505152535560626467[[#This Row],[Recuento]]</f>
        <v>0</v>
      </c>
      <c r="AFO97" s="36"/>
    </row>
    <row r="98" spans="2:847" x14ac:dyDescent="0.25">
      <c r="B98"/>
      <c r="C98"/>
      <c r="D98"/>
      <c r="E98"/>
      <c r="F98" s="33"/>
      <c r="G98" s="33"/>
      <c r="H98"/>
      <c r="I98"/>
      <c r="BG98"/>
      <c r="BH98"/>
      <c r="BI98"/>
      <c r="BJ98"/>
      <c r="BK98"/>
      <c r="BL98">
        <f>+Tabla3102[[#This Row],[Longitud de eje]]*BF98</f>
        <v>0</v>
      </c>
      <c r="BM98">
        <f>+Tabla3102[[#This Row],[Longitud de eje]]*BG98</f>
        <v>0</v>
      </c>
      <c r="BO98"/>
      <c r="BP98"/>
      <c r="BQ98"/>
      <c r="BR98"/>
      <c r="BS98"/>
      <c r="BT98"/>
      <c r="BU98"/>
      <c r="BV98">
        <v>1</v>
      </c>
      <c r="BW98"/>
      <c r="BX98"/>
      <c r="BY98"/>
      <c r="BZ98"/>
      <c r="CA98"/>
      <c r="CB98">
        <f>+Tabla31011[[#This Row],[Longitud de eje]]*BV98</f>
        <v>0</v>
      </c>
      <c r="CD98">
        <v>1</v>
      </c>
      <c r="CE98"/>
      <c r="CF98"/>
      <c r="CG98"/>
      <c r="CH98"/>
      <c r="CI98"/>
      <c r="CJ98"/>
      <c r="CK98"/>
      <c r="CL98">
        <v>1</v>
      </c>
      <c r="CM98"/>
      <c r="CN98"/>
      <c r="CO98"/>
      <c r="CP98"/>
      <c r="CQ98"/>
      <c r="CR98">
        <f>+Tabla31011116[[#This Row],[Longitud de eje]]*CL98</f>
        <v>0</v>
      </c>
      <c r="CT98">
        <v>1</v>
      </c>
      <c r="CU98"/>
      <c r="CV98"/>
      <c r="CW98"/>
      <c r="CX98"/>
      <c r="CY98"/>
      <c r="CZ98"/>
      <c r="DA98"/>
      <c r="DB98">
        <v>1</v>
      </c>
      <c r="DC98"/>
      <c r="DD98"/>
      <c r="DE98"/>
      <c r="DF98"/>
      <c r="DG98">
        <f>+Tabla31011704[[#This Row],[Longitud de eje]]*DB98</f>
        <v>0</v>
      </c>
      <c r="DH98"/>
      <c r="DI98">
        <v>1</v>
      </c>
      <c r="DJ98"/>
      <c r="DK98"/>
      <c r="DL98"/>
      <c r="DM98"/>
      <c r="DN98">
        <f>+Tabla3101170411[[#This Row],[Longitud de eje]]*DI98</f>
        <v>0</v>
      </c>
      <c r="DO98"/>
      <c r="DP98">
        <v>1</v>
      </c>
      <c r="DQ98"/>
      <c r="DR98"/>
      <c r="DS98"/>
      <c r="DT98"/>
      <c r="DU98">
        <f>+Tabla3101170411120[[#This Row],[Longitud de eje]]*DP98</f>
        <v>0</v>
      </c>
      <c r="DV98"/>
      <c r="DW98">
        <v>1</v>
      </c>
      <c r="DX98"/>
      <c r="DY98"/>
      <c r="DZ98"/>
      <c r="EA98"/>
      <c r="EB98">
        <f>+Tabla3101170411120122[[#This Row],[Longitud de eje]]*DW98</f>
        <v>0</v>
      </c>
      <c r="EC98"/>
      <c r="EE98"/>
      <c r="EF98"/>
      <c r="EG98"/>
      <c r="EH98"/>
      <c r="EI98"/>
      <c r="EJ98">
        <f>+Tabla3101112[[#This Row],[En culmo]]*ED98</f>
        <v>0</v>
      </c>
      <c r="EK98"/>
      <c r="EM98"/>
      <c r="EN98"/>
      <c r="EO98"/>
      <c r="EP98"/>
      <c r="EQ98"/>
      <c r="ER98">
        <f>+Tabla3101112123[[#This Row],[En culmo]]*EL98</f>
        <v>0</v>
      </c>
      <c r="ES98"/>
      <c r="EU98"/>
      <c r="EV98"/>
      <c r="EW98"/>
      <c r="EX98"/>
      <c r="EY98"/>
      <c r="EZ98">
        <f>+Tabla310111257[[#This Row],[En culmo]]*ET98</f>
        <v>0</v>
      </c>
      <c r="FA98"/>
      <c r="FC98"/>
      <c r="FD98"/>
      <c r="FE98"/>
      <c r="FF98"/>
      <c r="FG98"/>
      <c r="FH98">
        <f>+Tabla310111257124[[#This Row],[En culmo]]*FB98</f>
        <v>0</v>
      </c>
      <c r="FI98"/>
      <c r="FK98"/>
      <c r="FL98"/>
      <c r="FM98"/>
      <c r="FN98"/>
      <c r="FO98"/>
      <c r="FP98"/>
      <c r="FQ98"/>
      <c r="FS98"/>
      <c r="FT98"/>
      <c r="FU98"/>
      <c r="FV98"/>
      <c r="FW98"/>
      <c r="FX98"/>
      <c r="FY98"/>
      <c r="GA98"/>
      <c r="GB98"/>
      <c r="GC98"/>
      <c r="GD98"/>
      <c r="GE98"/>
      <c r="GF98"/>
      <c r="GG98"/>
      <c r="GI98"/>
      <c r="GJ98"/>
      <c r="GK98"/>
      <c r="GL98"/>
      <c r="GM98"/>
      <c r="GN98"/>
      <c r="GO98"/>
      <c r="GQ98"/>
      <c r="GR98"/>
      <c r="GS98"/>
      <c r="GT98"/>
      <c r="GU98"/>
      <c r="GV98"/>
      <c r="GW98"/>
      <c r="GX98"/>
      <c r="GY98" s="36"/>
      <c r="HA98"/>
      <c r="HB98"/>
      <c r="HC98"/>
      <c r="HD98"/>
      <c r="HE98"/>
      <c r="HF98"/>
      <c r="HG98"/>
      <c r="HH98"/>
      <c r="HI98" s="36"/>
      <c r="HK98"/>
      <c r="HL98"/>
      <c r="HM98"/>
      <c r="HN98"/>
      <c r="HO98"/>
      <c r="HP98"/>
      <c r="HQ98"/>
      <c r="HR98"/>
      <c r="HS98" s="36"/>
      <c r="HU98"/>
      <c r="HV98"/>
      <c r="HW98"/>
      <c r="HX98"/>
      <c r="HY98"/>
      <c r="HZ98"/>
      <c r="IA98"/>
      <c r="IB98"/>
      <c r="IC98" s="36"/>
      <c r="IE98"/>
      <c r="IF98"/>
      <c r="IG98"/>
      <c r="IH98"/>
      <c r="II98"/>
      <c r="IJ98"/>
      <c r="IK98"/>
      <c r="IL98"/>
      <c r="IM98" s="36"/>
      <c r="IY98"/>
      <c r="IZ98"/>
      <c r="JA98"/>
      <c r="JB98"/>
      <c r="JC98"/>
      <c r="JD98"/>
      <c r="JE98" s="2">
        <f>+Tabla520212224[[#This Row],[Recuento]]*Tabla520212224[[#This Row],[Volúmen bruto]]</f>
        <v>0</v>
      </c>
      <c r="JF98" s="2">
        <f>+Tabla520212224[[#This Row],[Recuento]]*Tabla520212224[[#This Row],[Área neta]]</f>
        <v>0</v>
      </c>
      <c r="JG98" s="26"/>
      <c r="JI98"/>
      <c r="JJ98"/>
      <c r="JK98"/>
      <c r="JL98"/>
      <c r="JM98"/>
      <c r="JN98"/>
      <c r="JO98" s="2">
        <f>+Tabla52021222425[[#This Row],[Recuento]]*Tabla52021222425[[#This Row],[Volúmen bruto]]</f>
        <v>0</v>
      </c>
      <c r="JP98" s="2">
        <f>+Tabla52021222425[[#This Row],[Recuento]]*Tabla52021222425[[#This Row],[Área neta]]</f>
        <v>0</v>
      </c>
      <c r="JQ98" s="26"/>
      <c r="JS98"/>
      <c r="JT98"/>
      <c r="JU98"/>
      <c r="JV98"/>
      <c r="JW98"/>
      <c r="JX98"/>
      <c r="JY98" s="2">
        <f>+Tabla5202122242526[[#This Row],[Recuento]]*Tabla5202122242526[[#This Row],[Volúmen bruto]]</f>
        <v>0</v>
      </c>
      <c r="JZ98" s="2">
        <f>+Tabla5202122242526[[#This Row],[Recuento]]*Tabla5202122242526[[#This Row],[Área neta]]</f>
        <v>0</v>
      </c>
      <c r="KA98" s="26"/>
      <c r="KC98"/>
      <c r="KD98"/>
      <c r="KE98"/>
      <c r="KF98"/>
      <c r="KG98"/>
      <c r="KH98"/>
      <c r="KI98" s="2">
        <f>+Tabla5202122242526104[[#This Row],[Recuento]]*Tabla5202122242526104[[#This Row],[Volúmen bruto]]</f>
        <v>0</v>
      </c>
      <c r="KJ98" s="2">
        <f>+Tabla5202122242526104[[#This Row],[Recuento]]*Tabla5202122242526104[[#This Row],[Área neta]]</f>
        <v>0</v>
      </c>
      <c r="KK98" s="26"/>
      <c r="KM98"/>
      <c r="KN98"/>
      <c r="KO98"/>
      <c r="KP98"/>
      <c r="KQ98"/>
      <c r="KR98"/>
      <c r="KS98" s="2">
        <f>+Tabla5202122242526104110[[#This Row],[Recuento]]*Tabla5202122242526104110[[#This Row],[Volúmen bruto]]</f>
        <v>0</v>
      </c>
      <c r="KT98" s="2">
        <f>+Tabla5202122242526104110[[#This Row],[Recuento]]*Tabla5202122242526104110[[#This Row],[Área neta]]</f>
        <v>0</v>
      </c>
      <c r="KU98" s="26"/>
      <c r="KW98"/>
      <c r="KX98"/>
      <c r="KY98"/>
      <c r="KZ98"/>
      <c r="LA98"/>
      <c r="LB98"/>
      <c r="LC98" s="2">
        <f>+Tabla520212224252659[[#This Row],[Recuento]]*Tabla520212224252659[[#This Row],[Volúmen bruto]]</f>
        <v>0</v>
      </c>
      <c r="LD98" s="2">
        <f>+Tabla520212224252659[[#This Row],[Recuento]]*Tabla520212224252659[[#This Row],[Área neta]]</f>
        <v>0</v>
      </c>
      <c r="LE98" s="26"/>
      <c r="LG98"/>
      <c r="LH98"/>
      <c r="LI98"/>
      <c r="LJ98"/>
      <c r="LK98"/>
      <c r="LL98"/>
      <c r="LM98" s="2">
        <f>+Tabla520212224252659111[[#This Row],[Recuento]]*Tabla520212224252659111[[#This Row],[Volúmen bruto]]</f>
        <v>0</v>
      </c>
      <c r="LN98" s="2">
        <f>+Tabla520212224252659111[[#This Row],[Recuento]]*Tabla520212224252659111[[#This Row],[Área neta]]</f>
        <v>0</v>
      </c>
      <c r="LO98" s="26"/>
      <c r="LQ98"/>
      <c r="LR98"/>
      <c r="LS98"/>
      <c r="LT98"/>
      <c r="LU98"/>
      <c r="LV98"/>
      <c r="LW98" s="2">
        <f>+Tabla520212224252659111114[[#This Row],[Recuento]]*Tabla520212224252659111114[[#This Row],[Volúmen bruto]]</f>
        <v>0</v>
      </c>
      <c r="LX98" s="2">
        <f>+Tabla520212224252659111114[[#This Row],[Recuento]]*Tabla520212224252659111114[[#This Row],[Área neta]]</f>
        <v>0</v>
      </c>
      <c r="LY98" s="26"/>
      <c r="MA98"/>
      <c r="MB98"/>
      <c r="MC98"/>
      <c r="MD98"/>
      <c r="ME98"/>
      <c r="MF98"/>
      <c r="MG98" s="2">
        <f>+Tabla520212224252659111114128[[#This Row],[Recuento]]*Tabla520212224252659111114128[[#This Row],[Volúmen bruto]]</f>
        <v>0</v>
      </c>
      <c r="MH98" s="2">
        <f>+Tabla520212224252659111114128[[#This Row],[Recuento]]*Tabla520212224252659111114128[[#This Row],[Área neta]]</f>
        <v>0</v>
      </c>
      <c r="MI98" s="26"/>
      <c r="MK98"/>
      <c r="ML98"/>
      <c r="MM98"/>
      <c r="MN98"/>
      <c r="MO98"/>
      <c r="MP98"/>
      <c r="MQ98" s="2">
        <f>+Tabla520212224252627[[#This Row],[Recuento]]*Tabla520212224252627[[#This Row],[Volúmen bruto]]</f>
        <v>0</v>
      </c>
      <c r="MR98" s="2">
        <f>+Tabla520212224252627[[#This Row],[Recuento]]*Tabla520212224252627[[#This Row],[Área neta]]</f>
        <v>0</v>
      </c>
      <c r="MS98" s="26"/>
      <c r="MU98"/>
      <c r="MV98"/>
      <c r="MW98"/>
      <c r="MX98"/>
      <c r="MY98"/>
      <c r="MZ98"/>
      <c r="NA98" s="2">
        <f>+Tabla520212224252627129[[#This Row],[Recuento]]*Tabla520212224252627129[[#This Row],[Volúmen bruto]]</f>
        <v>0</v>
      </c>
      <c r="NB98" s="2">
        <f>+Tabla520212224252627129[[#This Row],[Recuento]]*Tabla520212224252627129[[#This Row],[Área neta]]</f>
        <v>0</v>
      </c>
      <c r="NC98" s="26"/>
      <c r="NE98"/>
      <c r="NF98"/>
      <c r="NG98"/>
      <c r="NH98"/>
      <c r="NI98"/>
      <c r="NJ98"/>
      <c r="NK98" s="2">
        <f>+Tabla520212224252627129125[[#This Row],[Recuento]]*Tabla520212224252627129125[[#This Row],[Volúmen bruto]]</f>
        <v>0</v>
      </c>
      <c r="NL98" s="2">
        <f>+Tabla520212224252627129125[[#This Row],[Recuento]]*Tabla520212224252627129125[[#This Row],[Área neta]]</f>
        <v>0</v>
      </c>
      <c r="NM98" s="26"/>
      <c r="NO98"/>
      <c r="NP98"/>
      <c r="NQ98"/>
      <c r="NR98"/>
      <c r="NS98"/>
      <c r="NT98"/>
      <c r="NU98" s="2">
        <f>+Tabla520212224252627129125130[[#This Row],[Recuento]]*Tabla520212224252627129125130[[#This Row],[Volúmen bruto]]</f>
        <v>0</v>
      </c>
      <c r="NV98" s="2">
        <f>+Tabla520212224252627129125130[[#This Row],[Recuento]]*Tabla520212224252627129125130[[#This Row],[Área neta]]</f>
        <v>0</v>
      </c>
      <c r="NW98" s="26"/>
      <c r="NY98"/>
      <c r="NZ98"/>
      <c r="OA98"/>
      <c r="OB98"/>
      <c r="OC98"/>
      <c r="OD98"/>
      <c r="OE98" s="2">
        <f>+Tabla520212224252627129125130131[[#This Row],[Recuento]]*Tabla520212224252627129125130131[[#This Row],[Volúmen bruto]]</f>
        <v>0</v>
      </c>
      <c r="OF98" s="2">
        <f>+Tabla520212224252627129125130131[[#This Row],[Recuento]]*Tabla520212224252627129125130131[[#This Row],[Área neta]]</f>
        <v>0</v>
      </c>
      <c r="OG98" s="26"/>
      <c r="OI98"/>
      <c r="OJ98"/>
      <c r="OK98"/>
      <c r="OL98"/>
      <c r="OM98"/>
      <c r="ON98"/>
      <c r="OO98" s="2">
        <f>+Tabla520212224252627129125130131132[[#This Row],[Recuento]]*Tabla520212224252627129125130131132[[#This Row],[Volúmen bruto]]</f>
        <v>0</v>
      </c>
      <c r="OP98" s="2">
        <f>+Tabla520212224252627129125130131132[[#This Row],[Recuento]]*Tabla520212224252627129125130131132[[#This Row],[Área neta]]</f>
        <v>0</v>
      </c>
      <c r="OQ98" s="26"/>
      <c r="OS98"/>
      <c r="OT98"/>
      <c r="OU98"/>
      <c r="OV98"/>
      <c r="OW98"/>
      <c r="OX98"/>
      <c r="OY98" s="2">
        <f>+Tabla52021222425262728[[#This Row],[Recuento]]*Tabla52021222425262728[[#This Row],[Volúmen bruto]]</f>
        <v>0</v>
      </c>
      <c r="OZ98" s="2">
        <f>+Tabla52021222425262728[[#This Row],[Recuento]]*Tabla52021222425262728[[#This Row],[Área neta]]</f>
        <v>0</v>
      </c>
      <c r="PA98" s="26">
        <f t="shared" si="41"/>
        <v>0</v>
      </c>
      <c r="PC98"/>
      <c r="PD98"/>
      <c r="PE98"/>
      <c r="PF98"/>
      <c r="PG98"/>
      <c r="PH98"/>
      <c r="PI98" s="2">
        <f>+Tabla52021222425262728133[[#This Row],[Recuento]]*Tabla52021222425262728133[[#This Row],[Volúmen bruto]]</f>
        <v>0</v>
      </c>
      <c r="PJ98" s="2">
        <f>+Tabla52021222425262728133[[#This Row],[Recuento]]*Tabla52021222425262728133[[#This Row],[Área neta]]</f>
        <v>0</v>
      </c>
      <c r="PK98" s="26"/>
      <c r="PM98"/>
      <c r="PN98"/>
      <c r="PO98"/>
      <c r="PP98"/>
      <c r="PQ98"/>
      <c r="PR98"/>
      <c r="PS98" s="2">
        <f>+Tabla5202122242526272893[[#This Row],[Recuento]]*Tabla5202122242526272893[[#This Row],[Volúmen bruto]]</f>
        <v>0</v>
      </c>
      <c r="PT98" s="2">
        <f>+Tabla5202122242526272893[[#This Row],[Recuento]]*Tabla5202122242526272893[[#This Row],[Área neta]]</f>
        <v>0</v>
      </c>
      <c r="PU98" s="26"/>
      <c r="PW98"/>
      <c r="PX98"/>
      <c r="PY98"/>
      <c r="PZ98"/>
      <c r="QA98"/>
      <c r="QB98"/>
      <c r="QC98" s="2">
        <f>+Tabla520212224252627289349[[#This Row],[Recuento]]*Tabla520212224252627289349[[#This Row],[Volúmen bruto]]</f>
        <v>0</v>
      </c>
      <c r="QD98" s="2">
        <f>+Tabla520212224252627289349[[#This Row],[Recuento]]*Tabla520212224252627289349[[#This Row],[Área neta]]</f>
        <v>0</v>
      </c>
      <c r="QE98" s="26"/>
      <c r="QG98"/>
      <c r="QH98"/>
      <c r="QI98"/>
      <c r="QJ98"/>
      <c r="QK98"/>
      <c r="QL98"/>
      <c r="QM98" s="2">
        <f>+Tabla520212224252627289349134[[#This Row],[Recuento]]*Tabla520212224252627289349134[[#This Row],[Volúmen bruto]]</f>
        <v>0</v>
      </c>
      <c r="QN98" s="2">
        <f>+Tabla520212224252627289349134[[#This Row],[Recuento]]*Tabla520212224252627289349134[[#This Row],[Área neta]]</f>
        <v>0</v>
      </c>
      <c r="QO98" s="26"/>
      <c r="QQ98"/>
      <c r="QR98"/>
      <c r="QS98"/>
      <c r="QT98"/>
      <c r="QU98"/>
      <c r="QV98"/>
      <c r="QW98"/>
      <c r="RA98" s="26"/>
      <c r="RC98"/>
      <c r="RD98"/>
      <c r="RE98"/>
      <c r="RF98"/>
      <c r="RG98"/>
      <c r="RH98"/>
      <c r="RK98" s="26"/>
      <c r="RM98"/>
      <c r="RN98"/>
      <c r="RO98"/>
      <c r="RP98"/>
      <c r="RQ98"/>
      <c r="RR98"/>
      <c r="RU98" s="26">
        <f t="shared" si="42"/>
        <v>0</v>
      </c>
      <c r="RW98"/>
      <c r="RX98"/>
      <c r="RY98"/>
      <c r="RZ98"/>
      <c r="SA98"/>
      <c r="SB98"/>
      <c r="SE98" s="26"/>
      <c r="SG98"/>
      <c r="SH98"/>
      <c r="SI98"/>
      <c r="SJ98"/>
      <c r="SK98"/>
      <c r="SL98"/>
      <c r="SO98" s="26"/>
      <c r="YK98"/>
      <c r="YL98"/>
      <c r="YM98"/>
      <c r="YN98"/>
      <c r="YO98"/>
      <c r="ADJ98"/>
      <c r="ADK98"/>
      <c r="ADL98"/>
      <c r="ADM98"/>
      <c r="ADN98"/>
      <c r="ADO98"/>
      <c r="ADP98" s="36"/>
      <c r="ADR98"/>
      <c r="ADS98"/>
      <c r="ADT98"/>
      <c r="ADU98"/>
      <c r="ADW98" s="35">
        <f>+SUM(ADR98:ADR121)</f>
        <v>0</v>
      </c>
      <c r="ADX98" s="35"/>
      <c r="ADY98"/>
      <c r="ADZ98"/>
      <c r="AEA98"/>
      <c r="AEB98"/>
      <c r="AEC98" s="2" t="e">
        <f>+Tabla57891415163435363738394041424344454647484950515253556062[[#This Row],[Recuento]]*#REF!</f>
        <v>#REF!</v>
      </c>
      <c r="AEE98" s="36"/>
      <c r="AEN98" t="s">
        <v>1522</v>
      </c>
      <c r="AEO98" t="s">
        <v>1524</v>
      </c>
      <c r="AEP98" t="s">
        <v>382</v>
      </c>
      <c r="AEQ98">
        <v>0.25</v>
      </c>
      <c r="AER98">
        <v>1</v>
      </c>
      <c r="AES98">
        <f>+Tabla5789141516343536373839404142434445464748495051525355606264[[#This Row],[G. Total]]*Tabla5789141516343536373839404142434445464748495051525355606264[[#This Row],[Recuento]]</f>
        <v>0.25</v>
      </c>
      <c r="AET98" s="36"/>
      <c r="AFC98"/>
      <c r="AFD98"/>
      <c r="AFE98"/>
      <c r="AFF98" s="33"/>
      <c r="AFG98"/>
      <c r="AFH98"/>
      <c r="AFI98"/>
      <c r="AFJ98"/>
      <c r="AFK98"/>
      <c r="AFL98"/>
      <c r="AFM98"/>
      <c r="AFN98">
        <f>+Tabla578914151634353637383940414243444546474849505152535560626467[[#This Row],[G. Total]]*Tabla578914151634353637383940414243444546474849505152535560626467[[#This Row],[Recuento]]</f>
        <v>0</v>
      </c>
      <c r="AFO98" s="36"/>
    </row>
    <row r="99" spans="2:847" x14ac:dyDescent="0.25">
      <c r="B99"/>
      <c r="C99"/>
      <c r="D99"/>
      <c r="E99"/>
      <c r="F99" s="33"/>
      <c r="G99" s="33"/>
      <c r="H99"/>
      <c r="I99"/>
      <c r="BG99"/>
      <c r="BH99"/>
      <c r="BI99"/>
      <c r="BJ99"/>
      <c r="BK99"/>
      <c r="BL99">
        <f>+Tabla3102[[#This Row],[Longitud de eje]]*BF99</f>
        <v>0</v>
      </c>
      <c r="BM99">
        <f>+Tabla3102[[#This Row],[Longitud de eje]]*BG99</f>
        <v>0</v>
      </c>
      <c r="BO99"/>
      <c r="BP99"/>
      <c r="BQ99"/>
      <c r="BR99"/>
      <c r="BS99"/>
      <c r="BT99"/>
      <c r="BU99"/>
      <c r="BV99">
        <v>1</v>
      </c>
      <c r="BW99"/>
      <c r="BX99"/>
      <c r="BY99"/>
      <c r="BZ99"/>
      <c r="CA99"/>
      <c r="CB99">
        <f>+Tabla31011[[#This Row],[Longitud de eje]]*BV99</f>
        <v>0</v>
      </c>
      <c r="CD99">
        <v>1</v>
      </c>
      <c r="CE99"/>
      <c r="CF99"/>
      <c r="CG99"/>
      <c r="CH99"/>
      <c r="CI99"/>
      <c r="CJ99"/>
      <c r="CK99"/>
      <c r="CL99">
        <v>1</v>
      </c>
      <c r="CM99"/>
      <c r="CN99"/>
      <c r="CO99"/>
      <c r="CP99"/>
      <c r="CQ99"/>
      <c r="CR99">
        <f>+Tabla31011116[[#This Row],[Longitud de eje]]*CL99</f>
        <v>0</v>
      </c>
      <c r="CT99">
        <v>1</v>
      </c>
      <c r="CU99"/>
      <c r="CV99"/>
      <c r="CW99"/>
      <c r="CX99"/>
      <c r="CY99"/>
      <c r="CZ99"/>
      <c r="DA99"/>
      <c r="DB99">
        <v>1</v>
      </c>
      <c r="DC99"/>
      <c r="DD99"/>
      <c r="DE99"/>
      <c r="DF99"/>
      <c r="DG99">
        <f>+Tabla31011704[[#This Row],[Longitud de eje]]*DB99</f>
        <v>0</v>
      </c>
      <c r="DH99"/>
      <c r="DI99">
        <v>1</v>
      </c>
      <c r="DJ99"/>
      <c r="DK99"/>
      <c r="DL99"/>
      <c r="DM99"/>
      <c r="DN99">
        <f>+Tabla3101170411[[#This Row],[Longitud de eje]]*DI99</f>
        <v>0</v>
      </c>
      <c r="DO99"/>
      <c r="DP99">
        <v>1</v>
      </c>
      <c r="DQ99"/>
      <c r="DR99"/>
      <c r="DS99"/>
      <c r="DT99"/>
      <c r="DU99">
        <f>+Tabla3101170411120[[#This Row],[Longitud de eje]]*DP99</f>
        <v>0</v>
      </c>
      <c r="DV99"/>
      <c r="DW99">
        <v>1</v>
      </c>
      <c r="DX99"/>
      <c r="DY99"/>
      <c r="DZ99"/>
      <c r="EA99"/>
      <c r="EB99">
        <f>+Tabla3101170411120122[[#This Row],[Longitud de eje]]*DW99</f>
        <v>0</v>
      </c>
      <c r="EC99"/>
      <c r="EE99"/>
      <c r="EF99"/>
      <c r="EG99"/>
      <c r="EH99"/>
      <c r="EI99"/>
      <c r="EJ99">
        <f>+Tabla3101112[[#This Row],[En culmo]]*ED99</f>
        <v>0</v>
      </c>
      <c r="EK99"/>
      <c r="EM99"/>
      <c r="EN99"/>
      <c r="EO99"/>
      <c r="EP99"/>
      <c r="EQ99"/>
      <c r="ER99">
        <f>+Tabla3101112123[[#This Row],[En culmo]]*EL99</f>
        <v>0</v>
      </c>
      <c r="ES99"/>
      <c r="EU99"/>
      <c r="EV99"/>
      <c r="EW99"/>
      <c r="EX99"/>
      <c r="EY99"/>
      <c r="EZ99">
        <f>+Tabla310111257[[#This Row],[En culmo]]*ET99</f>
        <v>0</v>
      </c>
      <c r="FA99"/>
      <c r="FC99"/>
      <c r="FD99"/>
      <c r="FE99"/>
      <c r="FF99"/>
      <c r="FG99"/>
      <c r="FH99">
        <f>+Tabla310111257124[[#This Row],[En culmo]]*FB99</f>
        <v>0</v>
      </c>
      <c r="FI99"/>
      <c r="FK99"/>
      <c r="FL99"/>
      <c r="FM99"/>
      <c r="FN99"/>
      <c r="FO99"/>
      <c r="FP99"/>
      <c r="FQ99"/>
      <c r="FS99"/>
      <c r="FT99"/>
      <c r="FU99"/>
      <c r="FV99"/>
      <c r="FW99"/>
      <c r="FX99"/>
      <c r="FY99"/>
      <c r="GA99"/>
      <c r="GB99"/>
      <c r="GC99"/>
      <c r="GD99"/>
      <c r="GE99"/>
      <c r="GF99"/>
      <c r="GG99"/>
      <c r="GI99"/>
      <c r="GJ99"/>
      <c r="GK99"/>
      <c r="GL99"/>
      <c r="GM99"/>
      <c r="GN99"/>
      <c r="GO99"/>
      <c r="GQ99"/>
      <c r="GR99"/>
      <c r="GS99"/>
      <c r="GT99"/>
      <c r="GU99"/>
      <c r="GV99"/>
      <c r="GW99"/>
      <c r="GX99"/>
      <c r="GY99" s="36"/>
      <c r="HA99"/>
      <c r="HB99"/>
      <c r="HC99"/>
      <c r="HD99"/>
      <c r="HE99"/>
      <c r="HF99"/>
      <c r="HG99"/>
      <c r="HH99"/>
      <c r="HI99" s="36"/>
      <c r="HK99"/>
      <c r="HL99"/>
      <c r="HM99"/>
      <c r="HN99"/>
      <c r="HO99"/>
      <c r="HP99"/>
      <c r="HQ99"/>
      <c r="HR99"/>
      <c r="HS99" s="36"/>
      <c r="HU99"/>
      <c r="HV99"/>
      <c r="HW99"/>
      <c r="HX99"/>
      <c r="HY99"/>
      <c r="HZ99"/>
      <c r="IA99"/>
      <c r="IB99"/>
      <c r="IC99" s="36"/>
      <c r="IE99"/>
      <c r="IF99"/>
      <c r="IG99"/>
      <c r="IH99"/>
      <c r="II99"/>
      <c r="IJ99"/>
      <c r="IK99"/>
      <c r="IL99"/>
      <c r="IM99" s="36"/>
      <c r="IY99"/>
      <c r="IZ99"/>
      <c r="JA99"/>
      <c r="JB99"/>
      <c r="JC99"/>
      <c r="JD99"/>
      <c r="JE99" s="2">
        <f>+Tabla520212224[[#This Row],[Recuento]]*Tabla520212224[[#This Row],[Volúmen bruto]]</f>
        <v>0</v>
      </c>
      <c r="JF99" s="2">
        <f>+Tabla520212224[[#This Row],[Recuento]]*Tabla520212224[[#This Row],[Área neta]]</f>
        <v>0</v>
      </c>
      <c r="JG99" s="26"/>
      <c r="JI99"/>
      <c r="JJ99"/>
      <c r="JK99"/>
      <c r="JL99"/>
      <c r="JM99"/>
      <c r="JN99"/>
      <c r="JO99" s="2">
        <f>+Tabla52021222425[[#This Row],[Recuento]]*Tabla52021222425[[#This Row],[Volúmen bruto]]</f>
        <v>0</v>
      </c>
      <c r="JP99" s="2">
        <f>+Tabla52021222425[[#This Row],[Recuento]]*Tabla52021222425[[#This Row],[Área neta]]</f>
        <v>0</v>
      </c>
      <c r="JQ99" s="26"/>
      <c r="JS99"/>
      <c r="JT99"/>
      <c r="JU99"/>
      <c r="JV99"/>
      <c r="JW99"/>
      <c r="JX99"/>
      <c r="JY99" s="2">
        <f>+Tabla5202122242526[[#This Row],[Recuento]]*Tabla5202122242526[[#This Row],[Volúmen bruto]]</f>
        <v>0</v>
      </c>
      <c r="JZ99" s="2">
        <f>+Tabla5202122242526[[#This Row],[Recuento]]*Tabla5202122242526[[#This Row],[Área neta]]</f>
        <v>0</v>
      </c>
      <c r="KA99" s="26"/>
      <c r="KC99"/>
      <c r="KD99"/>
      <c r="KE99"/>
      <c r="KF99"/>
      <c r="KG99"/>
      <c r="KH99"/>
      <c r="KI99" s="2">
        <f>+Tabla5202122242526104[[#This Row],[Recuento]]*Tabla5202122242526104[[#This Row],[Volúmen bruto]]</f>
        <v>0</v>
      </c>
      <c r="KJ99" s="2">
        <f>+Tabla5202122242526104[[#This Row],[Recuento]]*Tabla5202122242526104[[#This Row],[Área neta]]</f>
        <v>0</v>
      </c>
      <c r="KK99" s="26"/>
      <c r="KM99"/>
      <c r="KN99"/>
      <c r="KO99"/>
      <c r="KP99"/>
      <c r="KQ99"/>
      <c r="KR99"/>
      <c r="KS99" s="2">
        <f>+Tabla5202122242526104110[[#This Row],[Recuento]]*Tabla5202122242526104110[[#This Row],[Volúmen bruto]]</f>
        <v>0</v>
      </c>
      <c r="KT99" s="2">
        <f>+Tabla5202122242526104110[[#This Row],[Recuento]]*Tabla5202122242526104110[[#This Row],[Área neta]]</f>
        <v>0</v>
      </c>
      <c r="KU99" s="26"/>
      <c r="KW99"/>
      <c r="KX99"/>
      <c r="KY99"/>
      <c r="KZ99"/>
      <c r="LA99"/>
      <c r="LB99"/>
      <c r="LC99" s="2">
        <f>+Tabla520212224252659[[#This Row],[Recuento]]*Tabla520212224252659[[#This Row],[Volúmen bruto]]</f>
        <v>0</v>
      </c>
      <c r="LD99" s="2">
        <f>+Tabla520212224252659[[#This Row],[Recuento]]*Tabla520212224252659[[#This Row],[Área neta]]</f>
        <v>0</v>
      </c>
      <c r="LE99" s="26"/>
      <c r="LG99"/>
      <c r="LH99"/>
      <c r="LI99"/>
      <c r="LJ99"/>
      <c r="LK99"/>
      <c r="LL99"/>
      <c r="LM99" s="2">
        <f>+Tabla520212224252659111[[#This Row],[Recuento]]*Tabla520212224252659111[[#This Row],[Volúmen bruto]]</f>
        <v>0</v>
      </c>
      <c r="LN99" s="2">
        <f>+Tabla520212224252659111[[#This Row],[Recuento]]*Tabla520212224252659111[[#This Row],[Área neta]]</f>
        <v>0</v>
      </c>
      <c r="LO99" s="26"/>
      <c r="LQ99"/>
      <c r="LR99"/>
      <c r="LS99"/>
      <c r="LT99"/>
      <c r="LU99"/>
      <c r="LV99"/>
      <c r="LW99" s="2">
        <f>+Tabla520212224252659111114[[#This Row],[Recuento]]*Tabla520212224252659111114[[#This Row],[Volúmen bruto]]</f>
        <v>0</v>
      </c>
      <c r="LX99" s="2">
        <f>+Tabla520212224252659111114[[#This Row],[Recuento]]*Tabla520212224252659111114[[#This Row],[Área neta]]</f>
        <v>0</v>
      </c>
      <c r="LY99" s="26"/>
      <c r="MA99"/>
      <c r="MB99"/>
      <c r="MC99"/>
      <c r="MD99"/>
      <c r="ME99"/>
      <c r="MF99"/>
      <c r="MG99" s="2">
        <f>+Tabla520212224252659111114128[[#This Row],[Recuento]]*Tabla520212224252659111114128[[#This Row],[Volúmen bruto]]</f>
        <v>0</v>
      </c>
      <c r="MH99" s="2">
        <f>+Tabla520212224252659111114128[[#This Row],[Recuento]]*Tabla520212224252659111114128[[#This Row],[Área neta]]</f>
        <v>0</v>
      </c>
      <c r="MI99" s="26"/>
      <c r="MK99"/>
      <c r="ML99"/>
      <c r="MM99"/>
      <c r="MN99"/>
      <c r="MO99"/>
      <c r="MP99"/>
      <c r="MQ99" s="2">
        <f>+Tabla520212224252627[[#This Row],[Recuento]]*Tabla520212224252627[[#This Row],[Volúmen bruto]]</f>
        <v>0</v>
      </c>
      <c r="MR99" s="2">
        <f>+Tabla520212224252627[[#This Row],[Recuento]]*Tabla520212224252627[[#This Row],[Área neta]]</f>
        <v>0</v>
      </c>
      <c r="MS99" s="26"/>
      <c r="MU99"/>
      <c r="MV99"/>
      <c r="MW99"/>
      <c r="MX99"/>
      <c r="MY99"/>
      <c r="MZ99"/>
      <c r="NA99" s="2">
        <f>+Tabla520212224252627129[[#This Row],[Recuento]]*Tabla520212224252627129[[#This Row],[Volúmen bruto]]</f>
        <v>0</v>
      </c>
      <c r="NB99" s="2">
        <f>+Tabla520212224252627129[[#This Row],[Recuento]]*Tabla520212224252627129[[#This Row],[Área neta]]</f>
        <v>0</v>
      </c>
      <c r="NC99" s="26"/>
      <c r="NE99"/>
      <c r="NF99"/>
      <c r="NG99"/>
      <c r="NH99"/>
      <c r="NI99"/>
      <c r="NJ99"/>
      <c r="NK99" s="2">
        <f>+Tabla520212224252627129125[[#This Row],[Recuento]]*Tabla520212224252627129125[[#This Row],[Volúmen bruto]]</f>
        <v>0</v>
      </c>
      <c r="NL99" s="2">
        <f>+Tabla520212224252627129125[[#This Row],[Recuento]]*Tabla520212224252627129125[[#This Row],[Área neta]]</f>
        <v>0</v>
      </c>
      <c r="NM99" s="26"/>
      <c r="NO99"/>
      <c r="NP99"/>
      <c r="NQ99"/>
      <c r="NR99"/>
      <c r="NS99"/>
      <c r="NT99"/>
      <c r="NU99" s="2">
        <f>+Tabla520212224252627129125130[[#This Row],[Recuento]]*Tabla520212224252627129125130[[#This Row],[Volúmen bruto]]</f>
        <v>0</v>
      </c>
      <c r="NV99" s="2">
        <f>+Tabla520212224252627129125130[[#This Row],[Recuento]]*Tabla520212224252627129125130[[#This Row],[Área neta]]</f>
        <v>0</v>
      </c>
      <c r="NW99" s="26"/>
      <c r="NY99"/>
      <c r="NZ99"/>
      <c r="OA99"/>
      <c r="OB99"/>
      <c r="OC99"/>
      <c r="OD99"/>
      <c r="OE99" s="2">
        <f>+Tabla520212224252627129125130131[[#This Row],[Recuento]]*Tabla520212224252627129125130131[[#This Row],[Volúmen bruto]]</f>
        <v>0</v>
      </c>
      <c r="OF99" s="2">
        <f>+Tabla520212224252627129125130131[[#This Row],[Recuento]]*Tabla520212224252627129125130131[[#This Row],[Área neta]]</f>
        <v>0</v>
      </c>
      <c r="OG99" s="26"/>
      <c r="OI99"/>
      <c r="OJ99"/>
      <c r="OK99"/>
      <c r="OL99"/>
      <c r="OM99"/>
      <c r="ON99"/>
      <c r="OO99" s="2">
        <f>+Tabla520212224252627129125130131132[[#This Row],[Recuento]]*Tabla520212224252627129125130131132[[#This Row],[Volúmen bruto]]</f>
        <v>0</v>
      </c>
      <c r="OP99" s="2">
        <f>+Tabla520212224252627129125130131132[[#This Row],[Recuento]]*Tabla520212224252627129125130131132[[#This Row],[Área neta]]</f>
        <v>0</v>
      </c>
      <c r="OQ99" s="26"/>
      <c r="OS99"/>
      <c r="OT99"/>
      <c r="OU99"/>
      <c r="OV99"/>
      <c r="OW99"/>
      <c r="OX99"/>
      <c r="OY99" s="2">
        <f>+Tabla52021222425262728[[#This Row],[Recuento]]*Tabla52021222425262728[[#This Row],[Volúmen bruto]]</f>
        <v>0</v>
      </c>
      <c r="OZ99" s="2">
        <f>+Tabla52021222425262728[[#This Row],[Recuento]]*Tabla52021222425262728[[#This Row],[Área neta]]</f>
        <v>0</v>
      </c>
      <c r="PA99" s="26">
        <f t="shared" si="41"/>
        <v>0</v>
      </c>
      <c r="PC99"/>
      <c r="PD99"/>
      <c r="PE99"/>
      <c r="PF99"/>
      <c r="PG99"/>
      <c r="PH99"/>
      <c r="PI99" s="2">
        <f>+Tabla52021222425262728133[[#This Row],[Recuento]]*Tabla52021222425262728133[[#This Row],[Volúmen bruto]]</f>
        <v>0</v>
      </c>
      <c r="PJ99" s="2">
        <f>+Tabla52021222425262728133[[#This Row],[Recuento]]*Tabla52021222425262728133[[#This Row],[Área neta]]</f>
        <v>0</v>
      </c>
      <c r="PK99" s="26"/>
      <c r="PM99"/>
      <c r="PN99"/>
      <c r="PO99"/>
      <c r="PP99"/>
      <c r="PQ99"/>
      <c r="PR99"/>
      <c r="PS99" s="2">
        <f>+Tabla5202122242526272893[[#This Row],[Recuento]]*Tabla5202122242526272893[[#This Row],[Volúmen bruto]]</f>
        <v>0</v>
      </c>
      <c r="PT99" s="2">
        <f>+Tabla5202122242526272893[[#This Row],[Recuento]]*Tabla5202122242526272893[[#This Row],[Área neta]]</f>
        <v>0</v>
      </c>
      <c r="PU99" s="26"/>
      <c r="PW99"/>
      <c r="PX99"/>
      <c r="PY99"/>
      <c r="PZ99"/>
      <c r="QA99"/>
      <c r="QB99"/>
      <c r="QC99" s="2">
        <f>+Tabla520212224252627289349[[#This Row],[Recuento]]*Tabla520212224252627289349[[#This Row],[Volúmen bruto]]</f>
        <v>0</v>
      </c>
      <c r="QD99" s="2">
        <f>+Tabla520212224252627289349[[#This Row],[Recuento]]*Tabla520212224252627289349[[#This Row],[Área neta]]</f>
        <v>0</v>
      </c>
      <c r="QE99" s="26"/>
      <c r="QG99"/>
      <c r="QH99"/>
      <c r="QI99"/>
      <c r="QJ99"/>
      <c r="QK99"/>
      <c r="QL99"/>
      <c r="QM99" s="2">
        <f>+Tabla520212224252627289349134[[#This Row],[Recuento]]*Tabla520212224252627289349134[[#This Row],[Volúmen bruto]]</f>
        <v>0</v>
      </c>
      <c r="QN99" s="2">
        <f>+Tabla520212224252627289349134[[#This Row],[Recuento]]*Tabla520212224252627289349134[[#This Row],[Área neta]]</f>
        <v>0</v>
      </c>
      <c r="QO99" s="26"/>
      <c r="QQ99"/>
      <c r="QR99"/>
      <c r="QS99"/>
      <c r="QT99"/>
      <c r="QU99"/>
      <c r="QV99"/>
      <c r="QW99"/>
      <c r="RA99" s="26"/>
      <c r="RC99"/>
      <c r="RD99"/>
      <c r="RE99"/>
      <c r="RF99"/>
      <c r="RG99"/>
      <c r="RH99"/>
      <c r="RK99" s="26"/>
      <c r="RM99"/>
      <c r="RN99"/>
      <c r="RO99"/>
      <c r="RP99"/>
      <c r="RQ99"/>
      <c r="RR99"/>
      <c r="RU99" s="26">
        <f t="shared" si="42"/>
        <v>0</v>
      </c>
      <c r="RW99"/>
      <c r="RX99"/>
      <c r="RY99"/>
      <c r="RZ99"/>
      <c r="SA99"/>
      <c r="SB99"/>
      <c r="SE99" s="26"/>
      <c r="SG99"/>
      <c r="SH99"/>
      <c r="SI99"/>
      <c r="SJ99"/>
      <c r="SK99"/>
      <c r="SL99"/>
      <c r="SO99" s="26"/>
      <c r="YK99"/>
      <c r="YL99"/>
      <c r="YM99"/>
      <c r="YN99"/>
      <c r="YO99"/>
      <c r="ADJ99"/>
      <c r="ADK99"/>
      <c r="ADL99"/>
      <c r="ADM99"/>
      <c r="ADN99"/>
      <c r="ADO99"/>
      <c r="ADP99" s="36"/>
      <c r="ADR99"/>
      <c r="ADS99"/>
      <c r="ADT99"/>
      <c r="ADU99"/>
      <c r="ADW99" s="35"/>
      <c r="ADX99" s="35"/>
      <c r="ADY99"/>
      <c r="ADZ99"/>
      <c r="AEA99"/>
      <c r="AEB99"/>
      <c r="AEC99" s="2" t="e">
        <f>+Tabla57891415163435363738394041424344454647484950515253556062[[#This Row],[Recuento]]*#REF!</f>
        <v>#REF!</v>
      </c>
      <c r="AEE99" s="36"/>
      <c r="AEN99" t="s">
        <v>1522</v>
      </c>
      <c r="AEO99" t="s">
        <v>1524</v>
      </c>
      <c r="AEP99" t="s">
        <v>382</v>
      </c>
      <c r="AEQ99">
        <v>0.08</v>
      </c>
      <c r="AER99">
        <v>1</v>
      </c>
      <c r="AES99">
        <f>+Tabla5789141516343536373839404142434445464748495051525355606264[[#This Row],[G. Total]]*Tabla5789141516343536373839404142434445464748495051525355606264[[#This Row],[Recuento]]</f>
        <v>0.08</v>
      </c>
      <c r="AET99" s="36"/>
      <c r="AFC99"/>
      <c r="AFD99"/>
      <c r="AFE99"/>
      <c r="AFF99" s="33"/>
      <c r="AFG99"/>
      <c r="AFH99"/>
      <c r="AFI99"/>
      <c r="AFJ99"/>
      <c r="AFK99"/>
      <c r="AFL99"/>
      <c r="AFM99"/>
      <c r="AFN99">
        <f>+Tabla578914151634353637383940414243444546474849505152535560626467[[#This Row],[G. Total]]*Tabla578914151634353637383940414243444546474849505152535560626467[[#This Row],[Recuento]]</f>
        <v>0</v>
      </c>
      <c r="AFO99" s="36"/>
    </row>
    <row r="100" spans="2:847" x14ac:dyDescent="0.25">
      <c r="B100"/>
      <c r="C100"/>
      <c r="D100"/>
      <c r="E100"/>
      <c r="F100" s="33"/>
      <c r="G100" s="33"/>
      <c r="H100"/>
      <c r="I100"/>
      <c r="BG100"/>
      <c r="BH100"/>
      <c r="BI100"/>
      <c r="BJ100"/>
      <c r="BK100"/>
      <c r="BL100">
        <f>+Tabla3102[[#This Row],[Longitud de eje]]*BF100</f>
        <v>0</v>
      </c>
      <c r="BM100">
        <f>+Tabla3102[[#This Row],[Longitud de eje]]*BG100</f>
        <v>0</v>
      </c>
      <c r="BO100"/>
      <c r="BP100"/>
      <c r="BQ100"/>
      <c r="BR100"/>
      <c r="BS100"/>
      <c r="BT100"/>
      <c r="BU100"/>
      <c r="BV100">
        <v>1</v>
      </c>
      <c r="BW100"/>
      <c r="BX100"/>
      <c r="BY100"/>
      <c r="BZ100"/>
      <c r="CA100"/>
      <c r="CB100">
        <f>+Tabla31011[[#This Row],[Longitud de eje]]*BV100</f>
        <v>0</v>
      </c>
      <c r="CD100">
        <v>1</v>
      </c>
      <c r="CE100"/>
      <c r="CF100"/>
      <c r="CG100"/>
      <c r="CH100"/>
      <c r="CI100"/>
      <c r="CJ100"/>
      <c r="CK100"/>
      <c r="CL100">
        <v>1</v>
      </c>
      <c r="CM100"/>
      <c r="CN100"/>
      <c r="CO100"/>
      <c r="CP100"/>
      <c r="CQ100"/>
      <c r="CR100">
        <f>+Tabla31011116[[#This Row],[Longitud de eje]]*CL100</f>
        <v>0</v>
      </c>
      <c r="CT100">
        <v>1</v>
      </c>
      <c r="CU100"/>
      <c r="CV100"/>
      <c r="CW100"/>
      <c r="CX100"/>
      <c r="CY100"/>
      <c r="CZ100"/>
      <c r="DA100"/>
      <c r="DB100">
        <v>1</v>
      </c>
      <c r="DC100"/>
      <c r="DD100"/>
      <c r="DE100"/>
      <c r="DF100"/>
      <c r="DG100">
        <f>+Tabla31011704[[#This Row],[Longitud de eje]]*DB100</f>
        <v>0</v>
      </c>
      <c r="DH100"/>
      <c r="DI100">
        <v>1</v>
      </c>
      <c r="DJ100"/>
      <c r="DK100"/>
      <c r="DL100"/>
      <c r="DM100"/>
      <c r="DN100">
        <f>+Tabla3101170411[[#This Row],[Longitud de eje]]*DI100</f>
        <v>0</v>
      </c>
      <c r="DO100"/>
      <c r="DP100">
        <v>1</v>
      </c>
      <c r="DQ100"/>
      <c r="DR100"/>
      <c r="DS100"/>
      <c r="DT100"/>
      <c r="DU100">
        <f>+Tabla3101170411120[[#This Row],[Longitud de eje]]*DP100</f>
        <v>0</v>
      </c>
      <c r="DV100"/>
      <c r="DW100">
        <v>1</v>
      </c>
      <c r="DX100"/>
      <c r="DY100"/>
      <c r="DZ100"/>
      <c r="EA100"/>
      <c r="EB100">
        <f>+Tabla3101170411120122[[#This Row],[Longitud de eje]]*DW100</f>
        <v>0</v>
      </c>
      <c r="EC100"/>
      <c r="EE100"/>
      <c r="EF100"/>
      <c r="EG100"/>
      <c r="EH100"/>
      <c r="EI100"/>
      <c r="EJ100">
        <f>+Tabla3101112[[#This Row],[En culmo]]*ED100</f>
        <v>0</v>
      </c>
      <c r="EK100"/>
      <c r="EM100"/>
      <c r="EN100"/>
      <c r="EO100"/>
      <c r="EP100"/>
      <c r="EQ100"/>
      <c r="ER100">
        <f>+Tabla3101112123[[#This Row],[En culmo]]*EL100</f>
        <v>0</v>
      </c>
      <c r="ES100"/>
      <c r="EU100"/>
      <c r="EV100"/>
      <c r="EW100"/>
      <c r="EX100"/>
      <c r="EY100"/>
      <c r="EZ100">
        <f>+Tabla310111257[[#This Row],[En culmo]]*ET100</f>
        <v>0</v>
      </c>
      <c r="FA100"/>
      <c r="FC100"/>
      <c r="FD100"/>
      <c r="FE100"/>
      <c r="FF100"/>
      <c r="FG100"/>
      <c r="FH100">
        <f>+Tabla310111257124[[#This Row],[En culmo]]*FB100</f>
        <v>0</v>
      </c>
      <c r="FI100"/>
      <c r="FK100"/>
      <c r="FL100"/>
      <c r="FM100"/>
      <c r="FN100"/>
      <c r="FO100"/>
      <c r="FP100"/>
      <c r="FQ100"/>
      <c r="FS100"/>
      <c r="FT100"/>
      <c r="FU100"/>
      <c r="FV100"/>
      <c r="FW100"/>
      <c r="FX100"/>
      <c r="FY100"/>
      <c r="GA100"/>
      <c r="GB100"/>
      <c r="GC100"/>
      <c r="GD100"/>
      <c r="GE100"/>
      <c r="GF100"/>
      <c r="GG100"/>
      <c r="GI100"/>
      <c r="GJ100"/>
      <c r="GK100"/>
      <c r="GL100"/>
      <c r="GM100"/>
      <c r="GN100"/>
      <c r="GO100"/>
      <c r="GQ100"/>
      <c r="GR100"/>
      <c r="GS100"/>
      <c r="GT100"/>
      <c r="GU100"/>
      <c r="GV100"/>
      <c r="GW100"/>
      <c r="GX100"/>
      <c r="GY100" s="36"/>
      <c r="HA100"/>
      <c r="HB100"/>
      <c r="HC100"/>
      <c r="HD100"/>
      <c r="HE100"/>
      <c r="HF100"/>
      <c r="HG100"/>
      <c r="HH100"/>
      <c r="HI100" s="36"/>
      <c r="HK100"/>
      <c r="HL100"/>
      <c r="HM100"/>
      <c r="HN100"/>
      <c r="HO100"/>
      <c r="HP100"/>
      <c r="HQ100"/>
      <c r="HR100"/>
      <c r="HS100" s="36"/>
      <c r="HU100"/>
      <c r="HV100"/>
      <c r="HW100"/>
      <c r="HX100"/>
      <c r="HY100"/>
      <c r="HZ100"/>
      <c r="IA100"/>
      <c r="IB100"/>
      <c r="IC100" s="36"/>
      <c r="IE100"/>
      <c r="IF100"/>
      <c r="IG100"/>
      <c r="IH100"/>
      <c r="II100"/>
      <c r="IJ100"/>
      <c r="IK100"/>
      <c r="IL100"/>
      <c r="IM100" s="36"/>
      <c r="IY100"/>
      <c r="IZ100"/>
      <c r="JA100"/>
      <c r="JB100"/>
      <c r="JC100"/>
      <c r="JD100"/>
      <c r="JE100" s="2">
        <f>+Tabla520212224[[#This Row],[Recuento]]*Tabla520212224[[#This Row],[Volúmen bruto]]</f>
        <v>0</v>
      </c>
      <c r="JF100" s="2">
        <f>+Tabla520212224[[#This Row],[Recuento]]*Tabla520212224[[#This Row],[Área neta]]</f>
        <v>0</v>
      </c>
      <c r="JG100" s="26"/>
      <c r="JI100"/>
      <c r="JJ100"/>
      <c r="JK100"/>
      <c r="JL100"/>
      <c r="JM100"/>
      <c r="JN100"/>
      <c r="JO100" s="2">
        <f>+Tabla52021222425[[#This Row],[Recuento]]*Tabla52021222425[[#This Row],[Volúmen bruto]]</f>
        <v>0</v>
      </c>
      <c r="JP100" s="2">
        <f>+Tabla52021222425[[#This Row],[Recuento]]*Tabla52021222425[[#This Row],[Área neta]]</f>
        <v>0</v>
      </c>
      <c r="JQ100" s="26"/>
      <c r="JS100"/>
      <c r="JT100"/>
      <c r="JU100"/>
      <c r="JV100"/>
      <c r="JW100"/>
      <c r="JX100"/>
      <c r="JY100" s="2">
        <f>+Tabla5202122242526[[#This Row],[Recuento]]*Tabla5202122242526[[#This Row],[Volúmen bruto]]</f>
        <v>0</v>
      </c>
      <c r="JZ100" s="2">
        <f>+Tabla5202122242526[[#This Row],[Recuento]]*Tabla5202122242526[[#This Row],[Área neta]]</f>
        <v>0</v>
      </c>
      <c r="KA100" s="26"/>
      <c r="KC100"/>
      <c r="KD100"/>
      <c r="KE100"/>
      <c r="KF100"/>
      <c r="KG100"/>
      <c r="KH100"/>
      <c r="KI100" s="2">
        <f>+Tabla5202122242526104[[#This Row],[Recuento]]*Tabla5202122242526104[[#This Row],[Volúmen bruto]]</f>
        <v>0</v>
      </c>
      <c r="KJ100" s="2">
        <f>+Tabla5202122242526104[[#This Row],[Recuento]]*Tabla5202122242526104[[#This Row],[Área neta]]</f>
        <v>0</v>
      </c>
      <c r="KK100" s="26"/>
      <c r="KM100"/>
      <c r="KN100"/>
      <c r="KO100"/>
      <c r="KP100"/>
      <c r="KQ100"/>
      <c r="KR100"/>
      <c r="KS100" s="2">
        <f>+Tabla5202122242526104110[[#This Row],[Recuento]]*Tabla5202122242526104110[[#This Row],[Volúmen bruto]]</f>
        <v>0</v>
      </c>
      <c r="KT100" s="2">
        <f>+Tabla5202122242526104110[[#This Row],[Recuento]]*Tabla5202122242526104110[[#This Row],[Área neta]]</f>
        <v>0</v>
      </c>
      <c r="KU100" s="26"/>
      <c r="KW100"/>
      <c r="KX100"/>
      <c r="KY100"/>
      <c r="KZ100"/>
      <c r="LA100"/>
      <c r="LB100"/>
      <c r="LC100" s="2">
        <f>+Tabla520212224252659[[#This Row],[Recuento]]*Tabla520212224252659[[#This Row],[Volúmen bruto]]</f>
        <v>0</v>
      </c>
      <c r="LD100" s="2">
        <f>+Tabla520212224252659[[#This Row],[Recuento]]*Tabla520212224252659[[#This Row],[Área neta]]</f>
        <v>0</v>
      </c>
      <c r="LE100" s="26"/>
      <c r="LG100"/>
      <c r="LH100"/>
      <c r="LI100"/>
      <c r="LJ100"/>
      <c r="LK100"/>
      <c r="LL100"/>
      <c r="LM100" s="2">
        <f>+Tabla520212224252659111[[#This Row],[Recuento]]*Tabla520212224252659111[[#This Row],[Volúmen bruto]]</f>
        <v>0</v>
      </c>
      <c r="LN100" s="2">
        <f>+Tabla520212224252659111[[#This Row],[Recuento]]*Tabla520212224252659111[[#This Row],[Área neta]]</f>
        <v>0</v>
      </c>
      <c r="LO100" s="26"/>
      <c r="LQ100"/>
      <c r="LR100"/>
      <c r="LS100"/>
      <c r="LT100"/>
      <c r="LU100"/>
      <c r="LV100"/>
      <c r="LW100" s="2">
        <f>+Tabla520212224252659111114[[#This Row],[Recuento]]*Tabla520212224252659111114[[#This Row],[Volúmen bruto]]</f>
        <v>0</v>
      </c>
      <c r="LX100" s="2">
        <f>+Tabla520212224252659111114[[#This Row],[Recuento]]*Tabla520212224252659111114[[#This Row],[Área neta]]</f>
        <v>0</v>
      </c>
      <c r="LY100" s="26"/>
      <c r="MA100"/>
      <c r="MB100"/>
      <c r="MC100"/>
      <c r="MD100"/>
      <c r="ME100"/>
      <c r="MF100"/>
      <c r="MG100" s="2">
        <f>+Tabla520212224252659111114128[[#This Row],[Recuento]]*Tabla520212224252659111114128[[#This Row],[Volúmen bruto]]</f>
        <v>0</v>
      </c>
      <c r="MH100" s="2">
        <f>+Tabla520212224252659111114128[[#This Row],[Recuento]]*Tabla520212224252659111114128[[#This Row],[Área neta]]</f>
        <v>0</v>
      </c>
      <c r="MI100" s="26"/>
      <c r="MK100"/>
      <c r="ML100"/>
      <c r="MM100"/>
      <c r="MN100"/>
      <c r="MO100"/>
      <c r="MP100"/>
      <c r="MQ100" s="2">
        <f>+Tabla520212224252627[[#This Row],[Recuento]]*Tabla520212224252627[[#This Row],[Volúmen bruto]]</f>
        <v>0</v>
      </c>
      <c r="MR100" s="2">
        <f>+Tabla520212224252627[[#This Row],[Recuento]]*Tabla520212224252627[[#This Row],[Área neta]]</f>
        <v>0</v>
      </c>
      <c r="MS100" s="26"/>
      <c r="MU100"/>
      <c r="MV100"/>
      <c r="MW100"/>
      <c r="MX100"/>
      <c r="MY100"/>
      <c r="MZ100"/>
      <c r="NA100" s="2">
        <f>+Tabla520212224252627129[[#This Row],[Recuento]]*Tabla520212224252627129[[#This Row],[Volúmen bruto]]</f>
        <v>0</v>
      </c>
      <c r="NB100" s="2">
        <f>+Tabla520212224252627129[[#This Row],[Recuento]]*Tabla520212224252627129[[#This Row],[Área neta]]</f>
        <v>0</v>
      </c>
      <c r="NC100" s="26"/>
      <c r="NE100"/>
      <c r="NF100"/>
      <c r="NG100"/>
      <c r="NH100"/>
      <c r="NI100"/>
      <c r="NJ100"/>
      <c r="NK100" s="2">
        <f>+Tabla520212224252627129125[[#This Row],[Recuento]]*Tabla520212224252627129125[[#This Row],[Volúmen bruto]]</f>
        <v>0</v>
      </c>
      <c r="NL100" s="2">
        <f>+Tabla520212224252627129125[[#This Row],[Recuento]]*Tabla520212224252627129125[[#This Row],[Área neta]]</f>
        <v>0</v>
      </c>
      <c r="NM100" s="26"/>
      <c r="NO100"/>
      <c r="NP100"/>
      <c r="NQ100"/>
      <c r="NR100"/>
      <c r="NS100"/>
      <c r="NT100"/>
      <c r="NU100" s="2">
        <f>+Tabla520212224252627129125130[[#This Row],[Recuento]]*Tabla520212224252627129125130[[#This Row],[Volúmen bruto]]</f>
        <v>0</v>
      </c>
      <c r="NV100" s="2">
        <f>+Tabla520212224252627129125130[[#This Row],[Recuento]]*Tabla520212224252627129125130[[#This Row],[Área neta]]</f>
        <v>0</v>
      </c>
      <c r="NW100" s="26"/>
      <c r="NY100"/>
      <c r="NZ100"/>
      <c r="OA100"/>
      <c r="OB100"/>
      <c r="OC100"/>
      <c r="OD100"/>
      <c r="OE100" s="2">
        <f>+Tabla520212224252627129125130131[[#This Row],[Recuento]]*Tabla520212224252627129125130131[[#This Row],[Volúmen bruto]]</f>
        <v>0</v>
      </c>
      <c r="OF100" s="2">
        <f>+Tabla520212224252627129125130131[[#This Row],[Recuento]]*Tabla520212224252627129125130131[[#This Row],[Área neta]]</f>
        <v>0</v>
      </c>
      <c r="OG100" s="26"/>
      <c r="OI100"/>
      <c r="OJ100"/>
      <c r="OK100"/>
      <c r="OL100"/>
      <c r="OM100"/>
      <c r="ON100"/>
      <c r="OO100" s="2">
        <f>+Tabla520212224252627129125130131132[[#This Row],[Recuento]]*Tabla520212224252627129125130131132[[#This Row],[Volúmen bruto]]</f>
        <v>0</v>
      </c>
      <c r="OP100" s="2">
        <f>+Tabla520212224252627129125130131132[[#This Row],[Recuento]]*Tabla520212224252627129125130131132[[#This Row],[Área neta]]</f>
        <v>0</v>
      </c>
      <c r="OQ100" s="26"/>
      <c r="OS100"/>
      <c r="OT100"/>
      <c r="OU100"/>
      <c r="OV100"/>
      <c r="OW100"/>
      <c r="OX100"/>
      <c r="OY100" s="2">
        <f>+Tabla52021222425262728[[#This Row],[Recuento]]*Tabla52021222425262728[[#This Row],[Volúmen bruto]]</f>
        <v>0</v>
      </c>
      <c r="OZ100" s="2">
        <f>+Tabla52021222425262728[[#This Row],[Recuento]]*Tabla52021222425262728[[#This Row],[Área neta]]</f>
        <v>0</v>
      </c>
      <c r="PA100" s="26">
        <f t="shared" ref="PA100:PA131" si="44">+SUM(OZ102)</f>
        <v>0</v>
      </c>
      <c r="PC100"/>
      <c r="PD100"/>
      <c r="PE100"/>
      <c r="PF100"/>
      <c r="PG100"/>
      <c r="PH100"/>
      <c r="PI100" s="2">
        <f>+Tabla52021222425262728133[[#This Row],[Recuento]]*Tabla52021222425262728133[[#This Row],[Volúmen bruto]]</f>
        <v>0</v>
      </c>
      <c r="PJ100" s="2">
        <f>+Tabla52021222425262728133[[#This Row],[Recuento]]*Tabla52021222425262728133[[#This Row],[Área neta]]</f>
        <v>0</v>
      </c>
      <c r="PK100" s="26"/>
      <c r="PM100"/>
      <c r="PN100"/>
      <c r="PO100"/>
      <c r="PP100"/>
      <c r="PQ100"/>
      <c r="PR100"/>
      <c r="PS100" s="2">
        <f>+Tabla5202122242526272893[[#This Row],[Recuento]]*Tabla5202122242526272893[[#This Row],[Volúmen bruto]]</f>
        <v>0</v>
      </c>
      <c r="PT100" s="2">
        <f>+Tabla5202122242526272893[[#This Row],[Recuento]]*Tabla5202122242526272893[[#This Row],[Área neta]]</f>
        <v>0</v>
      </c>
      <c r="PU100" s="26"/>
      <c r="PW100"/>
      <c r="PX100"/>
      <c r="PY100"/>
      <c r="PZ100"/>
      <c r="QA100"/>
      <c r="QB100"/>
      <c r="QC100" s="2">
        <f>+Tabla520212224252627289349[[#This Row],[Recuento]]*Tabla520212224252627289349[[#This Row],[Volúmen bruto]]</f>
        <v>0</v>
      </c>
      <c r="QD100" s="2">
        <f>+Tabla520212224252627289349[[#This Row],[Recuento]]*Tabla520212224252627289349[[#This Row],[Área neta]]</f>
        <v>0</v>
      </c>
      <c r="QE100" s="26"/>
      <c r="QG100"/>
      <c r="QH100"/>
      <c r="QI100"/>
      <c r="QJ100"/>
      <c r="QK100"/>
      <c r="QL100"/>
      <c r="QM100" s="2">
        <f>+Tabla520212224252627289349134[[#This Row],[Recuento]]*Tabla520212224252627289349134[[#This Row],[Volúmen bruto]]</f>
        <v>0</v>
      </c>
      <c r="QN100" s="2">
        <f>+Tabla520212224252627289349134[[#This Row],[Recuento]]*Tabla520212224252627289349134[[#This Row],[Área neta]]</f>
        <v>0</v>
      </c>
      <c r="QO100" s="26"/>
      <c r="QQ100"/>
      <c r="QR100"/>
      <c r="QS100"/>
      <c r="QT100"/>
      <c r="QU100"/>
      <c r="QV100"/>
      <c r="QW100"/>
      <c r="RA100" s="26"/>
      <c r="RC100"/>
      <c r="RD100"/>
      <c r="RE100"/>
      <c r="RF100"/>
      <c r="RG100"/>
      <c r="RH100"/>
      <c r="RK100" s="26"/>
      <c r="RM100"/>
      <c r="RN100"/>
      <c r="RO100"/>
      <c r="RP100"/>
      <c r="RQ100"/>
      <c r="RR100"/>
      <c r="RU100" s="26">
        <f t="shared" ref="RU100:RU130" si="45">+SUM(RT100:RT102)</f>
        <v>0</v>
      </c>
      <c r="RW100"/>
      <c r="RX100"/>
      <c r="RY100"/>
      <c r="RZ100"/>
      <c r="SA100"/>
      <c r="SB100"/>
      <c r="SE100" s="26"/>
      <c r="SG100"/>
      <c r="SH100"/>
      <c r="SI100"/>
      <c r="SJ100"/>
      <c r="SK100"/>
      <c r="SL100"/>
      <c r="SO100" s="26"/>
      <c r="YK100"/>
      <c r="YL100"/>
      <c r="YM100"/>
      <c r="YN100"/>
      <c r="YO100"/>
      <c r="ADJ100"/>
      <c r="ADK100"/>
      <c r="ADL100"/>
      <c r="ADM100"/>
      <c r="ADN100"/>
      <c r="ADO100"/>
      <c r="ADP100" s="36"/>
      <c r="ADR100"/>
      <c r="ADS100"/>
      <c r="ADT100"/>
      <c r="ADU100"/>
      <c r="ADW100" s="35"/>
      <c r="ADX100" s="35"/>
      <c r="ADY100"/>
      <c r="ADZ100"/>
      <c r="AEA100"/>
      <c r="AEB100"/>
      <c r="AEC100" s="2" t="e">
        <f>+Tabla57891415163435363738394041424344454647484950515253556062[[#This Row],[Recuento]]*#REF!</f>
        <v>#REF!</v>
      </c>
      <c r="AEE100" s="36"/>
      <c r="AEN100" t="s">
        <v>1522</v>
      </c>
      <c r="AEO100" t="s">
        <v>1524</v>
      </c>
      <c r="AEP100" t="s">
        <v>382</v>
      </c>
      <c r="AEQ100">
        <v>1.06</v>
      </c>
      <c r="AER100">
        <v>1</v>
      </c>
      <c r="AES100">
        <f>+Tabla5789141516343536373839404142434445464748495051525355606264[[#This Row],[G. Total]]*Tabla5789141516343536373839404142434445464748495051525355606264[[#This Row],[Recuento]]</f>
        <v>1.06</v>
      </c>
      <c r="AET100" s="36"/>
      <c r="AFC100"/>
      <c r="AFD100"/>
      <c r="AFE100"/>
      <c r="AFF100" s="33"/>
      <c r="AFG100"/>
      <c r="AFH100"/>
      <c r="AFI100"/>
      <c r="AFJ100"/>
      <c r="AFK100"/>
      <c r="AFL100"/>
      <c r="AFM100"/>
      <c r="AFN100">
        <f>+Tabla578914151634353637383940414243444546474849505152535560626467[[#This Row],[G. Total]]*Tabla578914151634353637383940414243444546474849505152535560626467[[#This Row],[Recuento]]</f>
        <v>0</v>
      </c>
      <c r="AFO100" s="36"/>
    </row>
    <row r="101" spans="2:847" x14ac:dyDescent="0.25">
      <c r="B101"/>
      <c r="C101"/>
      <c r="D101"/>
      <c r="E101"/>
      <c r="F101" s="33"/>
      <c r="G101" s="33"/>
      <c r="H101"/>
      <c r="I101"/>
      <c r="BG101"/>
      <c r="BH101"/>
      <c r="BI101"/>
      <c r="BJ101"/>
      <c r="BK101"/>
      <c r="BL101">
        <f>+Tabla3102[[#This Row],[Longitud de eje]]*BF101</f>
        <v>0</v>
      </c>
      <c r="BM101">
        <f>+Tabla3102[[#This Row],[Longitud de eje]]*BG101</f>
        <v>0</v>
      </c>
      <c r="BO101"/>
      <c r="BP101"/>
      <c r="BQ101"/>
      <c r="BR101"/>
      <c r="BS101"/>
      <c r="BT101"/>
      <c r="BU101"/>
      <c r="BV101">
        <v>1</v>
      </c>
      <c r="BW101"/>
      <c r="BX101"/>
      <c r="BY101"/>
      <c r="BZ101"/>
      <c r="CA101"/>
      <c r="CB101">
        <f>+Tabla31011[[#This Row],[Longitud de eje]]*BV101</f>
        <v>0</v>
      </c>
      <c r="CD101">
        <v>1</v>
      </c>
      <c r="CE101"/>
      <c r="CF101"/>
      <c r="CG101"/>
      <c r="CH101"/>
      <c r="CI101"/>
      <c r="CJ101"/>
      <c r="CK101"/>
      <c r="CL101">
        <v>1</v>
      </c>
      <c r="CM101"/>
      <c r="CN101"/>
      <c r="CO101"/>
      <c r="CP101"/>
      <c r="CQ101"/>
      <c r="CR101">
        <f>+Tabla31011116[[#This Row],[Longitud de eje]]*CL101</f>
        <v>0</v>
      </c>
      <c r="CT101">
        <v>1</v>
      </c>
      <c r="CU101"/>
      <c r="CV101"/>
      <c r="CW101"/>
      <c r="CX101"/>
      <c r="CY101"/>
      <c r="CZ101"/>
      <c r="DA101"/>
      <c r="DB101">
        <v>1</v>
      </c>
      <c r="DC101"/>
      <c r="DD101"/>
      <c r="DE101"/>
      <c r="DF101"/>
      <c r="DG101">
        <f>+Tabla31011704[[#This Row],[Longitud de eje]]*DB101</f>
        <v>0</v>
      </c>
      <c r="DH101"/>
      <c r="DI101">
        <v>1</v>
      </c>
      <c r="DJ101"/>
      <c r="DK101"/>
      <c r="DL101"/>
      <c r="DM101"/>
      <c r="DN101">
        <f>+Tabla3101170411[[#This Row],[Longitud de eje]]*DI101</f>
        <v>0</v>
      </c>
      <c r="DO101"/>
      <c r="DP101">
        <v>1</v>
      </c>
      <c r="DQ101"/>
      <c r="DR101"/>
      <c r="DS101"/>
      <c r="DT101"/>
      <c r="DU101">
        <f>+Tabla3101170411120[[#This Row],[Longitud de eje]]*DP101</f>
        <v>0</v>
      </c>
      <c r="DV101"/>
      <c r="DW101">
        <v>1</v>
      </c>
      <c r="DX101"/>
      <c r="DY101"/>
      <c r="DZ101"/>
      <c r="EA101"/>
      <c r="EB101">
        <f>+Tabla3101170411120122[[#This Row],[Longitud de eje]]*DW101</f>
        <v>0</v>
      </c>
      <c r="EC101"/>
      <c r="EE101"/>
      <c r="EF101"/>
      <c r="EG101"/>
      <c r="EH101"/>
      <c r="EI101"/>
      <c r="EJ101">
        <f>+Tabla3101112[[#This Row],[En culmo]]*ED101</f>
        <v>0</v>
      </c>
      <c r="EK101"/>
      <c r="EM101"/>
      <c r="EN101"/>
      <c r="EO101"/>
      <c r="EP101"/>
      <c r="EQ101"/>
      <c r="ER101">
        <f>+Tabla3101112123[[#This Row],[En culmo]]*EL101</f>
        <v>0</v>
      </c>
      <c r="ES101"/>
      <c r="EU101"/>
      <c r="EV101"/>
      <c r="EW101"/>
      <c r="EX101"/>
      <c r="EY101"/>
      <c r="EZ101">
        <f>+Tabla310111257[[#This Row],[En culmo]]*ET101</f>
        <v>0</v>
      </c>
      <c r="FA101"/>
      <c r="FC101"/>
      <c r="FD101"/>
      <c r="FE101"/>
      <c r="FF101"/>
      <c r="FG101"/>
      <c r="FH101">
        <f>+Tabla310111257124[[#This Row],[En culmo]]*FB101</f>
        <v>0</v>
      </c>
      <c r="FI101"/>
      <c r="FK101"/>
      <c r="FL101"/>
      <c r="FM101"/>
      <c r="FN101"/>
      <c r="FO101"/>
      <c r="FP101"/>
      <c r="FQ101"/>
      <c r="FS101"/>
      <c r="FT101"/>
      <c r="FU101"/>
      <c r="FV101"/>
      <c r="FW101"/>
      <c r="FX101"/>
      <c r="FY101"/>
      <c r="GA101"/>
      <c r="GB101"/>
      <c r="GC101"/>
      <c r="GD101"/>
      <c r="GE101"/>
      <c r="GF101"/>
      <c r="GG101"/>
      <c r="GI101"/>
      <c r="GJ101"/>
      <c r="GK101"/>
      <c r="GL101"/>
      <c r="GM101"/>
      <c r="GN101"/>
      <c r="GO101"/>
      <c r="GQ101"/>
      <c r="GR101"/>
      <c r="GS101"/>
      <c r="GT101"/>
      <c r="GU101"/>
      <c r="GV101"/>
      <c r="GW101"/>
      <c r="GX101"/>
      <c r="GY101" s="36"/>
      <c r="HA101"/>
      <c r="HB101"/>
      <c r="HC101"/>
      <c r="HD101"/>
      <c r="HE101"/>
      <c r="HF101"/>
      <c r="HG101"/>
      <c r="HH101"/>
      <c r="HI101" s="36"/>
      <c r="HK101"/>
      <c r="HL101"/>
      <c r="HM101"/>
      <c r="HN101"/>
      <c r="HO101"/>
      <c r="HP101"/>
      <c r="HQ101"/>
      <c r="HR101"/>
      <c r="HS101" s="36"/>
      <c r="HU101"/>
      <c r="HV101"/>
      <c r="HW101"/>
      <c r="HX101"/>
      <c r="HY101"/>
      <c r="HZ101"/>
      <c r="IA101"/>
      <c r="IB101"/>
      <c r="IC101" s="36"/>
      <c r="IE101"/>
      <c r="IF101"/>
      <c r="IG101"/>
      <c r="IH101"/>
      <c r="II101"/>
      <c r="IJ101"/>
      <c r="IK101"/>
      <c r="IL101"/>
      <c r="IM101" s="36"/>
      <c r="IY101"/>
      <c r="IZ101"/>
      <c r="JA101"/>
      <c r="JB101"/>
      <c r="JC101"/>
      <c r="JD101"/>
      <c r="JE101" s="2">
        <f>+Tabla520212224[[#This Row],[Recuento]]*Tabla520212224[[#This Row],[Volúmen bruto]]</f>
        <v>0</v>
      </c>
      <c r="JF101" s="2">
        <f>+Tabla520212224[[#This Row],[Recuento]]*Tabla520212224[[#This Row],[Área neta]]</f>
        <v>0</v>
      </c>
      <c r="JG101" s="26"/>
      <c r="JI101"/>
      <c r="JJ101"/>
      <c r="JK101"/>
      <c r="JL101"/>
      <c r="JM101"/>
      <c r="JN101"/>
      <c r="JO101" s="2">
        <f>+Tabla52021222425[[#This Row],[Recuento]]*Tabla52021222425[[#This Row],[Volúmen bruto]]</f>
        <v>0</v>
      </c>
      <c r="JP101" s="2">
        <f>+Tabla52021222425[[#This Row],[Recuento]]*Tabla52021222425[[#This Row],[Área neta]]</f>
        <v>0</v>
      </c>
      <c r="JQ101" s="26"/>
      <c r="JS101"/>
      <c r="JT101"/>
      <c r="JU101"/>
      <c r="JV101"/>
      <c r="JW101"/>
      <c r="JX101"/>
      <c r="JY101" s="2">
        <f>+Tabla5202122242526[[#This Row],[Recuento]]*Tabla5202122242526[[#This Row],[Volúmen bruto]]</f>
        <v>0</v>
      </c>
      <c r="JZ101" s="2">
        <f>+Tabla5202122242526[[#This Row],[Recuento]]*Tabla5202122242526[[#This Row],[Área neta]]</f>
        <v>0</v>
      </c>
      <c r="KA101" s="26"/>
      <c r="KC101"/>
      <c r="KD101"/>
      <c r="KE101"/>
      <c r="KF101"/>
      <c r="KG101"/>
      <c r="KH101"/>
      <c r="KI101" s="2">
        <f>+Tabla5202122242526104[[#This Row],[Recuento]]*Tabla5202122242526104[[#This Row],[Volúmen bruto]]</f>
        <v>0</v>
      </c>
      <c r="KJ101" s="2">
        <f>+Tabla5202122242526104[[#This Row],[Recuento]]*Tabla5202122242526104[[#This Row],[Área neta]]</f>
        <v>0</v>
      </c>
      <c r="KK101" s="26"/>
      <c r="KM101"/>
      <c r="KN101"/>
      <c r="KO101"/>
      <c r="KP101"/>
      <c r="KQ101"/>
      <c r="KR101"/>
      <c r="KS101" s="2">
        <f>+Tabla5202122242526104110[[#This Row],[Recuento]]*Tabla5202122242526104110[[#This Row],[Volúmen bruto]]</f>
        <v>0</v>
      </c>
      <c r="KT101" s="2">
        <f>+Tabla5202122242526104110[[#This Row],[Recuento]]*Tabla5202122242526104110[[#This Row],[Área neta]]</f>
        <v>0</v>
      </c>
      <c r="KU101" s="26"/>
      <c r="KW101"/>
      <c r="KX101"/>
      <c r="KY101"/>
      <c r="KZ101"/>
      <c r="LA101"/>
      <c r="LB101"/>
      <c r="LC101" s="2">
        <f>+Tabla520212224252659[[#This Row],[Recuento]]*Tabla520212224252659[[#This Row],[Volúmen bruto]]</f>
        <v>0</v>
      </c>
      <c r="LD101" s="2">
        <f>+Tabla520212224252659[[#This Row],[Recuento]]*Tabla520212224252659[[#This Row],[Área neta]]</f>
        <v>0</v>
      </c>
      <c r="LE101" s="26"/>
      <c r="LG101"/>
      <c r="LH101"/>
      <c r="LI101"/>
      <c r="LJ101"/>
      <c r="LK101"/>
      <c r="LL101"/>
      <c r="LM101" s="2">
        <f>+Tabla520212224252659111[[#This Row],[Recuento]]*Tabla520212224252659111[[#This Row],[Volúmen bruto]]</f>
        <v>0</v>
      </c>
      <c r="LN101" s="2">
        <f>+Tabla520212224252659111[[#This Row],[Recuento]]*Tabla520212224252659111[[#This Row],[Área neta]]</f>
        <v>0</v>
      </c>
      <c r="LO101" s="26"/>
      <c r="LQ101"/>
      <c r="LR101"/>
      <c r="LS101"/>
      <c r="LT101"/>
      <c r="LU101"/>
      <c r="LV101"/>
      <c r="LW101" s="2">
        <f>+Tabla520212224252659111114[[#This Row],[Recuento]]*Tabla520212224252659111114[[#This Row],[Volúmen bruto]]</f>
        <v>0</v>
      </c>
      <c r="LX101" s="2">
        <f>+Tabla520212224252659111114[[#This Row],[Recuento]]*Tabla520212224252659111114[[#This Row],[Área neta]]</f>
        <v>0</v>
      </c>
      <c r="LY101" s="26"/>
      <c r="MA101"/>
      <c r="MB101"/>
      <c r="MC101"/>
      <c r="MD101"/>
      <c r="ME101"/>
      <c r="MF101"/>
      <c r="MG101" s="2">
        <f>+Tabla520212224252659111114128[[#This Row],[Recuento]]*Tabla520212224252659111114128[[#This Row],[Volúmen bruto]]</f>
        <v>0</v>
      </c>
      <c r="MH101" s="2">
        <f>+Tabla520212224252659111114128[[#This Row],[Recuento]]*Tabla520212224252659111114128[[#This Row],[Área neta]]</f>
        <v>0</v>
      </c>
      <c r="MI101" s="26"/>
      <c r="MK101"/>
      <c r="ML101"/>
      <c r="MM101"/>
      <c r="MN101"/>
      <c r="MO101"/>
      <c r="MP101"/>
      <c r="MQ101" s="2">
        <f>+Tabla520212224252627[[#This Row],[Recuento]]*Tabla520212224252627[[#This Row],[Volúmen bruto]]</f>
        <v>0</v>
      </c>
      <c r="MR101" s="2">
        <f>+Tabla520212224252627[[#This Row],[Recuento]]*Tabla520212224252627[[#This Row],[Área neta]]</f>
        <v>0</v>
      </c>
      <c r="MS101" s="26"/>
      <c r="MU101"/>
      <c r="MV101"/>
      <c r="MW101"/>
      <c r="MX101"/>
      <c r="MY101"/>
      <c r="MZ101"/>
      <c r="NA101" s="2">
        <f>+Tabla520212224252627129[[#This Row],[Recuento]]*Tabla520212224252627129[[#This Row],[Volúmen bruto]]</f>
        <v>0</v>
      </c>
      <c r="NB101" s="2">
        <f>+Tabla520212224252627129[[#This Row],[Recuento]]*Tabla520212224252627129[[#This Row],[Área neta]]</f>
        <v>0</v>
      </c>
      <c r="NC101" s="26"/>
      <c r="NE101"/>
      <c r="NF101"/>
      <c r="NG101"/>
      <c r="NH101"/>
      <c r="NI101"/>
      <c r="NJ101"/>
      <c r="NK101" s="2">
        <f>+Tabla520212224252627129125[[#This Row],[Recuento]]*Tabla520212224252627129125[[#This Row],[Volúmen bruto]]</f>
        <v>0</v>
      </c>
      <c r="NL101" s="2">
        <f>+Tabla520212224252627129125[[#This Row],[Recuento]]*Tabla520212224252627129125[[#This Row],[Área neta]]</f>
        <v>0</v>
      </c>
      <c r="NM101" s="26"/>
      <c r="NO101"/>
      <c r="NP101"/>
      <c r="NQ101"/>
      <c r="NR101"/>
      <c r="NS101"/>
      <c r="NT101"/>
      <c r="NU101" s="2">
        <f>+Tabla520212224252627129125130[[#This Row],[Recuento]]*Tabla520212224252627129125130[[#This Row],[Volúmen bruto]]</f>
        <v>0</v>
      </c>
      <c r="NV101" s="2">
        <f>+Tabla520212224252627129125130[[#This Row],[Recuento]]*Tabla520212224252627129125130[[#This Row],[Área neta]]</f>
        <v>0</v>
      </c>
      <c r="NW101" s="26"/>
      <c r="NY101"/>
      <c r="NZ101"/>
      <c r="OA101"/>
      <c r="OB101"/>
      <c r="OC101"/>
      <c r="OD101"/>
      <c r="OE101" s="2">
        <f>+Tabla520212224252627129125130131[[#This Row],[Recuento]]*Tabla520212224252627129125130131[[#This Row],[Volúmen bruto]]</f>
        <v>0</v>
      </c>
      <c r="OF101" s="2">
        <f>+Tabla520212224252627129125130131[[#This Row],[Recuento]]*Tabla520212224252627129125130131[[#This Row],[Área neta]]</f>
        <v>0</v>
      </c>
      <c r="OG101" s="26"/>
      <c r="OI101"/>
      <c r="OJ101"/>
      <c r="OK101"/>
      <c r="OL101"/>
      <c r="OM101"/>
      <c r="ON101"/>
      <c r="OO101" s="2">
        <f>+Tabla520212224252627129125130131132[[#This Row],[Recuento]]*Tabla520212224252627129125130131132[[#This Row],[Volúmen bruto]]</f>
        <v>0</v>
      </c>
      <c r="OP101" s="2">
        <f>+Tabla520212224252627129125130131132[[#This Row],[Recuento]]*Tabla520212224252627129125130131132[[#This Row],[Área neta]]</f>
        <v>0</v>
      </c>
      <c r="OQ101" s="26"/>
      <c r="OS101"/>
      <c r="OT101"/>
      <c r="OU101"/>
      <c r="OV101"/>
      <c r="OW101"/>
      <c r="OX101"/>
      <c r="OY101" s="2">
        <f>+Tabla52021222425262728[[#This Row],[Recuento]]*Tabla52021222425262728[[#This Row],[Volúmen bruto]]</f>
        <v>0</v>
      </c>
      <c r="OZ101" s="2">
        <f>+Tabla52021222425262728[[#This Row],[Recuento]]*Tabla52021222425262728[[#This Row],[Área neta]]</f>
        <v>0</v>
      </c>
      <c r="PA101" s="26">
        <f t="shared" si="44"/>
        <v>0</v>
      </c>
      <c r="PC101"/>
      <c r="PD101"/>
      <c r="PE101"/>
      <c r="PF101"/>
      <c r="PG101"/>
      <c r="PH101"/>
      <c r="PI101" s="2">
        <f>+Tabla52021222425262728133[[#This Row],[Recuento]]*Tabla52021222425262728133[[#This Row],[Volúmen bruto]]</f>
        <v>0</v>
      </c>
      <c r="PJ101" s="2">
        <f>+Tabla52021222425262728133[[#This Row],[Recuento]]*Tabla52021222425262728133[[#This Row],[Área neta]]</f>
        <v>0</v>
      </c>
      <c r="PK101" s="26"/>
      <c r="PM101"/>
      <c r="PN101"/>
      <c r="PO101"/>
      <c r="PP101"/>
      <c r="PQ101"/>
      <c r="PR101"/>
      <c r="PS101" s="2">
        <f>+Tabla5202122242526272893[[#This Row],[Recuento]]*Tabla5202122242526272893[[#This Row],[Volúmen bruto]]</f>
        <v>0</v>
      </c>
      <c r="PT101" s="2">
        <f>+Tabla5202122242526272893[[#This Row],[Recuento]]*Tabla5202122242526272893[[#This Row],[Área neta]]</f>
        <v>0</v>
      </c>
      <c r="PU101" s="26"/>
      <c r="PW101"/>
      <c r="PX101"/>
      <c r="PY101"/>
      <c r="PZ101"/>
      <c r="QA101"/>
      <c r="QB101"/>
      <c r="QC101" s="2">
        <f>+Tabla520212224252627289349[[#This Row],[Recuento]]*Tabla520212224252627289349[[#This Row],[Volúmen bruto]]</f>
        <v>0</v>
      </c>
      <c r="QD101" s="2">
        <f>+Tabla520212224252627289349[[#This Row],[Recuento]]*Tabla520212224252627289349[[#This Row],[Área neta]]</f>
        <v>0</v>
      </c>
      <c r="QE101" s="26"/>
      <c r="QG101"/>
      <c r="QH101"/>
      <c r="QI101"/>
      <c r="QJ101"/>
      <c r="QK101"/>
      <c r="QL101"/>
      <c r="QM101" s="2">
        <f>+Tabla520212224252627289349134[[#This Row],[Recuento]]*Tabla520212224252627289349134[[#This Row],[Volúmen bruto]]</f>
        <v>0</v>
      </c>
      <c r="QN101" s="2">
        <f>+Tabla520212224252627289349134[[#This Row],[Recuento]]*Tabla520212224252627289349134[[#This Row],[Área neta]]</f>
        <v>0</v>
      </c>
      <c r="QO101" s="26"/>
      <c r="QQ101"/>
      <c r="QR101"/>
      <c r="QS101"/>
      <c r="QT101"/>
      <c r="QU101"/>
      <c r="QV101"/>
      <c r="QW101"/>
      <c r="RA101" s="26"/>
      <c r="RC101"/>
      <c r="RD101"/>
      <c r="RE101"/>
      <c r="RF101"/>
      <c r="RG101"/>
      <c r="RH101"/>
      <c r="RK101" s="26"/>
      <c r="RM101"/>
      <c r="RN101"/>
      <c r="RO101"/>
      <c r="RP101"/>
      <c r="RQ101"/>
      <c r="RR101"/>
      <c r="RU101" s="26">
        <f t="shared" si="45"/>
        <v>0</v>
      </c>
      <c r="RW101"/>
      <c r="RX101"/>
      <c r="RY101"/>
      <c r="RZ101"/>
      <c r="SA101"/>
      <c r="SB101"/>
      <c r="SE101" s="26"/>
      <c r="SG101"/>
      <c r="SH101"/>
      <c r="SI101"/>
      <c r="SJ101"/>
      <c r="SK101"/>
      <c r="SL101"/>
      <c r="SO101" s="26"/>
      <c r="YK101"/>
      <c r="YL101"/>
      <c r="YM101"/>
      <c r="YN101"/>
      <c r="YO101"/>
      <c r="ADJ101"/>
      <c r="ADK101"/>
      <c r="ADL101"/>
      <c r="ADM101"/>
      <c r="ADN101"/>
      <c r="ADO101"/>
      <c r="ADP101" s="36"/>
      <c r="ADR101"/>
      <c r="ADS101"/>
      <c r="ADT101"/>
      <c r="ADU101"/>
      <c r="ADW101" s="35"/>
      <c r="ADX101" s="35"/>
      <c r="ADY101"/>
      <c r="ADZ101"/>
      <c r="AEA101"/>
      <c r="AEB101"/>
      <c r="AEC101" s="2" t="e">
        <f>+Tabla57891415163435363738394041424344454647484950515253556062[[#This Row],[Recuento]]*#REF!</f>
        <v>#REF!</v>
      </c>
      <c r="AEE101" s="36"/>
      <c r="AEN101" t="s">
        <v>1522</v>
      </c>
      <c r="AEO101" t="s">
        <v>1524</v>
      </c>
      <c r="AEP101" t="s">
        <v>382</v>
      </c>
      <c r="AEQ101">
        <v>0.83</v>
      </c>
      <c r="AER101">
        <v>1</v>
      </c>
      <c r="AES101">
        <f>+Tabla5789141516343536373839404142434445464748495051525355606264[[#This Row],[G. Total]]*Tabla5789141516343536373839404142434445464748495051525355606264[[#This Row],[Recuento]]</f>
        <v>0.83</v>
      </c>
      <c r="AET101" s="36"/>
      <c r="AFC101"/>
      <c r="AFD101"/>
      <c r="AFE101"/>
      <c r="AFF101" s="33"/>
      <c r="AFG101"/>
      <c r="AFH101"/>
      <c r="AFI101"/>
      <c r="AFJ101"/>
      <c r="AFK101"/>
      <c r="AFL101"/>
      <c r="AFM101"/>
      <c r="AFN101">
        <f>+Tabla578914151634353637383940414243444546474849505152535560626467[[#This Row],[G. Total]]*Tabla578914151634353637383940414243444546474849505152535560626467[[#This Row],[Recuento]]</f>
        <v>0</v>
      </c>
      <c r="AFO101" s="36"/>
    </row>
    <row r="102" spans="2:847" x14ac:dyDescent="0.25">
      <c r="B102"/>
      <c r="C102"/>
      <c r="D102"/>
      <c r="E102"/>
      <c r="F102" s="33"/>
      <c r="G102" s="33"/>
      <c r="H102"/>
      <c r="I102"/>
      <c r="BG102"/>
      <c r="BH102"/>
      <c r="BI102"/>
      <c r="BJ102"/>
      <c r="BK102"/>
      <c r="BL102">
        <f>+Tabla3102[[#This Row],[Longitud de eje]]*BF102</f>
        <v>0</v>
      </c>
      <c r="BM102">
        <f>+Tabla3102[[#This Row],[Longitud de eje]]*BG102</f>
        <v>0</v>
      </c>
      <c r="BO102"/>
      <c r="BP102"/>
      <c r="BQ102"/>
      <c r="BR102"/>
      <c r="BS102"/>
      <c r="BT102"/>
      <c r="BU102"/>
      <c r="BV102">
        <v>1</v>
      </c>
      <c r="BW102"/>
      <c r="BX102"/>
      <c r="BY102"/>
      <c r="BZ102"/>
      <c r="CA102"/>
      <c r="CB102">
        <f>+Tabla31011[[#This Row],[Longitud de eje]]*BV102</f>
        <v>0</v>
      </c>
      <c r="CD102">
        <v>1</v>
      </c>
      <c r="CE102"/>
      <c r="CF102"/>
      <c r="CG102"/>
      <c r="CH102"/>
      <c r="CI102"/>
      <c r="CJ102"/>
      <c r="CK102"/>
      <c r="CL102">
        <v>1</v>
      </c>
      <c r="CM102"/>
      <c r="CN102"/>
      <c r="CO102"/>
      <c r="CP102"/>
      <c r="CQ102"/>
      <c r="CR102">
        <f>+Tabla31011116[[#This Row],[Longitud de eje]]*CL102</f>
        <v>0</v>
      </c>
      <c r="CT102">
        <v>1</v>
      </c>
      <c r="CU102"/>
      <c r="CV102"/>
      <c r="CW102"/>
      <c r="CX102"/>
      <c r="CY102"/>
      <c r="CZ102"/>
      <c r="DA102"/>
      <c r="DB102">
        <v>1</v>
      </c>
      <c r="DC102"/>
      <c r="DD102"/>
      <c r="DE102"/>
      <c r="DF102"/>
      <c r="DG102">
        <f>+Tabla31011704[[#This Row],[Longitud de eje]]*DB102</f>
        <v>0</v>
      </c>
      <c r="DH102"/>
      <c r="DI102">
        <v>1</v>
      </c>
      <c r="DJ102"/>
      <c r="DK102"/>
      <c r="DL102"/>
      <c r="DM102"/>
      <c r="DN102">
        <f>+Tabla3101170411[[#This Row],[Longitud de eje]]*DI102</f>
        <v>0</v>
      </c>
      <c r="DO102"/>
      <c r="DP102">
        <v>1</v>
      </c>
      <c r="DQ102"/>
      <c r="DR102"/>
      <c r="DS102"/>
      <c r="DT102"/>
      <c r="DU102">
        <f>+Tabla3101170411120[[#This Row],[Longitud de eje]]*DP102</f>
        <v>0</v>
      </c>
      <c r="DV102"/>
      <c r="DW102">
        <v>1</v>
      </c>
      <c r="DX102"/>
      <c r="DY102"/>
      <c r="DZ102"/>
      <c r="EA102"/>
      <c r="EB102">
        <f>+Tabla3101170411120122[[#This Row],[Longitud de eje]]*DW102</f>
        <v>0</v>
      </c>
      <c r="EC102"/>
      <c r="EE102"/>
      <c r="EF102"/>
      <c r="EG102"/>
      <c r="EH102"/>
      <c r="EI102"/>
      <c r="EJ102">
        <f>+Tabla3101112[[#This Row],[En culmo]]*ED102</f>
        <v>0</v>
      </c>
      <c r="EK102"/>
      <c r="EM102"/>
      <c r="EN102"/>
      <c r="EO102"/>
      <c r="EP102"/>
      <c r="EQ102"/>
      <c r="ER102">
        <f>+Tabla3101112123[[#This Row],[En culmo]]*EL102</f>
        <v>0</v>
      </c>
      <c r="ES102"/>
      <c r="EU102"/>
      <c r="EV102"/>
      <c r="EW102"/>
      <c r="EX102"/>
      <c r="EY102"/>
      <c r="EZ102">
        <f>+Tabla310111257[[#This Row],[En culmo]]*ET102</f>
        <v>0</v>
      </c>
      <c r="FA102"/>
      <c r="FC102"/>
      <c r="FD102"/>
      <c r="FE102"/>
      <c r="FF102"/>
      <c r="FG102"/>
      <c r="FH102">
        <f>+Tabla310111257124[[#This Row],[En culmo]]*FB102</f>
        <v>0</v>
      </c>
      <c r="FI102"/>
      <c r="FK102"/>
      <c r="FL102"/>
      <c r="FM102"/>
      <c r="FN102"/>
      <c r="FO102"/>
      <c r="FP102"/>
      <c r="FQ102"/>
      <c r="FS102"/>
      <c r="FT102"/>
      <c r="FU102"/>
      <c r="FV102"/>
      <c r="FW102"/>
      <c r="FX102"/>
      <c r="FY102"/>
      <c r="GA102"/>
      <c r="GB102"/>
      <c r="GC102"/>
      <c r="GD102"/>
      <c r="GE102"/>
      <c r="GF102"/>
      <c r="GG102"/>
      <c r="GI102"/>
      <c r="GJ102"/>
      <c r="GK102"/>
      <c r="GL102"/>
      <c r="GM102"/>
      <c r="GN102"/>
      <c r="GO102"/>
      <c r="GQ102"/>
      <c r="GR102"/>
      <c r="GS102"/>
      <c r="GT102"/>
      <c r="GU102"/>
      <c r="GV102"/>
      <c r="GW102"/>
      <c r="GX102"/>
      <c r="GY102" s="36"/>
      <c r="HA102"/>
      <c r="HB102"/>
      <c r="HC102"/>
      <c r="HD102"/>
      <c r="HE102"/>
      <c r="HF102"/>
      <c r="HG102"/>
      <c r="HH102"/>
      <c r="HI102" s="36"/>
      <c r="HK102"/>
      <c r="HL102"/>
      <c r="HM102"/>
      <c r="HN102"/>
      <c r="HO102"/>
      <c r="HP102"/>
      <c r="HQ102"/>
      <c r="HR102"/>
      <c r="HS102" s="36"/>
      <c r="HU102"/>
      <c r="HV102"/>
      <c r="HW102"/>
      <c r="HX102"/>
      <c r="HY102"/>
      <c r="HZ102"/>
      <c r="IA102"/>
      <c r="IB102"/>
      <c r="IC102" s="36"/>
      <c r="IE102"/>
      <c r="IF102"/>
      <c r="IG102"/>
      <c r="IH102"/>
      <c r="II102"/>
      <c r="IJ102"/>
      <c r="IK102"/>
      <c r="IL102"/>
      <c r="IM102" s="36"/>
      <c r="IY102"/>
      <c r="IZ102"/>
      <c r="JA102"/>
      <c r="JB102"/>
      <c r="JC102"/>
      <c r="JD102"/>
      <c r="JE102" s="2">
        <f>+Tabla520212224[[#This Row],[Recuento]]*Tabla520212224[[#This Row],[Volúmen bruto]]</f>
        <v>0</v>
      </c>
      <c r="JF102" s="2">
        <f>+Tabla520212224[[#This Row],[Recuento]]*Tabla520212224[[#This Row],[Área neta]]</f>
        <v>0</v>
      </c>
      <c r="JG102" s="26"/>
      <c r="JI102"/>
      <c r="JJ102"/>
      <c r="JK102"/>
      <c r="JL102"/>
      <c r="JM102"/>
      <c r="JN102"/>
      <c r="JO102" s="2">
        <f>+Tabla52021222425[[#This Row],[Recuento]]*Tabla52021222425[[#This Row],[Volúmen bruto]]</f>
        <v>0</v>
      </c>
      <c r="JP102" s="2">
        <f>+Tabla52021222425[[#This Row],[Recuento]]*Tabla52021222425[[#This Row],[Área neta]]</f>
        <v>0</v>
      </c>
      <c r="JQ102" s="26"/>
      <c r="JS102"/>
      <c r="JT102"/>
      <c r="JU102"/>
      <c r="JV102"/>
      <c r="JW102"/>
      <c r="JX102"/>
      <c r="JY102" s="2">
        <f>+Tabla5202122242526[[#This Row],[Recuento]]*Tabla5202122242526[[#This Row],[Volúmen bruto]]</f>
        <v>0</v>
      </c>
      <c r="JZ102" s="2">
        <f>+Tabla5202122242526[[#This Row],[Recuento]]*Tabla5202122242526[[#This Row],[Área neta]]</f>
        <v>0</v>
      </c>
      <c r="KA102" s="26"/>
      <c r="KC102"/>
      <c r="KD102"/>
      <c r="KE102"/>
      <c r="KF102"/>
      <c r="KG102"/>
      <c r="KH102"/>
      <c r="KI102" s="2">
        <f>+Tabla5202122242526104[[#This Row],[Recuento]]*Tabla5202122242526104[[#This Row],[Volúmen bruto]]</f>
        <v>0</v>
      </c>
      <c r="KJ102" s="2">
        <f>+Tabla5202122242526104[[#This Row],[Recuento]]*Tabla5202122242526104[[#This Row],[Área neta]]</f>
        <v>0</v>
      </c>
      <c r="KK102" s="26"/>
      <c r="KM102"/>
      <c r="KN102"/>
      <c r="KO102"/>
      <c r="KP102"/>
      <c r="KQ102"/>
      <c r="KR102"/>
      <c r="KS102" s="2">
        <f>+Tabla5202122242526104110[[#This Row],[Recuento]]*Tabla5202122242526104110[[#This Row],[Volúmen bruto]]</f>
        <v>0</v>
      </c>
      <c r="KT102" s="2">
        <f>+Tabla5202122242526104110[[#This Row],[Recuento]]*Tabla5202122242526104110[[#This Row],[Área neta]]</f>
        <v>0</v>
      </c>
      <c r="KU102" s="26"/>
      <c r="KW102"/>
      <c r="KX102"/>
      <c r="KY102"/>
      <c r="KZ102"/>
      <c r="LA102"/>
      <c r="LB102"/>
      <c r="LC102" s="2">
        <f>+Tabla520212224252659[[#This Row],[Recuento]]*Tabla520212224252659[[#This Row],[Volúmen bruto]]</f>
        <v>0</v>
      </c>
      <c r="LD102" s="2">
        <f>+Tabla520212224252659[[#This Row],[Recuento]]*Tabla520212224252659[[#This Row],[Área neta]]</f>
        <v>0</v>
      </c>
      <c r="LE102" s="26"/>
      <c r="LG102"/>
      <c r="LH102"/>
      <c r="LI102"/>
      <c r="LJ102"/>
      <c r="LK102"/>
      <c r="LL102"/>
      <c r="LM102" s="2">
        <f>+Tabla520212224252659111[[#This Row],[Recuento]]*Tabla520212224252659111[[#This Row],[Volúmen bruto]]</f>
        <v>0</v>
      </c>
      <c r="LN102" s="2">
        <f>+Tabla520212224252659111[[#This Row],[Recuento]]*Tabla520212224252659111[[#This Row],[Área neta]]</f>
        <v>0</v>
      </c>
      <c r="LO102" s="26"/>
      <c r="LQ102"/>
      <c r="LR102"/>
      <c r="LS102"/>
      <c r="LT102"/>
      <c r="LU102"/>
      <c r="LV102"/>
      <c r="LW102" s="2">
        <f>+Tabla520212224252659111114[[#This Row],[Recuento]]*Tabla520212224252659111114[[#This Row],[Volúmen bruto]]</f>
        <v>0</v>
      </c>
      <c r="LX102" s="2">
        <f>+Tabla520212224252659111114[[#This Row],[Recuento]]*Tabla520212224252659111114[[#This Row],[Área neta]]</f>
        <v>0</v>
      </c>
      <c r="LY102" s="26"/>
      <c r="MA102"/>
      <c r="MB102"/>
      <c r="MC102"/>
      <c r="MD102"/>
      <c r="ME102"/>
      <c r="MF102"/>
      <c r="MG102" s="2">
        <f>+Tabla520212224252659111114128[[#This Row],[Recuento]]*Tabla520212224252659111114128[[#This Row],[Volúmen bruto]]</f>
        <v>0</v>
      </c>
      <c r="MH102" s="2">
        <f>+Tabla520212224252659111114128[[#This Row],[Recuento]]*Tabla520212224252659111114128[[#This Row],[Área neta]]</f>
        <v>0</v>
      </c>
      <c r="MI102" s="26"/>
      <c r="MK102"/>
      <c r="ML102"/>
      <c r="MM102"/>
      <c r="MN102"/>
      <c r="MO102"/>
      <c r="MP102"/>
      <c r="MQ102" s="2">
        <f>+Tabla520212224252627[[#This Row],[Recuento]]*Tabla520212224252627[[#This Row],[Volúmen bruto]]</f>
        <v>0</v>
      </c>
      <c r="MR102" s="2">
        <f>+Tabla520212224252627[[#This Row],[Recuento]]*Tabla520212224252627[[#This Row],[Área neta]]</f>
        <v>0</v>
      </c>
      <c r="MS102" s="26"/>
      <c r="MU102"/>
      <c r="MV102"/>
      <c r="MW102"/>
      <c r="MX102"/>
      <c r="MY102"/>
      <c r="MZ102"/>
      <c r="NA102" s="2">
        <f>+Tabla520212224252627129[[#This Row],[Recuento]]*Tabla520212224252627129[[#This Row],[Volúmen bruto]]</f>
        <v>0</v>
      </c>
      <c r="NB102" s="2">
        <f>+Tabla520212224252627129[[#This Row],[Recuento]]*Tabla520212224252627129[[#This Row],[Área neta]]</f>
        <v>0</v>
      </c>
      <c r="NC102" s="26"/>
      <c r="NE102"/>
      <c r="NF102"/>
      <c r="NG102"/>
      <c r="NH102"/>
      <c r="NI102"/>
      <c r="NJ102"/>
      <c r="NK102" s="2">
        <f>+Tabla520212224252627129125[[#This Row],[Recuento]]*Tabla520212224252627129125[[#This Row],[Volúmen bruto]]</f>
        <v>0</v>
      </c>
      <c r="NL102" s="2">
        <f>+Tabla520212224252627129125[[#This Row],[Recuento]]*Tabla520212224252627129125[[#This Row],[Área neta]]</f>
        <v>0</v>
      </c>
      <c r="NM102" s="26"/>
      <c r="NO102"/>
      <c r="NP102"/>
      <c r="NQ102"/>
      <c r="NR102"/>
      <c r="NS102"/>
      <c r="NT102"/>
      <c r="NU102" s="2">
        <f>+Tabla520212224252627129125130[[#This Row],[Recuento]]*Tabla520212224252627129125130[[#This Row],[Volúmen bruto]]</f>
        <v>0</v>
      </c>
      <c r="NV102" s="2">
        <f>+Tabla520212224252627129125130[[#This Row],[Recuento]]*Tabla520212224252627129125130[[#This Row],[Área neta]]</f>
        <v>0</v>
      </c>
      <c r="NW102" s="26"/>
      <c r="NY102"/>
      <c r="NZ102"/>
      <c r="OA102"/>
      <c r="OB102"/>
      <c r="OC102"/>
      <c r="OD102"/>
      <c r="OE102" s="2">
        <f>+Tabla520212224252627129125130131[[#This Row],[Recuento]]*Tabla520212224252627129125130131[[#This Row],[Volúmen bruto]]</f>
        <v>0</v>
      </c>
      <c r="OF102" s="2">
        <f>+Tabla520212224252627129125130131[[#This Row],[Recuento]]*Tabla520212224252627129125130131[[#This Row],[Área neta]]</f>
        <v>0</v>
      </c>
      <c r="OG102" s="26"/>
      <c r="OI102"/>
      <c r="OJ102"/>
      <c r="OK102"/>
      <c r="OL102"/>
      <c r="OM102"/>
      <c r="ON102"/>
      <c r="OO102" s="2">
        <f>+Tabla520212224252627129125130131132[[#This Row],[Recuento]]*Tabla520212224252627129125130131132[[#This Row],[Volúmen bruto]]</f>
        <v>0</v>
      </c>
      <c r="OP102" s="2">
        <f>+Tabla520212224252627129125130131132[[#This Row],[Recuento]]*Tabla520212224252627129125130131132[[#This Row],[Área neta]]</f>
        <v>0</v>
      </c>
      <c r="OQ102" s="26"/>
      <c r="OS102"/>
      <c r="OT102"/>
      <c r="OU102"/>
      <c r="OV102"/>
      <c r="OW102"/>
      <c r="OX102"/>
      <c r="OY102" s="2">
        <f>+Tabla52021222425262728[[#This Row],[Recuento]]*Tabla52021222425262728[[#This Row],[Volúmen bruto]]</f>
        <v>0</v>
      </c>
      <c r="OZ102" s="2">
        <f>+Tabla52021222425262728[[#This Row],[Recuento]]*Tabla52021222425262728[[#This Row],[Área neta]]</f>
        <v>0</v>
      </c>
      <c r="PA102" s="26">
        <f t="shared" si="44"/>
        <v>0</v>
      </c>
      <c r="PC102"/>
      <c r="PD102"/>
      <c r="PE102"/>
      <c r="PF102"/>
      <c r="PG102"/>
      <c r="PH102"/>
      <c r="PI102" s="2">
        <f>+Tabla52021222425262728133[[#This Row],[Recuento]]*Tabla52021222425262728133[[#This Row],[Volúmen bruto]]</f>
        <v>0</v>
      </c>
      <c r="PJ102" s="2">
        <f>+Tabla52021222425262728133[[#This Row],[Recuento]]*Tabla52021222425262728133[[#This Row],[Área neta]]</f>
        <v>0</v>
      </c>
      <c r="PK102" s="26"/>
      <c r="PM102"/>
      <c r="PN102"/>
      <c r="PO102"/>
      <c r="PP102"/>
      <c r="PQ102"/>
      <c r="PR102"/>
      <c r="PS102" s="2">
        <f>+Tabla5202122242526272893[[#This Row],[Recuento]]*Tabla5202122242526272893[[#This Row],[Volúmen bruto]]</f>
        <v>0</v>
      </c>
      <c r="PT102" s="2">
        <f>+Tabla5202122242526272893[[#This Row],[Recuento]]*Tabla5202122242526272893[[#This Row],[Área neta]]</f>
        <v>0</v>
      </c>
      <c r="PU102" s="26"/>
      <c r="PW102"/>
      <c r="PX102"/>
      <c r="PY102"/>
      <c r="PZ102"/>
      <c r="QA102"/>
      <c r="QB102"/>
      <c r="QC102" s="2">
        <f>+Tabla520212224252627289349[[#This Row],[Recuento]]*Tabla520212224252627289349[[#This Row],[Volúmen bruto]]</f>
        <v>0</v>
      </c>
      <c r="QD102" s="2">
        <f>+Tabla520212224252627289349[[#This Row],[Recuento]]*Tabla520212224252627289349[[#This Row],[Área neta]]</f>
        <v>0</v>
      </c>
      <c r="QE102" s="26"/>
      <c r="QG102"/>
      <c r="QH102"/>
      <c r="QI102"/>
      <c r="QJ102"/>
      <c r="QK102"/>
      <c r="QL102"/>
      <c r="QM102" s="2">
        <f>+Tabla520212224252627289349134[[#This Row],[Recuento]]*Tabla520212224252627289349134[[#This Row],[Volúmen bruto]]</f>
        <v>0</v>
      </c>
      <c r="QN102" s="2">
        <f>+Tabla520212224252627289349134[[#This Row],[Recuento]]*Tabla520212224252627289349134[[#This Row],[Área neta]]</f>
        <v>0</v>
      </c>
      <c r="QO102" s="26"/>
      <c r="QQ102"/>
      <c r="QR102"/>
      <c r="QS102"/>
      <c r="QT102"/>
      <c r="QU102"/>
      <c r="QV102"/>
      <c r="QW102"/>
      <c r="RA102" s="26"/>
      <c r="RC102"/>
      <c r="RD102"/>
      <c r="RE102"/>
      <c r="RF102"/>
      <c r="RG102"/>
      <c r="RH102"/>
      <c r="RK102" s="26"/>
      <c r="RM102"/>
      <c r="RN102"/>
      <c r="RO102"/>
      <c r="RP102"/>
      <c r="RQ102"/>
      <c r="RR102"/>
      <c r="RU102" s="26">
        <f t="shared" si="45"/>
        <v>0</v>
      </c>
      <c r="RW102"/>
      <c r="RX102"/>
      <c r="RY102"/>
      <c r="RZ102"/>
      <c r="SA102"/>
      <c r="SB102"/>
      <c r="SE102" s="26"/>
      <c r="SG102"/>
      <c r="SH102"/>
      <c r="SI102"/>
      <c r="SJ102"/>
      <c r="SK102"/>
      <c r="SL102"/>
      <c r="SO102" s="26"/>
      <c r="YK102"/>
      <c r="YL102"/>
      <c r="YM102"/>
      <c r="YN102"/>
      <c r="YO102"/>
      <c r="ADJ102"/>
      <c r="ADK102"/>
      <c r="ADL102"/>
      <c r="ADM102"/>
      <c r="ADN102"/>
      <c r="ADO102"/>
      <c r="ADP102" s="35"/>
      <c r="ADR102"/>
      <c r="ADS102"/>
      <c r="ADT102"/>
      <c r="ADU102"/>
      <c r="ADW102" s="35"/>
      <c r="ADX102" s="35"/>
      <c r="ADY102"/>
      <c r="ADZ102"/>
      <c r="AEA102"/>
      <c r="AEB102"/>
      <c r="AEC102" s="2" t="e">
        <f>+Tabla57891415163435363738394041424344454647484950515253556062[[#This Row],[Recuento]]*#REF!</f>
        <v>#REF!</v>
      </c>
      <c r="AEE102" s="35"/>
      <c r="AEN102" t="s">
        <v>1522</v>
      </c>
      <c r="AEO102" t="s">
        <v>1524</v>
      </c>
      <c r="AEP102" t="s">
        <v>382</v>
      </c>
      <c r="AEQ102">
        <v>0.13</v>
      </c>
      <c r="AER102">
        <v>2</v>
      </c>
      <c r="AES102">
        <f>+Tabla5789141516343536373839404142434445464748495051525355606264[[#This Row],[G. Total]]*Tabla5789141516343536373839404142434445464748495051525355606264[[#This Row],[Recuento]]</f>
        <v>0.26</v>
      </c>
      <c r="AET102" s="35"/>
      <c r="AFC102"/>
      <c r="AFD102"/>
      <c r="AFE102"/>
      <c r="AFF102" s="33"/>
      <c r="AFG102"/>
      <c r="AFH102"/>
      <c r="AFI102"/>
      <c r="AFJ102"/>
      <c r="AFK102"/>
      <c r="AFL102"/>
      <c r="AFM102"/>
      <c r="AFN102">
        <f>+Tabla578914151634353637383940414243444546474849505152535560626467[[#This Row],[G. Total]]*Tabla578914151634353637383940414243444546474849505152535560626467[[#This Row],[Recuento]]</f>
        <v>0</v>
      </c>
      <c r="AFO102" s="35"/>
    </row>
    <row r="103" spans="2:847" x14ac:dyDescent="0.25">
      <c r="B103"/>
      <c r="C103"/>
      <c r="D103"/>
      <c r="E103"/>
      <c r="F103" s="33"/>
      <c r="G103" s="33"/>
      <c r="H103"/>
      <c r="I103"/>
      <c r="BG103"/>
      <c r="BH103"/>
      <c r="BI103"/>
      <c r="BJ103"/>
      <c r="BK103"/>
      <c r="BL103">
        <f>+Tabla3102[[#This Row],[Longitud de eje]]*BF103</f>
        <v>0</v>
      </c>
      <c r="BM103">
        <f>+Tabla3102[[#This Row],[Longitud de eje]]*BG103</f>
        <v>0</v>
      </c>
      <c r="BO103"/>
      <c r="BP103"/>
      <c r="BQ103"/>
      <c r="BR103"/>
      <c r="BS103"/>
      <c r="BT103"/>
      <c r="BU103"/>
      <c r="BV103">
        <v>1</v>
      </c>
      <c r="BW103"/>
      <c r="BX103"/>
      <c r="BY103"/>
      <c r="BZ103"/>
      <c r="CA103"/>
      <c r="CB103">
        <f>+Tabla31011[[#This Row],[Longitud de eje]]*BV103</f>
        <v>0</v>
      </c>
      <c r="CD103">
        <v>1</v>
      </c>
      <c r="CE103"/>
      <c r="CF103"/>
      <c r="CG103"/>
      <c r="CH103"/>
      <c r="CI103"/>
      <c r="CJ103"/>
      <c r="CK103"/>
      <c r="CL103">
        <v>1</v>
      </c>
      <c r="CM103"/>
      <c r="CN103"/>
      <c r="CO103"/>
      <c r="CP103"/>
      <c r="CQ103"/>
      <c r="CR103">
        <f>+Tabla31011116[[#This Row],[Longitud de eje]]*CL103</f>
        <v>0</v>
      </c>
      <c r="CT103">
        <v>1</v>
      </c>
      <c r="CU103"/>
      <c r="CV103"/>
      <c r="CW103"/>
      <c r="CX103"/>
      <c r="CY103"/>
      <c r="CZ103"/>
      <c r="DA103"/>
      <c r="DB103">
        <v>1</v>
      </c>
      <c r="DC103"/>
      <c r="DD103"/>
      <c r="DE103"/>
      <c r="DF103"/>
      <c r="DG103">
        <f>+Tabla31011704[[#This Row],[Longitud de eje]]*DB103</f>
        <v>0</v>
      </c>
      <c r="DH103"/>
      <c r="DI103">
        <v>1</v>
      </c>
      <c r="DJ103"/>
      <c r="DK103"/>
      <c r="DL103"/>
      <c r="DM103"/>
      <c r="DN103">
        <f>+Tabla3101170411[[#This Row],[Longitud de eje]]*DI103</f>
        <v>0</v>
      </c>
      <c r="DO103"/>
      <c r="DP103">
        <v>1</v>
      </c>
      <c r="DQ103"/>
      <c r="DR103"/>
      <c r="DS103"/>
      <c r="DT103"/>
      <c r="DU103">
        <f>+Tabla3101170411120[[#This Row],[Longitud de eje]]*DP103</f>
        <v>0</v>
      </c>
      <c r="DV103"/>
      <c r="DW103">
        <v>1</v>
      </c>
      <c r="DX103"/>
      <c r="DY103"/>
      <c r="DZ103"/>
      <c r="EA103"/>
      <c r="EB103">
        <f>+Tabla3101170411120122[[#This Row],[Longitud de eje]]*DW103</f>
        <v>0</v>
      </c>
      <c r="EC103"/>
      <c r="EE103"/>
      <c r="EF103"/>
      <c r="EG103"/>
      <c r="EH103"/>
      <c r="EI103"/>
      <c r="EJ103">
        <f>+Tabla3101112[[#This Row],[En culmo]]*ED103</f>
        <v>0</v>
      </c>
      <c r="EK103"/>
      <c r="EM103"/>
      <c r="EN103"/>
      <c r="EO103"/>
      <c r="EP103"/>
      <c r="EQ103"/>
      <c r="ER103">
        <f>+Tabla3101112123[[#This Row],[En culmo]]*EL103</f>
        <v>0</v>
      </c>
      <c r="ES103"/>
      <c r="EU103"/>
      <c r="EV103"/>
      <c r="EW103"/>
      <c r="EX103"/>
      <c r="EY103"/>
      <c r="EZ103">
        <f>+Tabla310111257[[#This Row],[En culmo]]*ET103</f>
        <v>0</v>
      </c>
      <c r="FA103"/>
      <c r="FC103"/>
      <c r="FD103"/>
      <c r="FE103"/>
      <c r="FF103"/>
      <c r="FG103"/>
      <c r="FH103">
        <f>+Tabla310111257124[[#This Row],[En culmo]]*FB103</f>
        <v>0</v>
      </c>
      <c r="FI103"/>
      <c r="FK103"/>
      <c r="FL103"/>
      <c r="FM103"/>
      <c r="FN103"/>
      <c r="FO103"/>
      <c r="FP103"/>
      <c r="FQ103"/>
      <c r="FS103"/>
      <c r="FT103"/>
      <c r="FU103"/>
      <c r="FV103"/>
      <c r="FW103"/>
      <c r="FX103"/>
      <c r="FY103"/>
      <c r="GA103"/>
      <c r="GB103"/>
      <c r="GC103"/>
      <c r="GD103"/>
      <c r="GE103"/>
      <c r="GF103"/>
      <c r="GG103"/>
      <c r="GI103"/>
      <c r="GJ103"/>
      <c r="GK103"/>
      <c r="GL103"/>
      <c r="GM103"/>
      <c r="GN103"/>
      <c r="GO103"/>
      <c r="GQ103"/>
      <c r="GR103"/>
      <c r="GS103"/>
      <c r="GT103"/>
      <c r="GU103"/>
      <c r="GV103"/>
      <c r="GW103">
        <f>+Tabla578914[[#This Row],[Recuento]]*Tabla578914[[#This Row],[Volúmen bruto]]</f>
        <v>0</v>
      </c>
      <c r="GX103">
        <f>+Tabla578914[[#This Row],[Recuento]]*Tabla578914[[#This Row],[Área neta]]</f>
        <v>0</v>
      </c>
      <c r="GY103" s="36"/>
      <c r="HA103"/>
      <c r="HB103"/>
      <c r="HC103"/>
      <c r="HD103"/>
      <c r="HE103"/>
      <c r="HF103"/>
      <c r="HG103">
        <f>+Tabla578914126[[#This Row],[Recuento]]*Tabla578914126[[#This Row],[Volúmen bruto]]</f>
        <v>0</v>
      </c>
      <c r="HH103">
        <f>+Tabla578914126[[#This Row],[Recuento]]*Tabla578914126[[#This Row],[Área neta]]</f>
        <v>0</v>
      </c>
      <c r="HI103" s="36"/>
      <c r="HK103"/>
      <c r="HL103"/>
      <c r="HM103"/>
      <c r="HN103"/>
      <c r="HO103"/>
      <c r="HP103"/>
      <c r="HQ103">
        <f>+Tabla578914126127[[#This Row],[Recuento]]*Tabla578914126127[[#This Row],[Volúmen bruto]]</f>
        <v>0</v>
      </c>
      <c r="HR103">
        <f>+Tabla578914126127[[#This Row],[Recuento]]*Tabla578914126127[[#This Row],[Área neta]]</f>
        <v>0</v>
      </c>
      <c r="HS103" s="36"/>
      <c r="HU103"/>
      <c r="HV103"/>
      <c r="HW103"/>
      <c r="HX103"/>
      <c r="HY103"/>
      <c r="HZ103"/>
      <c r="IA103"/>
      <c r="IB103"/>
      <c r="IC103" s="36"/>
      <c r="IE103"/>
      <c r="IF103"/>
      <c r="IG103"/>
      <c r="IH103"/>
      <c r="II103"/>
      <c r="IJ103"/>
      <c r="IK103"/>
      <c r="IL103"/>
      <c r="IM103" s="36"/>
      <c r="IY103"/>
      <c r="IZ103"/>
      <c r="JA103"/>
      <c r="JB103"/>
      <c r="JC103"/>
      <c r="JD103"/>
      <c r="JE103" s="2">
        <f>+Tabla520212224[[#This Row],[Recuento]]*Tabla520212224[[#This Row],[Volúmen bruto]]</f>
        <v>0</v>
      </c>
      <c r="JF103" s="2">
        <f>+Tabla520212224[[#This Row],[Recuento]]*Tabla520212224[[#This Row],[Área neta]]</f>
        <v>0</v>
      </c>
      <c r="JG103" s="26"/>
      <c r="JI103"/>
      <c r="JJ103"/>
      <c r="JK103"/>
      <c r="JL103"/>
      <c r="JM103"/>
      <c r="JN103"/>
      <c r="JO103" s="2">
        <f>+Tabla52021222425[[#This Row],[Recuento]]*Tabla52021222425[[#This Row],[Volúmen bruto]]</f>
        <v>0</v>
      </c>
      <c r="JP103" s="2">
        <f>+Tabla52021222425[[#This Row],[Recuento]]*Tabla52021222425[[#This Row],[Área neta]]</f>
        <v>0</v>
      </c>
      <c r="JQ103" s="26"/>
      <c r="JS103"/>
      <c r="JT103"/>
      <c r="JU103"/>
      <c r="JV103"/>
      <c r="JW103"/>
      <c r="JX103"/>
      <c r="JY103" s="2">
        <f>+Tabla5202122242526[[#This Row],[Recuento]]*Tabla5202122242526[[#This Row],[Volúmen bruto]]</f>
        <v>0</v>
      </c>
      <c r="JZ103" s="2">
        <f>+Tabla5202122242526[[#This Row],[Recuento]]*Tabla5202122242526[[#This Row],[Área neta]]</f>
        <v>0</v>
      </c>
      <c r="KA103" s="26"/>
      <c r="KC103"/>
      <c r="KD103"/>
      <c r="KE103"/>
      <c r="KF103"/>
      <c r="KG103"/>
      <c r="KH103"/>
      <c r="KI103" s="2">
        <f>+Tabla5202122242526104[[#This Row],[Recuento]]*Tabla5202122242526104[[#This Row],[Volúmen bruto]]</f>
        <v>0</v>
      </c>
      <c r="KJ103" s="2">
        <f>+Tabla5202122242526104[[#This Row],[Recuento]]*Tabla5202122242526104[[#This Row],[Área neta]]</f>
        <v>0</v>
      </c>
      <c r="KK103" s="26"/>
      <c r="KM103"/>
      <c r="KN103"/>
      <c r="KO103"/>
      <c r="KP103"/>
      <c r="KQ103"/>
      <c r="KR103"/>
      <c r="KS103" s="2">
        <f>+Tabla5202122242526104110[[#This Row],[Recuento]]*Tabla5202122242526104110[[#This Row],[Volúmen bruto]]</f>
        <v>0</v>
      </c>
      <c r="KT103" s="2">
        <f>+Tabla5202122242526104110[[#This Row],[Recuento]]*Tabla5202122242526104110[[#This Row],[Área neta]]</f>
        <v>0</v>
      </c>
      <c r="KU103" s="26"/>
      <c r="KW103"/>
      <c r="KX103"/>
      <c r="KY103"/>
      <c r="KZ103"/>
      <c r="LA103"/>
      <c r="LB103"/>
      <c r="LC103" s="2">
        <f>+Tabla520212224252659[[#This Row],[Recuento]]*Tabla520212224252659[[#This Row],[Volúmen bruto]]</f>
        <v>0</v>
      </c>
      <c r="LD103" s="2">
        <f>+Tabla520212224252659[[#This Row],[Recuento]]*Tabla520212224252659[[#This Row],[Área neta]]</f>
        <v>0</v>
      </c>
      <c r="LE103" s="26"/>
      <c r="LG103"/>
      <c r="LH103"/>
      <c r="LI103"/>
      <c r="LJ103"/>
      <c r="LK103"/>
      <c r="LL103"/>
      <c r="LM103" s="2">
        <f>+Tabla520212224252659111[[#This Row],[Recuento]]*Tabla520212224252659111[[#This Row],[Volúmen bruto]]</f>
        <v>0</v>
      </c>
      <c r="LN103" s="2">
        <f>+Tabla520212224252659111[[#This Row],[Recuento]]*Tabla520212224252659111[[#This Row],[Área neta]]</f>
        <v>0</v>
      </c>
      <c r="LO103" s="26"/>
      <c r="LQ103"/>
      <c r="LR103"/>
      <c r="LS103"/>
      <c r="LT103"/>
      <c r="LU103"/>
      <c r="LV103"/>
      <c r="LW103" s="2">
        <f>+Tabla520212224252659111114[[#This Row],[Recuento]]*Tabla520212224252659111114[[#This Row],[Volúmen bruto]]</f>
        <v>0</v>
      </c>
      <c r="LX103" s="2">
        <f>+Tabla520212224252659111114[[#This Row],[Recuento]]*Tabla520212224252659111114[[#This Row],[Área neta]]</f>
        <v>0</v>
      </c>
      <c r="LY103" s="26"/>
      <c r="MA103"/>
      <c r="MB103"/>
      <c r="MC103"/>
      <c r="MD103"/>
      <c r="ME103"/>
      <c r="MF103"/>
      <c r="MG103" s="2">
        <f>+Tabla520212224252659111114128[[#This Row],[Recuento]]*Tabla520212224252659111114128[[#This Row],[Volúmen bruto]]</f>
        <v>0</v>
      </c>
      <c r="MH103" s="2">
        <f>+Tabla520212224252659111114128[[#This Row],[Recuento]]*Tabla520212224252659111114128[[#This Row],[Área neta]]</f>
        <v>0</v>
      </c>
      <c r="MI103" s="26"/>
      <c r="MK103"/>
      <c r="ML103"/>
      <c r="MM103"/>
      <c r="MN103"/>
      <c r="MO103"/>
      <c r="MP103"/>
      <c r="MQ103" s="2">
        <f>+Tabla520212224252627[[#This Row],[Recuento]]*Tabla520212224252627[[#This Row],[Volúmen bruto]]</f>
        <v>0</v>
      </c>
      <c r="MR103" s="2">
        <f>+Tabla520212224252627[[#This Row],[Recuento]]*Tabla520212224252627[[#This Row],[Área neta]]</f>
        <v>0</v>
      </c>
      <c r="MS103" s="26"/>
      <c r="MU103"/>
      <c r="MV103"/>
      <c r="MW103"/>
      <c r="MX103"/>
      <c r="MY103"/>
      <c r="MZ103"/>
      <c r="NA103" s="2">
        <f>+Tabla520212224252627129[[#This Row],[Recuento]]*Tabla520212224252627129[[#This Row],[Volúmen bruto]]</f>
        <v>0</v>
      </c>
      <c r="NB103" s="2">
        <f>+Tabla520212224252627129[[#This Row],[Recuento]]*Tabla520212224252627129[[#This Row],[Área neta]]</f>
        <v>0</v>
      </c>
      <c r="NC103" s="26"/>
      <c r="NE103"/>
      <c r="NF103"/>
      <c r="NG103"/>
      <c r="NH103"/>
      <c r="NI103"/>
      <c r="NJ103"/>
      <c r="NK103" s="2">
        <f>+Tabla520212224252627129125[[#This Row],[Recuento]]*Tabla520212224252627129125[[#This Row],[Volúmen bruto]]</f>
        <v>0</v>
      </c>
      <c r="NL103" s="2">
        <f>+Tabla520212224252627129125[[#This Row],[Recuento]]*Tabla520212224252627129125[[#This Row],[Área neta]]</f>
        <v>0</v>
      </c>
      <c r="NM103" s="26"/>
      <c r="NO103"/>
      <c r="NP103"/>
      <c r="NQ103"/>
      <c r="NR103"/>
      <c r="NS103"/>
      <c r="NT103"/>
      <c r="NU103" s="2">
        <f>+Tabla520212224252627129125130[[#This Row],[Recuento]]*Tabla520212224252627129125130[[#This Row],[Volúmen bruto]]</f>
        <v>0</v>
      </c>
      <c r="NV103" s="2">
        <f>+Tabla520212224252627129125130[[#This Row],[Recuento]]*Tabla520212224252627129125130[[#This Row],[Área neta]]</f>
        <v>0</v>
      </c>
      <c r="NW103" s="26"/>
      <c r="NY103"/>
      <c r="NZ103"/>
      <c r="OA103"/>
      <c r="OB103"/>
      <c r="OC103"/>
      <c r="OD103"/>
      <c r="OE103" s="2">
        <f>+Tabla520212224252627129125130131[[#This Row],[Recuento]]*Tabla520212224252627129125130131[[#This Row],[Volúmen bruto]]</f>
        <v>0</v>
      </c>
      <c r="OF103" s="2">
        <f>+Tabla520212224252627129125130131[[#This Row],[Recuento]]*Tabla520212224252627129125130131[[#This Row],[Área neta]]</f>
        <v>0</v>
      </c>
      <c r="OG103" s="26"/>
      <c r="OI103"/>
      <c r="OJ103"/>
      <c r="OK103"/>
      <c r="OL103"/>
      <c r="OM103"/>
      <c r="ON103"/>
      <c r="OO103" s="2">
        <f>+Tabla520212224252627129125130131132[[#This Row],[Recuento]]*Tabla520212224252627129125130131132[[#This Row],[Volúmen bruto]]</f>
        <v>0</v>
      </c>
      <c r="OP103" s="2">
        <f>+Tabla520212224252627129125130131132[[#This Row],[Recuento]]*Tabla520212224252627129125130131132[[#This Row],[Área neta]]</f>
        <v>0</v>
      </c>
      <c r="OQ103" s="26"/>
      <c r="OS103"/>
      <c r="OT103"/>
      <c r="OU103"/>
      <c r="OV103"/>
      <c r="OW103"/>
      <c r="OX103"/>
      <c r="OY103" s="2">
        <f>+Tabla52021222425262728[[#This Row],[Recuento]]*Tabla52021222425262728[[#This Row],[Volúmen bruto]]</f>
        <v>0</v>
      </c>
      <c r="OZ103" s="2">
        <f>+Tabla52021222425262728[[#This Row],[Recuento]]*Tabla52021222425262728[[#This Row],[Área neta]]</f>
        <v>0</v>
      </c>
      <c r="PA103" s="26">
        <f t="shared" si="44"/>
        <v>0</v>
      </c>
      <c r="PC103"/>
      <c r="PD103"/>
      <c r="PE103"/>
      <c r="PF103"/>
      <c r="PG103"/>
      <c r="PH103"/>
      <c r="PI103" s="2">
        <f>+Tabla52021222425262728133[[#This Row],[Recuento]]*Tabla52021222425262728133[[#This Row],[Volúmen bruto]]</f>
        <v>0</v>
      </c>
      <c r="PJ103" s="2">
        <f>+Tabla52021222425262728133[[#This Row],[Recuento]]*Tabla52021222425262728133[[#This Row],[Área neta]]</f>
        <v>0</v>
      </c>
      <c r="PK103" s="26"/>
      <c r="PM103"/>
      <c r="PN103"/>
      <c r="PO103"/>
      <c r="PP103"/>
      <c r="PQ103"/>
      <c r="PR103"/>
      <c r="PS103" s="2">
        <f>+Tabla5202122242526272893[[#This Row],[Recuento]]*Tabla5202122242526272893[[#This Row],[Volúmen bruto]]</f>
        <v>0</v>
      </c>
      <c r="PT103" s="2">
        <f>+Tabla5202122242526272893[[#This Row],[Recuento]]*Tabla5202122242526272893[[#This Row],[Área neta]]</f>
        <v>0</v>
      </c>
      <c r="PU103" s="26"/>
      <c r="PW103"/>
      <c r="PX103"/>
      <c r="PY103"/>
      <c r="PZ103"/>
      <c r="QA103"/>
      <c r="QB103"/>
      <c r="QC103" s="2">
        <f>+Tabla520212224252627289349[[#This Row],[Recuento]]*Tabla520212224252627289349[[#This Row],[Volúmen bruto]]</f>
        <v>0</v>
      </c>
      <c r="QD103" s="2">
        <f>+Tabla520212224252627289349[[#This Row],[Recuento]]*Tabla520212224252627289349[[#This Row],[Área neta]]</f>
        <v>0</v>
      </c>
      <c r="QE103" s="26"/>
      <c r="QG103"/>
      <c r="QH103"/>
      <c r="QI103"/>
      <c r="QJ103"/>
      <c r="QK103"/>
      <c r="QL103"/>
      <c r="QM103" s="2">
        <f>+Tabla520212224252627289349134[[#This Row],[Recuento]]*Tabla520212224252627289349134[[#This Row],[Volúmen bruto]]</f>
        <v>0</v>
      </c>
      <c r="QN103" s="2">
        <f>+Tabla520212224252627289349134[[#This Row],[Recuento]]*Tabla520212224252627289349134[[#This Row],[Área neta]]</f>
        <v>0</v>
      </c>
      <c r="QO103" s="26"/>
      <c r="QQ103"/>
      <c r="QR103"/>
      <c r="QS103"/>
      <c r="QT103"/>
      <c r="QU103"/>
      <c r="QV103"/>
      <c r="QW103"/>
      <c r="RA103" s="26"/>
      <c r="RC103"/>
      <c r="RD103"/>
      <c r="RE103"/>
      <c r="RF103"/>
      <c r="RG103"/>
      <c r="RH103"/>
      <c r="RK103" s="26"/>
      <c r="RM103"/>
      <c r="RN103"/>
      <c r="RO103"/>
      <c r="RP103"/>
      <c r="RQ103"/>
      <c r="RR103"/>
      <c r="RU103" s="26">
        <f t="shared" si="45"/>
        <v>0</v>
      </c>
      <c r="RW103"/>
      <c r="RX103"/>
      <c r="RY103"/>
      <c r="RZ103"/>
      <c r="SA103"/>
      <c r="SB103"/>
      <c r="SE103" s="26"/>
      <c r="SG103"/>
      <c r="SH103"/>
      <c r="SI103"/>
      <c r="SJ103"/>
      <c r="SK103"/>
      <c r="SL103"/>
      <c r="SO103" s="26"/>
      <c r="YK103"/>
      <c r="YL103"/>
      <c r="YM103"/>
      <c r="YN103"/>
      <c r="YO103"/>
      <c r="ADJ103"/>
      <c r="ADK103"/>
      <c r="ADL103"/>
      <c r="ADM103"/>
      <c r="ADN103"/>
      <c r="ADO103"/>
      <c r="ADP103" s="35"/>
      <c r="ADR103"/>
      <c r="ADS103"/>
      <c r="ADT103"/>
      <c r="ADU103"/>
      <c r="ADW103" s="35"/>
      <c r="ADX103" s="35"/>
      <c r="ADY103"/>
      <c r="ADZ103"/>
      <c r="AEA103"/>
      <c r="AEB103"/>
      <c r="AEC103" s="2" t="e">
        <f>+Tabla57891415163435363738394041424344454647484950515253556062[[#This Row],[Recuento]]*#REF!</f>
        <v>#REF!</v>
      </c>
      <c r="AEE103" s="35"/>
      <c r="AEN103"/>
      <c r="AEO103"/>
      <c r="AEP103"/>
      <c r="AEQ103"/>
      <c r="AER103"/>
      <c r="AES103"/>
      <c r="AET103" s="35"/>
      <c r="AFC103"/>
      <c r="AFD103"/>
      <c r="AFE103"/>
      <c r="AFF103" s="33"/>
      <c r="AFG103"/>
      <c r="AFH103"/>
      <c r="AFI103"/>
      <c r="AFJ103"/>
      <c r="AFK103"/>
      <c r="AFL103"/>
      <c r="AFM103"/>
      <c r="AFN103">
        <f>+Tabla578914151634353637383940414243444546474849505152535560626467[[#This Row],[G. Total]]*Tabla578914151634353637383940414243444546474849505152535560626467[[#This Row],[Recuento]]</f>
        <v>0</v>
      </c>
      <c r="AFO103" s="35"/>
    </row>
    <row r="104" spans="2:847" x14ac:dyDescent="0.25">
      <c r="B104"/>
      <c r="C104"/>
      <c r="D104"/>
      <c r="E104"/>
      <c r="F104" s="33"/>
      <c r="G104" s="33"/>
      <c r="H104"/>
      <c r="I104"/>
      <c r="BG104"/>
      <c r="BH104"/>
      <c r="BI104"/>
      <c r="BJ104"/>
      <c r="BK104"/>
      <c r="BL104">
        <f>+Tabla3102[[#This Row],[Longitud de eje]]*BF104</f>
        <v>0</v>
      </c>
      <c r="BM104">
        <f>+Tabla3102[[#This Row],[Longitud de eje]]*BG104</f>
        <v>0</v>
      </c>
      <c r="BO104"/>
      <c r="BP104"/>
      <c r="BQ104"/>
      <c r="BR104"/>
      <c r="BS104"/>
      <c r="BT104"/>
      <c r="BU104"/>
      <c r="BV104">
        <v>1</v>
      </c>
      <c r="BW104"/>
      <c r="BX104"/>
      <c r="BY104"/>
      <c r="BZ104"/>
      <c r="CA104"/>
      <c r="CB104">
        <f>+Tabla31011[[#This Row],[Longitud de eje]]*BV104</f>
        <v>0</v>
      </c>
      <c r="CD104">
        <v>1</v>
      </c>
      <c r="CE104"/>
      <c r="CF104"/>
      <c r="CG104"/>
      <c r="CH104"/>
      <c r="CI104"/>
      <c r="CJ104"/>
      <c r="CK104"/>
      <c r="CL104">
        <v>1</v>
      </c>
      <c r="CM104"/>
      <c r="CN104"/>
      <c r="CO104"/>
      <c r="CP104"/>
      <c r="CQ104"/>
      <c r="CR104">
        <f>+Tabla31011116[[#This Row],[Longitud de eje]]*CL104</f>
        <v>0</v>
      </c>
      <c r="CT104">
        <v>1</v>
      </c>
      <c r="CU104"/>
      <c r="CV104"/>
      <c r="CW104"/>
      <c r="CX104"/>
      <c r="CY104"/>
      <c r="CZ104"/>
      <c r="DA104"/>
      <c r="DB104">
        <v>1</v>
      </c>
      <c r="DC104"/>
      <c r="DD104"/>
      <c r="DE104"/>
      <c r="DF104"/>
      <c r="DG104">
        <f>+Tabla31011704[[#This Row],[Longitud de eje]]*DB104</f>
        <v>0</v>
      </c>
      <c r="DH104"/>
      <c r="DI104">
        <v>1</v>
      </c>
      <c r="DJ104"/>
      <c r="DK104"/>
      <c r="DL104"/>
      <c r="DM104"/>
      <c r="DN104">
        <f>+Tabla3101170411[[#This Row],[Longitud de eje]]*DI104</f>
        <v>0</v>
      </c>
      <c r="DO104"/>
      <c r="DP104">
        <v>1</v>
      </c>
      <c r="DQ104"/>
      <c r="DR104"/>
      <c r="DS104"/>
      <c r="DT104"/>
      <c r="DU104">
        <f>+Tabla3101170411120[[#This Row],[Longitud de eje]]*DP104</f>
        <v>0</v>
      </c>
      <c r="DV104"/>
      <c r="DW104">
        <v>1</v>
      </c>
      <c r="DX104"/>
      <c r="DY104"/>
      <c r="DZ104"/>
      <c r="EA104"/>
      <c r="EB104">
        <f>+Tabla3101170411120122[[#This Row],[Longitud de eje]]*DW104</f>
        <v>0</v>
      </c>
      <c r="EC104"/>
      <c r="EE104"/>
      <c r="EF104"/>
      <c r="EG104"/>
      <c r="EH104"/>
      <c r="EI104"/>
      <c r="EJ104">
        <f>+Tabla3101112[[#This Row],[En culmo]]*ED104</f>
        <v>0</v>
      </c>
      <c r="EK104"/>
      <c r="EM104"/>
      <c r="EN104"/>
      <c r="EO104"/>
      <c r="EP104"/>
      <c r="EQ104"/>
      <c r="ER104">
        <f>+Tabla3101112123[[#This Row],[En culmo]]*EL104</f>
        <v>0</v>
      </c>
      <c r="ES104"/>
      <c r="EU104"/>
      <c r="EV104"/>
      <c r="EW104"/>
      <c r="EX104"/>
      <c r="EY104"/>
      <c r="EZ104">
        <f>+Tabla310111257[[#This Row],[En culmo]]*ET104</f>
        <v>0</v>
      </c>
      <c r="FA104"/>
      <c r="FC104"/>
      <c r="FD104"/>
      <c r="FE104"/>
      <c r="FF104"/>
      <c r="FG104"/>
      <c r="FH104">
        <f>+Tabla310111257124[[#This Row],[En culmo]]*FB104</f>
        <v>0</v>
      </c>
      <c r="FI104"/>
      <c r="FK104"/>
      <c r="FL104"/>
      <c r="FM104"/>
      <c r="FN104"/>
      <c r="FO104"/>
      <c r="FP104"/>
      <c r="FQ104"/>
      <c r="FS104"/>
      <c r="FT104"/>
      <c r="FU104"/>
      <c r="FV104"/>
      <c r="FW104"/>
      <c r="FX104"/>
      <c r="FY104"/>
      <c r="GA104"/>
      <c r="GB104"/>
      <c r="GC104"/>
      <c r="GD104"/>
      <c r="GE104"/>
      <c r="GF104"/>
      <c r="GG104"/>
      <c r="GI104"/>
      <c r="GJ104"/>
      <c r="GK104"/>
      <c r="GL104"/>
      <c r="GM104"/>
      <c r="GN104"/>
      <c r="GO104"/>
      <c r="GQ104"/>
      <c r="GR104"/>
      <c r="GS104"/>
      <c r="GT104"/>
      <c r="GU104"/>
      <c r="GV104"/>
      <c r="GW104">
        <f>+Tabla578914[[#This Row],[Recuento]]*Tabla578914[[#This Row],[Volúmen bruto]]</f>
        <v>0</v>
      </c>
      <c r="GX104">
        <f>+Tabla578914[[#This Row],[Recuento]]*Tabla578914[[#This Row],[Área neta]]</f>
        <v>0</v>
      </c>
      <c r="GY104" s="36"/>
      <c r="HA104"/>
      <c r="HB104"/>
      <c r="HC104"/>
      <c r="HD104"/>
      <c r="HE104"/>
      <c r="HF104"/>
      <c r="HG104">
        <f>+Tabla578914126[[#This Row],[Recuento]]*Tabla578914126[[#This Row],[Volúmen bruto]]</f>
        <v>0</v>
      </c>
      <c r="HH104">
        <f>+Tabla578914126[[#This Row],[Recuento]]*Tabla578914126[[#This Row],[Área neta]]</f>
        <v>0</v>
      </c>
      <c r="HI104" s="36"/>
      <c r="HK104"/>
      <c r="HL104"/>
      <c r="HM104"/>
      <c r="HN104"/>
      <c r="HO104"/>
      <c r="HP104"/>
      <c r="HQ104">
        <f>+Tabla578914126127[[#This Row],[Recuento]]*Tabla578914126127[[#This Row],[Volúmen bruto]]</f>
        <v>0</v>
      </c>
      <c r="HR104">
        <f>+Tabla578914126127[[#This Row],[Recuento]]*Tabla578914126127[[#This Row],[Área neta]]</f>
        <v>0</v>
      </c>
      <c r="HS104" s="36"/>
      <c r="HU104"/>
      <c r="HV104"/>
      <c r="HW104"/>
      <c r="HX104"/>
      <c r="HY104"/>
      <c r="HZ104"/>
      <c r="IA104"/>
      <c r="IB104"/>
      <c r="IC104" s="36"/>
      <c r="IE104"/>
      <c r="IF104"/>
      <c r="IG104"/>
      <c r="IH104"/>
      <c r="II104"/>
      <c r="IJ104"/>
      <c r="IK104"/>
      <c r="IL104"/>
      <c r="IM104" s="36"/>
      <c r="IY104"/>
      <c r="IZ104"/>
      <c r="JA104"/>
      <c r="JB104"/>
      <c r="JC104"/>
      <c r="JD104"/>
      <c r="JE104" s="2">
        <f>+Tabla520212224[[#This Row],[Recuento]]*Tabla520212224[[#This Row],[Volúmen bruto]]</f>
        <v>0</v>
      </c>
      <c r="JF104" s="2">
        <f>+Tabla520212224[[#This Row],[Recuento]]*Tabla520212224[[#This Row],[Área neta]]</f>
        <v>0</v>
      </c>
      <c r="JG104" s="26"/>
      <c r="JI104"/>
      <c r="JJ104"/>
      <c r="JK104"/>
      <c r="JL104"/>
      <c r="JM104"/>
      <c r="JN104"/>
      <c r="JO104" s="2">
        <f>+Tabla52021222425[[#This Row],[Recuento]]*Tabla52021222425[[#This Row],[Volúmen bruto]]</f>
        <v>0</v>
      </c>
      <c r="JP104" s="2">
        <f>+Tabla52021222425[[#This Row],[Recuento]]*Tabla52021222425[[#This Row],[Área neta]]</f>
        <v>0</v>
      </c>
      <c r="JQ104" s="26"/>
      <c r="JS104"/>
      <c r="JT104"/>
      <c r="JU104"/>
      <c r="JV104"/>
      <c r="JW104"/>
      <c r="JX104"/>
      <c r="JY104" s="2">
        <f>+Tabla5202122242526[[#This Row],[Recuento]]*Tabla5202122242526[[#This Row],[Volúmen bruto]]</f>
        <v>0</v>
      </c>
      <c r="JZ104" s="2">
        <f>+Tabla5202122242526[[#This Row],[Recuento]]*Tabla5202122242526[[#This Row],[Área neta]]</f>
        <v>0</v>
      </c>
      <c r="KA104" s="26"/>
      <c r="KC104"/>
      <c r="KD104"/>
      <c r="KE104"/>
      <c r="KF104"/>
      <c r="KG104"/>
      <c r="KH104"/>
      <c r="KI104" s="2">
        <f>+Tabla5202122242526104[[#This Row],[Recuento]]*Tabla5202122242526104[[#This Row],[Volúmen bruto]]</f>
        <v>0</v>
      </c>
      <c r="KJ104" s="2">
        <f>+Tabla5202122242526104[[#This Row],[Recuento]]*Tabla5202122242526104[[#This Row],[Área neta]]</f>
        <v>0</v>
      </c>
      <c r="KK104" s="26"/>
      <c r="KM104"/>
      <c r="KN104"/>
      <c r="KO104"/>
      <c r="KP104"/>
      <c r="KQ104"/>
      <c r="KR104"/>
      <c r="KS104" s="2">
        <f>+Tabla5202122242526104110[[#This Row],[Recuento]]*Tabla5202122242526104110[[#This Row],[Volúmen bruto]]</f>
        <v>0</v>
      </c>
      <c r="KT104" s="2">
        <f>+Tabla5202122242526104110[[#This Row],[Recuento]]*Tabla5202122242526104110[[#This Row],[Área neta]]</f>
        <v>0</v>
      </c>
      <c r="KU104" s="26"/>
      <c r="KW104"/>
      <c r="KX104"/>
      <c r="KY104"/>
      <c r="KZ104"/>
      <c r="LA104"/>
      <c r="LB104"/>
      <c r="LC104" s="2">
        <f>+Tabla520212224252659[[#This Row],[Recuento]]*Tabla520212224252659[[#This Row],[Volúmen bruto]]</f>
        <v>0</v>
      </c>
      <c r="LD104" s="2">
        <f>+Tabla520212224252659[[#This Row],[Recuento]]*Tabla520212224252659[[#This Row],[Área neta]]</f>
        <v>0</v>
      </c>
      <c r="LE104" s="26"/>
      <c r="LG104"/>
      <c r="LH104"/>
      <c r="LI104"/>
      <c r="LJ104"/>
      <c r="LK104"/>
      <c r="LL104"/>
      <c r="LM104" s="2">
        <f>+Tabla520212224252659111[[#This Row],[Recuento]]*Tabla520212224252659111[[#This Row],[Volúmen bruto]]</f>
        <v>0</v>
      </c>
      <c r="LN104" s="2">
        <f>+Tabla520212224252659111[[#This Row],[Recuento]]*Tabla520212224252659111[[#This Row],[Área neta]]</f>
        <v>0</v>
      </c>
      <c r="LO104" s="26"/>
      <c r="LQ104"/>
      <c r="LR104"/>
      <c r="LS104"/>
      <c r="LT104"/>
      <c r="LU104"/>
      <c r="LV104"/>
      <c r="LW104" s="2">
        <f>+Tabla520212224252659111114[[#This Row],[Recuento]]*Tabla520212224252659111114[[#This Row],[Volúmen bruto]]</f>
        <v>0</v>
      </c>
      <c r="LX104" s="2">
        <f>+Tabla520212224252659111114[[#This Row],[Recuento]]*Tabla520212224252659111114[[#This Row],[Área neta]]</f>
        <v>0</v>
      </c>
      <c r="LY104" s="26"/>
      <c r="MA104"/>
      <c r="MB104"/>
      <c r="MC104"/>
      <c r="MD104"/>
      <c r="ME104"/>
      <c r="MF104"/>
      <c r="MG104" s="2">
        <f>+Tabla520212224252659111114128[[#This Row],[Recuento]]*Tabla520212224252659111114128[[#This Row],[Volúmen bruto]]</f>
        <v>0</v>
      </c>
      <c r="MH104" s="2">
        <f>+Tabla520212224252659111114128[[#This Row],[Recuento]]*Tabla520212224252659111114128[[#This Row],[Área neta]]</f>
        <v>0</v>
      </c>
      <c r="MI104" s="26"/>
      <c r="MK104"/>
      <c r="ML104"/>
      <c r="MM104"/>
      <c r="MN104"/>
      <c r="MO104"/>
      <c r="MP104"/>
      <c r="MQ104" s="2">
        <f>+Tabla520212224252627[[#This Row],[Recuento]]*Tabla520212224252627[[#This Row],[Volúmen bruto]]</f>
        <v>0</v>
      </c>
      <c r="MR104" s="2">
        <f>+Tabla520212224252627[[#This Row],[Recuento]]*Tabla520212224252627[[#This Row],[Área neta]]</f>
        <v>0</v>
      </c>
      <c r="MS104" s="26"/>
      <c r="MU104"/>
      <c r="MV104"/>
      <c r="MW104"/>
      <c r="MX104"/>
      <c r="MY104"/>
      <c r="MZ104"/>
      <c r="NA104" s="2">
        <f>+Tabla520212224252627129[[#This Row],[Recuento]]*Tabla520212224252627129[[#This Row],[Volúmen bruto]]</f>
        <v>0</v>
      </c>
      <c r="NB104" s="2">
        <f>+Tabla520212224252627129[[#This Row],[Recuento]]*Tabla520212224252627129[[#This Row],[Área neta]]</f>
        <v>0</v>
      </c>
      <c r="NC104" s="26"/>
      <c r="NE104"/>
      <c r="NF104"/>
      <c r="NG104"/>
      <c r="NH104"/>
      <c r="NI104"/>
      <c r="NJ104"/>
      <c r="NK104" s="2">
        <f>+Tabla520212224252627129125[[#This Row],[Recuento]]*Tabla520212224252627129125[[#This Row],[Volúmen bruto]]</f>
        <v>0</v>
      </c>
      <c r="NL104" s="2">
        <f>+Tabla520212224252627129125[[#This Row],[Recuento]]*Tabla520212224252627129125[[#This Row],[Área neta]]</f>
        <v>0</v>
      </c>
      <c r="NM104" s="26"/>
      <c r="NO104"/>
      <c r="NP104"/>
      <c r="NQ104"/>
      <c r="NR104"/>
      <c r="NS104"/>
      <c r="NT104"/>
      <c r="NU104" s="2">
        <f>+Tabla520212224252627129125130[[#This Row],[Recuento]]*Tabla520212224252627129125130[[#This Row],[Volúmen bruto]]</f>
        <v>0</v>
      </c>
      <c r="NV104" s="2">
        <f>+Tabla520212224252627129125130[[#This Row],[Recuento]]*Tabla520212224252627129125130[[#This Row],[Área neta]]</f>
        <v>0</v>
      </c>
      <c r="NW104" s="26"/>
      <c r="NY104"/>
      <c r="NZ104"/>
      <c r="OA104"/>
      <c r="OB104"/>
      <c r="OC104"/>
      <c r="OD104"/>
      <c r="OE104" s="2">
        <f>+Tabla520212224252627129125130131[[#This Row],[Recuento]]*Tabla520212224252627129125130131[[#This Row],[Volúmen bruto]]</f>
        <v>0</v>
      </c>
      <c r="OF104" s="2">
        <f>+Tabla520212224252627129125130131[[#This Row],[Recuento]]*Tabla520212224252627129125130131[[#This Row],[Área neta]]</f>
        <v>0</v>
      </c>
      <c r="OG104" s="26"/>
      <c r="OI104"/>
      <c r="OJ104"/>
      <c r="OK104"/>
      <c r="OL104"/>
      <c r="OM104"/>
      <c r="ON104"/>
      <c r="OO104" s="2">
        <f>+Tabla520212224252627129125130131132[[#This Row],[Recuento]]*Tabla520212224252627129125130131132[[#This Row],[Volúmen bruto]]</f>
        <v>0</v>
      </c>
      <c r="OP104" s="2">
        <f>+Tabla520212224252627129125130131132[[#This Row],[Recuento]]*Tabla520212224252627129125130131132[[#This Row],[Área neta]]</f>
        <v>0</v>
      </c>
      <c r="OQ104" s="26"/>
      <c r="OS104"/>
      <c r="OT104"/>
      <c r="OU104"/>
      <c r="OV104"/>
      <c r="OW104"/>
      <c r="OX104"/>
      <c r="OY104" s="2">
        <f>+Tabla52021222425262728[[#This Row],[Recuento]]*Tabla52021222425262728[[#This Row],[Volúmen bruto]]</f>
        <v>0</v>
      </c>
      <c r="OZ104" s="2">
        <f>+Tabla52021222425262728[[#This Row],[Recuento]]*Tabla52021222425262728[[#This Row],[Área neta]]</f>
        <v>0</v>
      </c>
      <c r="PA104" s="26">
        <f t="shared" si="44"/>
        <v>0</v>
      </c>
      <c r="PC104"/>
      <c r="PD104"/>
      <c r="PE104"/>
      <c r="PF104"/>
      <c r="PG104"/>
      <c r="PH104"/>
      <c r="PI104" s="2">
        <f>+Tabla52021222425262728133[[#This Row],[Recuento]]*Tabla52021222425262728133[[#This Row],[Volúmen bruto]]</f>
        <v>0</v>
      </c>
      <c r="PJ104" s="2">
        <f>+Tabla52021222425262728133[[#This Row],[Recuento]]*Tabla52021222425262728133[[#This Row],[Área neta]]</f>
        <v>0</v>
      </c>
      <c r="PK104" s="26">
        <f t="shared" ref="PK104:PK109" si="46">+SUM(PJ106)</f>
        <v>0</v>
      </c>
      <c r="PM104"/>
      <c r="PN104"/>
      <c r="PO104"/>
      <c r="PP104"/>
      <c r="PQ104"/>
      <c r="PR104"/>
      <c r="PS104" s="2">
        <f>+Tabla5202122242526272893[[#This Row],[Recuento]]*Tabla5202122242526272893[[#This Row],[Volúmen bruto]]</f>
        <v>0</v>
      </c>
      <c r="PT104" s="2">
        <f>+Tabla5202122242526272893[[#This Row],[Recuento]]*Tabla5202122242526272893[[#This Row],[Área neta]]</f>
        <v>0</v>
      </c>
      <c r="PU104" s="26"/>
      <c r="PW104"/>
      <c r="PX104"/>
      <c r="PY104"/>
      <c r="PZ104"/>
      <c r="QA104"/>
      <c r="QB104"/>
      <c r="QC104" s="2">
        <f>+Tabla520212224252627289349[[#This Row],[Recuento]]*Tabla520212224252627289349[[#This Row],[Volúmen bruto]]</f>
        <v>0</v>
      </c>
      <c r="QD104" s="2">
        <f>+Tabla520212224252627289349[[#This Row],[Recuento]]*Tabla520212224252627289349[[#This Row],[Área neta]]</f>
        <v>0</v>
      </c>
      <c r="QE104" s="26"/>
      <c r="QG104"/>
      <c r="QH104"/>
      <c r="QI104"/>
      <c r="QJ104"/>
      <c r="QK104"/>
      <c r="QL104"/>
      <c r="QM104" s="2">
        <f>+Tabla520212224252627289349134[[#This Row],[Recuento]]*Tabla520212224252627289349134[[#This Row],[Volúmen bruto]]</f>
        <v>0</v>
      </c>
      <c r="QN104" s="2">
        <f>+Tabla520212224252627289349134[[#This Row],[Recuento]]*Tabla520212224252627289349134[[#This Row],[Área neta]]</f>
        <v>0</v>
      </c>
      <c r="QO104" s="26"/>
      <c r="QQ104"/>
      <c r="QR104"/>
      <c r="QS104"/>
      <c r="QT104"/>
      <c r="QU104"/>
      <c r="QV104"/>
      <c r="QW104"/>
      <c r="RA104" s="26"/>
      <c r="RC104"/>
      <c r="RD104"/>
      <c r="RE104"/>
      <c r="RF104"/>
      <c r="RG104"/>
      <c r="RH104"/>
      <c r="RK104" s="26"/>
      <c r="RM104"/>
      <c r="RN104"/>
      <c r="RO104"/>
      <c r="RP104"/>
      <c r="RQ104"/>
      <c r="RR104"/>
      <c r="RU104" s="26">
        <f t="shared" si="45"/>
        <v>0</v>
      </c>
      <c r="RW104"/>
      <c r="RX104"/>
      <c r="RY104"/>
      <c r="RZ104"/>
      <c r="SA104"/>
      <c r="SB104"/>
      <c r="SE104" s="26"/>
      <c r="SG104"/>
      <c r="SH104"/>
      <c r="SI104"/>
      <c r="SJ104"/>
      <c r="SK104"/>
      <c r="SL104"/>
      <c r="SO104" s="26"/>
      <c r="YK104"/>
      <c r="YL104"/>
      <c r="YM104"/>
      <c r="YN104"/>
      <c r="YO104"/>
      <c r="ADJ104"/>
      <c r="ADK104"/>
      <c r="ADL104"/>
      <c r="ADM104"/>
      <c r="ADN104"/>
      <c r="ADO104"/>
      <c r="ADP104" s="36"/>
      <c r="ADR104"/>
      <c r="ADS104"/>
      <c r="ADT104"/>
      <c r="ADU104"/>
      <c r="ADW104" s="35"/>
      <c r="ADX104" s="35"/>
      <c r="ADY104"/>
      <c r="ADZ104"/>
      <c r="AEA104"/>
      <c r="AEB104"/>
      <c r="AEC104" s="2" t="e">
        <f>+Tabla57891415163435363738394041424344454647484950515253556062[[#This Row],[Recuento]]*#REF!</f>
        <v>#REF!</v>
      </c>
      <c r="AEE104" s="36"/>
      <c r="AEN104"/>
      <c r="AEO104"/>
      <c r="AEP104"/>
      <c r="AEQ104"/>
      <c r="AER104"/>
      <c r="AES104"/>
      <c r="AET104" s="36"/>
      <c r="AFC104"/>
      <c r="AFD104"/>
      <c r="AFE104"/>
      <c r="AFF104" s="33"/>
      <c r="AFG104"/>
      <c r="AFH104"/>
      <c r="AFI104"/>
      <c r="AFJ104"/>
      <c r="AFK104"/>
      <c r="AFL104"/>
      <c r="AFM104"/>
      <c r="AFN104">
        <f>+Tabla578914151634353637383940414243444546474849505152535560626467[[#This Row],[G. Total]]*Tabla578914151634353637383940414243444546474849505152535560626467[[#This Row],[Recuento]]</f>
        <v>0</v>
      </c>
      <c r="AFO104" s="36"/>
    </row>
    <row r="105" spans="2:847" x14ac:dyDescent="0.25">
      <c r="B105"/>
      <c r="C105"/>
      <c r="D105"/>
      <c r="E105"/>
      <c r="F105" s="33"/>
      <c r="G105" s="33"/>
      <c r="H105"/>
      <c r="I105"/>
      <c r="BG105"/>
      <c r="BH105"/>
      <c r="BI105"/>
      <c r="BJ105"/>
      <c r="BK105"/>
      <c r="BL105">
        <f>+Tabla3102[[#This Row],[Longitud de eje]]*BF105</f>
        <v>0</v>
      </c>
      <c r="BM105">
        <f>+Tabla3102[[#This Row],[Longitud de eje]]*BG105</f>
        <v>0</v>
      </c>
      <c r="BO105"/>
      <c r="BP105"/>
      <c r="BQ105"/>
      <c r="BR105"/>
      <c r="BS105"/>
      <c r="BT105"/>
      <c r="BU105"/>
      <c r="BV105">
        <v>1</v>
      </c>
      <c r="BW105"/>
      <c r="BX105"/>
      <c r="BY105"/>
      <c r="BZ105"/>
      <c r="CA105"/>
      <c r="CB105">
        <f>+Tabla31011[[#This Row],[Longitud de eje]]*BV105</f>
        <v>0</v>
      </c>
      <c r="CD105">
        <v>1</v>
      </c>
      <c r="CE105"/>
      <c r="CF105"/>
      <c r="CG105"/>
      <c r="CH105"/>
      <c r="CI105"/>
      <c r="CJ105"/>
      <c r="CK105"/>
      <c r="CL105">
        <v>1</v>
      </c>
      <c r="CM105"/>
      <c r="CN105"/>
      <c r="CO105"/>
      <c r="CP105"/>
      <c r="CQ105"/>
      <c r="CR105">
        <f>+Tabla31011116[[#This Row],[Longitud de eje]]*CL105</f>
        <v>0</v>
      </c>
      <c r="CT105">
        <v>1</v>
      </c>
      <c r="CU105"/>
      <c r="CV105"/>
      <c r="CW105"/>
      <c r="CX105"/>
      <c r="CY105"/>
      <c r="CZ105"/>
      <c r="DA105"/>
      <c r="DB105">
        <v>1</v>
      </c>
      <c r="DC105"/>
      <c r="DD105"/>
      <c r="DE105"/>
      <c r="DF105"/>
      <c r="DG105">
        <f>+Tabla31011704[[#This Row],[Longitud de eje]]*DB105</f>
        <v>0</v>
      </c>
      <c r="DH105"/>
      <c r="DI105">
        <v>1</v>
      </c>
      <c r="DJ105"/>
      <c r="DK105"/>
      <c r="DL105"/>
      <c r="DM105"/>
      <c r="DN105">
        <f>+Tabla3101170411[[#This Row],[Longitud de eje]]*DI105</f>
        <v>0</v>
      </c>
      <c r="DO105"/>
      <c r="DP105">
        <v>1</v>
      </c>
      <c r="DQ105"/>
      <c r="DR105"/>
      <c r="DS105"/>
      <c r="DT105"/>
      <c r="DU105">
        <f>+Tabla3101170411120[[#This Row],[Longitud de eje]]*DP105</f>
        <v>0</v>
      </c>
      <c r="DV105"/>
      <c r="DW105">
        <v>1</v>
      </c>
      <c r="DX105"/>
      <c r="DY105"/>
      <c r="DZ105"/>
      <c r="EA105"/>
      <c r="EB105">
        <f>+Tabla3101170411120122[[#This Row],[Longitud de eje]]*DW105</f>
        <v>0</v>
      </c>
      <c r="EC105"/>
      <c r="EE105"/>
      <c r="EF105"/>
      <c r="EG105"/>
      <c r="EH105"/>
      <c r="EI105"/>
      <c r="EJ105">
        <f>+Tabla3101112[[#This Row],[En culmo]]*ED105</f>
        <v>0</v>
      </c>
      <c r="EK105"/>
      <c r="EM105"/>
      <c r="EN105"/>
      <c r="EO105"/>
      <c r="EP105"/>
      <c r="EQ105"/>
      <c r="ER105">
        <f>+Tabla3101112123[[#This Row],[En culmo]]*EL105</f>
        <v>0</v>
      </c>
      <c r="ES105"/>
      <c r="EU105"/>
      <c r="EV105"/>
      <c r="EW105"/>
      <c r="EX105"/>
      <c r="EY105"/>
      <c r="EZ105">
        <f>+Tabla310111257[[#This Row],[En culmo]]*ET105</f>
        <v>0</v>
      </c>
      <c r="FA105"/>
      <c r="FC105"/>
      <c r="FD105"/>
      <c r="FE105"/>
      <c r="FF105"/>
      <c r="FG105"/>
      <c r="FH105">
        <f>+Tabla310111257124[[#This Row],[En culmo]]*FB105</f>
        <v>0</v>
      </c>
      <c r="FI105"/>
      <c r="FK105"/>
      <c r="FL105"/>
      <c r="FM105"/>
      <c r="FN105"/>
      <c r="FO105"/>
      <c r="FP105"/>
      <c r="FQ105"/>
      <c r="FS105"/>
      <c r="FT105"/>
      <c r="FU105"/>
      <c r="FV105"/>
      <c r="FW105"/>
      <c r="FX105"/>
      <c r="FY105"/>
      <c r="GA105"/>
      <c r="GB105"/>
      <c r="GC105"/>
      <c r="GD105"/>
      <c r="GE105"/>
      <c r="GF105"/>
      <c r="GG105"/>
      <c r="GI105"/>
      <c r="GJ105"/>
      <c r="GK105"/>
      <c r="GL105"/>
      <c r="GM105"/>
      <c r="GN105"/>
      <c r="GO105"/>
      <c r="GQ105"/>
      <c r="GR105"/>
      <c r="GV105"/>
      <c r="GW105" s="2">
        <f>+Tabla578914[[#This Row],[Recuento]]*Tabla578914[[#This Row],[Volúmen bruto]]</f>
        <v>0</v>
      </c>
      <c r="GX105" s="2">
        <f>+Tabla578914[[#This Row],[Recuento]]*Tabla578914[[#This Row],[Área neta]]</f>
        <v>0</v>
      </c>
      <c r="GY105" s="36"/>
      <c r="HA105"/>
      <c r="HB105"/>
      <c r="HF105"/>
      <c r="HG105" s="2">
        <f>+Tabla578914126[[#This Row],[Recuento]]*Tabla578914126[[#This Row],[Volúmen bruto]]</f>
        <v>0</v>
      </c>
      <c r="HH105" s="2">
        <f>+Tabla578914126[[#This Row],[Recuento]]*Tabla578914126[[#This Row],[Área neta]]</f>
        <v>0</v>
      </c>
      <c r="HI105" s="36"/>
      <c r="HK105"/>
      <c r="HL105"/>
      <c r="HP105"/>
      <c r="HQ105" s="2">
        <f>+Tabla578914126127[[#This Row],[Recuento]]*Tabla578914126127[[#This Row],[Volúmen bruto]]</f>
        <v>0</v>
      </c>
      <c r="HR105" s="2">
        <f>+Tabla578914126127[[#This Row],[Recuento]]*Tabla578914126127[[#This Row],[Área neta]]</f>
        <v>0</v>
      </c>
      <c r="HS105" s="36"/>
      <c r="HU105"/>
      <c r="HV105"/>
      <c r="IA105" s="2">
        <f>+Tabla57891418[[#This Row],[Volúmen bruto]]*Tabla57891418[[#This Row],[Recuento]]</f>
        <v>0</v>
      </c>
      <c r="IB105" s="2">
        <f>+Tabla57891418[[#This Row],[Área neta]]*Tabla57891418[[#This Row],[Recuento]]</f>
        <v>0</v>
      </c>
      <c r="IC105" s="36"/>
      <c r="IE105"/>
      <c r="IF105"/>
      <c r="IK105" s="2">
        <f>+Tabla5789141835[[#This Row],[Volúmen bruto]]*Tabla5789141835[[#This Row],[Recuento]]</f>
        <v>0</v>
      </c>
      <c r="IL105" s="2">
        <f>+Tabla5789141835[[#This Row],[Área neta]]*Tabla5789141835[[#This Row],[Recuento]]</f>
        <v>0</v>
      </c>
      <c r="IM105" s="36"/>
      <c r="IY105"/>
      <c r="IZ105"/>
      <c r="JA105"/>
      <c r="JB105"/>
      <c r="JC105"/>
      <c r="JD105"/>
      <c r="JE105" s="2">
        <f>+Tabla520212224[[#This Row],[Recuento]]*Tabla520212224[[#This Row],[Volúmen bruto]]</f>
        <v>0</v>
      </c>
      <c r="JF105" s="2">
        <f>+Tabla520212224[[#This Row],[Recuento]]*Tabla520212224[[#This Row],[Área neta]]</f>
        <v>0</v>
      </c>
      <c r="JG105" s="26"/>
      <c r="JI105"/>
      <c r="JJ105"/>
      <c r="JK105"/>
      <c r="JL105"/>
      <c r="JM105"/>
      <c r="JN105"/>
      <c r="JO105" s="2">
        <f>+Tabla52021222425[[#This Row],[Recuento]]*Tabla52021222425[[#This Row],[Volúmen bruto]]</f>
        <v>0</v>
      </c>
      <c r="JP105" s="2">
        <f>+Tabla52021222425[[#This Row],[Recuento]]*Tabla52021222425[[#This Row],[Área neta]]</f>
        <v>0</v>
      </c>
      <c r="JQ105" s="26"/>
      <c r="JS105"/>
      <c r="JT105"/>
      <c r="JU105"/>
      <c r="JV105"/>
      <c r="JW105"/>
      <c r="JX105"/>
      <c r="JY105" s="2">
        <f>+Tabla5202122242526[[#This Row],[Recuento]]*Tabla5202122242526[[#This Row],[Volúmen bruto]]</f>
        <v>0</v>
      </c>
      <c r="JZ105" s="2">
        <f>+Tabla5202122242526[[#This Row],[Recuento]]*Tabla5202122242526[[#This Row],[Área neta]]</f>
        <v>0</v>
      </c>
      <c r="KA105" s="26"/>
      <c r="KC105"/>
      <c r="KD105"/>
      <c r="KE105"/>
      <c r="KF105"/>
      <c r="KG105"/>
      <c r="KH105"/>
      <c r="KI105" s="2">
        <f>+Tabla5202122242526104[[#This Row],[Recuento]]*Tabla5202122242526104[[#This Row],[Volúmen bruto]]</f>
        <v>0</v>
      </c>
      <c r="KJ105" s="2">
        <f>+Tabla5202122242526104[[#This Row],[Recuento]]*Tabla5202122242526104[[#This Row],[Área neta]]</f>
        <v>0</v>
      </c>
      <c r="KK105" s="26"/>
      <c r="KM105"/>
      <c r="KN105"/>
      <c r="KO105"/>
      <c r="KP105"/>
      <c r="KQ105"/>
      <c r="KR105"/>
      <c r="KS105" s="2">
        <f>+Tabla5202122242526104110[[#This Row],[Recuento]]*Tabla5202122242526104110[[#This Row],[Volúmen bruto]]</f>
        <v>0</v>
      </c>
      <c r="KT105" s="2">
        <f>+Tabla5202122242526104110[[#This Row],[Recuento]]*Tabla5202122242526104110[[#This Row],[Área neta]]</f>
        <v>0</v>
      </c>
      <c r="KU105" s="26"/>
      <c r="KW105"/>
      <c r="KX105"/>
      <c r="KY105"/>
      <c r="KZ105"/>
      <c r="LA105"/>
      <c r="LB105"/>
      <c r="LC105" s="2">
        <f>+Tabla520212224252659[[#This Row],[Recuento]]*Tabla520212224252659[[#This Row],[Volúmen bruto]]</f>
        <v>0</v>
      </c>
      <c r="LD105" s="2">
        <f>+Tabla520212224252659[[#This Row],[Recuento]]*Tabla520212224252659[[#This Row],[Área neta]]</f>
        <v>0</v>
      </c>
      <c r="LE105" s="26"/>
      <c r="LG105"/>
      <c r="LH105"/>
      <c r="LI105"/>
      <c r="LJ105"/>
      <c r="LK105"/>
      <c r="LL105"/>
      <c r="LM105" s="2">
        <f>+Tabla520212224252659111[[#This Row],[Recuento]]*Tabla520212224252659111[[#This Row],[Volúmen bruto]]</f>
        <v>0</v>
      </c>
      <c r="LN105" s="2">
        <f>+Tabla520212224252659111[[#This Row],[Recuento]]*Tabla520212224252659111[[#This Row],[Área neta]]</f>
        <v>0</v>
      </c>
      <c r="LO105" s="26"/>
      <c r="LQ105"/>
      <c r="LR105"/>
      <c r="LS105"/>
      <c r="LT105"/>
      <c r="LU105"/>
      <c r="LV105"/>
      <c r="LW105" s="2">
        <f>+Tabla520212224252659111114[[#This Row],[Recuento]]*Tabla520212224252659111114[[#This Row],[Volúmen bruto]]</f>
        <v>0</v>
      </c>
      <c r="LX105" s="2">
        <f>+Tabla520212224252659111114[[#This Row],[Recuento]]*Tabla520212224252659111114[[#This Row],[Área neta]]</f>
        <v>0</v>
      </c>
      <c r="LY105" s="26"/>
      <c r="MA105"/>
      <c r="MB105"/>
      <c r="MC105"/>
      <c r="MD105"/>
      <c r="ME105"/>
      <c r="MF105"/>
      <c r="MG105" s="2">
        <f>+Tabla520212224252659111114128[[#This Row],[Recuento]]*Tabla520212224252659111114128[[#This Row],[Volúmen bruto]]</f>
        <v>0</v>
      </c>
      <c r="MH105" s="2">
        <f>+Tabla520212224252659111114128[[#This Row],[Recuento]]*Tabla520212224252659111114128[[#This Row],[Área neta]]</f>
        <v>0</v>
      </c>
      <c r="MI105" s="26"/>
      <c r="MK105"/>
      <c r="ML105"/>
      <c r="MM105"/>
      <c r="MN105"/>
      <c r="MO105"/>
      <c r="MP105"/>
      <c r="MQ105" s="2">
        <f>+Tabla520212224252627[[#This Row],[Recuento]]*Tabla520212224252627[[#This Row],[Volúmen bruto]]</f>
        <v>0</v>
      </c>
      <c r="MR105" s="2">
        <f>+Tabla520212224252627[[#This Row],[Recuento]]*Tabla520212224252627[[#This Row],[Área neta]]</f>
        <v>0</v>
      </c>
      <c r="MS105" s="26"/>
      <c r="MU105"/>
      <c r="MV105"/>
      <c r="MW105"/>
      <c r="MX105"/>
      <c r="MY105"/>
      <c r="MZ105"/>
      <c r="NA105" s="2">
        <f>+Tabla520212224252627129[[#This Row],[Recuento]]*Tabla520212224252627129[[#This Row],[Volúmen bruto]]</f>
        <v>0</v>
      </c>
      <c r="NB105" s="2">
        <f>+Tabla520212224252627129[[#This Row],[Recuento]]*Tabla520212224252627129[[#This Row],[Área neta]]</f>
        <v>0</v>
      </c>
      <c r="NC105" s="26"/>
      <c r="NE105"/>
      <c r="NF105"/>
      <c r="NG105"/>
      <c r="NH105"/>
      <c r="NI105"/>
      <c r="NJ105"/>
      <c r="NK105" s="2">
        <f>+Tabla520212224252627129125[[#This Row],[Recuento]]*Tabla520212224252627129125[[#This Row],[Volúmen bruto]]</f>
        <v>0</v>
      </c>
      <c r="NL105" s="2">
        <f>+Tabla520212224252627129125[[#This Row],[Recuento]]*Tabla520212224252627129125[[#This Row],[Área neta]]</f>
        <v>0</v>
      </c>
      <c r="NM105" s="26"/>
      <c r="NO105"/>
      <c r="NP105"/>
      <c r="NQ105"/>
      <c r="NR105"/>
      <c r="NS105"/>
      <c r="NT105"/>
      <c r="NU105" s="2">
        <f>+Tabla520212224252627129125130[[#This Row],[Recuento]]*Tabla520212224252627129125130[[#This Row],[Volúmen bruto]]</f>
        <v>0</v>
      </c>
      <c r="NV105" s="2">
        <f>+Tabla520212224252627129125130[[#This Row],[Recuento]]*Tabla520212224252627129125130[[#This Row],[Área neta]]</f>
        <v>0</v>
      </c>
      <c r="NW105" s="26"/>
      <c r="NY105"/>
      <c r="NZ105"/>
      <c r="OA105"/>
      <c r="OB105"/>
      <c r="OC105"/>
      <c r="OD105"/>
      <c r="OE105" s="2">
        <f>+Tabla520212224252627129125130131[[#This Row],[Recuento]]*Tabla520212224252627129125130131[[#This Row],[Volúmen bruto]]</f>
        <v>0</v>
      </c>
      <c r="OF105" s="2">
        <f>+Tabla520212224252627129125130131[[#This Row],[Recuento]]*Tabla520212224252627129125130131[[#This Row],[Área neta]]</f>
        <v>0</v>
      </c>
      <c r="OG105" s="26"/>
      <c r="OI105"/>
      <c r="OJ105"/>
      <c r="OK105"/>
      <c r="OL105"/>
      <c r="OM105"/>
      <c r="ON105"/>
      <c r="OO105" s="2">
        <f>+Tabla520212224252627129125130131132[[#This Row],[Recuento]]*Tabla520212224252627129125130131132[[#This Row],[Volúmen bruto]]</f>
        <v>0</v>
      </c>
      <c r="OP105" s="2">
        <f>+Tabla520212224252627129125130131132[[#This Row],[Recuento]]*Tabla520212224252627129125130131132[[#This Row],[Área neta]]</f>
        <v>0</v>
      </c>
      <c r="OQ105" s="26"/>
      <c r="OS105"/>
      <c r="OT105"/>
      <c r="OU105"/>
      <c r="OV105"/>
      <c r="OW105"/>
      <c r="OX105"/>
      <c r="OY105" s="2">
        <f>+Tabla52021222425262728[[#This Row],[Recuento]]*Tabla52021222425262728[[#This Row],[Volúmen bruto]]</f>
        <v>0</v>
      </c>
      <c r="OZ105" s="2">
        <f>+Tabla52021222425262728[[#This Row],[Recuento]]*Tabla52021222425262728[[#This Row],[Área neta]]</f>
        <v>0</v>
      </c>
      <c r="PA105" s="26">
        <f t="shared" si="44"/>
        <v>0</v>
      </c>
      <c r="PC105"/>
      <c r="PD105"/>
      <c r="PE105"/>
      <c r="PF105"/>
      <c r="PG105"/>
      <c r="PH105"/>
      <c r="PI105" s="2">
        <f>+Tabla52021222425262728133[[#This Row],[Recuento]]*Tabla52021222425262728133[[#This Row],[Volúmen bruto]]</f>
        <v>0</v>
      </c>
      <c r="PJ105" s="2">
        <f>+Tabla52021222425262728133[[#This Row],[Recuento]]*Tabla52021222425262728133[[#This Row],[Área neta]]</f>
        <v>0</v>
      </c>
      <c r="PK105" s="26">
        <f t="shared" si="46"/>
        <v>0</v>
      </c>
      <c r="PM105"/>
      <c r="PN105"/>
      <c r="PO105"/>
      <c r="PP105"/>
      <c r="PQ105"/>
      <c r="PR105"/>
      <c r="PS105" s="2">
        <f>+Tabla5202122242526272893[[#This Row],[Recuento]]*Tabla5202122242526272893[[#This Row],[Volúmen bruto]]</f>
        <v>0</v>
      </c>
      <c r="PT105" s="2">
        <f>+Tabla5202122242526272893[[#This Row],[Recuento]]*Tabla5202122242526272893[[#This Row],[Área neta]]</f>
        <v>0</v>
      </c>
      <c r="PU105" s="26"/>
      <c r="PW105"/>
      <c r="PX105"/>
      <c r="PY105"/>
      <c r="PZ105"/>
      <c r="QA105"/>
      <c r="QB105"/>
      <c r="QC105" s="2">
        <f>+Tabla520212224252627289349[[#This Row],[Recuento]]*Tabla520212224252627289349[[#This Row],[Volúmen bruto]]</f>
        <v>0</v>
      </c>
      <c r="QD105" s="2">
        <f>+Tabla520212224252627289349[[#This Row],[Recuento]]*Tabla520212224252627289349[[#This Row],[Área neta]]</f>
        <v>0</v>
      </c>
      <c r="QE105" s="26"/>
      <c r="QG105"/>
      <c r="QH105"/>
      <c r="QI105"/>
      <c r="QJ105"/>
      <c r="QK105"/>
      <c r="QL105"/>
      <c r="QM105" s="2">
        <f>+Tabla520212224252627289349134[[#This Row],[Recuento]]*Tabla520212224252627289349134[[#This Row],[Volúmen bruto]]</f>
        <v>0</v>
      </c>
      <c r="QN105" s="2">
        <f>+Tabla520212224252627289349134[[#This Row],[Recuento]]*Tabla520212224252627289349134[[#This Row],[Área neta]]</f>
        <v>0</v>
      </c>
      <c r="QO105" s="26"/>
      <c r="QQ105"/>
      <c r="QR105"/>
      <c r="QS105"/>
      <c r="QT105"/>
      <c r="QU105"/>
      <c r="QV105"/>
      <c r="QW105"/>
      <c r="RA105" s="26"/>
      <c r="RC105"/>
      <c r="RD105"/>
      <c r="RE105"/>
      <c r="RF105"/>
      <c r="RG105"/>
      <c r="RH105"/>
      <c r="RK105" s="26"/>
      <c r="RM105"/>
      <c r="RN105"/>
      <c r="RO105"/>
      <c r="RP105"/>
      <c r="RQ105"/>
      <c r="RR105"/>
      <c r="RU105" s="26">
        <f t="shared" si="45"/>
        <v>0</v>
      </c>
      <c r="RW105"/>
      <c r="RX105"/>
      <c r="RY105"/>
      <c r="RZ105"/>
      <c r="SA105"/>
      <c r="SB105"/>
      <c r="SE105" s="26"/>
      <c r="SG105"/>
      <c r="SH105"/>
      <c r="SI105"/>
      <c r="SJ105"/>
      <c r="SK105"/>
      <c r="SL105"/>
      <c r="SO105" s="26"/>
      <c r="YK105"/>
      <c r="YL105"/>
      <c r="YM105"/>
      <c r="YN105"/>
      <c r="YO105"/>
      <c r="ADJ105"/>
      <c r="ADK105"/>
      <c r="ADL105"/>
      <c r="ADM105"/>
      <c r="ADN105"/>
      <c r="ADO105"/>
      <c r="ADP105" s="35">
        <f>+SUM(ADM105:ADM115)</f>
        <v>0</v>
      </c>
      <c r="ADR105"/>
      <c r="ADS105"/>
      <c r="ADT105"/>
      <c r="ADU105"/>
      <c r="ADW105" s="35"/>
      <c r="ADX105" s="35"/>
      <c r="ADY105"/>
      <c r="ADZ105"/>
      <c r="AEA105"/>
      <c r="AEB105"/>
      <c r="AEC105" s="2" t="e">
        <f>+Tabla57891415163435363738394041424344454647484950515253556062[[#This Row],[Recuento]]*#REF!</f>
        <v>#REF!</v>
      </c>
      <c r="AEE105" s="36"/>
      <c r="AEN105"/>
      <c r="AEO105"/>
      <c r="AEP105"/>
      <c r="AEQ105"/>
      <c r="AER105"/>
      <c r="AES105"/>
      <c r="AET105" s="36"/>
      <c r="AFC105"/>
      <c r="AFD105"/>
      <c r="AFE105"/>
      <c r="AFF105" s="33"/>
      <c r="AFG105"/>
      <c r="AFH105"/>
      <c r="AFI105"/>
      <c r="AFJ105"/>
      <c r="AFK105"/>
      <c r="AFL105"/>
      <c r="AFM105"/>
      <c r="AFN105">
        <f>+Tabla578914151634353637383940414243444546474849505152535560626467[[#This Row],[G. Total]]*Tabla578914151634353637383940414243444546474849505152535560626467[[#This Row],[Recuento]]</f>
        <v>0</v>
      </c>
      <c r="AFO105" s="36"/>
    </row>
    <row r="106" spans="2:847" x14ac:dyDescent="0.25">
      <c r="B106"/>
      <c r="C106"/>
      <c r="D106"/>
      <c r="E106"/>
      <c r="F106" s="33"/>
      <c r="G106" s="33"/>
      <c r="H106"/>
      <c r="I106"/>
      <c r="BG106"/>
      <c r="BH106"/>
      <c r="BI106"/>
      <c r="BJ106"/>
      <c r="BK106"/>
      <c r="BL106">
        <f>+Tabla3102[[#This Row],[Longitud de eje]]*BF106</f>
        <v>0</v>
      </c>
      <c r="BM106">
        <f>+Tabla3102[[#This Row],[Longitud de eje]]*BG106</f>
        <v>0</v>
      </c>
      <c r="BO106"/>
      <c r="BP106"/>
      <c r="BQ106"/>
      <c r="BR106"/>
      <c r="BS106"/>
      <c r="BT106"/>
      <c r="BU106"/>
      <c r="BV106">
        <v>1</v>
      </c>
      <c r="BW106"/>
      <c r="BX106"/>
      <c r="BY106"/>
      <c r="BZ106"/>
      <c r="CA106"/>
      <c r="CB106">
        <f>+Tabla31011[[#This Row],[Longitud de eje]]*BV106</f>
        <v>0</v>
      </c>
      <c r="CD106">
        <v>1</v>
      </c>
      <c r="CE106"/>
      <c r="CF106"/>
      <c r="CG106"/>
      <c r="CH106"/>
      <c r="CI106"/>
      <c r="CJ106"/>
      <c r="CK106"/>
      <c r="CL106">
        <v>1</v>
      </c>
      <c r="CM106"/>
      <c r="CN106"/>
      <c r="CO106"/>
      <c r="CP106"/>
      <c r="CQ106"/>
      <c r="CR106">
        <f>+Tabla31011116[[#This Row],[Longitud de eje]]*CL106</f>
        <v>0</v>
      </c>
      <c r="CT106">
        <v>1</v>
      </c>
      <c r="CU106"/>
      <c r="CV106"/>
      <c r="CW106"/>
      <c r="CX106"/>
      <c r="CY106"/>
      <c r="CZ106"/>
      <c r="DA106"/>
      <c r="DB106">
        <v>1</v>
      </c>
      <c r="DC106"/>
      <c r="DD106"/>
      <c r="DE106"/>
      <c r="DF106"/>
      <c r="DG106">
        <f>+Tabla31011704[[#This Row],[Longitud de eje]]*DB106</f>
        <v>0</v>
      </c>
      <c r="DH106"/>
      <c r="DI106">
        <v>1</v>
      </c>
      <c r="DJ106"/>
      <c r="DK106"/>
      <c r="DL106"/>
      <c r="DM106"/>
      <c r="DN106">
        <f>+Tabla3101170411[[#This Row],[Longitud de eje]]*DI106</f>
        <v>0</v>
      </c>
      <c r="DO106"/>
      <c r="DP106">
        <v>1</v>
      </c>
      <c r="DQ106"/>
      <c r="DR106"/>
      <c r="DS106"/>
      <c r="DT106"/>
      <c r="DU106">
        <f>+Tabla3101170411120[[#This Row],[Longitud de eje]]*DP106</f>
        <v>0</v>
      </c>
      <c r="DV106"/>
      <c r="DW106">
        <v>1</v>
      </c>
      <c r="DX106"/>
      <c r="DY106"/>
      <c r="DZ106"/>
      <c r="EA106"/>
      <c r="EB106">
        <f>+Tabla3101170411120122[[#This Row],[Longitud de eje]]*DW106</f>
        <v>0</v>
      </c>
      <c r="EC106"/>
      <c r="EE106"/>
      <c r="EF106"/>
      <c r="EG106"/>
      <c r="EH106"/>
      <c r="EI106"/>
      <c r="EJ106">
        <f>+Tabla3101112[[#This Row],[En culmo]]*ED106</f>
        <v>0</v>
      </c>
      <c r="EK106"/>
      <c r="EM106"/>
      <c r="EN106"/>
      <c r="EO106"/>
      <c r="EP106"/>
      <c r="EQ106"/>
      <c r="ER106">
        <f>+Tabla3101112123[[#This Row],[En culmo]]*EL106</f>
        <v>0</v>
      </c>
      <c r="ES106"/>
      <c r="EU106"/>
      <c r="EV106"/>
      <c r="EW106"/>
      <c r="EX106"/>
      <c r="EY106"/>
      <c r="EZ106">
        <f>+Tabla310111257[[#This Row],[En culmo]]*ET106</f>
        <v>0</v>
      </c>
      <c r="FA106"/>
      <c r="FC106"/>
      <c r="FD106"/>
      <c r="FE106"/>
      <c r="FF106"/>
      <c r="FG106"/>
      <c r="FH106">
        <f>+Tabla310111257124[[#This Row],[En culmo]]*FB106</f>
        <v>0</v>
      </c>
      <c r="FI106"/>
      <c r="FK106"/>
      <c r="FL106"/>
      <c r="FM106"/>
      <c r="FN106"/>
      <c r="FO106"/>
      <c r="FP106"/>
      <c r="FQ106"/>
      <c r="FS106"/>
      <c r="FT106"/>
      <c r="FU106"/>
      <c r="FV106"/>
      <c r="FW106"/>
      <c r="FX106"/>
      <c r="FY106"/>
      <c r="GA106"/>
      <c r="GB106"/>
      <c r="GC106"/>
      <c r="GD106"/>
      <c r="GE106"/>
      <c r="GF106"/>
      <c r="GG106"/>
      <c r="GI106"/>
      <c r="GJ106"/>
      <c r="GK106"/>
      <c r="GL106"/>
      <c r="GM106"/>
      <c r="GN106"/>
      <c r="GO106"/>
      <c r="GQ106"/>
      <c r="GR106"/>
      <c r="GV106"/>
      <c r="GW106" s="2">
        <f>+Tabla578914[[#This Row],[Recuento]]*Tabla578914[[#This Row],[Volúmen bruto]]</f>
        <v>0</v>
      </c>
      <c r="GX106" s="2">
        <f>+Tabla578914[[#This Row],[Recuento]]*Tabla578914[[#This Row],[Área neta]]</f>
        <v>0</v>
      </c>
      <c r="GY106" s="36"/>
      <c r="HA106"/>
      <c r="HB106"/>
      <c r="HF106"/>
      <c r="HG106" s="2">
        <f>+Tabla578914126[[#This Row],[Recuento]]*Tabla578914126[[#This Row],[Volúmen bruto]]</f>
        <v>0</v>
      </c>
      <c r="HH106" s="2">
        <f>+Tabla578914126[[#This Row],[Recuento]]*Tabla578914126[[#This Row],[Área neta]]</f>
        <v>0</v>
      </c>
      <c r="HI106" s="36"/>
      <c r="HK106"/>
      <c r="HL106"/>
      <c r="HP106"/>
      <c r="HQ106" s="2">
        <f>+Tabla578914126127[[#This Row],[Recuento]]*Tabla578914126127[[#This Row],[Volúmen bruto]]</f>
        <v>0</v>
      </c>
      <c r="HR106" s="2">
        <f>+Tabla578914126127[[#This Row],[Recuento]]*Tabla578914126127[[#This Row],[Área neta]]</f>
        <v>0</v>
      </c>
      <c r="HS106" s="36"/>
      <c r="HU106"/>
      <c r="HV106"/>
      <c r="IA106" s="2">
        <f>+Tabla57891418[[#This Row],[Volúmen bruto]]*Tabla57891418[[#This Row],[Recuento]]</f>
        <v>0</v>
      </c>
      <c r="IB106" s="2">
        <f>+Tabla57891418[[#This Row],[Área neta]]*Tabla57891418[[#This Row],[Recuento]]</f>
        <v>0</v>
      </c>
      <c r="IC106" s="36"/>
      <c r="IE106"/>
      <c r="IF106"/>
      <c r="IK106" s="2">
        <f>+Tabla5789141835[[#This Row],[Volúmen bruto]]*Tabla5789141835[[#This Row],[Recuento]]</f>
        <v>0</v>
      </c>
      <c r="IL106" s="2">
        <f>+Tabla5789141835[[#This Row],[Área neta]]*Tabla5789141835[[#This Row],[Recuento]]</f>
        <v>0</v>
      </c>
      <c r="IM106" s="36"/>
      <c r="IY106"/>
      <c r="IZ106"/>
      <c r="JA106"/>
      <c r="JB106"/>
      <c r="JC106"/>
      <c r="JD106"/>
      <c r="JE106" s="2">
        <f>+Tabla520212224[[#This Row],[Recuento]]*Tabla520212224[[#This Row],[Volúmen bruto]]</f>
        <v>0</v>
      </c>
      <c r="JF106" s="2">
        <f>+Tabla520212224[[#This Row],[Recuento]]*Tabla520212224[[#This Row],[Área neta]]</f>
        <v>0</v>
      </c>
      <c r="JG106" s="26"/>
      <c r="JI106"/>
      <c r="JJ106"/>
      <c r="JK106"/>
      <c r="JL106"/>
      <c r="JM106"/>
      <c r="JN106"/>
      <c r="JO106" s="2">
        <f>+Tabla52021222425[[#This Row],[Recuento]]*Tabla52021222425[[#This Row],[Volúmen bruto]]</f>
        <v>0</v>
      </c>
      <c r="JP106" s="2">
        <f>+Tabla52021222425[[#This Row],[Recuento]]*Tabla52021222425[[#This Row],[Área neta]]</f>
        <v>0</v>
      </c>
      <c r="JQ106" s="26"/>
      <c r="JS106"/>
      <c r="JT106"/>
      <c r="JU106"/>
      <c r="JV106"/>
      <c r="JW106"/>
      <c r="JX106"/>
      <c r="JY106" s="2">
        <f>+Tabla5202122242526[[#This Row],[Recuento]]*Tabla5202122242526[[#This Row],[Volúmen bruto]]</f>
        <v>0</v>
      </c>
      <c r="JZ106" s="2">
        <f>+Tabla5202122242526[[#This Row],[Recuento]]*Tabla5202122242526[[#This Row],[Área neta]]</f>
        <v>0</v>
      </c>
      <c r="KA106" s="26"/>
      <c r="KC106"/>
      <c r="KD106"/>
      <c r="KE106"/>
      <c r="KF106"/>
      <c r="KG106"/>
      <c r="KH106"/>
      <c r="KI106" s="2">
        <f>+Tabla5202122242526104[[#This Row],[Recuento]]*Tabla5202122242526104[[#This Row],[Volúmen bruto]]</f>
        <v>0</v>
      </c>
      <c r="KJ106" s="2">
        <f>+Tabla5202122242526104[[#This Row],[Recuento]]*Tabla5202122242526104[[#This Row],[Área neta]]</f>
        <v>0</v>
      </c>
      <c r="KK106" s="26"/>
      <c r="KM106"/>
      <c r="KN106"/>
      <c r="KO106"/>
      <c r="KP106"/>
      <c r="KQ106"/>
      <c r="KR106"/>
      <c r="KS106" s="2">
        <f>+Tabla5202122242526104110[[#This Row],[Recuento]]*Tabla5202122242526104110[[#This Row],[Volúmen bruto]]</f>
        <v>0</v>
      </c>
      <c r="KT106" s="2">
        <f>+Tabla5202122242526104110[[#This Row],[Recuento]]*Tabla5202122242526104110[[#This Row],[Área neta]]</f>
        <v>0</v>
      </c>
      <c r="KU106" s="26"/>
      <c r="KW106"/>
      <c r="KX106"/>
      <c r="KY106"/>
      <c r="KZ106"/>
      <c r="LA106"/>
      <c r="LB106"/>
      <c r="LC106" s="2">
        <f>+Tabla520212224252659[[#This Row],[Recuento]]*Tabla520212224252659[[#This Row],[Volúmen bruto]]</f>
        <v>0</v>
      </c>
      <c r="LD106" s="2">
        <f>+Tabla520212224252659[[#This Row],[Recuento]]*Tabla520212224252659[[#This Row],[Área neta]]</f>
        <v>0</v>
      </c>
      <c r="LE106" s="26"/>
      <c r="LG106"/>
      <c r="LH106"/>
      <c r="LI106"/>
      <c r="LJ106"/>
      <c r="LK106"/>
      <c r="LL106"/>
      <c r="LM106" s="2">
        <f>+Tabla520212224252659111[[#This Row],[Recuento]]*Tabla520212224252659111[[#This Row],[Volúmen bruto]]</f>
        <v>0</v>
      </c>
      <c r="LN106" s="2">
        <f>+Tabla520212224252659111[[#This Row],[Recuento]]*Tabla520212224252659111[[#This Row],[Área neta]]</f>
        <v>0</v>
      </c>
      <c r="LO106" s="26"/>
      <c r="LQ106"/>
      <c r="LR106"/>
      <c r="LS106"/>
      <c r="LT106"/>
      <c r="LU106"/>
      <c r="LV106"/>
      <c r="LW106" s="2">
        <f>+Tabla520212224252659111114[[#This Row],[Recuento]]*Tabla520212224252659111114[[#This Row],[Volúmen bruto]]</f>
        <v>0</v>
      </c>
      <c r="LX106" s="2">
        <f>+Tabla520212224252659111114[[#This Row],[Recuento]]*Tabla520212224252659111114[[#This Row],[Área neta]]</f>
        <v>0</v>
      </c>
      <c r="LY106" s="26"/>
      <c r="MA106"/>
      <c r="MB106"/>
      <c r="MC106"/>
      <c r="MD106"/>
      <c r="ME106"/>
      <c r="MF106"/>
      <c r="MG106" s="2">
        <f>+Tabla520212224252659111114128[[#This Row],[Recuento]]*Tabla520212224252659111114128[[#This Row],[Volúmen bruto]]</f>
        <v>0</v>
      </c>
      <c r="MH106" s="2">
        <f>+Tabla520212224252659111114128[[#This Row],[Recuento]]*Tabla520212224252659111114128[[#This Row],[Área neta]]</f>
        <v>0</v>
      </c>
      <c r="MI106" s="26"/>
      <c r="MK106"/>
      <c r="ML106"/>
      <c r="MM106"/>
      <c r="MN106"/>
      <c r="MO106"/>
      <c r="MP106"/>
      <c r="MQ106" s="2">
        <f>+Tabla520212224252627[[#This Row],[Recuento]]*Tabla520212224252627[[#This Row],[Volúmen bruto]]</f>
        <v>0</v>
      </c>
      <c r="MR106" s="2">
        <f>+Tabla520212224252627[[#This Row],[Recuento]]*Tabla520212224252627[[#This Row],[Área neta]]</f>
        <v>0</v>
      </c>
      <c r="MS106" s="26"/>
      <c r="MU106"/>
      <c r="MV106"/>
      <c r="MW106"/>
      <c r="MX106"/>
      <c r="MY106"/>
      <c r="MZ106"/>
      <c r="NA106" s="2">
        <f>+Tabla520212224252627129[[#This Row],[Recuento]]*Tabla520212224252627129[[#This Row],[Volúmen bruto]]</f>
        <v>0</v>
      </c>
      <c r="NB106" s="2">
        <f>+Tabla520212224252627129[[#This Row],[Recuento]]*Tabla520212224252627129[[#This Row],[Área neta]]</f>
        <v>0</v>
      </c>
      <c r="NC106" s="26"/>
      <c r="NE106"/>
      <c r="NF106"/>
      <c r="NG106"/>
      <c r="NH106"/>
      <c r="NI106"/>
      <c r="NJ106"/>
      <c r="NK106" s="2">
        <f>+Tabla520212224252627129125[[#This Row],[Recuento]]*Tabla520212224252627129125[[#This Row],[Volúmen bruto]]</f>
        <v>0</v>
      </c>
      <c r="NL106" s="2">
        <f>+Tabla520212224252627129125[[#This Row],[Recuento]]*Tabla520212224252627129125[[#This Row],[Área neta]]</f>
        <v>0</v>
      </c>
      <c r="NM106" s="26"/>
      <c r="NO106"/>
      <c r="NP106"/>
      <c r="NQ106"/>
      <c r="NR106"/>
      <c r="NS106"/>
      <c r="NT106"/>
      <c r="NU106" s="2">
        <f>+Tabla520212224252627129125130[[#This Row],[Recuento]]*Tabla520212224252627129125130[[#This Row],[Volúmen bruto]]</f>
        <v>0</v>
      </c>
      <c r="NV106" s="2">
        <f>+Tabla520212224252627129125130[[#This Row],[Recuento]]*Tabla520212224252627129125130[[#This Row],[Área neta]]</f>
        <v>0</v>
      </c>
      <c r="NW106" s="26"/>
      <c r="NY106"/>
      <c r="NZ106"/>
      <c r="OA106"/>
      <c r="OB106"/>
      <c r="OC106"/>
      <c r="OD106"/>
      <c r="OE106" s="2">
        <f>+Tabla520212224252627129125130131[[#This Row],[Recuento]]*Tabla520212224252627129125130131[[#This Row],[Volúmen bruto]]</f>
        <v>0</v>
      </c>
      <c r="OF106" s="2">
        <f>+Tabla520212224252627129125130131[[#This Row],[Recuento]]*Tabla520212224252627129125130131[[#This Row],[Área neta]]</f>
        <v>0</v>
      </c>
      <c r="OG106" s="26"/>
      <c r="OI106"/>
      <c r="OJ106"/>
      <c r="OK106"/>
      <c r="OL106"/>
      <c r="OM106"/>
      <c r="ON106"/>
      <c r="OO106" s="2">
        <f>+Tabla520212224252627129125130131132[[#This Row],[Recuento]]*Tabla520212224252627129125130131132[[#This Row],[Volúmen bruto]]</f>
        <v>0</v>
      </c>
      <c r="OP106" s="2">
        <f>+Tabla520212224252627129125130131132[[#This Row],[Recuento]]*Tabla520212224252627129125130131132[[#This Row],[Área neta]]</f>
        <v>0</v>
      </c>
      <c r="OQ106" s="26"/>
      <c r="OS106"/>
      <c r="OT106"/>
      <c r="OU106"/>
      <c r="OV106"/>
      <c r="OW106"/>
      <c r="OX106"/>
      <c r="OY106" s="2">
        <f>+Tabla52021222425262728[[#This Row],[Recuento]]*Tabla52021222425262728[[#This Row],[Volúmen bruto]]</f>
        <v>0</v>
      </c>
      <c r="OZ106" s="2">
        <f>+Tabla52021222425262728[[#This Row],[Recuento]]*Tabla52021222425262728[[#This Row],[Área neta]]</f>
        <v>0</v>
      </c>
      <c r="PA106" s="26">
        <f t="shared" si="44"/>
        <v>0</v>
      </c>
      <c r="PC106"/>
      <c r="PD106"/>
      <c r="PE106"/>
      <c r="PF106"/>
      <c r="PG106"/>
      <c r="PH106"/>
      <c r="PI106" s="2">
        <f>+Tabla52021222425262728133[[#This Row],[Recuento]]*Tabla52021222425262728133[[#This Row],[Volúmen bruto]]</f>
        <v>0</v>
      </c>
      <c r="PJ106" s="2">
        <f>+Tabla52021222425262728133[[#This Row],[Recuento]]*Tabla52021222425262728133[[#This Row],[Área neta]]</f>
        <v>0</v>
      </c>
      <c r="PK106" s="26">
        <f t="shared" si="46"/>
        <v>0</v>
      </c>
      <c r="PM106"/>
      <c r="PN106"/>
      <c r="PO106"/>
      <c r="PP106"/>
      <c r="PQ106"/>
      <c r="PR106"/>
      <c r="PS106" s="2">
        <f>+Tabla5202122242526272893[[#This Row],[Recuento]]*Tabla5202122242526272893[[#This Row],[Volúmen bruto]]</f>
        <v>0</v>
      </c>
      <c r="PT106" s="2">
        <f>+Tabla5202122242526272893[[#This Row],[Recuento]]*Tabla5202122242526272893[[#This Row],[Área neta]]</f>
        <v>0</v>
      </c>
      <c r="PU106" s="26"/>
      <c r="PW106"/>
      <c r="PX106"/>
      <c r="PY106"/>
      <c r="PZ106"/>
      <c r="QA106"/>
      <c r="QB106"/>
      <c r="QC106" s="2">
        <f>+Tabla520212224252627289349[[#This Row],[Recuento]]*Tabla520212224252627289349[[#This Row],[Volúmen bruto]]</f>
        <v>0</v>
      </c>
      <c r="QD106" s="2">
        <f>+Tabla520212224252627289349[[#This Row],[Recuento]]*Tabla520212224252627289349[[#This Row],[Área neta]]</f>
        <v>0</v>
      </c>
      <c r="QE106" s="26"/>
      <c r="QG106"/>
      <c r="QH106"/>
      <c r="QI106"/>
      <c r="QJ106"/>
      <c r="QK106"/>
      <c r="QL106"/>
      <c r="QM106" s="2">
        <f>+Tabla520212224252627289349134[[#This Row],[Recuento]]*Tabla520212224252627289349134[[#This Row],[Volúmen bruto]]</f>
        <v>0</v>
      </c>
      <c r="QN106" s="2">
        <f>+Tabla520212224252627289349134[[#This Row],[Recuento]]*Tabla520212224252627289349134[[#This Row],[Área neta]]</f>
        <v>0</v>
      </c>
      <c r="QO106" s="26"/>
      <c r="QQ106"/>
      <c r="QR106"/>
      <c r="QS106"/>
      <c r="QT106"/>
      <c r="QU106"/>
      <c r="QV106"/>
      <c r="QW106"/>
      <c r="RA106" s="26"/>
      <c r="RC106"/>
      <c r="RD106"/>
      <c r="RE106"/>
      <c r="RF106"/>
      <c r="RG106"/>
      <c r="RH106"/>
      <c r="RK106" s="26"/>
      <c r="RM106"/>
      <c r="RN106"/>
      <c r="RO106"/>
      <c r="RP106"/>
      <c r="RQ106"/>
      <c r="RR106"/>
      <c r="RU106" s="26">
        <f t="shared" si="45"/>
        <v>0</v>
      </c>
      <c r="RW106"/>
      <c r="RX106"/>
      <c r="RY106"/>
      <c r="RZ106"/>
      <c r="SA106"/>
      <c r="SB106"/>
      <c r="SE106" s="26"/>
      <c r="SG106"/>
      <c r="SH106"/>
      <c r="SI106"/>
      <c r="SJ106"/>
      <c r="SK106"/>
      <c r="SL106"/>
      <c r="SO106" s="26"/>
      <c r="YK106"/>
      <c r="YL106"/>
      <c r="YM106"/>
      <c r="YN106"/>
      <c r="YO106"/>
      <c r="ADJ106"/>
      <c r="ADK106"/>
      <c r="ADL106"/>
      <c r="ADM106"/>
      <c r="ADN106"/>
      <c r="ADO106"/>
      <c r="ADP106" s="36"/>
      <c r="ADR106"/>
      <c r="ADS106"/>
      <c r="ADT106"/>
      <c r="ADU106"/>
      <c r="ADW106" s="35"/>
      <c r="ADX106" s="35"/>
      <c r="ADY106"/>
      <c r="ADZ106"/>
      <c r="AEA106"/>
      <c r="AEB106"/>
      <c r="AEC106" s="2" t="e">
        <f>+Tabla57891415163435363738394041424344454647484950515253556062[[#This Row],[Recuento]]*#REF!</f>
        <v>#REF!</v>
      </c>
      <c r="AEE106" s="36"/>
      <c r="AEN106"/>
      <c r="AEO106"/>
      <c r="AEP106"/>
      <c r="AEQ106"/>
      <c r="AER106"/>
      <c r="AES106"/>
      <c r="AET106" s="36"/>
      <c r="AFC106"/>
      <c r="AFD106"/>
      <c r="AFE106"/>
      <c r="AFF106" s="33"/>
      <c r="AFG106"/>
      <c r="AFH106"/>
      <c r="AFI106"/>
      <c r="AFJ106"/>
      <c r="AFK106"/>
      <c r="AFL106"/>
      <c r="AFM106"/>
      <c r="AFN106">
        <f>+Tabla578914151634353637383940414243444546474849505152535560626467[[#This Row],[G. Total]]*Tabla578914151634353637383940414243444546474849505152535560626467[[#This Row],[Recuento]]</f>
        <v>0</v>
      </c>
      <c r="AFO106" s="36"/>
    </row>
    <row r="107" spans="2:847" x14ac:dyDescent="0.25">
      <c r="B107"/>
      <c r="C107"/>
      <c r="D107"/>
      <c r="E107"/>
      <c r="F107" s="33"/>
      <c r="G107" s="33"/>
      <c r="H107"/>
      <c r="I107"/>
      <c r="BG107"/>
      <c r="BH107"/>
      <c r="BI107"/>
      <c r="BJ107"/>
      <c r="BK107"/>
      <c r="BL107">
        <f>+Tabla3102[[#This Row],[Longitud de eje]]*BF107</f>
        <v>0</v>
      </c>
      <c r="BM107">
        <f>+Tabla3102[[#This Row],[Longitud de eje]]*BG107</f>
        <v>0</v>
      </c>
      <c r="BO107"/>
      <c r="BP107"/>
      <c r="BQ107"/>
      <c r="BR107"/>
      <c r="BS107"/>
      <c r="BT107"/>
      <c r="BU107"/>
      <c r="BV107">
        <v>1</v>
      </c>
      <c r="BW107"/>
      <c r="BX107"/>
      <c r="BY107"/>
      <c r="BZ107"/>
      <c r="CA107"/>
      <c r="CB107">
        <f>+Tabla31011[[#This Row],[Longitud de eje]]*BV107</f>
        <v>0</v>
      </c>
      <c r="CD107">
        <v>1</v>
      </c>
      <c r="CE107"/>
      <c r="CF107"/>
      <c r="CG107"/>
      <c r="CH107"/>
      <c r="CI107"/>
      <c r="CJ107"/>
      <c r="CK107"/>
      <c r="CL107">
        <v>1</v>
      </c>
      <c r="CM107"/>
      <c r="CN107"/>
      <c r="CO107"/>
      <c r="CP107"/>
      <c r="CQ107"/>
      <c r="CR107">
        <f>+Tabla31011116[[#This Row],[Longitud de eje]]*CL107</f>
        <v>0</v>
      </c>
      <c r="CT107">
        <v>1</v>
      </c>
      <c r="CU107"/>
      <c r="CV107"/>
      <c r="CW107"/>
      <c r="CX107"/>
      <c r="CY107"/>
      <c r="CZ107"/>
      <c r="DA107"/>
      <c r="DB107">
        <v>1</v>
      </c>
      <c r="DC107"/>
      <c r="DD107"/>
      <c r="DE107"/>
      <c r="DF107"/>
      <c r="DG107">
        <f>+Tabla31011704[[#This Row],[Longitud de eje]]*DB107</f>
        <v>0</v>
      </c>
      <c r="DH107"/>
      <c r="DI107">
        <v>1</v>
      </c>
      <c r="DJ107"/>
      <c r="DK107"/>
      <c r="DL107"/>
      <c r="DM107"/>
      <c r="DN107">
        <f>+Tabla3101170411[[#This Row],[Longitud de eje]]*DI107</f>
        <v>0</v>
      </c>
      <c r="DO107"/>
      <c r="DP107">
        <v>1</v>
      </c>
      <c r="DQ107"/>
      <c r="DR107"/>
      <c r="DS107"/>
      <c r="DT107"/>
      <c r="DU107">
        <f>+Tabla3101170411120[[#This Row],[Longitud de eje]]*DP107</f>
        <v>0</v>
      </c>
      <c r="DV107"/>
      <c r="DW107">
        <v>1</v>
      </c>
      <c r="DX107"/>
      <c r="DY107"/>
      <c r="DZ107"/>
      <c r="EA107"/>
      <c r="EB107">
        <f>+Tabla3101170411120122[[#This Row],[Longitud de eje]]*DW107</f>
        <v>0</v>
      </c>
      <c r="EC107"/>
      <c r="EE107"/>
      <c r="EF107"/>
      <c r="EG107"/>
      <c r="EH107"/>
      <c r="EI107"/>
      <c r="EJ107">
        <f>+Tabla3101112[[#This Row],[En culmo]]*ED107</f>
        <v>0</v>
      </c>
      <c r="EK107"/>
      <c r="EM107"/>
      <c r="EN107"/>
      <c r="EO107"/>
      <c r="EP107"/>
      <c r="EQ107"/>
      <c r="ER107">
        <f>+Tabla3101112123[[#This Row],[En culmo]]*EL107</f>
        <v>0</v>
      </c>
      <c r="ES107"/>
      <c r="EU107"/>
      <c r="EV107"/>
      <c r="EW107"/>
      <c r="EX107"/>
      <c r="EY107"/>
      <c r="EZ107">
        <f>+Tabla310111257[[#This Row],[En culmo]]*ET107</f>
        <v>0</v>
      </c>
      <c r="FA107"/>
      <c r="FC107"/>
      <c r="FD107"/>
      <c r="FE107"/>
      <c r="FF107"/>
      <c r="FG107"/>
      <c r="FH107">
        <f>+Tabla310111257124[[#This Row],[En culmo]]*FB107</f>
        <v>0</v>
      </c>
      <c r="FI107"/>
      <c r="FK107"/>
      <c r="FL107"/>
      <c r="FM107"/>
      <c r="FN107"/>
      <c r="FO107"/>
      <c r="FP107"/>
      <c r="FQ107"/>
      <c r="FS107"/>
      <c r="FT107"/>
      <c r="FU107"/>
      <c r="FV107"/>
      <c r="FW107"/>
      <c r="FX107"/>
      <c r="FY107"/>
      <c r="GA107"/>
      <c r="GB107"/>
      <c r="GC107"/>
      <c r="GD107"/>
      <c r="GE107"/>
      <c r="GF107"/>
      <c r="GG107"/>
      <c r="GI107"/>
      <c r="GJ107"/>
      <c r="GK107"/>
      <c r="GL107"/>
      <c r="GM107"/>
      <c r="GN107"/>
      <c r="GO107"/>
      <c r="GQ107"/>
      <c r="GR107"/>
      <c r="GW107" s="2">
        <f>+Tabla578914[[#This Row],[Recuento]]*Tabla578914[[#This Row],[Volúmen bruto]]</f>
        <v>0</v>
      </c>
      <c r="GX107" s="2">
        <f>+Tabla578914[[#This Row],[Recuento]]*Tabla578914[[#This Row],[Área neta]]</f>
        <v>0</v>
      </c>
      <c r="GY107" s="36"/>
      <c r="HA107"/>
      <c r="HB107"/>
      <c r="HG107" s="2">
        <f>+Tabla578914126[[#This Row],[Recuento]]*Tabla578914126[[#This Row],[Volúmen bruto]]</f>
        <v>0</v>
      </c>
      <c r="HH107" s="2">
        <f>+Tabla578914126[[#This Row],[Recuento]]*Tabla578914126[[#This Row],[Área neta]]</f>
        <v>0</v>
      </c>
      <c r="HI107" s="36"/>
      <c r="HK107"/>
      <c r="HL107"/>
      <c r="HQ107" s="2">
        <f>+Tabla578914126127[[#This Row],[Recuento]]*Tabla578914126127[[#This Row],[Volúmen bruto]]</f>
        <v>0</v>
      </c>
      <c r="HR107" s="2">
        <f>+Tabla578914126127[[#This Row],[Recuento]]*Tabla578914126127[[#This Row],[Área neta]]</f>
        <v>0</v>
      </c>
      <c r="HS107" s="36"/>
      <c r="HU107"/>
      <c r="HV107"/>
      <c r="IA107" s="2">
        <f>+Tabla57891418[[#This Row],[Volúmen bruto]]*Tabla57891418[[#This Row],[Recuento]]</f>
        <v>0</v>
      </c>
      <c r="IB107" s="2">
        <f>+Tabla57891418[[#This Row],[Área neta]]*Tabla57891418[[#This Row],[Recuento]]</f>
        <v>0</v>
      </c>
      <c r="IC107" s="36"/>
      <c r="IE107"/>
      <c r="IF107"/>
      <c r="IK107" s="2">
        <f>+Tabla5789141835[[#This Row],[Volúmen bruto]]*Tabla5789141835[[#This Row],[Recuento]]</f>
        <v>0</v>
      </c>
      <c r="IL107" s="2">
        <f>+Tabla5789141835[[#This Row],[Área neta]]*Tabla5789141835[[#This Row],[Recuento]]</f>
        <v>0</v>
      </c>
      <c r="IM107" s="36"/>
      <c r="IY107"/>
      <c r="IZ107"/>
      <c r="JA107"/>
      <c r="JB107"/>
      <c r="JC107"/>
      <c r="JD107"/>
      <c r="JE107" s="2">
        <f>+Tabla520212224[[#This Row],[Recuento]]*Tabla520212224[[#This Row],[Volúmen bruto]]</f>
        <v>0</v>
      </c>
      <c r="JF107" s="2">
        <f>+Tabla520212224[[#This Row],[Recuento]]*Tabla520212224[[#This Row],[Área neta]]</f>
        <v>0</v>
      </c>
      <c r="JG107" s="26"/>
      <c r="JI107"/>
      <c r="JJ107"/>
      <c r="JK107"/>
      <c r="JL107"/>
      <c r="JM107"/>
      <c r="JN107"/>
      <c r="JO107" s="2">
        <f>+Tabla52021222425[[#This Row],[Recuento]]*Tabla52021222425[[#This Row],[Volúmen bruto]]</f>
        <v>0</v>
      </c>
      <c r="JP107" s="2">
        <f>+Tabla52021222425[[#This Row],[Recuento]]*Tabla52021222425[[#This Row],[Área neta]]</f>
        <v>0</v>
      </c>
      <c r="JQ107" s="26"/>
      <c r="JS107"/>
      <c r="JT107"/>
      <c r="JU107"/>
      <c r="JV107"/>
      <c r="JW107"/>
      <c r="JX107"/>
      <c r="JY107" s="2">
        <f>+Tabla5202122242526[[#This Row],[Recuento]]*Tabla5202122242526[[#This Row],[Volúmen bruto]]</f>
        <v>0</v>
      </c>
      <c r="JZ107" s="2">
        <f>+Tabla5202122242526[[#This Row],[Recuento]]*Tabla5202122242526[[#This Row],[Área neta]]</f>
        <v>0</v>
      </c>
      <c r="KA107" s="26"/>
      <c r="KC107"/>
      <c r="KD107"/>
      <c r="KE107"/>
      <c r="KF107"/>
      <c r="KG107"/>
      <c r="KH107"/>
      <c r="KI107" s="2">
        <f>+Tabla5202122242526104[[#This Row],[Recuento]]*Tabla5202122242526104[[#This Row],[Volúmen bruto]]</f>
        <v>0</v>
      </c>
      <c r="KJ107" s="2">
        <f>+Tabla5202122242526104[[#This Row],[Recuento]]*Tabla5202122242526104[[#This Row],[Área neta]]</f>
        <v>0</v>
      </c>
      <c r="KK107" s="26"/>
      <c r="KM107"/>
      <c r="KN107"/>
      <c r="KO107"/>
      <c r="KP107"/>
      <c r="KQ107"/>
      <c r="KR107"/>
      <c r="KS107" s="2">
        <f>+Tabla5202122242526104110[[#This Row],[Recuento]]*Tabla5202122242526104110[[#This Row],[Volúmen bruto]]</f>
        <v>0</v>
      </c>
      <c r="KT107" s="2">
        <f>+Tabla5202122242526104110[[#This Row],[Recuento]]*Tabla5202122242526104110[[#This Row],[Área neta]]</f>
        <v>0</v>
      </c>
      <c r="KU107" s="26"/>
      <c r="KW107"/>
      <c r="KX107"/>
      <c r="KY107"/>
      <c r="KZ107"/>
      <c r="LA107"/>
      <c r="LB107"/>
      <c r="LC107" s="2">
        <f>+Tabla520212224252659[[#This Row],[Recuento]]*Tabla520212224252659[[#This Row],[Volúmen bruto]]</f>
        <v>0</v>
      </c>
      <c r="LD107" s="2">
        <f>+Tabla520212224252659[[#This Row],[Recuento]]*Tabla520212224252659[[#This Row],[Área neta]]</f>
        <v>0</v>
      </c>
      <c r="LE107" s="26"/>
      <c r="LG107"/>
      <c r="LH107"/>
      <c r="LI107"/>
      <c r="LJ107"/>
      <c r="LK107"/>
      <c r="LL107"/>
      <c r="LM107" s="2">
        <f>+Tabla520212224252659111[[#This Row],[Recuento]]*Tabla520212224252659111[[#This Row],[Volúmen bruto]]</f>
        <v>0</v>
      </c>
      <c r="LN107" s="2">
        <f>+Tabla520212224252659111[[#This Row],[Recuento]]*Tabla520212224252659111[[#This Row],[Área neta]]</f>
        <v>0</v>
      </c>
      <c r="LO107" s="26"/>
      <c r="LQ107"/>
      <c r="LR107"/>
      <c r="LS107"/>
      <c r="LT107"/>
      <c r="LU107"/>
      <c r="LV107"/>
      <c r="LW107" s="2">
        <f>+Tabla520212224252659111114[[#This Row],[Recuento]]*Tabla520212224252659111114[[#This Row],[Volúmen bruto]]</f>
        <v>0</v>
      </c>
      <c r="LX107" s="2">
        <f>+Tabla520212224252659111114[[#This Row],[Recuento]]*Tabla520212224252659111114[[#This Row],[Área neta]]</f>
        <v>0</v>
      </c>
      <c r="LY107" s="26"/>
      <c r="MA107"/>
      <c r="MB107"/>
      <c r="MC107"/>
      <c r="MD107"/>
      <c r="ME107"/>
      <c r="MF107"/>
      <c r="MG107" s="2">
        <f>+Tabla520212224252659111114128[[#This Row],[Recuento]]*Tabla520212224252659111114128[[#This Row],[Volúmen bruto]]</f>
        <v>0</v>
      </c>
      <c r="MH107" s="2">
        <f>+Tabla520212224252659111114128[[#This Row],[Recuento]]*Tabla520212224252659111114128[[#This Row],[Área neta]]</f>
        <v>0</v>
      </c>
      <c r="MI107" s="26"/>
      <c r="MK107"/>
      <c r="ML107"/>
      <c r="MM107"/>
      <c r="MN107"/>
      <c r="MO107"/>
      <c r="MP107"/>
      <c r="MQ107" s="2">
        <f>+Tabla520212224252627[[#This Row],[Recuento]]*Tabla520212224252627[[#This Row],[Volúmen bruto]]</f>
        <v>0</v>
      </c>
      <c r="MR107" s="2">
        <f>+Tabla520212224252627[[#This Row],[Recuento]]*Tabla520212224252627[[#This Row],[Área neta]]</f>
        <v>0</v>
      </c>
      <c r="MS107" s="26"/>
      <c r="MU107"/>
      <c r="MV107"/>
      <c r="MW107"/>
      <c r="MX107"/>
      <c r="MY107"/>
      <c r="MZ107"/>
      <c r="NA107" s="2">
        <f>+Tabla520212224252627129[[#This Row],[Recuento]]*Tabla520212224252627129[[#This Row],[Volúmen bruto]]</f>
        <v>0</v>
      </c>
      <c r="NB107" s="2">
        <f>+Tabla520212224252627129[[#This Row],[Recuento]]*Tabla520212224252627129[[#This Row],[Área neta]]</f>
        <v>0</v>
      </c>
      <c r="NC107" s="26"/>
      <c r="NE107"/>
      <c r="NF107"/>
      <c r="NG107"/>
      <c r="NH107"/>
      <c r="NI107"/>
      <c r="NJ107"/>
      <c r="NK107" s="2">
        <f>+Tabla520212224252627129125[[#This Row],[Recuento]]*Tabla520212224252627129125[[#This Row],[Volúmen bruto]]</f>
        <v>0</v>
      </c>
      <c r="NL107" s="2">
        <f>+Tabla520212224252627129125[[#This Row],[Recuento]]*Tabla520212224252627129125[[#This Row],[Área neta]]</f>
        <v>0</v>
      </c>
      <c r="NM107" s="26"/>
      <c r="NO107"/>
      <c r="NP107"/>
      <c r="NQ107"/>
      <c r="NR107"/>
      <c r="NS107"/>
      <c r="NT107"/>
      <c r="NU107" s="2">
        <f>+Tabla520212224252627129125130[[#This Row],[Recuento]]*Tabla520212224252627129125130[[#This Row],[Volúmen bruto]]</f>
        <v>0</v>
      </c>
      <c r="NV107" s="2">
        <f>+Tabla520212224252627129125130[[#This Row],[Recuento]]*Tabla520212224252627129125130[[#This Row],[Área neta]]</f>
        <v>0</v>
      </c>
      <c r="NW107" s="26"/>
      <c r="NY107"/>
      <c r="NZ107"/>
      <c r="OA107"/>
      <c r="OB107"/>
      <c r="OC107"/>
      <c r="OD107"/>
      <c r="OE107" s="2">
        <f>+Tabla520212224252627129125130131[[#This Row],[Recuento]]*Tabla520212224252627129125130131[[#This Row],[Volúmen bruto]]</f>
        <v>0</v>
      </c>
      <c r="OF107" s="2">
        <f>+Tabla520212224252627129125130131[[#This Row],[Recuento]]*Tabla520212224252627129125130131[[#This Row],[Área neta]]</f>
        <v>0</v>
      </c>
      <c r="OG107" s="26"/>
      <c r="OI107"/>
      <c r="OJ107"/>
      <c r="OK107"/>
      <c r="OL107"/>
      <c r="OM107"/>
      <c r="ON107"/>
      <c r="OO107" s="2">
        <f>+Tabla520212224252627129125130131132[[#This Row],[Recuento]]*Tabla520212224252627129125130131132[[#This Row],[Volúmen bruto]]</f>
        <v>0</v>
      </c>
      <c r="OP107" s="2">
        <f>+Tabla520212224252627129125130131132[[#This Row],[Recuento]]*Tabla520212224252627129125130131132[[#This Row],[Área neta]]</f>
        <v>0</v>
      </c>
      <c r="OQ107" s="26"/>
      <c r="OS107"/>
      <c r="OT107"/>
      <c r="OU107"/>
      <c r="OV107"/>
      <c r="OW107"/>
      <c r="OX107"/>
      <c r="OY107" s="2">
        <f>+Tabla52021222425262728[[#This Row],[Recuento]]*Tabla52021222425262728[[#This Row],[Volúmen bruto]]</f>
        <v>0</v>
      </c>
      <c r="OZ107" s="2">
        <f>+Tabla52021222425262728[[#This Row],[Recuento]]*Tabla52021222425262728[[#This Row],[Área neta]]</f>
        <v>0</v>
      </c>
      <c r="PA107" s="26">
        <f t="shared" si="44"/>
        <v>0</v>
      </c>
      <c r="PC107"/>
      <c r="PD107"/>
      <c r="PE107"/>
      <c r="PF107"/>
      <c r="PG107"/>
      <c r="PH107"/>
      <c r="PI107" s="2">
        <f>+Tabla52021222425262728133[[#This Row],[Recuento]]*Tabla52021222425262728133[[#This Row],[Volúmen bruto]]</f>
        <v>0</v>
      </c>
      <c r="PJ107" s="2">
        <f>+Tabla52021222425262728133[[#This Row],[Recuento]]*Tabla52021222425262728133[[#This Row],[Área neta]]</f>
        <v>0</v>
      </c>
      <c r="PK107" s="26">
        <f t="shared" si="46"/>
        <v>0</v>
      </c>
      <c r="PM107"/>
      <c r="PN107"/>
      <c r="PO107"/>
      <c r="PP107"/>
      <c r="PQ107"/>
      <c r="PR107"/>
      <c r="PS107" s="2">
        <f>+Tabla5202122242526272893[[#This Row],[Recuento]]*Tabla5202122242526272893[[#This Row],[Volúmen bruto]]</f>
        <v>0</v>
      </c>
      <c r="PT107" s="2">
        <f>+Tabla5202122242526272893[[#This Row],[Recuento]]*Tabla5202122242526272893[[#This Row],[Área neta]]</f>
        <v>0</v>
      </c>
      <c r="PU107" s="26"/>
      <c r="PW107"/>
      <c r="PX107"/>
      <c r="PY107"/>
      <c r="PZ107"/>
      <c r="QA107"/>
      <c r="QB107"/>
      <c r="QC107" s="2">
        <f>+Tabla520212224252627289349[[#This Row],[Recuento]]*Tabla520212224252627289349[[#This Row],[Volúmen bruto]]</f>
        <v>0</v>
      </c>
      <c r="QD107" s="2">
        <f>+Tabla520212224252627289349[[#This Row],[Recuento]]*Tabla520212224252627289349[[#This Row],[Área neta]]</f>
        <v>0</v>
      </c>
      <c r="QE107" s="26"/>
      <c r="QG107"/>
      <c r="QH107"/>
      <c r="QI107"/>
      <c r="QJ107"/>
      <c r="QK107"/>
      <c r="QL107"/>
      <c r="QM107" s="2">
        <f>+Tabla520212224252627289349134[[#This Row],[Recuento]]*Tabla520212224252627289349134[[#This Row],[Volúmen bruto]]</f>
        <v>0</v>
      </c>
      <c r="QN107" s="2">
        <f>+Tabla520212224252627289349134[[#This Row],[Recuento]]*Tabla520212224252627289349134[[#This Row],[Área neta]]</f>
        <v>0</v>
      </c>
      <c r="QO107" s="26"/>
      <c r="QQ107"/>
      <c r="QR107"/>
      <c r="QS107"/>
      <c r="QT107"/>
      <c r="QU107"/>
      <c r="QV107"/>
      <c r="QW107"/>
      <c r="RA107" s="26"/>
      <c r="RC107"/>
      <c r="RD107"/>
      <c r="RE107"/>
      <c r="RF107"/>
      <c r="RG107"/>
      <c r="RH107"/>
      <c r="RK107" s="26"/>
      <c r="RM107"/>
      <c r="RN107"/>
      <c r="RO107"/>
      <c r="RP107"/>
      <c r="RQ107"/>
      <c r="RR107"/>
      <c r="RU107" s="26">
        <f t="shared" si="45"/>
        <v>0</v>
      </c>
      <c r="RW107"/>
      <c r="RX107"/>
      <c r="RY107"/>
      <c r="RZ107"/>
      <c r="SA107"/>
      <c r="SB107"/>
      <c r="SE107" s="26"/>
      <c r="SG107"/>
      <c r="SH107"/>
      <c r="SI107"/>
      <c r="SJ107"/>
      <c r="SK107"/>
      <c r="SL107"/>
      <c r="SO107" s="26"/>
      <c r="YK107"/>
      <c r="YL107"/>
      <c r="YM107"/>
      <c r="YN107"/>
      <c r="YO107"/>
      <c r="ADJ107"/>
      <c r="ADK107"/>
      <c r="ADL107"/>
      <c r="ADM107"/>
      <c r="ADN107"/>
      <c r="ADO107"/>
      <c r="ADP107" s="36"/>
      <c r="ADR107"/>
      <c r="ADS107"/>
      <c r="ADT107"/>
      <c r="ADU107"/>
      <c r="ADW107" s="35"/>
      <c r="ADX107" s="35"/>
      <c r="AEN107"/>
      <c r="AEO107"/>
      <c r="AEP107"/>
      <c r="AEQ107"/>
      <c r="AER107"/>
      <c r="AES107"/>
      <c r="AET107" s="36"/>
      <c r="AFC107"/>
      <c r="AFD107"/>
      <c r="AFE107"/>
      <c r="AFF107" s="33"/>
      <c r="AFG107"/>
      <c r="AFH107"/>
      <c r="AFI107"/>
      <c r="AFJ107"/>
      <c r="AFK107"/>
      <c r="AFL107"/>
      <c r="AFM107"/>
      <c r="AFN107">
        <f>+Tabla578914151634353637383940414243444546474849505152535560626467[[#This Row],[G. Total]]*Tabla578914151634353637383940414243444546474849505152535560626467[[#This Row],[Recuento]]</f>
        <v>0</v>
      </c>
      <c r="AFO107" s="36"/>
    </row>
    <row r="108" spans="2:847" x14ac:dyDescent="0.25">
      <c r="B108"/>
      <c r="C108"/>
      <c r="D108"/>
      <c r="E108"/>
      <c r="F108" s="33"/>
      <c r="G108" s="33"/>
      <c r="H108"/>
      <c r="I108"/>
      <c r="BG108"/>
      <c r="BH108"/>
      <c r="BI108"/>
      <c r="BJ108"/>
      <c r="BK108"/>
      <c r="BL108">
        <f>+Tabla3102[[#This Row],[Longitud de eje]]*BF108</f>
        <v>0</v>
      </c>
      <c r="BM108">
        <f>+Tabla3102[[#This Row],[Longitud de eje]]*BG108</f>
        <v>0</v>
      </c>
      <c r="BO108"/>
      <c r="BP108"/>
      <c r="BQ108"/>
      <c r="BR108"/>
      <c r="BS108"/>
      <c r="BT108"/>
      <c r="BU108"/>
      <c r="BV108">
        <v>1</v>
      </c>
      <c r="BW108"/>
      <c r="BX108"/>
      <c r="BY108"/>
      <c r="BZ108"/>
      <c r="CA108"/>
      <c r="CB108">
        <f>+Tabla31011[[#This Row],[Longitud de eje]]*BV108</f>
        <v>0</v>
      </c>
      <c r="CD108">
        <v>1</v>
      </c>
      <c r="CE108"/>
      <c r="CF108"/>
      <c r="CG108"/>
      <c r="CH108"/>
      <c r="CI108"/>
      <c r="CJ108"/>
      <c r="CK108"/>
      <c r="CL108">
        <v>1</v>
      </c>
      <c r="CM108"/>
      <c r="CN108"/>
      <c r="CO108"/>
      <c r="CP108"/>
      <c r="CQ108"/>
      <c r="CR108">
        <f>+Tabla31011116[[#This Row],[Longitud de eje]]*CL108</f>
        <v>0</v>
      </c>
      <c r="CT108">
        <v>1</v>
      </c>
      <c r="CU108"/>
      <c r="CV108"/>
      <c r="CW108"/>
      <c r="CX108"/>
      <c r="CY108"/>
      <c r="CZ108"/>
      <c r="DA108"/>
      <c r="DB108">
        <v>1</v>
      </c>
      <c r="DC108"/>
      <c r="DD108"/>
      <c r="DE108"/>
      <c r="DF108"/>
      <c r="DG108">
        <f>+Tabla31011704[[#This Row],[Longitud de eje]]*DB108</f>
        <v>0</v>
      </c>
      <c r="DH108"/>
      <c r="DI108">
        <v>1</v>
      </c>
      <c r="DJ108"/>
      <c r="DK108"/>
      <c r="DL108"/>
      <c r="DM108"/>
      <c r="DN108">
        <f>+Tabla3101170411[[#This Row],[Longitud de eje]]*DI108</f>
        <v>0</v>
      </c>
      <c r="DO108"/>
      <c r="DP108">
        <v>1</v>
      </c>
      <c r="DQ108"/>
      <c r="DR108"/>
      <c r="DS108"/>
      <c r="DT108"/>
      <c r="DU108">
        <f>+Tabla3101170411120[[#This Row],[Longitud de eje]]*DP108</f>
        <v>0</v>
      </c>
      <c r="DV108"/>
      <c r="DW108">
        <v>1</v>
      </c>
      <c r="DX108"/>
      <c r="DY108"/>
      <c r="DZ108"/>
      <c r="EA108"/>
      <c r="EB108">
        <f>+Tabla3101170411120122[[#This Row],[Longitud de eje]]*DW108</f>
        <v>0</v>
      </c>
      <c r="EC108"/>
      <c r="EE108"/>
      <c r="EF108"/>
      <c r="EG108"/>
      <c r="EH108"/>
      <c r="EI108"/>
      <c r="EJ108">
        <f>+Tabla3101112[[#This Row],[En culmo]]*ED108</f>
        <v>0</v>
      </c>
      <c r="EK108"/>
      <c r="EM108"/>
      <c r="EN108"/>
      <c r="EO108"/>
      <c r="EP108"/>
      <c r="EQ108"/>
      <c r="ER108">
        <f>+Tabla3101112123[[#This Row],[En culmo]]*EL108</f>
        <v>0</v>
      </c>
      <c r="ES108"/>
      <c r="EU108"/>
      <c r="EV108"/>
      <c r="EW108"/>
      <c r="EX108"/>
      <c r="EY108"/>
      <c r="EZ108">
        <f>+Tabla310111257[[#This Row],[En culmo]]*ET108</f>
        <v>0</v>
      </c>
      <c r="FA108"/>
      <c r="FC108"/>
      <c r="FD108"/>
      <c r="FE108"/>
      <c r="FF108"/>
      <c r="FG108"/>
      <c r="FH108">
        <f>+Tabla310111257124[[#This Row],[En culmo]]*FB108</f>
        <v>0</v>
      </c>
      <c r="FI108"/>
      <c r="FK108"/>
      <c r="FL108"/>
      <c r="FM108"/>
      <c r="FN108"/>
      <c r="FO108"/>
      <c r="FP108"/>
      <c r="FQ108"/>
      <c r="FS108"/>
      <c r="FT108"/>
      <c r="FU108"/>
      <c r="FV108"/>
      <c r="FW108"/>
      <c r="FX108"/>
      <c r="FY108"/>
      <c r="GA108"/>
      <c r="GB108"/>
      <c r="GC108"/>
      <c r="GD108"/>
      <c r="GE108"/>
      <c r="GF108"/>
      <c r="GG108"/>
      <c r="GI108"/>
      <c r="GJ108"/>
      <c r="GK108"/>
      <c r="GL108"/>
      <c r="GM108"/>
      <c r="GN108"/>
      <c r="GO108"/>
      <c r="GQ108"/>
      <c r="GR108"/>
      <c r="GW108" s="2">
        <f>+Tabla578914[[#This Row],[Recuento]]*Tabla578914[[#This Row],[Volúmen bruto]]</f>
        <v>0</v>
      </c>
      <c r="GX108" s="2">
        <f>+Tabla578914[[#This Row],[Recuento]]*Tabla578914[[#This Row],[Área neta]]</f>
        <v>0</v>
      </c>
      <c r="GY108" s="36"/>
      <c r="HA108"/>
      <c r="HB108"/>
      <c r="HG108" s="2">
        <f>+Tabla578914126[[#This Row],[Recuento]]*Tabla578914126[[#This Row],[Volúmen bruto]]</f>
        <v>0</v>
      </c>
      <c r="HH108" s="2">
        <f>+Tabla578914126[[#This Row],[Recuento]]*Tabla578914126[[#This Row],[Área neta]]</f>
        <v>0</v>
      </c>
      <c r="HI108" s="36"/>
      <c r="HK108"/>
      <c r="HL108"/>
      <c r="HQ108" s="2">
        <f>+Tabla578914126127[[#This Row],[Recuento]]*Tabla578914126127[[#This Row],[Volúmen bruto]]</f>
        <v>0</v>
      </c>
      <c r="HR108" s="2">
        <f>+Tabla578914126127[[#This Row],[Recuento]]*Tabla578914126127[[#This Row],[Área neta]]</f>
        <v>0</v>
      </c>
      <c r="HS108" s="36"/>
      <c r="HU108"/>
      <c r="HV108"/>
      <c r="IA108" s="2">
        <f>+Tabla57891418[[#This Row],[Volúmen bruto]]*Tabla57891418[[#This Row],[Recuento]]</f>
        <v>0</v>
      </c>
      <c r="IB108" s="2">
        <f>+Tabla57891418[[#This Row],[Área neta]]*Tabla57891418[[#This Row],[Recuento]]</f>
        <v>0</v>
      </c>
      <c r="IC108" s="36"/>
      <c r="IE108"/>
      <c r="IF108"/>
      <c r="IK108" s="2">
        <f>+Tabla5789141835[[#This Row],[Volúmen bruto]]*Tabla5789141835[[#This Row],[Recuento]]</f>
        <v>0</v>
      </c>
      <c r="IL108" s="2">
        <f>+Tabla5789141835[[#This Row],[Área neta]]*Tabla5789141835[[#This Row],[Recuento]]</f>
        <v>0</v>
      </c>
      <c r="IM108" s="36"/>
      <c r="IY108"/>
      <c r="IZ108"/>
      <c r="JA108"/>
      <c r="JB108"/>
      <c r="JC108"/>
      <c r="JD108"/>
      <c r="JE108" s="2">
        <f>+Tabla520212224[[#This Row],[Recuento]]*Tabla520212224[[#This Row],[Volúmen bruto]]</f>
        <v>0</v>
      </c>
      <c r="JF108" s="2">
        <f>+Tabla520212224[[#This Row],[Recuento]]*Tabla520212224[[#This Row],[Área neta]]</f>
        <v>0</v>
      </c>
      <c r="JG108" s="26"/>
      <c r="JI108"/>
      <c r="JJ108"/>
      <c r="JK108"/>
      <c r="JL108"/>
      <c r="JM108"/>
      <c r="JN108"/>
      <c r="JO108" s="2">
        <f>+Tabla52021222425[[#This Row],[Recuento]]*Tabla52021222425[[#This Row],[Volúmen bruto]]</f>
        <v>0</v>
      </c>
      <c r="JP108" s="2">
        <f>+Tabla52021222425[[#This Row],[Recuento]]*Tabla52021222425[[#This Row],[Área neta]]</f>
        <v>0</v>
      </c>
      <c r="JQ108" s="26"/>
      <c r="JS108"/>
      <c r="JT108"/>
      <c r="JU108"/>
      <c r="JV108"/>
      <c r="JW108"/>
      <c r="JX108"/>
      <c r="JY108" s="2">
        <f>+Tabla5202122242526[[#This Row],[Recuento]]*Tabla5202122242526[[#This Row],[Volúmen bruto]]</f>
        <v>0</v>
      </c>
      <c r="JZ108" s="2">
        <f>+Tabla5202122242526[[#This Row],[Recuento]]*Tabla5202122242526[[#This Row],[Área neta]]</f>
        <v>0</v>
      </c>
      <c r="KA108" s="26"/>
      <c r="KC108"/>
      <c r="KD108"/>
      <c r="KE108"/>
      <c r="KF108"/>
      <c r="KG108"/>
      <c r="KH108"/>
      <c r="KI108" s="2">
        <f>+Tabla5202122242526104[[#This Row],[Recuento]]*Tabla5202122242526104[[#This Row],[Volúmen bruto]]</f>
        <v>0</v>
      </c>
      <c r="KJ108" s="2">
        <f>+Tabla5202122242526104[[#This Row],[Recuento]]*Tabla5202122242526104[[#This Row],[Área neta]]</f>
        <v>0</v>
      </c>
      <c r="KK108" s="26"/>
      <c r="KM108"/>
      <c r="KN108"/>
      <c r="KO108"/>
      <c r="KP108"/>
      <c r="KQ108"/>
      <c r="KR108"/>
      <c r="KS108" s="2">
        <f>+Tabla5202122242526104110[[#This Row],[Recuento]]*Tabla5202122242526104110[[#This Row],[Volúmen bruto]]</f>
        <v>0</v>
      </c>
      <c r="KT108" s="2">
        <f>+Tabla5202122242526104110[[#This Row],[Recuento]]*Tabla5202122242526104110[[#This Row],[Área neta]]</f>
        <v>0</v>
      </c>
      <c r="KU108" s="26"/>
      <c r="KW108"/>
      <c r="KX108"/>
      <c r="KY108"/>
      <c r="KZ108"/>
      <c r="LA108"/>
      <c r="LB108"/>
      <c r="LC108" s="2">
        <f>+Tabla520212224252659[[#This Row],[Recuento]]*Tabla520212224252659[[#This Row],[Volúmen bruto]]</f>
        <v>0</v>
      </c>
      <c r="LD108" s="2">
        <f>+Tabla520212224252659[[#This Row],[Recuento]]*Tabla520212224252659[[#This Row],[Área neta]]</f>
        <v>0</v>
      </c>
      <c r="LE108" s="26"/>
      <c r="LG108"/>
      <c r="LH108"/>
      <c r="LI108"/>
      <c r="LJ108"/>
      <c r="LK108"/>
      <c r="LL108"/>
      <c r="LM108" s="2">
        <f>+Tabla520212224252659111[[#This Row],[Recuento]]*Tabla520212224252659111[[#This Row],[Volúmen bruto]]</f>
        <v>0</v>
      </c>
      <c r="LN108" s="2">
        <f>+Tabla520212224252659111[[#This Row],[Recuento]]*Tabla520212224252659111[[#This Row],[Área neta]]</f>
        <v>0</v>
      </c>
      <c r="LO108" s="26"/>
      <c r="LQ108"/>
      <c r="LR108"/>
      <c r="LS108"/>
      <c r="LT108"/>
      <c r="LU108"/>
      <c r="LV108"/>
      <c r="LW108" s="2">
        <f>+Tabla520212224252659111114[[#This Row],[Recuento]]*Tabla520212224252659111114[[#This Row],[Volúmen bruto]]</f>
        <v>0</v>
      </c>
      <c r="LX108" s="2">
        <f>+Tabla520212224252659111114[[#This Row],[Recuento]]*Tabla520212224252659111114[[#This Row],[Área neta]]</f>
        <v>0</v>
      </c>
      <c r="LY108" s="26"/>
      <c r="MA108"/>
      <c r="MB108"/>
      <c r="MC108"/>
      <c r="MD108"/>
      <c r="ME108"/>
      <c r="MF108"/>
      <c r="MG108" s="2">
        <f>+Tabla520212224252659111114128[[#This Row],[Recuento]]*Tabla520212224252659111114128[[#This Row],[Volúmen bruto]]</f>
        <v>0</v>
      </c>
      <c r="MH108" s="2">
        <f>+Tabla520212224252659111114128[[#This Row],[Recuento]]*Tabla520212224252659111114128[[#This Row],[Área neta]]</f>
        <v>0</v>
      </c>
      <c r="MI108" s="26"/>
      <c r="MK108"/>
      <c r="ML108"/>
      <c r="MM108"/>
      <c r="MN108"/>
      <c r="MO108"/>
      <c r="MP108"/>
      <c r="MQ108" s="2">
        <f>+Tabla520212224252627[[#This Row],[Recuento]]*Tabla520212224252627[[#This Row],[Volúmen bruto]]</f>
        <v>0</v>
      </c>
      <c r="MR108" s="2">
        <f>+Tabla520212224252627[[#This Row],[Recuento]]*Tabla520212224252627[[#This Row],[Área neta]]</f>
        <v>0</v>
      </c>
      <c r="MS108" s="26"/>
      <c r="MU108"/>
      <c r="MV108"/>
      <c r="MW108"/>
      <c r="MX108"/>
      <c r="MY108"/>
      <c r="MZ108"/>
      <c r="NA108" s="2">
        <f>+Tabla520212224252627129[[#This Row],[Recuento]]*Tabla520212224252627129[[#This Row],[Volúmen bruto]]</f>
        <v>0</v>
      </c>
      <c r="NB108" s="2">
        <f>+Tabla520212224252627129[[#This Row],[Recuento]]*Tabla520212224252627129[[#This Row],[Área neta]]</f>
        <v>0</v>
      </c>
      <c r="NC108" s="26"/>
      <c r="NE108"/>
      <c r="NF108"/>
      <c r="NG108"/>
      <c r="NH108"/>
      <c r="NI108"/>
      <c r="NJ108"/>
      <c r="NK108" s="2">
        <f>+Tabla520212224252627129125[[#This Row],[Recuento]]*Tabla520212224252627129125[[#This Row],[Volúmen bruto]]</f>
        <v>0</v>
      </c>
      <c r="NL108" s="2">
        <f>+Tabla520212224252627129125[[#This Row],[Recuento]]*Tabla520212224252627129125[[#This Row],[Área neta]]</f>
        <v>0</v>
      </c>
      <c r="NM108" s="26"/>
      <c r="NO108"/>
      <c r="NP108"/>
      <c r="NQ108"/>
      <c r="NR108"/>
      <c r="NS108"/>
      <c r="NT108"/>
      <c r="NU108" s="2">
        <f>+Tabla520212224252627129125130[[#This Row],[Recuento]]*Tabla520212224252627129125130[[#This Row],[Volúmen bruto]]</f>
        <v>0</v>
      </c>
      <c r="NV108" s="2">
        <f>+Tabla520212224252627129125130[[#This Row],[Recuento]]*Tabla520212224252627129125130[[#This Row],[Área neta]]</f>
        <v>0</v>
      </c>
      <c r="NW108" s="26"/>
      <c r="NY108"/>
      <c r="NZ108"/>
      <c r="OA108"/>
      <c r="OB108"/>
      <c r="OC108"/>
      <c r="OD108"/>
      <c r="OE108" s="2">
        <f>+Tabla520212224252627129125130131[[#This Row],[Recuento]]*Tabla520212224252627129125130131[[#This Row],[Volúmen bruto]]</f>
        <v>0</v>
      </c>
      <c r="OF108" s="2">
        <f>+Tabla520212224252627129125130131[[#This Row],[Recuento]]*Tabla520212224252627129125130131[[#This Row],[Área neta]]</f>
        <v>0</v>
      </c>
      <c r="OG108" s="26"/>
      <c r="OI108"/>
      <c r="OJ108"/>
      <c r="OK108"/>
      <c r="OL108"/>
      <c r="OM108"/>
      <c r="ON108"/>
      <c r="OO108" s="2">
        <f>+Tabla520212224252627129125130131132[[#This Row],[Recuento]]*Tabla520212224252627129125130131132[[#This Row],[Volúmen bruto]]</f>
        <v>0</v>
      </c>
      <c r="OP108" s="2">
        <f>+Tabla520212224252627129125130131132[[#This Row],[Recuento]]*Tabla520212224252627129125130131132[[#This Row],[Área neta]]</f>
        <v>0</v>
      </c>
      <c r="OQ108" s="26"/>
      <c r="OS108"/>
      <c r="OT108"/>
      <c r="OU108"/>
      <c r="OV108"/>
      <c r="OW108"/>
      <c r="OX108"/>
      <c r="OY108" s="2">
        <f>+Tabla52021222425262728[[#This Row],[Recuento]]*Tabla52021222425262728[[#This Row],[Volúmen bruto]]</f>
        <v>0</v>
      </c>
      <c r="OZ108" s="2">
        <f>+Tabla52021222425262728[[#This Row],[Recuento]]*Tabla52021222425262728[[#This Row],[Área neta]]</f>
        <v>0</v>
      </c>
      <c r="PA108" s="26">
        <f t="shared" si="44"/>
        <v>0</v>
      </c>
      <c r="PC108"/>
      <c r="PD108"/>
      <c r="PE108"/>
      <c r="PF108"/>
      <c r="PG108"/>
      <c r="PH108"/>
      <c r="PI108" s="2">
        <f>+Tabla52021222425262728133[[#This Row],[Recuento]]*Tabla52021222425262728133[[#This Row],[Volúmen bruto]]</f>
        <v>0</v>
      </c>
      <c r="PJ108" s="2">
        <f>+Tabla52021222425262728133[[#This Row],[Recuento]]*Tabla52021222425262728133[[#This Row],[Área neta]]</f>
        <v>0</v>
      </c>
      <c r="PK108" s="26">
        <f t="shared" si="46"/>
        <v>0</v>
      </c>
      <c r="PM108"/>
      <c r="PN108"/>
      <c r="PO108"/>
      <c r="PP108"/>
      <c r="PQ108"/>
      <c r="PR108"/>
      <c r="PS108" s="2">
        <f>+Tabla5202122242526272893[[#This Row],[Recuento]]*Tabla5202122242526272893[[#This Row],[Volúmen bruto]]</f>
        <v>0</v>
      </c>
      <c r="PT108" s="2">
        <f>+Tabla5202122242526272893[[#This Row],[Recuento]]*Tabla5202122242526272893[[#This Row],[Área neta]]</f>
        <v>0</v>
      </c>
      <c r="PU108" s="26"/>
      <c r="PW108"/>
      <c r="PX108"/>
      <c r="PY108"/>
      <c r="PZ108"/>
      <c r="QA108"/>
      <c r="QB108"/>
      <c r="QC108" s="2">
        <f>+Tabla520212224252627289349[[#This Row],[Recuento]]*Tabla520212224252627289349[[#This Row],[Volúmen bruto]]</f>
        <v>0</v>
      </c>
      <c r="QD108" s="2">
        <f>+Tabla520212224252627289349[[#This Row],[Recuento]]*Tabla520212224252627289349[[#This Row],[Área neta]]</f>
        <v>0</v>
      </c>
      <c r="QE108" s="26"/>
      <c r="QG108"/>
      <c r="QH108"/>
      <c r="QI108"/>
      <c r="QJ108"/>
      <c r="QK108"/>
      <c r="QL108"/>
      <c r="QM108" s="2">
        <f>+Tabla520212224252627289349134[[#This Row],[Recuento]]*Tabla520212224252627289349134[[#This Row],[Volúmen bruto]]</f>
        <v>0</v>
      </c>
      <c r="QN108" s="2">
        <f>+Tabla520212224252627289349134[[#This Row],[Recuento]]*Tabla520212224252627289349134[[#This Row],[Área neta]]</f>
        <v>0</v>
      </c>
      <c r="QO108" s="26"/>
      <c r="QQ108"/>
      <c r="QR108"/>
      <c r="QS108"/>
      <c r="QT108"/>
      <c r="QU108"/>
      <c r="QV108"/>
      <c r="QW108"/>
      <c r="RA108" s="26"/>
      <c r="RC108"/>
      <c r="RD108"/>
      <c r="RE108"/>
      <c r="RF108"/>
      <c r="RG108"/>
      <c r="RH108"/>
      <c r="RK108" s="26"/>
      <c r="RM108"/>
      <c r="RN108"/>
      <c r="RO108"/>
      <c r="RP108"/>
      <c r="RQ108"/>
      <c r="RR108"/>
      <c r="RU108" s="26">
        <f t="shared" si="45"/>
        <v>0</v>
      </c>
      <c r="RW108"/>
      <c r="RX108"/>
      <c r="RY108"/>
      <c r="RZ108"/>
      <c r="SA108"/>
      <c r="SB108"/>
      <c r="SE108" s="26"/>
      <c r="SG108"/>
      <c r="SH108"/>
      <c r="SI108"/>
      <c r="SJ108"/>
      <c r="SK108"/>
      <c r="SL108"/>
      <c r="SO108" s="26"/>
      <c r="YK108"/>
      <c r="YL108"/>
      <c r="YM108"/>
      <c r="YN108"/>
      <c r="YO108"/>
      <c r="ADJ108"/>
      <c r="ADK108"/>
      <c r="ADL108"/>
      <c r="ADM108"/>
      <c r="ADN108"/>
      <c r="ADO108"/>
      <c r="ADP108" s="36"/>
      <c r="ADR108"/>
      <c r="ADS108"/>
      <c r="ADT108"/>
      <c r="ADU108"/>
      <c r="ADW108" s="35"/>
      <c r="ADX108" s="35"/>
      <c r="AEN108"/>
      <c r="AEO108"/>
      <c r="AEP108"/>
      <c r="AEQ108"/>
      <c r="AER108"/>
      <c r="AES108" s="2" t="e">
        <f>+Tabla5789141516343536373839404142434445464748495051525355606264[[#This Row],[Recuento]]*#REF!</f>
        <v>#REF!</v>
      </c>
      <c r="AET108" s="35">
        <f>+SUM(AEQ108:AEQ114)</f>
        <v>0</v>
      </c>
      <c r="AFC108"/>
      <c r="AFD108"/>
      <c r="AFE108"/>
      <c r="AFF108" s="33"/>
      <c r="AFG108"/>
      <c r="AFH108"/>
      <c r="AFI108"/>
      <c r="AFJ108"/>
      <c r="AFK108"/>
      <c r="AFL108"/>
      <c r="AFM108"/>
      <c r="AFN108">
        <f>+Tabla578914151634353637383940414243444546474849505152535560626467[[#This Row],[G. Total]]*Tabla578914151634353637383940414243444546474849505152535560626467[[#This Row],[Recuento]]</f>
        <v>0</v>
      </c>
      <c r="AFO108" s="36"/>
    </row>
    <row r="109" spans="2:847" x14ac:dyDescent="0.25">
      <c r="BG109"/>
      <c r="BH109"/>
      <c r="BI109"/>
      <c r="BJ109"/>
      <c r="BK109"/>
      <c r="BL109">
        <f>+Tabla3102[[#This Row],[Longitud de eje]]*BF109</f>
        <v>0</v>
      </c>
      <c r="BM109">
        <f>+Tabla3102[[#This Row],[Longitud de eje]]*BG109</f>
        <v>0</v>
      </c>
      <c r="BO109"/>
      <c r="BP109"/>
      <c r="BQ109"/>
      <c r="BR109"/>
      <c r="BS109"/>
      <c r="BT109"/>
      <c r="BU109"/>
      <c r="BV109">
        <v>1</v>
      </c>
      <c r="BW109"/>
      <c r="BX109"/>
      <c r="BY109"/>
      <c r="BZ109"/>
      <c r="CA109"/>
      <c r="CB109">
        <f>+Tabla31011[[#This Row],[Longitud de eje]]*BV109</f>
        <v>0</v>
      </c>
      <c r="CD109">
        <v>1</v>
      </c>
      <c r="CE109"/>
      <c r="CF109"/>
      <c r="CG109"/>
      <c r="CH109"/>
      <c r="CI109"/>
      <c r="CJ109"/>
      <c r="CK109"/>
      <c r="CL109">
        <v>1</v>
      </c>
      <c r="CM109"/>
      <c r="CN109"/>
      <c r="CO109"/>
      <c r="CP109"/>
      <c r="CQ109"/>
      <c r="CR109">
        <f>+Tabla31011116[[#This Row],[Longitud de eje]]*CL109</f>
        <v>0</v>
      </c>
      <c r="CT109">
        <v>1</v>
      </c>
      <c r="CU109"/>
      <c r="CV109"/>
      <c r="CW109"/>
      <c r="CX109"/>
      <c r="CY109"/>
      <c r="CZ109"/>
      <c r="DA109"/>
      <c r="DB109">
        <v>1</v>
      </c>
      <c r="DC109"/>
      <c r="DD109"/>
      <c r="DE109"/>
      <c r="DF109"/>
      <c r="DG109">
        <f>+Tabla31011704[[#This Row],[Longitud de eje]]*DB109</f>
        <v>0</v>
      </c>
      <c r="DH109"/>
      <c r="DI109">
        <v>1</v>
      </c>
      <c r="DJ109"/>
      <c r="DK109"/>
      <c r="DL109"/>
      <c r="DM109"/>
      <c r="DN109">
        <f>+Tabla3101170411[[#This Row],[Longitud de eje]]*DI109</f>
        <v>0</v>
      </c>
      <c r="DO109"/>
      <c r="DP109">
        <v>1</v>
      </c>
      <c r="DQ109"/>
      <c r="DR109"/>
      <c r="DS109"/>
      <c r="DT109"/>
      <c r="DU109">
        <f>+Tabla3101170411120[[#This Row],[Longitud de eje]]*DP109</f>
        <v>0</v>
      </c>
      <c r="DV109"/>
      <c r="DW109">
        <v>1</v>
      </c>
      <c r="DX109"/>
      <c r="DY109"/>
      <c r="DZ109"/>
      <c r="EA109"/>
      <c r="EB109">
        <f>+Tabla3101170411120122[[#This Row],[Longitud de eje]]*DW109</f>
        <v>0</v>
      </c>
      <c r="EC109"/>
      <c r="EE109"/>
      <c r="EF109"/>
      <c r="EG109"/>
      <c r="EH109"/>
      <c r="EI109"/>
      <c r="EJ109">
        <f>+Tabla3101112[[#This Row],[En culmo]]*ED109</f>
        <v>0</v>
      </c>
      <c r="EK109"/>
      <c r="EM109"/>
      <c r="EN109"/>
      <c r="EO109"/>
      <c r="EP109"/>
      <c r="EQ109"/>
      <c r="ER109">
        <f>+Tabla3101112123[[#This Row],[En culmo]]*EL109</f>
        <v>0</v>
      </c>
      <c r="ES109"/>
      <c r="EU109"/>
      <c r="EV109"/>
      <c r="EW109"/>
      <c r="EX109"/>
      <c r="EY109"/>
      <c r="EZ109">
        <f>+Tabla310111257[[#This Row],[En culmo]]*ET109</f>
        <v>0</v>
      </c>
      <c r="FA109"/>
      <c r="FC109"/>
      <c r="FD109"/>
      <c r="FE109"/>
      <c r="FF109"/>
      <c r="FG109"/>
      <c r="FH109">
        <f>+Tabla310111257124[[#This Row],[En culmo]]*FB109</f>
        <v>0</v>
      </c>
      <c r="FI109"/>
      <c r="FK109"/>
      <c r="FL109"/>
      <c r="FM109"/>
      <c r="FN109"/>
      <c r="FO109"/>
      <c r="FP109"/>
      <c r="FQ109"/>
      <c r="FS109"/>
      <c r="FT109"/>
      <c r="FU109"/>
      <c r="FV109"/>
      <c r="FW109"/>
      <c r="FX109"/>
      <c r="FY109"/>
      <c r="GA109"/>
      <c r="GB109"/>
      <c r="GC109"/>
      <c r="GD109"/>
      <c r="GE109"/>
      <c r="GF109"/>
      <c r="GG109"/>
      <c r="GI109"/>
      <c r="GJ109"/>
      <c r="GK109"/>
      <c r="GL109"/>
      <c r="GM109"/>
      <c r="GN109"/>
      <c r="GO109"/>
      <c r="GQ109"/>
      <c r="GR109"/>
      <c r="GW109" s="2">
        <f>+Tabla578914[[#This Row],[Recuento]]*Tabla578914[[#This Row],[Volúmen bruto]]</f>
        <v>0</v>
      </c>
      <c r="GX109" s="2">
        <f>+Tabla578914[[#This Row],[Recuento]]*Tabla578914[[#This Row],[Área neta]]</f>
        <v>0</v>
      </c>
      <c r="GY109" s="36"/>
      <c r="HA109"/>
      <c r="HB109"/>
      <c r="HG109" s="2">
        <f>+Tabla578914126[[#This Row],[Recuento]]*Tabla578914126[[#This Row],[Volúmen bruto]]</f>
        <v>0</v>
      </c>
      <c r="HH109" s="2">
        <f>+Tabla578914126[[#This Row],[Recuento]]*Tabla578914126[[#This Row],[Área neta]]</f>
        <v>0</v>
      </c>
      <c r="HI109" s="36"/>
      <c r="HK109"/>
      <c r="HL109"/>
      <c r="HQ109" s="2">
        <f>+Tabla578914126127[[#This Row],[Recuento]]*Tabla578914126127[[#This Row],[Volúmen bruto]]</f>
        <v>0</v>
      </c>
      <c r="HR109" s="2">
        <f>+Tabla578914126127[[#This Row],[Recuento]]*Tabla578914126127[[#This Row],[Área neta]]</f>
        <v>0</v>
      </c>
      <c r="HS109" s="36"/>
      <c r="HU109"/>
      <c r="HV109"/>
      <c r="IA109" s="2">
        <f>+Tabla57891418[[#This Row],[Volúmen bruto]]*Tabla57891418[[#This Row],[Recuento]]</f>
        <v>0</v>
      </c>
      <c r="IB109" s="2">
        <f>+Tabla57891418[[#This Row],[Área neta]]*Tabla57891418[[#This Row],[Recuento]]</f>
        <v>0</v>
      </c>
      <c r="IC109" s="36"/>
      <c r="IE109"/>
      <c r="IF109"/>
      <c r="IK109" s="2">
        <f>+Tabla5789141835[[#This Row],[Volúmen bruto]]*Tabla5789141835[[#This Row],[Recuento]]</f>
        <v>0</v>
      </c>
      <c r="IL109" s="2">
        <f>+Tabla5789141835[[#This Row],[Área neta]]*Tabla5789141835[[#This Row],[Recuento]]</f>
        <v>0</v>
      </c>
      <c r="IM109" s="36"/>
      <c r="IY109"/>
      <c r="IZ109"/>
      <c r="JA109"/>
      <c r="JB109"/>
      <c r="JC109"/>
      <c r="JD109"/>
      <c r="JE109" s="2">
        <f>+Tabla520212224[[#This Row],[Recuento]]*Tabla520212224[[#This Row],[Volúmen bruto]]</f>
        <v>0</v>
      </c>
      <c r="JF109" s="2">
        <f>+Tabla520212224[[#This Row],[Recuento]]*Tabla520212224[[#This Row],[Área neta]]</f>
        <v>0</v>
      </c>
      <c r="JG109" s="26"/>
      <c r="JI109"/>
      <c r="JJ109"/>
      <c r="JK109"/>
      <c r="JL109"/>
      <c r="JM109"/>
      <c r="JN109"/>
      <c r="JO109" s="2">
        <f>+Tabla52021222425[[#This Row],[Recuento]]*Tabla52021222425[[#This Row],[Volúmen bruto]]</f>
        <v>0</v>
      </c>
      <c r="JP109" s="2">
        <f>+Tabla52021222425[[#This Row],[Recuento]]*Tabla52021222425[[#This Row],[Área neta]]</f>
        <v>0</v>
      </c>
      <c r="JQ109" s="26"/>
      <c r="JS109"/>
      <c r="JT109"/>
      <c r="JU109"/>
      <c r="JV109"/>
      <c r="JW109"/>
      <c r="JX109"/>
      <c r="JY109" s="2">
        <f>+Tabla5202122242526[[#This Row],[Recuento]]*Tabla5202122242526[[#This Row],[Volúmen bruto]]</f>
        <v>0</v>
      </c>
      <c r="JZ109" s="2">
        <f>+Tabla5202122242526[[#This Row],[Recuento]]*Tabla5202122242526[[#This Row],[Área neta]]</f>
        <v>0</v>
      </c>
      <c r="KA109" s="26"/>
      <c r="KC109"/>
      <c r="KD109"/>
      <c r="KE109"/>
      <c r="KF109"/>
      <c r="KG109"/>
      <c r="KH109"/>
      <c r="KI109" s="2">
        <f>+Tabla5202122242526104[[#This Row],[Recuento]]*Tabla5202122242526104[[#This Row],[Volúmen bruto]]</f>
        <v>0</v>
      </c>
      <c r="KJ109" s="2">
        <f>+Tabla5202122242526104[[#This Row],[Recuento]]*Tabla5202122242526104[[#This Row],[Área neta]]</f>
        <v>0</v>
      </c>
      <c r="KK109" s="26"/>
      <c r="KM109"/>
      <c r="KN109"/>
      <c r="KO109"/>
      <c r="KP109"/>
      <c r="KQ109"/>
      <c r="KR109"/>
      <c r="KS109" s="2">
        <f>+Tabla5202122242526104110[[#This Row],[Recuento]]*Tabla5202122242526104110[[#This Row],[Volúmen bruto]]</f>
        <v>0</v>
      </c>
      <c r="KT109" s="2">
        <f>+Tabla5202122242526104110[[#This Row],[Recuento]]*Tabla5202122242526104110[[#This Row],[Área neta]]</f>
        <v>0</v>
      </c>
      <c r="KU109" s="26"/>
      <c r="KW109"/>
      <c r="KX109"/>
      <c r="KY109"/>
      <c r="KZ109"/>
      <c r="LA109"/>
      <c r="LB109"/>
      <c r="LC109" s="2">
        <f>+Tabla520212224252659[[#This Row],[Recuento]]*Tabla520212224252659[[#This Row],[Volúmen bruto]]</f>
        <v>0</v>
      </c>
      <c r="LD109" s="2">
        <f>+Tabla520212224252659[[#This Row],[Recuento]]*Tabla520212224252659[[#This Row],[Área neta]]</f>
        <v>0</v>
      </c>
      <c r="LE109" s="26"/>
      <c r="LG109"/>
      <c r="LH109"/>
      <c r="LI109"/>
      <c r="LJ109"/>
      <c r="LK109"/>
      <c r="LL109"/>
      <c r="LM109" s="2">
        <f>+Tabla520212224252659111[[#This Row],[Recuento]]*Tabla520212224252659111[[#This Row],[Volúmen bruto]]</f>
        <v>0</v>
      </c>
      <c r="LN109" s="2">
        <f>+Tabla520212224252659111[[#This Row],[Recuento]]*Tabla520212224252659111[[#This Row],[Área neta]]</f>
        <v>0</v>
      </c>
      <c r="LO109" s="26"/>
      <c r="LQ109"/>
      <c r="LR109"/>
      <c r="LS109"/>
      <c r="LT109"/>
      <c r="LU109"/>
      <c r="LV109"/>
      <c r="LW109" s="2">
        <f>+Tabla520212224252659111114[[#This Row],[Recuento]]*Tabla520212224252659111114[[#This Row],[Volúmen bruto]]</f>
        <v>0</v>
      </c>
      <c r="LX109" s="2">
        <f>+Tabla520212224252659111114[[#This Row],[Recuento]]*Tabla520212224252659111114[[#This Row],[Área neta]]</f>
        <v>0</v>
      </c>
      <c r="LY109" s="26"/>
      <c r="MA109"/>
      <c r="MB109"/>
      <c r="MC109"/>
      <c r="MD109"/>
      <c r="ME109"/>
      <c r="MF109"/>
      <c r="MG109" s="2">
        <f>+Tabla520212224252659111114128[[#This Row],[Recuento]]*Tabla520212224252659111114128[[#This Row],[Volúmen bruto]]</f>
        <v>0</v>
      </c>
      <c r="MH109" s="2">
        <f>+Tabla520212224252659111114128[[#This Row],[Recuento]]*Tabla520212224252659111114128[[#This Row],[Área neta]]</f>
        <v>0</v>
      </c>
      <c r="MI109" s="26"/>
      <c r="MK109"/>
      <c r="ML109"/>
      <c r="MM109"/>
      <c r="MN109"/>
      <c r="MO109"/>
      <c r="MP109"/>
      <c r="MQ109" s="2">
        <f>+Tabla520212224252627[[#This Row],[Recuento]]*Tabla520212224252627[[#This Row],[Volúmen bruto]]</f>
        <v>0</v>
      </c>
      <c r="MR109" s="2">
        <f>+Tabla520212224252627[[#This Row],[Recuento]]*Tabla520212224252627[[#This Row],[Área neta]]</f>
        <v>0</v>
      </c>
      <c r="MS109" s="26"/>
      <c r="MU109"/>
      <c r="MV109"/>
      <c r="MW109"/>
      <c r="MX109"/>
      <c r="MY109"/>
      <c r="MZ109"/>
      <c r="NA109" s="2">
        <f>+Tabla520212224252627129[[#This Row],[Recuento]]*Tabla520212224252627129[[#This Row],[Volúmen bruto]]</f>
        <v>0</v>
      </c>
      <c r="NB109" s="2">
        <f>+Tabla520212224252627129[[#This Row],[Recuento]]*Tabla520212224252627129[[#This Row],[Área neta]]</f>
        <v>0</v>
      </c>
      <c r="NC109" s="26"/>
      <c r="NE109"/>
      <c r="NF109"/>
      <c r="NG109"/>
      <c r="NH109"/>
      <c r="NI109"/>
      <c r="NJ109"/>
      <c r="NK109" s="2">
        <f>+Tabla520212224252627129125[[#This Row],[Recuento]]*Tabla520212224252627129125[[#This Row],[Volúmen bruto]]</f>
        <v>0</v>
      </c>
      <c r="NL109" s="2">
        <f>+Tabla520212224252627129125[[#This Row],[Recuento]]*Tabla520212224252627129125[[#This Row],[Área neta]]</f>
        <v>0</v>
      </c>
      <c r="NM109" s="26"/>
      <c r="NO109"/>
      <c r="NP109"/>
      <c r="NQ109"/>
      <c r="NR109"/>
      <c r="NS109"/>
      <c r="NT109"/>
      <c r="NU109" s="2">
        <f>+Tabla520212224252627129125130[[#This Row],[Recuento]]*Tabla520212224252627129125130[[#This Row],[Volúmen bruto]]</f>
        <v>0</v>
      </c>
      <c r="NV109" s="2">
        <f>+Tabla520212224252627129125130[[#This Row],[Recuento]]*Tabla520212224252627129125130[[#This Row],[Área neta]]</f>
        <v>0</v>
      </c>
      <c r="NW109" s="26"/>
      <c r="NY109"/>
      <c r="NZ109"/>
      <c r="OA109"/>
      <c r="OB109"/>
      <c r="OC109"/>
      <c r="OD109"/>
      <c r="OE109" s="2">
        <f>+Tabla520212224252627129125130131[[#This Row],[Recuento]]*Tabla520212224252627129125130131[[#This Row],[Volúmen bruto]]</f>
        <v>0</v>
      </c>
      <c r="OF109" s="2">
        <f>+Tabla520212224252627129125130131[[#This Row],[Recuento]]*Tabla520212224252627129125130131[[#This Row],[Área neta]]</f>
        <v>0</v>
      </c>
      <c r="OG109" s="26"/>
      <c r="OI109"/>
      <c r="OJ109"/>
      <c r="OK109"/>
      <c r="OL109"/>
      <c r="OM109"/>
      <c r="ON109"/>
      <c r="OO109" s="2">
        <f>+Tabla520212224252627129125130131132[[#This Row],[Recuento]]*Tabla520212224252627129125130131132[[#This Row],[Volúmen bruto]]</f>
        <v>0</v>
      </c>
      <c r="OP109" s="2">
        <f>+Tabla520212224252627129125130131132[[#This Row],[Recuento]]*Tabla520212224252627129125130131132[[#This Row],[Área neta]]</f>
        <v>0</v>
      </c>
      <c r="OQ109" s="26"/>
      <c r="OS109"/>
      <c r="OT109"/>
      <c r="OU109"/>
      <c r="OV109"/>
      <c r="OW109"/>
      <c r="OX109"/>
      <c r="OY109" s="2">
        <f>+Tabla52021222425262728[[#This Row],[Recuento]]*Tabla52021222425262728[[#This Row],[Volúmen bruto]]</f>
        <v>0</v>
      </c>
      <c r="OZ109" s="2">
        <f>+Tabla52021222425262728[[#This Row],[Recuento]]*Tabla52021222425262728[[#This Row],[Área neta]]</f>
        <v>0</v>
      </c>
      <c r="PA109" s="26">
        <f t="shared" si="44"/>
        <v>0</v>
      </c>
      <c r="PC109"/>
      <c r="PD109"/>
      <c r="PE109"/>
      <c r="PF109"/>
      <c r="PG109"/>
      <c r="PH109"/>
      <c r="PI109" s="2">
        <f>+Tabla52021222425262728133[[#This Row],[Recuento]]*Tabla52021222425262728133[[#This Row],[Volúmen bruto]]</f>
        <v>0</v>
      </c>
      <c r="PJ109" s="2">
        <f>+Tabla52021222425262728133[[#This Row],[Recuento]]*Tabla52021222425262728133[[#This Row],[Área neta]]</f>
        <v>0</v>
      </c>
      <c r="PK109" s="26">
        <f t="shared" si="46"/>
        <v>0</v>
      </c>
      <c r="PM109"/>
      <c r="PN109"/>
      <c r="PO109"/>
      <c r="PP109"/>
      <c r="PQ109"/>
      <c r="PR109"/>
      <c r="PS109" s="2">
        <f>+Tabla5202122242526272893[[#This Row],[Recuento]]*Tabla5202122242526272893[[#This Row],[Volúmen bruto]]</f>
        <v>0</v>
      </c>
      <c r="PT109" s="2">
        <f>+Tabla5202122242526272893[[#This Row],[Recuento]]*Tabla5202122242526272893[[#This Row],[Área neta]]</f>
        <v>0</v>
      </c>
      <c r="PU109" s="26"/>
      <c r="PW109"/>
      <c r="PX109"/>
      <c r="PY109"/>
      <c r="PZ109"/>
      <c r="QA109"/>
      <c r="QB109"/>
      <c r="QC109" s="2">
        <f>+Tabla520212224252627289349[[#This Row],[Recuento]]*Tabla520212224252627289349[[#This Row],[Volúmen bruto]]</f>
        <v>0</v>
      </c>
      <c r="QD109" s="2">
        <f>+Tabla520212224252627289349[[#This Row],[Recuento]]*Tabla520212224252627289349[[#This Row],[Área neta]]</f>
        <v>0</v>
      </c>
      <c r="QE109" s="26"/>
      <c r="QG109"/>
      <c r="QH109"/>
      <c r="QI109"/>
      <c r="QJ109"/>
      <c r="QK109"/>
      <c r="QL109"/>
      <c r="QM109" s="2">
        <f>+Tabla520212224252627289349134[[#This Row],[Recuento]]*Tabla520212224252627289349134[[#This Row],[Volúmen bruto]]</f>
        <v>0</v>
      </c>
      <c r="QN109" s="2">
        <f>+Tabla520212224252627289349134[[#This Row],[Recuento]]*Tabla520212224252627289349134[[#This Row],[Área neta]]</f>
        <v>0</v>
      </c>
      <c r="QO109" s="26"/>
      <c r="QQ109"/>
      <c r="QR109"/>
      <c r="QS109"/>
      <c r="QT109"/>
      <c r="QU109"/>
      <c r="QV109"/>
      <c r="QW109"/>
      <c r="RA109" s="26"/>
      <c r="RC109"/>
      <c r="RD109"/>
      <c r="RE109"/>
      <c r="RF109"/>
      <c r="RG109"/>
      <c r="RH109"/>
      <c r="RK109" s="26"/>
      <c r="RM109"/>
      <c r="RN109"/>
      <c r="RO109"/>
      <c r="RP109"/>
      <c r="RQ109"/>
      <c r="RR109"/>
      <c r="RU109" s="26">
        <f t="shared" si="45"/>
        <v>0</v>
      </c>
      <c r="RW109"/>
      <c r="RX109"/>
      <c r="RY109"/>
      <c r="RZ109"/>
      <c r="SA109"/>
      <c r="SB109"/>
      <c r="SE109" s="26"/>
      <c r="SG109"/>
      <c r="SH109"/>
      <c r="SI109"/>
      <c r="SJ109"/>
      <c r="SK109"/>
      <c r="SL109"/>
      <c r="SO109" s="26"/>
      <c r="YK109"/>
      <c r="YL109"/>
      <c r="YM109"/>
      <c r="YN109"/>
      <c r="YO109"/>
      <c r="ADJ109"/>
      <c r="ADK109"/>
      <c r="ADL109"/>
      <c r="ADM109"/>
      <c r="ADN109"/>
      <c r="ADO109"/>
      <c r="ADP109" s="36"/>
      <c r="ADR109"/>
      <c r="ADS109"/>
      <c r="ADT109"/>
      <c r="ADU109"/>
      <c r="ADW109" s="35"/>
      <c r="ADX109" s="35"/>
      <c r="AEN109"/>
      <c r="AEO109"/>
      <c r="AEP109"/>
      <c r="AEQ109"/>
      <c r="AER109"/>
      <c r="AES109" s="2" t="e">
        <f>+Tabla5789141516343536373839404142434445464748495051525355606264[[#This Row],[Recuento]]*#REF!</f>
        <v>#REF!</v>
      </c>
      <c r="AET109" s="36"/>
      <c r="AFI109"/>
      <c r="AFJ109"/>
      <c r="AFK109"/>
      <c r="AFL109"/>
      <c r="AFM109"/>
      <c r="AFN109">
        <f>+Tabla578914151634353637383940414243444546474849505152535560626467[[#This Row],[G. Total]]*Tabla578914151634353637383940414243444546474849505152535560626467[[#This Row],[Recuento]]</f>
        <v>0</v>
      </c>
      <c r="AFO109" s="36"/>
    </row>
    <row r="110" spans="2:847" x14ac:dyDescent="0.25">
      <c r="BG110"/>
      <c r="BH110"/>
      <c r="BI110"/>
      <c r="BJ110"/>
      <c r="BK110"/>
      <c r="BL110">
        <f>+Tabla3102[[#This Row],[Longitud de eje]]*BF110</f>
        <v>0</v>
      </c>
      <c r="BM110">
        <f>+Tabla3102[[#This Row],[Longitud de eje]]*BG110</f>
        <v>0</v>
      </c>
      <c r="BO110"/>
      <c r="BP110"/>
      <c r="BQ110"/>
      <c r="BR110"/>
      <c r="BS110"/>
      <c r="BT110"/>
      <c r="BU110"/>
      <c r="BV110">
        <v>1</v>
      </c>
      <c r="BW110"/>
      <c r="BX110"/>
      <c r="BY110"/>
      <c r="BZ110"/>
      <c r="CA110"/>
      <c r="CB110">
        <f>+Tabla31011[[#This Row],[Longitud de eje]]*BV110</f>
        <v>0</v>
      </c>
      <c r="CD110">
        <v>1</v>
      </c>
      <c r="CE110"/>
      <c r="CF110"/>
      <c r="CG110"/>
      <c r="CH110"/>
      <c r="CI110"/>
      <c r="CJ110"/>
      <c r="CK110"/>
      <c r="CL110">
        <v>1</v>
      </c>
      <c r="CM110"/>
      <c r="CN110"/>
      <c r="CO110"/>
      <c r="CP110"/>
      <c r="CQ110"/>
      <c r="CR110">
        <f>+Tabla31011116[[#This Row],[Longitud de eje]]*CL110</f>
        <v>0</v>
      </c>
      <c r="CT110">
        <v>1</v>
      </c>
      <c r="CU110"/>
      <c r="CV110"/>
      <c r="CW110"/>
      <c r="CX110"/>
      <c r="CY110"/>
      <c r="CZ110"/>
      <c r="DA110"/>
      <c r="DB110">
        <v>1</v>
      </c>
      <c r="DC110"/>
      <c r="DD110"/>
      <c r="DE110"/>
      <c r="DF110"/>
      <c r="DG110">
        <f>+Tabla31011704[[#This Row],[Longitud de eje]]*DB110</f>
        <v>0</v>
      </c>
      <c r="DH110"/>
      <c r="DI110">
        <v>1</v>
      </c>
      <c r="DJ110"/>
      <c r="DK110"/>
      <c r="DL110"/>
      <c r="DM110"/>
      <c r="DN110">
        <f>+Tabla3101170411[[#This Row],[Longitud de eje]]*DI110</f>
        <v>0</v>
      </c>
      <c r="DO110"/>
      <c r="DP110">
        <v>1</v>
      </c>
      <c r="DQ110"/>
      <c r="DR110"/>
      <c r="DS110"/>
      <c r="DT110"/>
      <c r="DU110">
        <f>+Tabla3101170411120[[#This Row],[Longitud de eje]]*DP110</f>
        <v>0</v>
      </c>
      <c r="DV110"/>
      <c r="DW110">
        <v>1</v>
      </c>
      <c r="DX110"/>
      <c r="DY110"/>
      <c r="DZ110"/>
      <c r="EA110"/>
      <c r="EB110">
        <f>+Tabla3101170411120122[[#This Row],[Longitud de eje]]*DW110</f>
        <v>0</v>
      </c>
      <c r="EC110"/>
      <c r="EE110"/>
      <c r="EF110"/>
      <c r="EG110"/>
      <c r="EH110"/>
      <c r="EI110"/>
      <c r="EJ110">
        <f>+Tabla3101112[[#This Row],[En culmo]]*ED110</f>
        <v>0</v>
      </c>
      <c r="EK110"/>
      <c r="EM110"/>
      <c r="EN110"/>
      <c r="EO110"/>
      <c r="EP110"/>
      <c r="EQ110"/>
      <c r="ER110">
        <f>+Tabla3101112123[[#This Row],[En culmo]]*EL110</f>
        <v>0</v>
      </c>
      <c r="ES110"/>
      <c r="EU110"/>
      <c r="EV110"/>
      <c r="EW110"/>
      <c r="EX110"/>
      <c r="EY110"/>
      <c r="EZ110">
        <f>+Tabla310111257[[#This Row],[En culmo]]*ET110</f>
        <v>0</v>
      </c>
      <c r="FA110"/>
      <c r="FC110"/>
      <c r="FD110"/>
      <c r="FE110"/>
      <c r="FF110"/>
      <c r="FG110"/>
      <c r="FH110">
        <f>+Tabla310111257124[[#This Row],[En culmo]]*FB110</f>
        <v>0</v>
      </c>
      <c r="FI110"/>
      <c r="FK110"/>
      <c r="FL110"/>
      <c r="FM110"/>
      <c r="FN110"/>
      <c r="FO110"/>
      <c r="FP110"/>
      <c r="FQ110"/>
      <c r="FS110"/>
      <c r="FT110"/>
      <c r="FU110"/>
      <c r="FV110"/>
      <c r="FW110"/>
      <c r="FX110"/>
      <c r="FY110"/>
      <c r="GA110"/>
      <c r="GB110"/>
      <c r="GC110"/>
      <c r="GD110"/>
      <c r="GE110"/>
      <c r="GF110"/>
      <c r="GG110"/>
      <c r="GI110"/>
      <c r="GJ110"/>
      <c r="GK110"/>
      <c r="GL110"/>
      <c r="GM110"/>
      <c r="GN110"/>
      <c r="GO110"/>
      <c r="GQ110"/>
      <c r="GR110"/>
      <c r="GW110" s="2">
        <f>+Tabla578914[[#This Row],[Recuento]]*Tabla578914[[#This Row],[Volúmen bruto]]</f>
        <v>0</v>
      </c>
      <c r="GX110" s="2">
        <f>+Tabla578914[[#This Row],[Recuento]]*Tabla578914[[#This Row],[Área neta]]</f>
        <v>0</v>
      </c>
      <c r="GY110" s="36">
        <f>+SUM(GT110:GT111)</f>
        <v>0</v>
      </c>
      <c r="HA110"/>
      <c r="HB110"/>
      <c r="HG110" s="2">
        <f>+Tabla578914126[[#This Row],[Recuento]]*Tabla578914126[[#This Row],[Volúmen bruto]]</f>
        <v>0</v>
      </c>
      <c r="HH110" s="2">
        <f>+Tabla578914126[[#This Row],[Recuento]]*Tabla578914126[[#This Row],[Área neta]]</f>
        <v>0</v>
      </c>
      <c r="HI110" s="36">
        <f>+SUM(HD110:HD111)</f>
        <v>0</v>
      </c>
      <c r="HK110"/>
      <c r="HL110"/>
      <c r="HQ110" s="2">
        <f>+Tabla578914126127[[#This Row],[Recuento]]*Tabla578914126127[[#This Row],[Volúmen bruto]]</f>
        <v>0</v>
      </c>
      <c r="HR110" s="2">
        <f>+Tabla578914126127[[#This Row],[Recuento]]*Tabla578914126127[[#This Row],[Área neta]]</f>
        <v>0</v>
      </c>
      <c r="HS110" s="36">
        <f>+SUM(HN110:HN111)</f>
        <v>0</v>
      </c>
      <c r="HU110"/>
      <c r="HV110"/>
      <c r="IA110" s="2">
        <f>+Tabla57891418[[#This Row],[Volúmen bruto]]*Tabla57891418[[#This Row],[Recuento]]</f>
        <v>0</v>
      </c>
      <c r="IB110" s="2">
        <f>+Tabla57891418[[#This Row],[Área neta]]*Tabla57891418[[#This Row],[Recuento]]</f>
        <v>0</v>
      </c>
      <c r="IC110" s="36">
        <f>+SUM(HX110:HX111)</f>
        <v>0</v>
      </c>
      <c r="IE110"/>
      <c r="IF110"/>
      <c r="IK110" s="2">
        <f>+Tabla5789141835[[#This Row],[Volúmen bruto]]*Tabla5789141835[[#This Row],[Recuento]]</f>
        <v>0</v>
      </c>
      <c r="IL110" s="2">
        <f>+Tabla5789141835[[#This Row],[Área neta]]*Tabla5789141835[[#This Row],[Recuento]]</f>
        <v>0</v>
      </c>
      <c r="IM110" s="36">
        <f>+SUM(IH110:IH111)</f>
        <v>0</v>
      </c>
      <c r="IY110"/>
      <c r="IZ110"/>
      <c r="JA110"/>
      <c r="JB110"/>
      <c r="JC110"/>
      <c r="JD110"/>
      <c r="JE110" s="2">
        <f>+Tabla520212224[[#This Row],[Recuento]]*Tabla520212224[[#This Row],[Volúmen bruto]]</f>
        <v>0</v>
      </c>
      <c r="JF110" s="2">
        <f>+Tabla520212224[[#This Row],[Recuento]]*Tabla520212224[[#This Row],[Área neta]]</f>
        <v>0</v>
      </c>
      <c r="JG110" s="26"/>
      <c r="JI110"/>
      <c r="JJ110"/>
      <c r="JK110"/>
      <c r="JL110"/>
      <c r="JM110"/>
      <c r="JN110"/>
      <c r="JO110" s="2">
        <f>+Tabla52021222425[[#This Row],[Recuento]]*Tabla52021222425[[#This Row],[Volúmen bruto]]</f>
        <v>0</v>
      </c>
      <c r="JP110" s="2">
        <f>+Tabla52021222425[[#This Row],[Recuento]]*Tabla52021222425[[#This Row],[Área neta]]</f>
        <v>0</v>
      </c>
      <c r="JQ110" s="26"/>
      <c r="JS110"/>
      <c r="JT110"/>
      <c r="JU110"/>
      <c r="JV110"/>
      <c r="JW110"/>
      <c r="JX110"/>
      <c r="JY110" s="2">
        <f>+Tabla5202122242526[[#This Row],[Recuento]]*Tabla5202122242526[[#This Row],[Volúmen bruto]]</f>
        <v>0</v>
      </c>
      <c r="JZ110" s="2">
        <f>+Tabla5202122242526[[#This Row],[Recuento]]*Tabla5202122242526[[#This Row],[Área neta]]</f>
        <v>0</v>
      </c>
      <c r="KA110" s="26"/>
      <c r="KC110"/>
      <c r="KD110"/>
      <c r="KE110"/>
      <c r="KF110"/>
      <c r="KG110"/>
      <c r="KH110"/>
      <c r="KI110" s="2">
        <f>+Tabla5202122242526104[[#This Row],[Recuento]]*Tabla5202122242526104[[#This Row],[Volúmen bruto]]</f>
        <v>0</v>
      </c>
      <c r="KJ110" s="2">
        <f>+Tabla5202122242526104[[#This Row],[Recuento]]*Tabla5202122242526104[[#This Row],[Área neta]]</f>
        <v>0</v>
      </c>
      <c r="KK110" s="26"/>
      <c r="KM110"/>
      <c r="KN110"/>
      <c r="KO110"/>
      <c r="KP110"/>
      <c r="KQ110"/>
      <c r="KR110"/>
      <c r="KS110" s="2">
        <f>+Tabla5202122242526104110[[#This Row],[Recuento]]*Tabla5202122242526104110[[#This Row],[Volúmen bruto]]</f>
        <v>0</v>
      </c>
      <c r="KT110" s="2">
        <f>+Tabla5202122242526104110[[#This Row],[Recuento]]*Tabla5202122242526104110[[#This Row],[Área neta]]</f>
        <v>0</v>
      </c>
      <c r="KU110" s="26"/>
      <c r="KW110"/>
      <c r="KX110"/>
      <c r="KY110"/>
      <c r="KZ110"/>
      <c r="LA110"/>
      <c r="LB110"/>
      <c r="LC110" s="2">
        <f>+Tabla520212224252659[[#This Row],[Recuento]]*Tabla520212224252659[[#This Row],[Volúmen bruto]]</f>
        <v>0</v>
      </c>
      <c r="LD110" s="2">
        <f>+Tabla520212224252659[[#This Row],[Recuento]]*Tabla520212224252659[[#This Row],[Área neta]]</f>
        <v>0</v>
      </c>
      <c r="LE110" s="26"/>
      <c r="LG110"/>
      <c r="LH110"/>
      <c r="LI110"/>
      <c r="LJ110"/>
      <c r="LK110"/>
      <c r="LL110"/>
      <c r="LM110" s="2">
        <f>+Tabla520212224252659111[[#This Row],[Recuento]]*Tabla520212224252659111[[#This Row],[Volúmen bruto]]</f>
        <v>0</v>
      </c>
      <c r="LN110" s="2">
        <f>+Tabla520212224252659111[[#This Row],[Recuento]]*Tabla520212224252659111[[#This Row],[Área neta]]</f>
        <v>0</v>
      </c>
      <c r="LO110" s="26"/>
      <c r="LQ110"/>
      <c r="LR110"/>
      <c r="LS110"/>
      <c r="LT110"/>
      <c r="LU110"/>
      <c r="LV110"/>
      <c r="LW110" s="2">
        <f>+Tabla520212224252659111114[[#This Row],[Recuento]]*Tabla520212224252659111114[[#This Row],[Volúmen bruto]]</f>
        <v>0</v>
      </c>
      <c r="LX110" s="2">
        <f>+Tabla520212224252659111114[[#This Row],[Recuento]]*Tabla520212224252659111114[[#This Row],[Área neta]]</f>
        <v>0</v>
      </c>
      <c r="LY110" s="26"/>
      <c r="MA110"/>
      <c r="MB110"/>
      <c r="MC110"/>
      <c r="MD110"/>
      <c r="ME110"/>
      <c r="MF110"/>
      <c r="MG110" s="2">
        <f>+Tabla520212224252659111114128[[#This Row],[Recuento]]*Tabla520212224252659111114128[[#This Row],[Volúmen bruto]]</f>
        <v>0</v>
      </c>
      <c r="MH110" s="2">
        <f>+Tabla520212224252659111114128[[#This Row],[Recuento]]*Tabla520212224252659111114128[[#This Row],[Área neta]]</f>
        <v>0</v>
      </c>
      <c r="MI110" s="26"/>
      <c r="MK110"/>
      <c r="ML110"/>
      <c r="MM110"/>
      <c r="MN110"/>
      <c r="MO110"/>
      <c r="MP110"/>
      <c r="MQ110" s="2">
        <f>+Tabla520212224252627[[#This Row],[Recuento]]*Tabla520212224252627[[#This Row],[Volúmen bruto]]</f>
        <v>0</v>
      </c>
      <c r="MR110" s="2">
        <f>+Tabla520212224252627[[#This Row],[Recuento]]*Tabla520212224252627[[#This Row],[Área neta]]</f>
        <v>0</v>
      </c>
      <c r="MS110" s="26"/>
      <c r="MU110"/>
      <c r="MV110"/>
      <c r="MW110"/>
      <c r="MX110"/>
      <c r="MY110"/>
      <c r="MZ110"/>
      <c r="NA110" s="2">
        <f>+Tabla520212224252627129[[#This Row],[Recuento]]*Tabla520212224252627129[[#This Row],[Volúmen bruto]]</f>
        <v>0</v>
      </c>
      <c r="NB110" s="2">
        <f>+Tabla520212224252627129[[#This Row],[Recuento]]*Tabla520212224252627129[[#This Row],[Área neta]]</f>
        <v>0</v>
      </c>
      <c r="NC110" s="26"/>
      <c r="NE110"/>
      <c r="NF110"/>
      <c r="NG110"/>
      <c r="NH110"/>
      <c r="NI110"/>
      <c r="NJ110"/>
      <c r="NK110" s="2">
        <f>+Tabla520212224252627129125[[#This Row],[Recuento]]*Tabla520212224252627129125[[#This Row],[Volúmen bruto]]</f>
        <v>0</v>
      </c>
      <c r="NL110" s="2">
        <f>+Tabla520212224252627129125[[#This Row],[Recuento]]*Tabla520212224252627129125[[#This Row],[Área neta]]</f>
        <v>0</v>
      </c>
      <c r="NM110" s="26"/>
      <c r="NO110"/>
      <c r="NP110"/>
      <c r="NQ110"/>
      <c r="NR110"/>
      <c r="NS110"/>
      <c r="NT110"/>
      <c r="NU110" s="2">
        <f>+Tabla520212224252627129125130[[#This Row],[Recuento]]*Tabla520212224252627129125130[[#This Row],[Volúmen bruto]]</f>
        <v>0</v>
      </c>
      <c r="NV110" s="2">
        <f>+Tabla520212224252627129125130[[#This Row],[Recuento]]*Tabla520212224252627129125130[[#This Row],[Área neta]]</f>
        <v>0</v>
      </c>
      <c r="NW110" s="26"/>
      <c r="NY110"/>
      <c r="NZ110"/>
      <c r="OA110"/>
      <c r="OB110"/>
      <c r="OC110"/>
      <c r="OD110"/>
      <c r="OE110" s="2">
        <f>+Tabla520212224252627129125130131[[#This Row],[Recuento]]*Tabla520212224252627129125130131[[#This Row],[Volúmen bruto]]</f>
        <v>0</v>
      </c>
      <c r="OF110" s="2">
        <f>+Tabla520212224252627129125130131[[#This Row],[Recuento]]*Tabla520212224252627129125130131[[#This Row],[Área neta]]</f>
        <v>0</v>
      </c>
      <c r="OG110" s="26"/>
      <c r="OI110"/>
      <c r="OJ110"/>
      <c r="OK110"/>
      <c r="OL110"/>
      <c r="OM110"/>
      <c r="ON110"/>
      <c r="OO110" s="2">
        <f>+Tabla520212224252627129125130131132[[#This Row],[Recuento]]*Tabla520212224252627129125130131132[[#This Row],[Volúmen bruto]]</f>
        <v>0</v>
      </c>
      <c r="OP110" s="2">
        <f>+Tabla520212224252627129125130131132[[#This Row],[Recuento]]*Tabla520212224252627129125130131132[[#This Row],[Área neta]]</f>
        <v>0</v>
      </c>
      <c r="OQ110" s="26"/>
      <c r="OS110"/>
      <c r="OT110"/>
      <c r="OU110"/>
      <c r="OV110"/>
      <c r="OW110"/>
      <c r="OX110"/>
      <c r="OY110" s="2">
        <f>+Tabla52021222425262728[[#This Row],[Recuento]]*Tabla52021222425262728[[#This Row],[Volúmen bruto]]</f>
        <v>0</v>
      </c>
      <c r="OZ110" s="2">
        <f>+Tabla52021222425262728[[#This Row],[Recuento]]*Tabla52021222425262728[[#This Row],[Área neta]]</f>
        <v>0</v>
      </c>
      <c r="PA110" s="26">
        <f t="shared" si="44"/>
        <v>0</v>
      </c>
      <c r="PC110"/>
      <c r="PD110"/>
      <c r="PE110"/>
      <c r="PF110"/>
      <c r="PG110"/>
      <c r="PH110"/>
      <c r="PI110" s="2">
        <f>+Tabla52021222425262728133[[#This Row],[Recuento]]*Tabla52021222425262728133[[#This Row],[Volúmen bruto]]</f>
        <v>0</v>
      </c>
      <c r="PJ110" s="2">
        <f>+Tabla52021222425262728133[[#This Row],[Recuento]]*Tabla52021222425262728133[[#This Row],[Área neta]]</f>
        <v>0</v>
      </c>
      <c r="PK110" s="26">
        <f t="shared" ref="PK110:PK131" si="47">+SUM(PJ112)</f>
        <v>0</v>
      </c>
      <c r="PM110"/>
      <c r="PN110"/>
      <c r="PO110"/>
      <c r="PP110"/>
      <c r="PQ110"/>
      <c r="PR110"/>
      <c r="PS110" s="2">
        <f>+Tabla5202122242526272893[[#This Row],[Recuento]]*Tabla5202122242526272893[[#This Row],[Volúmen bruto]]</f>
        <v>0</v>
      </c>
      <c r="PT110" s="2">
        <f>+Tabla5202122242526272893[[#This Row],[Recuento]]*Tabla5202122242526272893[[#This Row],[Área neta]]</f>
        <v>0</v>
      </c>
      <c r="PU110" s="26"/>
      <c r="PW110"/>
      <c r="PX110"/>
      <c r="PY110"/>
      <c r="PZ110"/>
      <c r="QA110"/>
      <c r="QB110"/>
      <c r="QC110" s="2">
        <f>+Tabla520212224252627289349[[#This Row],[Recuento]]*Tabla520212224252627289349[[#This Row],[Volúmen bruto]]</f>
        <v>0</v>
      </c>
      <c r="QD110" s="2">
        <f>+Tabla520212224252627289349[[#This Row],[Recuento]]*Tabla520212224252627289349[[#This Row],[Área neta]]</f>
        <v>0</v>
      </c>
      <c r="QE110" s="26"/>
      <c r="QG110"/>
      <c r="QH110"/>
      <c r="QI110"/>
      <c r="QJ110"/>
      <c r="QK110"/>
      <c r="QL110"/>
      <c r="QM110" s="2">
        <f>+Tabla520212224252627289349134[[#This Row],[Recuento]]*Tabla520212224252627289349134[[#This Row],[Volúmen bruto]]</f>
        <v>0</v>
      </c>
      <c r="QN110" s="2">
        <f>+Tabla520212224252627289349134[[#This Row],[Recuento]]*Tabla520212224252627289349134[[#This Row],[Área neta]]</f>
        <v>0</v>
      </c>
      <c r="QO110" s="26"/>
      <c r="QQ110"/>
      <c r="QR110"/>
      <c r="QS110"/>
      <c r="QT110"/>
      <c r="QU110"/>
      <c r="QV110"/>
      <c r="QW110"/>
      <c r="RA110" s="26"/>
      <c r="RC110"/>
      <c r="RD110"/>
      <c r="RE110"/>
      <c r="RF110"/>
      <c r="RG110"/>
      <c r="RH110"/>
      <c r="RK110" s="26"/>
      <c r="RM110"/>
      <c r="RN110"/>
      <c r="RO110"/>
      <c r="RP110"/>
      <c r="RQ110"/>
      <c r="RR110"/>
      <c r="RU110" s="26">
        <f t="shared" si="45"/>
        <v>0</v>
      </c>
      <c r="RW110"/>
      <c r="RX110"/>
      <c r="RY110"/>
      <c r="RZ110"/>
      <c r="SA110"/>
      <c r="SB110"/>
      <c r="SE110" s="26"/>
      <c r="SG110"/>
      <c r="SH110"/>
      <c r="SI110"/>
      <c r="SJ110"/>
      <c r="SK110"/>
      <c r="SL110"/>
      <c r="SO110" s="26"/>
      <c r="YK110"/>
      <c r="YL110"/>
      <c r="YM110"/>
      <c r="YN110"/>
      <c r="YO110"/>
      <c r="ADJ110"/>
      <c r="ADK110"/>
      <c r="ADL110"/>
      <c r="ADM110"/>
      <c r="ADN110"/>
      <c r="ADO110"/>
      <c r="ADP110" s="36"/>
      <c r="ADR110"/>
      <c r="ADS110"/>
      <c r="ADT110"/>
      <c r="ADU110"/>
      <c r="ADW110" s="35"/>
      <c r="ADX110" s="35"/>
      <c r="AEN110"/>
      <c r="AEO110"/>
      <c r="AEP110"/>
      <c r="AEQ110"/>
      <c r="AER110"/>
      <c r="AES110" s="2" t="e">
        <f>+Tabla5789141516343536373839404142434445464748495051525355606264[[#This Row],[Recuento]]*#REF!</f>
        <v>#REF!</v>
      </c>
      <c r="AET110" s="36"/>
      <c r="AFI110"/>
      <c r="AFJ110"/>
      <c r="AFK110"/>
      <c r="AFL110"/>
      <c r="AFM110"/>
      <c r="AFN110">
        <f>+Tabla578914151634353637383940414243444546474849505152535560626467[[#This Row],[G. Total]]*Tabla578914151634353637383940414243444546474849505152535560626467[[#This Row],[Recuento]]</f>
        <v>0</v>
      </c>
      <c r="AFO110" s="36"/>
    </row>
    <row r="111" spans="2:847" x14ac:dyDescent="0.25">
      <c r="BG111"/>
      <c r="BH111"/>
      <c r="BI111"/>
      <c r="BJ111"/>
      <c r="BK111"/>
      <c r="BL111">
        <f>+Tabla3102[[#This Row],[Longitud de eje]]*BF111</f>
        <v>0</v>
      </c>
      <c r="BM111">
        <f>+Tabla3102[[#This Row],[Longitud de eje]]*BG111</f>
        <v>0</v>
      </c>
      <c r="BO111"/>
      <c r="BP111"/>
      <c r="BQ111"/>
      <c r="BR111"/>
      <c r="BS111"/>
      <c r="BT111"/>
      <c r="BU111"/>
      <c r="BV111">
        <v>1</v>
      </c>
      <c r="BW111"/>
      <c r="BX111"/>
      <c r="BY111"/>
      <c r="BZ111"/>
      <c r="CA111"/>
      <c r="CB111">
        <f>+Tabla31011[[#This Row],[Longitud de eje]]*BV111</f>
        <v>0</v>
      </c>
      <c r="CD111">
        <v>1</v>
      </c>
      <c r="CE111"/>
      <c r="CF111"/>
      <c r="CG111"/>
      <c r="CH111"/>
      <c r="CI111"/>
      <c r="CJ111"/>
      <c r="CK111"/>
      <c r="CL111">
        <v>1</v>
      </c>
      <c r="CM111"/>
      <c r="CN111"/>
      <c r="CO111"/>
      <c r="CP111"/>
      <c r="CQ111"/>
      <c r="CR111">
        <f>+Tabla31011116[[#This Row],[Longitud de eje]]*CL111</f>
        <v>0</v>
      </c>
      <c r="CT111">
        <v>1</v>
      </c>
      <c r="CU111"/>
      <c r="CV111"/>
      <c r="CW111"/>
      <c r="CX111"/>
      <c r="CY111"/>
      <c r="CZ111"/>
      <c r="DA111"/>
      <c r="DB111">
        <v>1</v>
      </c>
      <c r="DC111"/>
      <c r="DD111"/>
      <c r="DE111"/>
      <c r="DF111"/>
      <c r="DG111">
        <f>+Tabla31011704[[#This Row],[Longitud de eje]]*DB111</f>
        <v>0</v>
      </c>
      <c r="DH111"/>
      <c r="DI111">
        <v>1</v>
      </c>
      <c r="DJ111"/>
      <c r="DK111"/>
      <c r="DL111"/>
      <c r="DM111"/>
      <c r="DN111">
        <f>+Tabla3101170411[[#This Row],[Longitud de eje]]*DI111</f>
        <v>0</v>
      </c>
      <c r="DO111"/>
      <c r="DP111">
        <v>1</v>
      </c>
      <c r="DQ111"/>
      <c r="DR111"/>
      <c r="DS111"/>
      <c r="DT111"/>
      <c r="DU111">
        <f>+Tabla3101170411120[[#This Row],[Longitud de eje]]*DP111</f>
        <v>0</v>
      </c>
      <c r="DV111"/>
      <c r="DW111">
        <v>1</v>
      </c>
      <c r="DX111"/>
      <c r="DY111"/>
      <c r="DZ111"/>
      <c r="EA111"/>
      <c r="EB111">
        <f>+Tabla3101170411120122[[#This Row],[Longitud de eje]]*DW111</f>
        <v>0</v>
      </c>
      <c r="EC111"/>
      <c r="EE111"/>
      <c r="EF111"/>
      <c r="EG111"/>
      <c r="EH111"/>
      <c r="EI111"/>
      <c r="EJ111">
        <f>+Tabla3101112[[#This Row],[En culmo]]*ED111</f>
        <v>0</v>
      </c>
      <c r="EK111"/>
      <c r="EM111"/>
      <c r="EN111"/>
      <c r="EO111"/>
      <c r="EP111"/>
      <c r="EQ111"/>
      <c r="ER111">
        <f>+Tabla3101112123[[#This Row],[En culmo]]*EL111</f>
        <v>0</v>
      </c>
      <c r="ES111"/>
      <c r="EU111"/>
      <c r="EV111"/>
      <c r="EW111"/>
      <c r="EX111"/>
      <c r="EY111"/>
      <c r="EZ111">
        <f>+Tabla310111257[[#This Row],[En culmo]]*ET111</f>
        <v>0</v>
      </c>
      <c r="FA111"/>
      <c r="FC111"/>
      <c r="FD111"/>
      <c r="FE111"/>
      <c r="FF111"/>
      <c r="FG111"/>
      <c r="FH111">
        <f>+Tabla310111257124[[#This Row],[En culmo]]*FB111</f>
        <v>0</v>
      </c>
      <c r="FI111"/>
      <c r="FK111"/>
      <c r="FL111"/>
      <c r="FM111"/>
      <c r="FN111"/>
      <c r="FO111"/>
      <c r="FP111"/>
      <c r="FQ111"/>
      <c r="FS111"/>
      <c r="FT111"/>
      <c r="FU111"/>
      <c r="FV111"/>
      <c r="FW111"/>
      <c r="FX111"/>
      <c r="FY111"/>
      <c r="GA111"/>
      <c r="GB111"/>
      <c r="GC111"/>
      <c r="GD111"/>
      <c r="GE111"/>
      <c r="GF111"/>
      <c r="GG111"/>
      <c r="GI111"/>
      <c r="GJ111"/>
      <c r="GK111"/>
      <c r="GL111"/>
      <c r="GM111"/>
      <c r="GN111"/>
      <c r="GO111"/>
      <c r="GQ111"/>
      <c r="GR111"/>
      <c r="GW111" s="2">
        <f>+Tabla578914[[#This Row],[Recuento]]*Tabla578914[[#This Row],[Volúmen bruto]]</f>
        <v>0</v>
      </c>
      <c r="GX111" s="2">
        <f>+Tabla578914[[#This Row],[Recuento]]*Tabla578914[[#This Row],[Área neta]]</f>
        <v>0</v>
      </c>
      <c r="GY111" s="36">
        <f>+SUM(GT111:GT112)</f>
        <v>0</v>
      </c>
      <c r="HA111"/>
      <c r="HB111"/>
      <c r="HG111" s="2">
        <f>+Tabla578914126[[#This Row],[Recuento]]*Tabla578914126[[#This Row],[Volúmen bruto]]</f>
        <v>0</v>
      </c>
      <c r="HH111" s="2">
        <f>+Tabla578914126[[#This Row],[Recuento]]*Tabla578914126[[#This Row],[Área neta]]</f>
        <v>0</v>
      </c>
      <c r="HI111" s="36">
        <f>+SUM(HD111:HD112)</f>
        <v>0</v>
      </c>
      <c r="HK111"/>
      <c r="HL111"/>
      <c r="HQ111" s="2">
        <f>+Tabla578914126127[[#This Row],[Recuento]]*Tabla578914126127[[#This Row],[Volúmen bruto]]</f>
        <v>0</v>
      </c>
      <c r="HR111" s="2">
        <f>+Tabla578914126127[[#This Row],[Recuento]]*Tabla578914126127[[#This Row],[Área neta]]</f>
        <v>0</v>
      </c>
      <c r="HS111" s="36">
        <f>+SUM(HN111:HN112)</f>
        <v>0</v>
      </c>
      <c r="HU111"/>
      <c r="HV111"/>
      <c r="IA111" s="2">
        <f>+Tabla57891418[[#This Row],[Volúmen bruto]]*Tabla57891418[[#This Row],[Recuento]]</f>
        <v>0</v>
      </c>
      <c r="IB111" s="2">
        <f>+Tabla57891418[[#This Row],[Área neta]]*Tabla57891418[[#This Row],[Recuento]]</f>
        <v>0</v>
      </c>
      <c r="IC111" s="36">
        <f>+SUM(HX111:HX112)</f>
        <v>0</v>
      </c>
      <c r="IE111"/>
      <c r="IF111"/>
      <c r="IK111" s="2">
        <f>+Tabla5789141835[[#This Row],[Volúmen bruto]]*Tabla5789141835[[#This Row],[Recuento]]</f>
        <v>0</v>
      </c>
      <c r="IL111" s="2">
        <f>+Tabla5789141835[[#This Row],[Área neta]]*Tabla5789141835[[#This Row],[Recuento]]</f>
        <v>0</v>
      </c>
      <c r="IM111" s="36">
        <f>+SUM(IH111:IH112)</f>
        <v>0</v>
      </c>
      <c r="IY111"/>
      <c r="IZ111"/>
      <c r="JA111"/>
      <c r="JB111"/>
      <c r="JC111"/>
      <c r="JD111"/>
      <c r="JE111" s="2">
        <f>+Tabla520212224[[#This Row],[Recuento]]*Tabla520212224[[#This Row],[Volúmen bruto]]</f>
        <v>0</v>
      </c>
      <c r="JF111" s="2">
        <f>+Tabla520212224[[#This Row],[Recuento]]*Tabla520212224[[#This Row],[Área neta]]</f>
        <v>0</v>
      </c>
      <c r="JG111" s="26"/>
      <c r="JI111"/>
      <c r="JJ111"/>
      <c r="JK111"/>
      <c r="JL111"/>
      <c r="JM111"/>
      <c r="JN111"/>
      <c r="JO111" s="2">
        <f>+Tabla52021222425[[#This Row],[Recuento]]*Tabla52021222425[[#This Row],[Volúmen bruto]]</f>
        <v>0</v>
      </c>
      <c r="JP111" s="2">
        <f>+Tabla52021222425[[#This Row],[Recuento]]*Tabla52021222425[[#This Row],[Área neta]]</f>
        <v>0</v>
      </c>
      <c r="JQ111" s="26"/>
      <c r="JS111"/>
      <c r="JT111"/>
      <c r="JU111"/>
      <c r="JV111"/>
      <c r="JW111"/>
      <c r="JX111"/>
      <c r="JY111" s="2">
        <f>+Tabla5202122242526[[#This Row],[Recuento]]*Tabla5202122242526[[#This Row],[Volúmen bruto]]</f>
        <v>0</v>
      </c>
      <c r="JZ111" s="2">
        <f>+Tabla5202122242526[[#This Row],[Recuento]]*Tabla5202122242526[[#This Row],[Área neta]]</f>
        <v>0</v>
      </c>
      <c r="KA111" s="26"/>
      <c r="KC111"/>
      <c r="KD111"/>
      <c r="KE111"/>
      <c r="KF111"/>
      <c r="KG111"/>
      <c r="KH111"/>
      <c r="KI111" s="2">
        <f>+Tabla5202122242526104[[#This Row],[Recuento]]*Tabla5202122242526104[[#This Row],[Volúmen bruto]]</f>
        <v>0</v>
      </c>
      <c r="KJ111" s="2">
        <f>+Tabla5202122242526104[[#This Row],[Recuento]]*Tabla5202122242526104[[#This Row],[Área neta]]</f>
        <v>0</v>
      </c>
      <c r="KK111" s="26"/>
      <c r="KM111"/>
      <c r="KN111"/>
      <c r="KO111"/>
      <c r="KP111"/>
      <c r="KQ111"/>
      <c r="KR111"/>
      <c r="KS111" s="2">
        <f>+Tabla5202122242526104110[[#This Row],[Recuento]]*Tabla5202122242526104110[[#This Row],[Volúmen bruto]]</f>
        <v>0</v>
      </c>
      <c r="KT111" s="2">
        <f>+Tabla5202122242526104110[[#This Row],[Recuento]]*Tabla5202122242526104110[[#This Row],[Área neta]]</f>
        <v>0</v>
      </c>
      <c r="KU111" s="26"/>
      <c r="KW111"/>
      <c r="KX111"/>
      <c r="KY111"/>
      <c r="KZ111"/>
      <c r="LA111"/>
      <c r="LB111"/>
      <c r="LC111" s="2">
        <f>+Tabla520212224252659[[#This Row],[Recuento]]*Tabla520212224252659[[#This Row],[Volúmen bruto]]</f>
        <v>0</v>
      </c>
      <c r="LD111" s="2">
        <f>+Tabla520212224252659[[#This Row],[Recuento]]*Tabla520212224252659[[#This Row],[Área neta]]</f>
        <v>0</v>
      </c>
      <c r="LE111" s="26"/>
      <c r="LG111"/>
      <c r="LH111"/>
      <c r="LI111"/>
      <c r="LJ111"/>
      <c r="LK111"/>
      <c r="LL111"/>
      <c r="LM111" s="2">
        <f>+Tabla520212224252659111[[#This Row],[Recuento]]*Tabla520212224252659111[[#This Row],[Volúmen bruto]]</f>
        <v>0</v>
      </c>
      <c r="LN111" s="2">
        <f>+Tabla520212224252659111[[#This Row],[Recuento]]*Tabla520212224252659111[[#This Row],[Área neta]]</f>
        <v>0</v>
      </c>
      <c r="LO111" s="26"/>
      <c r="LQ111"/>
      <c r="LR111"/>
      <c r="LS111"/>
      <c r="LT111"/>
      <c r="LU111"/>
      <c r="LV111"/>
      <c r="LW111" s="2">
        <f>+Tabla520212224252659111114[[#This Row],[Recuento]]*Tabla520212224252659111114[[#This Row],[Volúmen bruto]]</f>
        <v>0</v>
      </c>
      <c r="LX111" s="2">
        <f>+Tabla520212224252659111114[[#This Row],[Recuento]]*Tabla520212224252659111114[[#This Row],[Área neta]]</f>
        <v>0</v>
      </c>
      <c r="LY111" s="26"/>
      <c r="MA111"/>
      <c r="MB111"/>
      <c r="MC111"/>
      <c r="MD111"/>
      <c r="ME111"/>
      <c r="MF111"/>
      <c r="MG111" s="2">
        <f>+Tabla520212224252659111114128[[#This Row],[Recuento]]*Tabla520212224252659111114128[[#This Row],[Volúmen bruto]]</f>
        <v>0</v>
      </c>
      <c r="MH111" s="2">
        <f>+Tabla520212224252659111114128[[#This Row],[Recuento]]*Tabla520212224252659111114128[[#This Row],[Área neta]]</f>
        <v>0</v>
      </c>
      <c r="MI111" s="26"/>
      <c r="MK111"/>
      <c r="ML111"/>
      <c r="MM111"/>
      <c r="MN111"/>
      <c r="MO111"/>
      <c r="MP111"/>
      <c r="MQ111" s="2">
        <f>+Tabla520212224252627[[#This Row],[Recuento]]*Tabla520212224252627[[#This Row],[Volúmen bruto]]</f>
        <v>0</v>
      </c>
      <c r="MR111" s="2">
        <f>+Tabla520212224252627[[#This Row],[Recuento]]*Tabla520212224252627[[#This Row],[Área neta]]</f>
        <v>0</v>
      </c>
      <c r="MS111" s="26"/>
      <c r="MU111"/>
      <c r="MV111"/>
      <c r="MW111"/>
      <c r="MX111"/>
      <c r="MY111"/>
      <c r="MZ111"/>
      <c r="NA111" s="2">
        <f>+Tabla520212224252627129[[#This Row],[Recuento]]*Tabla520212224252627129[[#This Row],[Volúmen bruto]]</f>
        <v>0</v>
      </c>
      <c r="NB111" s="2">
        <f>+Tabla520212224252627129[[#This Row],[Recuento]]*Tabla520212224252627129[[#This Row],[Área neta]]</f>
        <v>0</v>
      </c>
      <c r="NC111" s="26"/>
      <c r="NE111"/>
      <c r="NF111"/>
      <c r="NG111"/>
      <c r="NH111"/>
      <c r="NI111"/>
      <c r="NJ111"/>
      <c r="NK111" s="2">
        <f>+Tabla520212224252627129125[[#This Row],[Recuento]]*Tabla520212224252627129125[[#This Row],[Volúmen bruto]]</f>
        <v>0</v>
      </c>
      <c r="NL111" s="2">
        <f>+Tabla520212224252627129125[[#This Row],[Recuento]]*Tabla520212224252627129125[[#This Row],[Área neta]]</f>
        <v>0</v>
      </c>
      <c r="NM111" s="26"/>
      <c r="NO111"/>
      <c r="NP111"/>
      <c r="NQ111"/>
      <c r="NR111"/>
      <c r="NS111"/>
      <c r="NT111"/>
      <c r="NU111" s="2">
        <f>+Tabla520212224252627129125130[[#This Row],[Recuento]]*Tabla520212224252627129125130[[#This Row],[Volúmen bruto]]</f>
        <v>0</v>
      </c>
      <c r="NV111" s="2">
        <f>+Tabla520212224252627129125130[[#This Row],[Recuento]]*Tabla520212224252627129125130[[#This Row],[Área neta]]</f>
        <v>0</v>
      </c>
      <c r="NW111" s="26"/>
      <c r="NY111"/>
      <c r="NZ111"/>
      <c r="OA111"/>
      <c r="OB111"/>
      <c r="OC111"/>
      <c r="OD111"/>
      <c r="OE111" s="2">
        <f>+Tabla520212224252627129125130131[[#This Row],[Recuento]]*Tabla520212224252627129125130131[[#This Row],[Volúmen bruto]]</f>
        <v>0</v>
      </c>
      <c r="OF111" s="2">
        <f>+Tabla520212224252627129125130131[[#This Row],[Recuento]]*Tabla520212224252627129125130131[[#This Row],[Área neta]]</f>
        <v>0</v>
      </c>
      <c r="OG111" s="26"/>
      <c r="OI111"/>
      <c r="OJ111"/>
      <c r="OK111"/>
      <c r="OL111"/>
      <c r="OM111"/>
      <c r="ON111"/>
      <c r="OO111" s="2">
        <f>+Tabla520212224252627129125130131132[[#This Row],[Recuento]]*Tabla520212224252627129125130131132[[#This Row],[Volúmen bruto]]</f>
        <v>0</v>
      </c>
      <c r="OP111" s="2">
        <f>+Tabla520212224252627129125130131132[[#This Row],[Recuento]]*Tabla520212224252627129125130131132[[#This Row],[Área neta]]</f>
        <v>0</v>
      </c>
      <c r="OQ111" s="26"/>
      <c r="OS111"/>
      <c r="OT111"/>
      <c r="OU111"/>
      <c r="OV111"/>
      <c r="OW111"/>
      <c r="OX111"/>
      <c r="OY111" s="2">
        <f>+Tabla52021222425262728[[#This Row],[Recuento]]*Tabla52021222425262728[[#This Row],[Volúmen bruto]]</f>
        <v>0</v>
      </c>
      <c r="OZ111" s="2">
        <f>+Tabla52021222425262728[[#This Row],[Recuento]]*Tabla52021222425262728[[#This Row],[Área neta]]</f>
        <v>0</v>
      </c>
      <c r="PA111" s="26">
        <f t="shared" si="44"/>
        <v>0</v>
      </c>
      <c r="PC111"/>
      <c r="PD111"/>
      <c r="PE111"/>
      <c r="PF111"/>
      <c r="PG111"/>
      <c r="PH111"/>
      <c r="PI111" s="2">
        <f>+Tabla52021222425262728133[[#This Row],[Recuento]]*Tabla52021222425262728133[[#This Row],[Volúmen bruto]]</f>
        <v>0</v>
      </c>
      <c r="PJ111" s="2">
        <f>+Tabla52021222425262728133[[#This Row],[Recuento]]*Tabla52021222425262728133[[#This Row],[Área neta]]</f>
        <v>0</v>
      </c>
      <c r="PK111" s="26">
        <f t="shared" si="47"/>
        <v>0</v>
      </c>
      <c r="PM111"/>
      <c r="PN111"/>
      <c r="PO111"/>
      <c r="PP111"/>
      <c r="PQ111"/>
      <c r="PR111"/>
      <c r="PS111" s="2">
        <f>+Tabla5202122242526272893[[#This Row],[Recuento]]*Tabla5202122242526272893[[#This Row],[Volúmen bruto]]</f>
        <v>0</v>
      </c>
      <c r="PT111" s="2">
        <f>+Tabla5202122242526272893[[#This Row],[Recuento]]*Tabla5202122242526272893[[#This Row],[Área neta]]</f>
        <v>0</v>
      </c>
      <c r="PU111" s="26"/>
      <c r="PW111"/>
      <c r="PX111"/>
      <c r="PY111"/>
      <c r="PZ111"/>
      <c r="QA111"/>
      <c r="QB111"/>
      <c r="QC111" s="2">
        <f>+Tabla520212224252627289349[[#This Row],[Recuento]]*Tabla520212224252627289349[[#This Row],[Volúmen bruto]]</f>
        <v>0</v>
      </c>
      <c r="QD111" s="2">
        <f>+Tabla520212224252627289349[[#This Row],[Recuento]]*Tabla520212224252627289349[[#This Row],[Área neta]]</f>
        <v>0</v>
      </c>
      <c r="QE111" s="26"/>
      <c r="QG111"/>
      <c r="QH111"/>
      <c r="QI111"/>
      <c r="QJ111"/>
      <c r="QK111"/>
      <c r="QL111"/>
      <c r="QM111" s="2">
        <f>+Tabla520212224252627289349134[[#This Row],[Recuento]]*Tabla520212224252627289349134[[#This Row],[Volúmen bruto]]</f>
        <v>0</v>
      </c>
      <c r="QN111" s="2">
        <f>+Tabla520212224252627289349134[[#This Row],[Recuento]]*Tabla520212224252627289349134[[#This Row],[Área neta]]</f>
        <v>0</v>
      </c>
      <c r="QO111" s="26"/>
      <c r="QQ111"/>
      <c r="QR111"/>
      <c r="QS111"/>
      <c r="QT111"/>
      <c r="QU111"/>
      <c r="QV111"/>
      <c r="QW111"/>
      <c r="RA111" s="26"/>
      <c r="RC111"/>
      <c r="RD111"/>
      <c r="RE111"/>
      <c r="RF111"/>
      <c r="RG111"/>
      <c r="RH111"/>
      <c r="RK111" s="26"/>
      <c r="RM111"/>
      <c r="RN111"/>
      <c r="RO111"/>
      <c r="RP111"/>
      <c r="RQ111"/>
      <c r="RR111"/>
      <c r="RU111" s="26">
        <f t="shared" si="45"/>
        <v>0</v>
      </c>
      <c r="RW111"/>
      <c r="RX111"/>
      <c r="RY111"/>
      <c r="RZ111"/>
      <c r="SA111"/>
      <c r="SB111"/>
      <c r="SE111" s="26"/>
      <c r="SG111"/>
      <c r="SH111"/>
      <c r="SI111"/>
      <c r="SJ111"/>
      <c r="SK111"/>
      <c r="SL111"/>
      <c r="SO111" s="26"/>
      <c r="YK111"/>
      <c r="YL111"/>
      <c r="YM111"/>
      <c r="YN111"/>
      <c r="YO111"/>
      <c r="ADJ111"/>
      <c r="ADK111"/>
      <c r="ADL111"/>
      <c r="ADM111"/>
      <c r="ADN111"/>
      <c r="ADO111"/>
      <c r="ADP111" s="36"/>
      <c r="ADR111"/>
      <c r="ADS111"/>
      <c r="ADT111"/>
      <c r="ADU111"/>
      <c r="ADW111" s="35"/>
      <c r="ADX111" s="35"/>
      <c r="AEN111"/>
      <c r="AEO111"/>
      <c r="AEP111"/>
      <c r="AEQ111"/>
      <c r="AER111"/>
      <c r="AES111" s="2" t="e">
        <f>+Tabla5789141516343536373839404142434445464748495051525355606264[[#This Row],[Recuento]]*#REF!</f>
        <v>#REF!</v>
      </c>
      <c r="AET111" s="36"/>
      <c r="AFI111"/>
      <c r="AFJ111"/>
      <c r="AFK111"/>
      <c r="AFL111"/>
      <c r="AFM111"/>
      <c r="AFN111">
        <f>+Tabla578914151634353637383940414243444546474849505152535560626467[[#This Row],[G. Total]]*Tabla578914151634353637383940414243444546474849505152535560626467[[#This Row],[Recuento]]</f>
        <v>0</v>
      </c>
      <c r="AFO111" s="35"/>
    </row>
    <row r="112" spans="2:847" x14ac:dyDescent="0.25">
      <c r="BG112"/>
      <c r="BH112"/>
      <c r="BI112"/>
      <c r="BJ112"/>
      <c r="BK112"/>
      <c r="BL112">
        <f>+Tabla3102[[#This Row],[Longitud de eje]]*BF112</f>
        <v>0</v>
      </c>
      <c r="BM112">
        <f>+Tabla3102[[#This Row],[Longitud de eje]]*BG112</f>
        <v>0</v>
      </c>
      <c r="BO112"/>
      <c r="BP112"/>
      <c r="BQ112"/>
      <c r="BR112"/>
      <c r="BS112"/>
      <c r="BT112"/>
      <c r="BU112"/>
      <c r="BV112">
        <v>1</v>
      </c>
      <c r="BW112"/>
      <c r="BX112"/>
      <c r="BY112"/>
      <c r="BZ112"/>
      <c r="CA112"/>
      <c r="CB112">
        <f>+Tabla31011[[#This Row],[Longitud de eje]]*BV112</f>
        <v>0</v>
      </c>
      <c r="CD112">
        <v>1</v>
      </c>
      <c r="CE112"/>
      <c r="CF112"/>
      <c r="CG112"/>
      <c r="CH112"/>
      <c r="CI112"/>
      <c r="CJ112"/>
      <c r="CK112"/>
      <c r="CL112">
        <v>1</v>
      </c>
      <c r="CM112"/>
      <c r="CN112"/>
      <c r="CO112"/>
      <c r="CP112"/>
      <c r="CQ112"/>
      <c r="CR112">
        <f>+Tabla31011116[[#This Row],[Longitud de eje]]*CL112</f>
        <v>0</v>
      </c>
      <c r="CT112">
        <v>1</v>
      </c>
      <c r="CU112"/>
      <c r="CV112"/>
      <c r="CW112"/>
      <c r="CX112"/>
      <c r="CY112"/>
      <c r="CZ112"/>
      <c r="DA112"/>
      <c r="DB112">
        <v>1</v>
      </c>
      <c r="DC112"/>
      <c r="DD112"/>
      <c r="DE112"/>
      <c r="DF112"/>
      <c r="DG112">
        <f>+Tabla31011704[[#This Row],[Longitud de eje]]*DB112</f>
        <v>0</v>
      </c>
      <c r="DH112"/>
      <c r="DI112">
        <v>1</v>
      </c>
      <c r="DJ112"/>
      <c r="DK112"/>
      <c r="DL112"/>
      <c r="DM112"/>
      <c r="DN112">
        <f>+Tabla3101170411[[#This Row],[Longitud de eje]]*DI112</f>
        <v>0</v>
      </c>
      <c r="DO112"/>
      <c r="DP112">
        <v>1</v>
      </c>
      <c r="DQ112"/>
      <c r="DR112"/>
      <c r="DS112"/>
      <c r="DT112"/>
      <c r="DU112">
        <f>+Tabla3101170411120[[#This Row],[Longitud de eje]]*DP112</f>
        <v>0</v>
      </c>
      <c r="DV112"/>
      <c r="DW112">
        <v>1</v>
      </c>
      <c r="DX112"/>
      <c r="DY112"/>
      <c r="DZ112"/>
      <c r="EA112"/>
      <c r="EB112">
        <f>+Tabla3101170411120122[[#This Row],[Longitud de eje]]*DW112</f>
        <v>0</v>
      </c>
      <c r="EC112"/>
      <c r="EE112"/>
      <c r="EF112"/>
      <c r="EG112"/>
      <c r="EH112"/>
      <c r="EI112"/>
      <c r="EJ112">
        <f>+Tabla3101112[[#This Row],[En culmo]]*ED112</f>
        <v>0</v>
      </c>
      <c r="EK112"/>
      <c r="EM112"/>
      <c r="EN112"/>
      <c r="EO112"/>
      <c r="EP112"/>
      <c r="EQ112"/>
      <c r="ER112">
        <f>+Tabla3101112123[[#This Row],[En culmo]]*EL112</f>
        <v>0</v>
      </c>
      <c r="ES112"/>
      <c r="EU112"/>
      <c r="EV112"/>
      <c r="EW112"/>
      <c r="EX112"/>
      <c r="EY112"/>
      <c r="EZ112">
        <f>+Tabla310111257[[#This Row],[En culmo]]*ET112</f>
        <v>0</v>
      </c>
      <c r="FA112"/>
      <c r="FC112"/>
      <c r="FD112"/>
      <c r="FE112"/>
      <c r="FF112"/>
      <c r="FG112"/>
      <c r="FH112">
        <f>+Tabla310111257124[[#This Row],[En culmo]]*FB112</f>
        <v>0</v>
      </c>
      <c r="FI112"/>
      <c r="FK112"/>
      <c r="FL112"/>
      <c r="FM112"/>
      <c r="FN112"/>
      <c r="FO112"/>
      <c r="FP112"/>
      <c r="FQ112"/>
      <c r="FS112"/>
      <c r="FT112"/>
      <c r="FU112"/>
      <c r="FV112"/>
      <c r="FW112"/>
      <c r="FX112"/>
      <c r="FY112"/>
      <c r="GA112"/>
      <c r="GB112"/>
      <c r="GC112"/>
      <c r="GD112"/>
      <c r="GE112"/>
      <c r="GF112"/>
      <c r="GG112"/>
      <c r="GI112"/>
      <c r="GJ112"/>
      <c r="GK112"/>
      <c r="GL112"/>
      <c r="GM112"/>
      <c r="GN112"/>
      <c r="GO112"/>
      <c r="GQ112"/>
      <c r="GR112"/>
      <c r="GW112" s="2">
        <f>+Tabla578914[[#This Row],[Recuento]]*Tabla578914[[#This Row],[Volúmen bruto]]</f>
        <v>0</v>
      </c>
      <c r="GX112" s="2">
        <f>+Tabla578914[[#This Row],[Recuento]]*Tabla578914[[#This Row],[Área neta]]</f>
        <v>0</v>
      </c>
      <c r="GY112" s="36">
        <f>+SUM(GT112:GT113)</f>
        <v>0</v>
      </c>
      <c r="HA112"/>
      <c r="HB112"/>
      <c r="HG112" s="2">
        <f>+Tabla578914126[[#This Row],[Recuento]]*Tabla578914126[[#This Row],[Volúmen bruto]]</f>
        <v>0</v>
      </c>
      <c r="HH112" s="2">
        <f>+Tabla578914126[[#This Row],[Recuento]]*Tabla578914126[[#This Row],[Área neta]]</f>
        <v>0</v>
      </c>
      <c r="HI112" s="36">
        <f>+SUM(HD112:HD113)</f>
        <v>0</v>
      </c>
      <c r="HK112"/>
      <c r="HL112"/>
      <c r="HQ112" s="2">
        <f>+Tabla578914126127[[#This Row],[Recuento]]*Tabla578914126127[[#This Row],[Volúmen bruto]]</f>
        <v>0</v>
      </c>
      <c r="HR112" s="2">
        <f>+Tabla578914126127[[#This Row],[Recuento]]*Tabla578914126127[[#This Row],[Área neta]]</f>
        <v>0</v>
      </c>
      <c r="HS112" s="36">
        <f>+SUM(HN112:HN113)</f>
        <v>0</v>
      </c>
      <c r="HU112"/>
      <c r="HV112"/>
      <c r="IA112" s="2">
        <f>+Tabla57891418[[#This Row],[Volúmen bruto]]*Tabla57891418[[#This Row],[Recuento]]</f>
        <v>0</v>
      </c>
      <c r="IB112" s="2">
        <f>+Tabla57891418[[#This Row],[Área neta]]*Tabla57891418[[#This Row],[Recuento]]</f>
        <v>0</v>
      </c>
      <c r="IC112" s="36">
        <f>+SUM(HX112:HX113)</f>
        <v>0</v>
      </c>
      <c r="IE112"/>
      <c r="IF112"/>
      <c r="IK112" s="2">
        <f>+Tabla5789141835[[#This Row],[Volúmen bruto]]*Tabla5789141835[[#This Row],[Recuento]]</f>
        <v>0</v>
      </c>
      <c r="IL112" s="2">
        <f>+Tabla5789141835[[#This Row],[Área neta]]*Tabla5789141835[[#This Row],[Recuento]]</f>
        <v>0</v>
      </c>
      <c r="IM112" s="36">
        <f>+SUM(IH112:IH113)</f>
        <v>0</v>
      </c>
      <c r="IY112"/>
      <c r="IZ112"/>
      <c r="JA112"/>
      <c r="JB112"/>
      <c r="JC112"/>
      <c r="JD112"/>
      <c r="JE112" s="2">
        <f>+Tabla520212224[[#This Row],[Recuento]]*Tabla520212224[[#This Row],[Volúmen bruto]]</f>
        <v>0</v>
      </c>
      <c r="JF112" s="2">
        <f>+Tabla520212224[[#This Row],[Recuento]]*Tabla520212224[[#This Row],[Área neta]]</f>
        <v>0</v>
      </c>
      <c r="JG112" s="26"/>
      <c r="JI112"/>
      <c r="JJ112"/>
      <c r="JK112"/>
      <c r="JL112"/>
      <c r="JM112"/>
      <c r="JN112"/>
      <c r="JO112" s="2">
        <f>+Tabla52021222425[[#This Row],[Recuento]]*Tabla52021222425[[#This Row],[Volúmen bruto]]</f>
        <v>0</v>
      </c>
      <c r="JP112" s="2">
        <f>+Tabla52021222425[[#This Row],[Recuento]]*Tabla52021222425[[#This Row],[Área neta]]</f>
        <v>0</v>
      </c>
      <c r="JQ112" s="26"/>
      <c r="JS112"/>
      <c r="JT112"/>
      <c r="JU112"/>
      <c r="JV112"/>
      <c r="JW112"/>
      <c r="JX112"/>
      <c r="JY112" s="2">
        <f>+Tabla5202122242526[[#This Row],[Recuento]]*Tabla5202122242526[[#This Row],[Volúmen bruto]]</f>
        <v>0</v>
      </c>
      <c r="JZ112" s="2">
        <f>+Tabla5202122242526[[#This Row],[Recuento]]*Tabla5202122242526[[#This Row],[Área neta]]</f>
        <v>0</v>
      </c>
      <c r="KA112" s="26"/>
      <c r="KC112"/>
      <c r="KD112"/>
      <c r="KE112"/>
      <c r="KF112"/>
      <c r="KG112"/>
      <c r="KH112"/>
      <c r="KI112" s="2">
        <f>+Tabla5202122242526104[[#This Row],[Recuento]]*Tabla5202122242526104[[#This Row],[Volúmen bruto]]</f>
        <v>0</v>
      </c>
      <c r="KJ112" s="2">
        <f>+Tabla5202122242526104[[#This Row],[Recuento]]*Tabla5202122242526104[[#This Row],[Área neta]]</f>
        <v>0</v>
      </c>
      <c r="KK112" s="26"/>
      <c r="KM112"/>
      <c r="KN112"/>
      <c r="KO112"/>
      <c r="KP112"/>
      <c r="KQ112"/>
      <c r="KR112"/>
      <c r="KS112" s="2">
        <f>+Tabla5202122242526104110[[#This Row],[Recuento]]*Tabla5202122242526104110[[#This Row],[Volúmen bruto]]</f>
        <v>0</v>
      </c>
      <c r="KT112" s="2">
        <f>+Tabla5202122242526104110[[#This Row],[Recuento]]*Tabla5202122242526104110[[#This Row],[Área neta]]</f>
        <v>0</v>
      </c>
      <c r="KU112" s="26"/>
      <c r="KW112"/>
      <c r="KX112"/>
      <c r="KY112"/>
      <c r="KZ112"/>
      <c r="LA112"/>
      <c r="LB112"/>
      <c r="LC112" s="2">
        <f>+Tabla520212224252659[[#This Row],[Recuento]]*Tabla520212224252659[[#This Row],[Volúmen bruto]]</f>
        <v>0</v>
      </c>
      <c r="LD112" s="2">
        <f>+Tabla520212224252659[[#This Row],[Recuento]]*Tabla520212224252659[[#This Row],[Área neta]]</f>
        <v>0</v>
      </c>
      <c r="LE112" s="26"/>
      <c r="LG112"/>
      <c r="LH112"/>
      <c r="LI112"/>
      <c r="LJ112"/>
      <c r="LK112"/>
      <c r="LL112"/>
      <c r="LM112" s="2">
        <f>+Tabla520212224252659111[[#This Row],[Recuento]]*Tabla520212224252659111[[#This Row],[Volúmen bruto]]</f>
        <v>0</v>
      </c>
      <c r="LN112" s="2">
        <f>+Tabla520212224252659111[[#This Row],[Recuento]]*Tabla520212224252659111[[#This Row],[Área neta]]</f>
        <v>0</v>
      </c>
      <c r="LO112" s="26"/>
      <c r="LQ112"/>
      <c r="LR112"/>
      <c r="LS112"/>
      <c r="LT112"/>
      <c r="LU112"/>
      <c r="LV112"/>
      <c r="LW112" s="2">
        <f>+Tabla520212224252659111114[[#This Row],[Recuento]]*Tabla520212224252659111114[[#This Row],[Volúmen bruto]]</f>
        <v>0</v>
      </c>
      <c r="LX112" s="2">
        <f>+Tabla520212224252659111114[[#This Row],[Recuento]]*Tabla520212224252659111114[[#This Row],[Área neta]]</f>
        <v>0</v>
      </c>
      <c r="LY112" s="26"/>
      <c r="MA112"/>
      <c r="MB112"/>
      <c r="MC112"/>
      <c r="MD112"/>
      <c r="ME112"/>
      <c r="MF112"/>
      <c r="MG112" s="2">
        <f>+Tabla520212224252659111114128[[#This Row],[Recuento]]*Tabla520212224252659111114128[[#This Row],[Volúmen bruto]]</f>
        <v>0</v>
      </c>
      <c r="MH112" s="2">
        <f>+Tabla520212224252659111114128[[#This Row],[Recuento]]*Tabla520212224252659111114128[[#This Row],[Área neta]]</f>
        <v>0</v>
      </c>
      <c r="MI112" s="26"/>
      <c r="MK112"/>
      <c r="ML112"/>
      <c r="MM112"/>
      <c r="MN112"/>
      <c r="MO112"/>
      <c r="MP112"/>
      <c r="MQ112" s="2">
        <f>+Tabla520212224252627[[#This Row],[Recuento]]*Tabla520212224252627[[#This Row],[Volúmen bruto]]</f>
        <v>0</v>
      </c>
      <c r="MR112" s="2">
        <f>+Tabla520212224252627[[#This Row],[Recuento]]*Tabla520212224252627[[#This Row],[Área neta]]</f>
        <v>0</v>
      </c>
      <c r="MS112" s="26"/>
      <c r="MU112"/>
      <c r="MV112"/>
      <c r="MW112"/>
      <c r="MX112"/>
      <c r="MY112"/>
      <c r="MZ112"/>
      <c r="NA112" s="2">
        <f>+Tabla520212224252627129[[#This Row],[Recuento]]*Tabla520212224252627129[[#This Row],[Volúmen bruto]]</f>
        <v>0</v>
      </c>
      <c r="NB112" s="2">
        <f>+Tabla520212224252627129[[#This Row],[Recuento]]*Tabla520212224252627129[[#This Row],[Área neta]]</f>
        <v>0</v>
      </c>
      <c r="NC112" s="26"/>
      <c r="NE112"/>
      <c r="NF112"/>
      <c r="NG112"/>
      <c r="NH112"/>
      <c r="NI112"/>
      <c r="NJ112"/>
      <c r="NK112" s="2">
        <f>+Tabla520212224252627129125[[#This Row],[Recuento]]*Tabla520212224252627129125[[#This Row],[Volúmen bruto]]</f>
        <v>0</v>
      </c>
      <c r="NL112" s="2">
        <f>+Tabla520212224252627129125[[#This Row],[Recuento]]*Tabla520212224252627129125[[#This Row],[Área neta]]</f>
        <v>0</v>
      </c>
      <c r="NM112" s="26"/>
      <c r="NO112"/>
      <c r="NP112"/>
      <c r="NQ112"/>
      <c r="NR112"/>
      <c r="NS112"/>
      <c r="NT112"/>
      <c r="NU112" s="2">
        <f>+Tabla520212224252627129125130[[#This Row],[Recuento]]*Tabla520212224252627129125130[[#This Row],[Volúmen bruto]]</f>
        <v>0</v>
      </c>
      <c r="NV112" s="2">
        <f>+Tabla520212224252627129125130[[#This Row],[Recuento]]*Tabla520212224252627129125130[[#This Row],[Área neta]]</f>
        <v>0</v>
      </c>
      <c r="NW112" s="26"/>
      <c r="NY112"/>
      <c r="NZ112"/>
      <c r="OA112"/>
      <c r="OB112"/>
      <c r="OC112"/>
      <c r="OD112"/>
      <c r="OE112" s="2">
        <f>+Tabla520212224252627129125130131[[#This Row],[Recuento]]*Tabla520212224252627129125130131[[#This Row],[Volúmen bruto]]</f>
        <v>0</v>
      </c>
      <c r="OF112" s="2">
        <f>+Tabla520212224252627129125130131[[#This Row],[Recuento]]*Tabla520212224252627129125130131[[#This Row],[Área neta]]</f>
        <v>0</v>
      </c>
      <c r="OG112" s="26"/>
      <c r="OI112"/>
      <c r="OJ112"/>
      <c r="OK112"/>
      <c r="OL112"/>
      <c r="OM112"/>
      <c r="ON112"/>
      <c r="OO112" s="2">
        <f>+Tabla520212224252627129125130131132[[#This Row],[Recuento]]*Tabla520212224252627129125130131132[[#This Row],[Volúmen bruto]]</f>
        <v>0</v>
      </c>
      <c r="OP112" s="2">
        <f>+Tabla520212224252627129125130131132[[#This Row],[Recuento]]*Tabla520212224252627129125130131132[[#This Row],[Área neta]]</f>
        <v>0</v>
      </c>
      <c r="OQ112" s="26"/>
      <c r="OS112"/>
      <c r="OT112"/>
      <c r="OU112"/>
      <c r="OV112"/>
      <c r="OW112"/>
      <c r="OX112"/>
      <c r="OY112" s="2">
        <f>+Tabla52021222425262728[[#This Row],[Recuento]]*Tabla52021222425262728[[#This Row],[Volúmen bruto]]</f>
        <v>0</v>
      </c>
      <c r="OZ112" s="2">
        <f>+Tabla52021222425262728[[#This Row],[Recuento]]*Tabla52021222425262728[[#This Row],[Área neta]]</f>
        <v>0</v>
      </c>
      <c r="PA112" s="26">
        <f t="shared" si="44"/>
        <v>0</v>
      </c>
      <c r="PC112"/>
      <c r="PD112"/>
      <c r="PE112"/>
      <c r="PF112"/>
      <c r="PG112"/>
      <c r="PH112"/>
      <c r="PI112" s="2">
        <f>+Tabla52021222425262728133[[#This Row],[Recuento]]*Tabla52021222425262728133[[#This Row],[Volúmen bruto]]</f>
        <v>0</v>
      </c>
      <c r="PJ112" s="2">
        <f>+Tabla52021222425262728133[[#This Row],[Recuento]]*Tabla52021222425262728133[[#This Row],[Área neta]]</f>
        <v>0</v>
      </c>
      <c r="PK112" s="26">
        <f t="shared" si="47"/>
        <v>0</v>
      </c>
      <c r="PM112"/>
      <c r="PN112"/>
      <c r="PO112"/>
      <c r="PP112"/>
      <c r="PQ112"/>
      <c r="PR112"/>
      <c r="PS112" s="2">
        <f>+Tabla5202122242526272893[[#This Row],[Recuento]]*Tabla5202122242526272893[[#This Row],[Volúmen bruto]]</f>
        <v>0</v>
      </c>
      <c r="PT112" s="2">
        <f>+Tabla5202122242526272893[[#This Row],[Recuento]]*Tabla5202122242526272893[[#This Row],[Área neta]]</f>
        <v>0</v>
      </c>
      <c r="PU112" s="26"/>
      <c r="PW112"/>
      <c r="PX112"/>
      <c r="PY112"/>
      <c r="PZ112"/>
      <c r="QA112"/>
      <c r="QB112"/>
      <c r="QC112" s="2">
        <f>+Tabla520212224252627289349[[#This Row],[Recuento]]*Tabla520212224252627289349[[#This Row],[Volúmen bruto]]</f>
        <v>0</v>
      </c>
      <c r="QD112" s="2">
        <f>+Tabla520212224252627289349[[#This Row],[Recuento]]*Tabla520212224252627289349[[#This Row],[Área neta]]</f>
        <v>0</v>
      </c>
      <c r="QE112" s="26"/>
      <c r="QG112"/>
      <c r="QH112"/>
      <c r="QI112"/>
      <c r="QJ112"/>
      <c r="QK112"/>
      <c r="QL112"/>
      <c r="QM112" s="2">
        <f>+Tabla520212224252627289349134[[#This Row],[Recuento]]*Tabla520212224252627289349134[[#This Row],[Volúmen bruto]]</f>
        <v>0</v>
      </c>
      <c r="QN112" s="2">
        <f>+Tabla520212224252627289349134[[#This Row],[Recuento]]*Tabla520212224252627289349134[[#This Row],[Área neta]]</f>
        <v>0</v>
      </c>
      <c r="QO112" s="26"/>
      <c r="QQ112"/>
      <c r="QR112"/>
      <c r="QS112"/>
      <c r="QT112"/>
      <c r="QU112"/>
      <c r="QV112"/>
      <c r="QW112"/>
      <c r="RA112" s="26"/>
      <c r="RC112"/>
      <c r="RD112"/>
      <c r="RE112"/>
      <c r="RF112"/>
      <c r="RG112"/>
      <c r="RH112"/>
      <c r="RK112" s="26"/>
      <c r="RM112"/>
      <c r="RN112"/>
      <c r="RO112"/>
      <c r="RP112"/>
      <c r="RQ112"/>
      <c r="RR112"/>
      <c r="RU112" s="26">
        <f t="shared" si="45"/>
        <v>0</v>
      </c>
      <c r="RW112"/>
      <c r="RX112"/>
      <c r="RY112"/>
      <c r="RZ112"/>
      <c r="SA112"/>
      <c r="SB112"/>
      <c r="SE112" s="26"/>
      <c r="SG112"/>
      <c r="SH112"/>
      <c r="SI112"/>
      <c r="SJ112"/>
      <c r="SK112"/>
      <c r="SL112"/>
      <c r="SO112" s="26"/>
      <c r="YK112"/>
      <c r="YL112"/>
      <c r="YM112"/>
      <c r="YN112"/>
      <c r="YO112"/>
      <c r="ADJ112"/>
      <c r="ADK112"/>
      <c r="ADL112"/>
      <c r="ADM112"/>
      <c r="ADN112"/>
      <c r="ADO112"/>
      <c r="ADP112" s="36"/>
      <c r="ADR112"/>
      <c r="ADS112"/>
      <c r="ADT112"/>
      <c r="ADU112"/>
      <c r="ADW112" s="35"/>
      <c r="ADX112" s="35"/>
      <c r="AEN112"/>
      <c r="AEO112"/>
      <c r="AEP112"/>
      <c r="AEQ112"/>
      <c r="AER112"/>
      <c r="AES112" s="2" t="e">
        <f>+Tabla5789141516343536373839404142434445464748495051525355606264[[#This Row],[Recuento]]*#REF!</f>
        <v>#REF!</v>
      </c>
      <c r="AET112" s="36"/>
      <c r="AFI112"/>
      <c r="AFJ112"/>
      <c r="AFK112"/>
      <c r="AFL112"/>
      <c r="AFM112"/>
      <c r="AFN112">
        <f>+Tabla578914151634353637383940414243444546474849505152535560626467[[#This Row],[G. Total]]*Tabla578914151634353637383940414243444546474849505152535560626467[[#This Row],[Recuento]]</f>
        <v>0</v>
      </c>
      <c r="AFO112" s="35"/>
    </row>
    <row r="113" spans="59:847" x14ac:dyDescent="0.25">
      <c r="BG113"/>
      <c r="BH113"/>
      <c r="BI113"/>
      <c r="BJ113"/>
      <c r="BK113"/>
      <c r="BL113">
        <f>+Tabla3102[[#This Row],[Longitud de eje]]*BF113</f>
        <v>0</v>
      </c>
      <c r="BM113">
        <f>+Tabla3102[[#This Row],[Longitud de eje]]*BG113</f>
        <v>0</v>
      </c>
      <c r="BO113"/>
      <c r="BP113"/>
      <c r="BQ113"/>
      <c r="BR113"/>
      <c r="BS113"/>
      <c r="BT113"/>
      <c r="BU113"/>
      <c r="BV113">
        <v>1</v>
      </c>
      <c r="BW113"/>
      <c r="BX113"/>
      <c r="BY113"/>
      <c r="BZ113"/>
      <c r="CA113"/>
      <c r="CB113">
        <f>+Tabla31011[[#This Row],[Longitud de eje]]*BV113</f>
        <v>0</v>
      </c>
      <c r="CD113">
        <v>1</v>
      </c>
      <c r="CE113"/>
      <c r="CF113"/>
      <c r="CG113"/>
      <c r="CH113"/>
      <c r="CI113"/>
      <c r="CJ113"/>
      <c r="CK113"/>
      <c r="CL113">
        <v>1</v>
      </c>
      <c r="CM113"/>
      <c r="CN113"/>
      <c r="CO113"/>
      <c r="CP113"/>
      <c r="CQ113"/>
      <c r="CR113">
        <f>+Tabla31011116[[#This Row],[Longitud de eje]]*CL113</f>
        <v>0</v>
      </c>
      <c r="CT113">
        <v>1</v>
      </c>
      <c r="CU113"/>
      <c r="CV113"/>
      <c r="CW113"/>
      <c r="CX113"/>
      <c r="CY113"/>
      <c r="CZ113"/>
      <c r="DA113"/>
      <c r="DB113">
        <v>1</v>
      </c>
      <c r="DC113"/>
      <c r="DD113"/>
      <c r="DE113"/>
      <c r="DF113"/>
      <c r="DG113">
        <f>+Tabla31011704[[#This Row],[Longitud de eje]]*DB113</f>
        <v>0</v>
      </c>
      <c r="DH113"/>
      <c r="DI113">
        <v>1</v>
      </c>
      <c r="DJ113"/>
      <c r="DK113"/>
      <c r="DL113"/>
      <c r="DM113"/>
      <c r="DN113">
        <f>+Tabla3101170411[[#This Row],[Longitud de eje]]*DI113</f>
        <v>0</v>
      </c>
      <c r="DO113"/>
      <c r="DP113">
        <v>1</v>
      </c>
      <c r="DQ113"/>
      <c r="DR113"/>
      <c r="DS113"/>
      <c r="DT113"/>
      <c r="DU113">
        <f>+Tabla3101170411120[[#This Row],[Longitud de eje]]*DP113</f>
        <v>0</v>
      </c>
      <c r="DV113"/>
      <c r="DW113">
        <v>1</v>
      </c>
      <c r="DX113"/>
      <c r="DY113"/>
      <c r="DZ113"/>
      <c r="EA113"/>
      <c r="EB113">
        <f>+Tabla3101170411120122[[#This Row],[Longitud de eje]]*DW113</f>
        <v>0</v>
      </c>
      <c r="EC113"/>
      <c r="EE113"/>
      <c r="EF113"/>
      <c r="EG113"/>
      <c r="EH113"/>
      <c r="EI113"/>
      <c r="EJ113">
        <f>+Tabla3101112[[#This Row],[En culmo]]*ED113</f>
        <v>0</v>
      </c>
      <c r="EK113"/>
      <c r="EM113"/>
      <c r="EN113"/>
      <c r="EO113"/>
      <c r="EP113"/>
      <c r="EQ113"/>
      <c r="ER113">
        <f>+Tabla3101112123[[#This Row],[En culmo]]*EL113</f>
        <v>0</v>
      </c>
      <c r="ES113"/>
      <c r="EU113"/>
      <c r="EV113"/>
      <c r="EW113"/>
      <c r="EX113"/>
      <c r="EY113"/>
      <c r="EZ113">
        <f>+Tabla310111257[[#This Row],[En culmo]]*ET113</f>
        <v>0</v>
      </c>
      <c r="FA113"/>
      <c r="FC113"/>
      <c r="FD113"/>
      <c r="FE113"/>
      <c r="FF113"/>
      <c r="FG113"/>
      <c r="FH113">
        <f>+Tabla310111257124[[#This Row],[En culmo]]*FB113</f>
        <v>0</v>
      </c>
      <c r="FI113"/>
      <c r="FK113"/>
      <c r="FL113"/>
      <c r="FM113"/>
      <c r="FN113"/>
      <c r="FO113"/>
      <c r="FP113"/>
      <c r="FQ113"/>
      <c r="FS113"/>
      <c r="FT113"/>
      <c r="FU113"/>
      <c r="FV113"/>
      <c r="FW113"/>
      <c r="FX113"/>
      <c r="FY113"/>
      <c r="GA113"/>
      <c r="GB113"/>
      <c r="GC113"/>
      <c r="GD113"/>
      <c r="GE113"/>
      <c r="GF113"/>
      <c r="GG113"/>
      <c r="GI113"/>
      <c r="GJ113"/>
      <c r="GK113"/>
      <c r="GL113"/>
      <c r="GM113"/>
      <c r="GN113"/>
      <c r="GO113"/>
      <c r="IY113"/>
      <c r="IZ113"/>
      <c r="JA113"/>
      <c r="JB113"/>
      <c r="JC113"/>
      <c r="JD113"/>
      <c r="JE113" s="2">
        <f>+Tabla520212224[[#This Row],[Recuento]]*Tabla520212224[[#This Row],[Volúmen bruto]]</f>
        <v>0</v>
      </c>
      <c r="JF113" s="2">
        <f>+Tabla520212224[[#This Row],[Recuento]]*Tabla520212224[[#This Row],[Área neta]]</f>
        <v>0</v>
      </c>
      <c r="JG113" s="26"/>
      <c r="JI113"/>
      <c r="JJ113"/>
      <c r="JK113"/>
      <c r="JL113"/>
      <c r="JM113"/>
      <c r="JN113"/>
      <c r="JO113" s="2">
        <f>+Tabla52021222425[[#This Row],[Recuento]]*Tabla52021222425[[#This Row],[Volúmen bruto]]</f>
        <v>0</v>
      </c>
      <c r="JP113" s="2">
        <f>+Tabla52021222425[[#This Row],[Recuento]]*Tabla52021222425[[#This Row],[Área neta]]</f>
        <v>0</v>
      </c>
      <c r="JQ113" s="26"/>
      <c r="JS113"/>
      <c r="JT113"/>
      <c r="JU113"/>
      <c r="JV113"/>
      <c r="JW113"/>
      <c r="JX113"/>
      <c r="JY113" s="2">
        <f>+Tabla5202122242526[[#This Row],[Recuento]]*Tabla5202122242526[[#This Row],[Volúmen bruto]]</f>
        <v>0</v>
      </c>
      <c r="JZ113" s="2">
        <f>+Tabla5202122242526[[#This Row],[Recuento]]*Tabla5202122242526[[#This Row],[Área neta]]</f>
        <v>0</v>
      </c>
      <c r="KA113" s="26"/>
      <c r="KC113"/>
      <c r="KD113"/>
      <c r="KE113"/>
      <c r="KF113"/>
      <c r="KG113"/>
      <c r="KH113"/>
      <c r="KI113" s="2">
        <f>+Tabla5202122242526104[[#This Row],[Recuento]]*Tabla5202122242526104[[#This Row],[Volúmen bruto]]</f>
        <v>0</v>
      </c>
      <c r="KJ113" s="2">
        <f>+Tabla5202122242526104[[#This Row],[Recuento]]*Tabla5202122242526104[[#This Row],[Área neta]]</f>
        <v>0</v>
      </c>
      <c r="KK113" s="26"/>
      <c r="KM113"/>
      <c r="KN113"/>
      <c r="KO113"/>
      <c r="KP113"/>
      <c r="KQ113"/>
      <c r="KR113"/>
      <c r="KS113" s="2">
        <f>+Tabla5202122242526104110[[#This Row],[Recuento]]*Tabla5202122242526104110[[#This Row],[Volúmen bruto]]</f>
        <v>0</v>
      </c>
      <c r="KT113" s="2">
        <f>+Tabla5202122242526104110[[#This Row],[Recuento]]*Tabla5202122242526104110[[#This Row],[Área neta]]</f>
        <v>0</v>
      </c>
      <c r="KU113" s="26"/>
      <c r="KW113"/>
      <c r="KX113"/>
      <c r="KY113"/>
      <c r="KZ113"/>
      <c r="LA113"/>
      <c r="LB113"/>
      <c r="LC113" s="2">
        <f>+Tabla520212224252659[[#This Row],[Recuento]]*Tabla520212224252659[[#This Row],[Volúmen bruto]]</f>
        <v>0</v>
      </c>
      <c r="LD113" s="2">
        <f>+Tabla520212224252659[[#This Row],[Recuento]]*Tabla520212224252659[[#This Row],[Área neta]]</f>
        <v>0</v>
      </c>
      <c r="LE113" s="26"/>
      <c r="LG113"/>
      <c r="LH113"/>
      <c r="LI113"/>
      <c r="LJ113"/>
      <c r="LK113"/>
      <c r="LL113"/>
      <c r="LM113" s="2">
        <f>+Tabla520212224252659111[[#This Row],[Recuento]]*Tabla520212224252659111[[#This Row],[Volúmen bruto]]</f>
        <v>0</v>
      </c>
      <c r="LN113" s="2">
        <f>+Tabla520212224252659111[[#This Row],[Recuento]]*Tabla520212224252659111[[#This Row],[Área neta]]</f>
        <v>0</v>
      </c>
      <c r="LO113" s="26"/>
      <c r="LQ113"/>
      <c r="LR113"/>
      <c r="LS113"/>
      <c r="LT113"/>
      <c r="LU113"/>
      <c r="LV113"/>
      <c r="LW113" s="2">
        <f>+Tabla520212224252659111114[[#This Row],[Recuento]]*Tabla520212224252659111114[[#This Row],[Volúmen bruto]]</f>
        <v>0</v>
      </c>
      <c r="LX113" s="2">
        <f>+Tabla520212224252659111114[[#This Row],[Recuento]]*Tabla520212224252659111114[[#This Row],[Área neta]]</f>
        <v>0</v>
      </c>
      <c r="LY113" s="26"/>
      <c r="MA113"/>
      <c r="MB113"/>
      <c r="MC113"/>
      <c r="MD113"/>
      <c r="ME113"/>
      <c r="MF113"/>
      <c r="MG113" s="2">
        <f>+Tabla520212224252659111114128[[#This Row],[Recuento]]*Tabla520212224252659111114128[[#This Row],[Volúmen bruto]]</f>
        <v>0</v>
      </c>
      <c r="MH113" s="2">
        <f>+Tabla520212224252659111114128[[#This Row],[Recuento]]*Tabla520212224252659111114128[[#This Row],[Área neta]]</f>
        <v>0</v>
      </c>
      <c r="MI113" s="26"/>
      <c r="MK113"/>
      <c r="ML113"/>
      <c r="MM113"/>
      <c r="MN113"/>
      <c r="MO113"/>
      <c r="MP113"/>
      <c r="MQ113" s="2">
        <f>+Tabla520212224252627[[#This Row],[Recuento]]*Tabla520212224252627[[#This Row],[Volúmen bruto]]</f>
        <v>0</v>
      </c>
      <c r="MR113" s="2">
        <f>+Tabla520212224252627[[#This Row],[Recuento]]*Tabla520212224252627[[#This Row],[Área neta]]</f>
        <v>0</v>
      </c>
      <c r="MS113" s="26"/>
      <c r="MU113"/>
      <c r="MV113"/>
      <c r="MW113"/>
      <c r="MX113"/>
      <c r="MY113"/>
      <c r="MZ113"/>
      <c r="NA113" s="2">
        <f>+Tabla520212224252627129[[#This Row],[Recuento]]*Tabla520212224252627129[[#This Row],[Volúmen bruto]]</f>
        <v>0</v>
      </c>
      <c r="NB113" s="2">
        <f>+Tabla520212224252627129[[#This Row],[Recuento]]*Tabla520212224252627129[[#This Row],[Área neta]]</f>
        <v>0</v>
      </c>
      <c r="NC113" s="26"/>
      <c r="NE113"/>
      <c r="NF113"/>
      <c r="NG113"/>
      <c r="NH113"/>
      <c r="NI113"/>
      <c r="NJ113"/>
      <c r="NK113" s="2">
        <f>+Tabla520212224252627129125[[#This Row],[Recuento]]*Tabla520212224252627129125[[#This Row],[Volúmen bruto]]</f>
        <v>0</v>
      </c>
      <c r="NL113" s="2">
        <f>+Tabla520212224252627129125[[#This Row],[Recuento]]*Tabla520212224252627129125[[#This Row],[Área neta]]</f>
        <v>0</v>
      </c>
      <c r="NM113" s="26"/>
      <c r="NO113"/>
      <c r="NP113"/>
      <c r="NQ113"/>
      <c r="NR113"/>
      <c r="NS113"/>
      <c r="NT113"/>
      <c r="NU113" s="2">
        <f>+Tabla520212224252627129125130[[#This Row],[Recuento]]*Tabla520212224252627129125130[[#This Row],[Volúmen bruto]]</f>
        <v>0</v>
      </c>
      <c r="NV113" s="2">
        <f>+Tabla520212224252627129125130[[#This Row],[Recuento]]*Tabla520212224252627129125130[[#This Row],[Área neta]]</f>
        <v>0</v>
      </c>
      <c r="NW113" s="26"/>
      <c r="NY113"/>
      <c r="NZ113"/>
      <c r="OA113"/>
      <c r="OB113"/>
      <c r="OC113"/>
      <c r="OD113"/>
      <c r="OE113" s="2">
        <f>+Tabla520212224252627129125130131[[#This Row],[Recuento]]*Tabla520212224252627129125130131[[#This Row],[Volúmen bruto]]</f>
        <v>0</v>
      </c>
      <c r="OF113" s="2">
        <f>+Tabla520212224252627129125130131[[#This Row],[Recuento]]*Tabla520212224252627129125130131[[#This Row],[Área neta]]</f>
        <v>0</v>
      </c>
      <c r="OG113" s="26"/>
      <c r="OI113"/>
      <c r="OJ113"/>
      <c r="OK113"/>
      <c r="OL113"/>
      <c r="OM113"/>
      <c r="ON113"/>
      <c r="OO113" s="2">
        <f>+Tabla520212224252627129125130131132[[#This Row],[Recuento]]*Tabla520212224252627129125130131132[[#This Row],[Volúmen bruto]]</f>
        <v>0</v>
      </c>
      <c r="OP113" s="2">
        <f>+Tabla520212224252627129125130131132[[#This Row],[Recuento]]*Tabla520212224252627129125130131132[[#This Row],[Área neta]]</f>
        <v>0</v>
      </c>
      <c r="OQ113" s="26"/>
      <c r="OS113"/>
      <c r="OT113"/>
      <c r="OU113"/>
      <c r="OV113"/>
      <c r="OW113"/>
      <c r="OX113"/>
      <c r="OY113" s="2">
        <f>+Tabla52021222425262728[[#This Row],[Recuento]]*Tabla52021222425262728[[#This Row],[Volúmen bruto]]</f>
        <v>0</v>
      </c>
      <c r="OZ113" s="2">
        <f>+Tabla52021222425262728[[#This Row],[Recuento]]*Tabla52021222425262728[[#This Row],[Área neta]]</f>
        <v>0</v>
      </c>
      <c r="PA113" s="26">
        <f t="shared" si="44"/>
        <v>0</v>
      </c>
      <c r="PC113"/>
      <c r="PD113"/>
      <c r="PE113"/>
      <c r="PF113"/>
      <c r="PG113"/>
      <c r="PH113"/>
      <c r="PI113" s="2">
        <f>+Tabla52021222425262728133[[#This Row],[Recuento]]*Tabla52021222425262728133[[#This Row],[Volúmen bruto]]</f>
        <v>0</v>
      </c>
      <c r="PJ113" s="2">
        <f>+Tabla52021222425262728133[[#This Row],[Recuento]]*Tabla52021222425262728133[[#This Row],[Área neta]]</f>
        <v>0</v>
      </c>
      <c r="PK113" s="26">
        <f t="shared" si="47"/>
        <v>0</v>
      </c>
      <c r="PM113"/>
      <c r="PN113"/>
      <c r="PO113"/>
      <c r="PP113"/>
      <c r="PQ113"/>
      <c r="PR113"/>
      <c r="PS113" s="2">
        <f>+Tabla5202122242526272893[[#This Row],[Recuento]]*Tabla5202122242526272893[[#This Row],[Volúmen bruto]]</f>
        <v>0</v>
      </c>
      <c r="PT113" s="2">
        <f>+Tabla5202122242526272893[[#This Row],[Recuento]]*Tabla5202122242526272893[[#This Row],[Área neta]]</f>
        <v>0</v>
      </c>
      <c r="PU113" s="26"/>
      <c r="PW113"/>
      <c r="PX113"/>
      <c r="PY113"/>
      <c r="PZ113"/>
      <c r="QA113"/>
      <c r="QB113"/>
      <c r="QC113" s="2">
        <f>+Tabla520212224252627289349[[#This Row],[Recuento]]*Tabla520212224252627289349[[#This Row],[Volúmen bruto]]</f>
        <v>0</v>
      </c>
      <c r="QD113" s="2">
        <f>+Tabla520212224252627289349[[#This Row],[Recuento]]*Tabla520212224252627289349[[#This Row],[Área neta]]</f>
        <v>0</v>
      </c>
      <c r="QE113" s="26"/>
      <c r="QG113"/>
      <c r="QH113"/>
      <c r="QI113"/>
      <c r="QJ113"/>
      <c r="QK113"/>
      <c r="QL113"/>
      <c r="QM113" s="2">
        <f>+Tabla520212224252627289349134[[#This Row],[Recuento]]*Tabla520212224252627289349134[[#This Row],[Volúmen bruto]]</f>
        <v>0</v>
      </c>
      <c r="QN113" s="2">
        <f>+Tabla520212224252627289349134[[#This Row],[Recuento]]*Tabla520212224252627289349134[[#This Row],[Área neta]]</f>
        <v>0</v>
      </c>
      <c r="QO113" s="26"/>
      <c r="QQ113"/>
      <c r="QR113"/>
      <c r="QS113"/>
      <c r="QT113"/>
      <c r="QU113"/>
      <c r="QV113"/>
      <c r="QW113"/>
      <c r="RA113" s="26"/>
      <c r="RC113"/>
      <c r="RD113"/>
      <c r="RE113"/>
      <c r="RF113"/>
      <c r="RG113"/>
      <c r="RH113"/>
      <c r="RK113" s="26"/>
      <c r="RM113"/>
      <c r="RN113"/>
      <c r="RO113"/>
      <c r="RP113"/>
      <c r="RQ113"/>
      <c r="RR113"/>
      <c r="RU113" s="26">
        <f t="shared" si="45"/>
        <v>0</v>
      </c>
      <c r="RW113"/>
      <c r="RX113"/>
      <c r="RY113"/>
      <c r="RZ113"/>
      <c r="SA113"/>
      <c r="SB113"/>
      <c r="SE113" s="26"/>
      <c r="SG113"/>
      <c r="SH113"/>
      <c r="SI113"/>
      <c r="SJ113"/>
      <c r="SK113"/>
      <c r="SL113"/>
      <c r="SO113" s="26"/>
      <c r="YK113"/>
      <c r="YL113"/>
      <c r="YM113"/>
      <c r="YN113"/>
      <c r="YO113"/>
      <c r="ADJ113"/>
      <c r="ADK113"/>
      <c r="ADL113"/>
      <c r="ADM113"/>
      <c r="ADN113"/>
      <c r="ADO113"/>
      <c r="ADP113" s="36"/>
      <c r="ADR113"/>
      <c r="ADS113"/>
      <c r="ADT113"/>
      <c r="ADU113"/>
      <c r="ADW113" s="35"/>
      <c r="ADX113" s="35"/>
      <c r="AEN113"/>
      <c r="AEO113"/>
      <c r="AEP113"/>
      <c r="AEQ113"/>
      <c r="AER113"/>
      <c r="AES113" s="2" t="e">
        <f>+Tabla5789141516343536373839404142434445464748495051525355606264[[#This Row],[Recuento]]*#REF!</f>
        <v>#REF!</v>
      </c>
      <c r="AET113" s="36"/>
      <c r="AFI113"/>
      <c r="AFJ113"/>
      <c r="AFK113"/>
      <c r="AFL113"/>
      <c r="AFM113"/>
      <c r="AFN113">
        <f>+Tabla578914151634353637383940414243444546474849505152535560626467[[#This Row],[G. Total]]*Tabla578914151634353637383940414243444546474849505152535560626467[[#This Row],[Recuento]]</f>
        <v>0</v>
      </c>
      <c r="AFO113" s="35"/>
    </row>
    <row r="114" spans="59:847" x14ac:dyDescent="0.25">
      <c r="BG114"/>
      <c r="BH114"/>
      <c r="BI114"/>
      <c r="BJ114"/>
      <c r="BK114"/>
      <c r="BL114">
        <f>+Tabla3102[[#This Row],[Longitud de eje]]*BF114</f>
        <v>0</v>
      </c>
      <c r="BM114">
        <f>+Tabla3102[[#This Row],[Longitud de eje]]*BG114</f>
        <v>0</v>
      </c>
      <c r="BO114"/>
      <c r="BP114"/>
      <c r="BQ114"/>
      <c r="BR114"/>
      <c r="BS114"/>
      <c r="BT114"/>
      <c r="BU114"/>
      <c r="BV114">
        <v>1</v>
      </c>
      <c r="BW114"/>
      <c r="BX114"/>
      <c r="BY114"/>
      <c r="BZ114"/>
      <c r="CA114"/>
      <c r="CB114">
        <f>+Tabla31011[[#This Row],[Longitud de eje]]*BV114</f>
        <v>0</v>
      </c>
      <c r="CD114">
        <v>1</v>
      </c>
      <c r="CE114"/>
      <c r="CF114"/>
      <c r="CG114"/>
      <c r="CH114"/>
      <c r="CI114"/>
      <c r="CJ114"/>
      <c r="CK114"/>
      <c r="CL114">
        <v>1</v>
      </c>
      <c r="CM114"/>
      <c r="CN114"/>
      <c r="CO114"/>
      <c r="CP114"/>
      <c r="CQ114"/>
      <c r="CR114">
        <f>+Tabla31011116[[#This Row],[Longitud de eje]]*CL114</f>
        <v>0</v>
      </c>
      <c r="CT114">
        <v>1</v>
      </c>
      <c r="CU114"/>
      <c r="CV114"/>
      <c r="CW114"/>
      <c r="CX114"/>
      <c r="CY114"/>
      <c r="CZ114"/>
      <c r="DA114"/>
      <c r="DB114">
        <v>1</v>
      </c>
      <c r="DC114"/>
      <c r="DD114"/>
      <c r="DE114"/>
      <c r="DF114"/>
      <c r="DG114">
        <f>+Tabla31011704[[#This Row],[Longitud de eje]]*DB114</f>
        <v>0</v>
      </c>
      <c r="DH114"/>
      <c r="DI114">
        <v>1</v>
      </c>
      <c r="DJ114"/>
      <c r="DK114"/>
      <c r="DL114"/>
      <c r="DM114"/>
      <c r="DN114">
        <f>+Tabla3101170411[[#This Row],[Longitud de eje]]*DI114</f>
        <v>0</v>
      </c>
      <c r="DO114"/>
      <c r="DP114">
        <v>1</v>
      </c>
      <c r="DQ114"/>
      <c r="DR114"/>
      <c r="DS114"/>
      <c r="DT114"/>
      <c r="DU114">
        <f>+Tabla3101170411120[[#This Row],[Longitud de eje]]*DP114</f>
        <v>0</v>
      </c>
      <c r="DV114"/>
      <c r="DW114">
        <v>1</v>
      </c>
      <c r="DX114"/>
      <c r="DY114"/>
      <c r="DZ114"/>
      <c r="EA114"/>
      <c r="EB114">
        <f>+Tabla3101170411120122[[#This Row],[Longitud de eje]]*DW114</f>
        <v>0</v>
      </c>
      <c r="EC114"/>
      <c r="EE114"/>
      <c r="EF114"/>
      <c r="EG114"/>
      <c r="EH114"/>
      <c r="EI114"/>
      <c r="EJ114">
        <f>+Tabla3101112[[#This Row],[En culmo]]*ED114</f>
        <v>0</v>
      </c>
      <c r="EK114"/>
      <c r="EM114"/>
      <c r="EN114"/>
      <c r="EO114"/>
      <c r="EP114"/>
      <c r="EQ114"/>
      <c r="ER114">
        <f>+Tabla3101112123[[#This Row],[En culmo]]*EL114</f>
        <v>0</v>
      </c>
      <c r="ES114"/>
      <c r="EU114"/>
      <c r="EV114"/>
      <c r="EW114"/>
      <c r="EX114"/>
      <c r="EY114"/>
      <c r="EZ114">
        <f>+Tabla310111257[[#This Row],[En culmo]]*ET114</f>
        <v>0</v>
      </c>
      <c r="FA114"/>
      <c r="FC114"/>
      <c r="FD114"/>
      <c r="FE114"/>
      <c r="FF114"/>
      <c r="FG114"/>
      <c r="FH114">
        <f>+Tabla310111257124[[#This Row],[En culmo]]*FB114</f>
        <v>0</v>
      </c>
      <c r="FI114"/>
      <c r="FK114"/>
      <c r="FL114"/>
      <c r="FM114"/>
      <c r="FN114"/>
      <c r="FO114"/>
      <c r="FP114"/>
      <c r="FQ114"/>
      <c r="FS114"/>
      <c r="FT114"/>
      <c r="FU114"/>
      <c r="FV114"/>
      <c r="FW114"/>
      <c r="FX114"/>
      <c r="FY114"/>
      <c r="GA114"/>
      <c r="GB114"/>
      <c r="GC114"/>
      <c r="GD114"/>
      <c r="GE114"/>
      <c r="GF114"/>
      <c r="GG114"/>
      <c r="GI114"/>
      <c r="GJ114"/>
      <c r="GK114"/>
      <c r="GL114"/>
      <c r="GM114"/>
      <c r="GN114"/>
      <c r="GO114"/>
      <c r="IY114"/>
      <c r="IZ114"/>
      <c r="JA114"/>
      <c r="JB114"/>
      <c r="JC114"/>
      <c r="JD114"/>
      <c r="JE114" s="2">
        <f>+Tabla520212224[[#This Row],[Recuento]]*Tabla520212224[[#This Row],[Volúmen bruto]]</f>
        <v>0</v>
      </c>
      <c r="JF114" s="2">
        <f>+Tabla520212224[[#This Row],[Recuento]]*Tabla520212224[[#This Row],[Área neta]]</f>
        <v>0</v>
      </c>
      <c r="JG114" s="26"/>
      <c r="JI114"/>
      <c r="JJ114"/>
      <c r="JK114"/>
      <c r="JL114"/>
      <c r="JM114"/>
      <c r="JN114"/>
      <c r="JO114" s="2">
        <f>+Tabla52021222425[[#This Row],[Recuento]]*Tabla52021222425[[#This Row],[Volúmen bruto]]</f>
        <v>0</v>
      </c>
      <c r="JP114" s="2">
        <f>+Tabla52021222425[[#This Row],[Recuento]]*Tabla52021222425[[#This Row],[Área neta]]</f>
        <v>0</v>
      </c>
      <c r="JQ114" s="26"/>
      <c r="JS114"/>
      <c r="JT114"/>
      <c r="JU114"/>
      <c r="JV114"/>
      <c r="JW114"/>
      <c r="JX114"/>
      <c r="JY114" s="2">
        <f>+Tabla5202122242526[[#This Row],[Recuento]]*Tabla5202122242526[[#This Row],[Volúmen bruto]]</f>
        <v>0</v>
      </c>
      <c r="JZ114" s="2">
        <f>+Tabla5202122242526[[#This Row],[Recuento]]*Tabla5202122242526[[#This Row],[Área neta]]</f>
        <v>0</v>
      </c>
      <c r="KA114" s="26"/>
      <c r="KC114"/>
      <c r="KD114"/>
      <c r="KE114"/>
      <c r="KF114"/>
      <c r="KG114"/>
      <c r="KH114"/>
      <c r="KI114" s="2">
        <f>+Tabla5202122242526104[[#This Row],[Recuento]]*Tabla5202122242526104[[#This Row],[Volúmen bruto]]</f>
        <v>0</v>
      </c>
      <c r="KJ114" s="2">
        <f>+Tabla5202122242526104[[#This Row],[Recuento]]*Tabla5202122242526104[[#This Row],[Área neta]]</f>
        <v>0</v>
      </c>
      <c r="KK114" s="26"/>
      <c r="KM114"/>
      <c r="KN114"/>
      <c r="KO114"/>
      <c r="KP114"/>
      <c r="KQ114"/>
      <c r="KR114"/>
      <c r="KS114" s="2">
        <f>+Tabla5202122242526104110[[#This Row],[Recuento]]*Tabla5202122242526104110[[#This Row],[Volúmen bruto]]</f>
        <v>0</v>
      </c>
      <c r="KT114" s="2">
        <f>+Tabla5202122242526104110[[#This Row],[Recuento]]*Tabla5202122242526104110[[#This Row],[Área neta]]</f>
        <v>0</v>
      </c>
      <c r="KU114" s="26"/>
      <c r="KW114"/>
      <c r="KX114"/>
      <c r="KY114"/>
      <c r="KZ114"/>
      <c r="LA114"/>
      <c r="LB114"/>
      <c r="LC114" s="2">
        <f>+Tabla520212224252659[[#This Row],[Recuento]]*Tabla520212224252659[[#This Row],[Volúmen bruto]]</f>
        <v>0</v>
      </c>
      <c r="LD114" s="2">
        <f>+Tabla520212224252659[[#This Row],[Recuento]]*Tabla520212224252659[[#This Row],[Área neta]]</f>
        <v>0</v>
      </c>
      <c r="LE114" s="26"/>
      <c r="LG114"/>
      <c r="LH114"/>
      <c r="LI114"/>
      <c r="LJ114"/>
      <c r="LK114"/>
      <c r="LL114"/>
      <c r="LM114" s="2">
        <f>+Tabla520212224252659111[[#This Row],[Recuento]]*Tabla520212224252659111[[#This Row],[Volúmen bruto]]</f>
        <v>0</v>
      </c>
      <c r="LN114" s="2">
        <f>+Tabla520212224252659111[[#This Row],[Recuento]]*Tabla520212224252659111[[#This Row],[Área neta]]</f>
        <v>0</v>
      </c>
      <c r="LO114" s="26"/>
      <c r="LQ114"/>
      <c r="LR114"/>
      <c r="LS114"/>
      <c r="LT114"/>
      <c r="LU114"/>
      <c r="LV114"/>
      <c r="LW114" s="2">
        <f>+Tabla520212224252659111114[[#This Row],[Recuento]]*Tabla520212224252659111114[[#This Row],[Volúmen bruto]]</f>
        <v>0</v>
      </c>
      <c r="LX114" s="2">
        <f>+Tabla520212224252659111114[[#This Row],[Recuento]]*Tabla520212224252659111114[[#This Row],[Área neta]]</f>
        <v>0</v>
      </c>
      <c r="LY114" s="26"/>
      <c r="MA114"/>
      <c r="MB114"/>
      <c r="MC114"/>
      <c r="MD114"/>
      <c r="ME114"/>
      <c r="MF114"/>
      <c r="MG114" s="2">
        <f>+Tabla520212224252659111114128[[#This Row],[Recuento]]*Tabla520212224252659111114128[[#This Row],[Volúmen bruto]]</f>
        <v>0</v>
      </c>
      <c r="MH114" s="2">
        <f>+Tabla520212224252659111114128[[#This Row],[Recuento]]*Tabla520212224252659111114128[[#This Row],[Área neta]]</f>
        <v>0</v>
      </c>
      <c r="MI114" s="26"/>
      <c r="MK114"/>
      <c r="ML114"/>
      <c r="MM114"/>
      <c r="MN114"/>
      <c r="MO114"/>
      <c r="MP114"/>
      <c r="MQ114" s="2">
        <f>+Tabla520212224252627[[#This Row],[Recuento]]*Tabla520212224252627[[#This Row],[Volúmen bruto]]</f>
        <v>0</v>
      </c>
      <c r="MR114" s="2">
        <f>+Tabla520212224252627[[#This Row],[Recuento]]*Tabla520212224252627[[#This Row],[Área neta]]</f>
        <v>0</v>
      </c>
      <c r="MS114" s="26"/>
      <c r="MU114"/>
      <c r="MV114"/>
      <c r="MW114"/>
      <c r="MX114"/>
      <c r="MY114"/>
      <c r="MZ114"/>
      <c r="NA114" s="2">
        <f>+Tabla520212224252627129[[#This Row],[Recuento]]*Tabla520212224252627129[[#This Row],[Volúmen bruto]]</f>
        <v>0</v>
      </c>
      <c r="NB114" s="2">
        <f>+Tabla520212224252627129[[#This Row],[Recuento]]*Tabla520212224252627129[[#This Row],[Área neta]]</f>
        <v>0</v>
      </c>
      <c r="NC114" s="26"/>
      <c r="NE114"/>
      <c r="NF114"/>
      <c r="NG114"/>
      <c r="NH114"/>
      <c r="NI114"/>
      <c r="NJ114"/>
      <c r="NK114" s="2">
        <f>+Tabla520212224252627129125[[#This Row],[Recuento]]*Tabla520212224252627129125[[#This Row],[Volúmen bruto]]</f>
        <v>0</v>
      </c>
      <c r="NL114" s="2">
        <f>+Tabla520212224252627129125[[#This Row],[Recuento]]*Tabla520212224252627129125[[#This Row],[Área neta]]</f>
        <v>0</v>
      </c>
      <c r="NM114" s="26"/>
      <c r="NO114"/>
      <c r="NP114"/>
      <c r="NQ114"/>
      <c r="NR114"/>
      <c r="NS114"/>
      <c r="NT114"/>
      <c r="NU114" s="2">
        <f>+Tabla520212224252627129125130[[#This Row],[Recuento]]*Tabla520212224252627129125130[[#This Row],[Volúmen bruto]]</f>
        <v>0</v>
      </c>
      <c r="NV114" s="2">
        <f>+Tabla520212224252627129125130[[#This Row],[Recuento]]*Tabla520212224252627129125130[[#This Row],[Área neta]]</f>
        <v>0</v>
      </c>
      <c r="NW114" s="26"/>
      <c r="NY114"/>
      <c r="NZ114"/>
      <c r="OA114"/>
      <c r="OB114"/>
      <c r="OC114"/>
      <c r="OD114"/>
      <c r="OE114" s="2">
        <f>+Tabla520212224252627129125130131[[#This Row],[Recuento]]*Tabla520212224252627129125130131[[#This Row],[Volúmen bruto]]</f>
        <v>0</v>
      </c>
      <c r="OF114" s="2">
        <f>+Tabla520212224252627129125130131[[#This Row],[Recuento]]*Tabla520212224252627129125130131[[#This Row],[Área neta]]</f>
        <v>0</v>
      </c>
      <c r="OG114" s="26"/>
      <c r="OI114"/>
      <c r="OJ114"/>
      <c r="OK114"/>
      <c r="OL114"/>
      <c r="OM114"/>
      <c r="ON114"/>
      <c r="OO114" s="2">
        <f>+Tabla520212224252627129125130131132[[#This Row],[Recuento]]*Tabla520212224252627129125130131132[[#This Row],[Volúmen bruto]]</f>
        <v>0</v>
      </c>
      <c r="OP114" s="2">
        <f>+Tabla520212224252627129125130131132[[#This Row],[Recuento]]*Tabla520212224252627129125130131132[[#This Row],[Área neta]]</f>
        <v>0</v>
      </c>
      <c r="OQ114" s="26"/>
      <c r="OS114"/>
      <c r="OT114"/>
      <c r="OU114"/>
      <c r="OV114"/>
      <c r="OW114"/>
      <c r="OX114"/>
      <c r="OY114" s="2">
        <f>+Tabla52021222425262728[[#This Row],[Recuento]]*Tabla52021222425262728[[#This Row],[Volúmen bruto]]</f>
        <v>0</v>
      </c>
      <c r="OZ114" s="2">
        <f>+Tabla52021222425262728[[#This Row],[Recuento]]*Tabla52021222425262728[[#This Row],[Área neta]]</f>
        <v>0</v>
      </c>
      <c r="PA114" s="26">
        <f t="shared" si="44"/>
        <v>0</v>
      </c>
      <c r="PC114"/>
      <c r="PD114"/>
      <c r="PE114"/>
      <c r="PF114"/>
      <c r="PG114"/>
      <c r="PH114"/>
      <c r="PI114" s="2">
        <f>+Tabla52021222425262728133[[#This Row],[Recuento]]*Tabla52021222425262728133[[#This Row],[Volúmen bruto]]</f>
        <v>0</v>
      </c>
      <c r="PJ114" s="2">
        <f>+Tabla52021222425262728133[[#This Row],[Recuento]]*Tabla52021222425262728133[[#This Row],[Área neta]]</f>
        <v>0</v>
      </c>
      <c r="PK114" s="26">
        <f t="shared" si="47"/>
        <v>0</v>
      </c>
      <c r="PM114"/>
      <c r="PN114"/>
      <c r="PO114"/>
      <c r="PP114"/>
      <c r="PQ114"/>
      <c r="PR114"/>
      <c r="PS114" s="2">
        <f>+Tabla5202122242526272893[[#This Row],[Recuento]]*Tabla5202122242526272893[[#This Row],[Volúmen bruto]]</f>
        <v>0</v>
      </c>
      <c r="PT114" s="2">
        <f>+Tabla5202122242526272893[[#This Row],[Recuento]]*Tabla5202122242526272893[[#This Row],[Área neta]]</f>
        <v>0</v>
      </c>
      <c r="PU114" s="26"/>
      <c r="PW114"/>
      <c r="PX114"/>
      <c r="PY114"/>
      <c r="PZ114"/>
      <c r="QA114"/>
      <c r="QB114"/>
      <c r="QC114" s="2">
        <f>+Tabla520212224252627289349[[#This Row],[Recuento]]*Tabla520212224252627289349[[#This Row],[Volúmen bruto]]</f>
        <v>0</v>
      </c>
      <c r="QD114" s="2">
        <f>+Tabla520212224252627289349[[#This Row],[Recuento]]*Tabla520212224252627289349[[#This Row],[Área neta]]</f>
        <v>0</v>
      </c>
      <c r="QE114" s="26"/>
      <c r="QG114"/>
      <c r="QH114"/>
      <c r="QI114"/>
      <c r="QJ114"/>
      <c r="QK114"/>
      <c r="QL114"/>
      <c r="QM114" s="2">
        <f>+Tabla520212224252627289349134[[#This Row],[Recuento]]*Tabla520212224252627289349134[[#This Row],[Volúmen bruto]]</f>
        <v>0</v>
      </c>
      <c r="QN114" s="2">
        <f>+Tabla520212224252627289349134[[#This Row],[Recuento]]*Tabla520212224252627289349134[[#This Row],[Área neta]]</f>
        <v>0</v>
      </c>
      <c r="QO114" s="26"/>
      <c r="QQ114"/>
      <c r="QR114"/>
      <c r="QS114"/>
      <c r="QT114"/>
      <c r="QU114"/>
      <c r="QV114"/>
      <c r="QW114"/>
      <c r="RA114" s="26"/>
      <c r="RC114"/>
      <c r="RD114"/>
      <c r="RE114"/>
      <c r="RF114"/>
      <c r="RG114"/>
      <c r="RH114"/>
      <c r="RK114" s="26"/>
      <c r="RM114"/>
      <c r="RN114"/>
      <c r="RO114"/>
      <c r="RP114"/>
      <c r="RQ114"/>
      <c r="RR114"/>
      <c r="RU114" s="26">
        <f t="shared" si="45"/>
        <v>0</v>
      </c>
      <c r="RW114"/>
      <c r="RX114"/>
      <c r="RY114"/>
      <c r="RZ114"/>
      <c r="SA114"/>
      <c r="SB114"/>
      <c r="SE114" s="26"/>
      <c r="SG114"/>
      <c r="SH114"/>
      <c r="SI114"/>
      <c r="SJ114"/>
      <c r="SK114"/>
      <c r="SL114"/>
      <c r="SO114" s="26"/>
      <c r="YK114"/>
      <c r="YL114"/>
      <c r="YM114"/>
      <c r="YN114"/>
      <c r="YO114"/>
      <c r="ADJ114"/>
      <c r="ADK114"/>
      <c r="ADL114"/>
      <c r="ADM114"/>
      <c r="ADN114"/>
      <c r="ADO114"/>
      <c r="ADP114" s="36"/>
      <c r="ADR114"/>
      <c r="ADS114"/>
      <c r="ADT114"/>
      <c r="ADU114"/>
      <c r="ADW114" s="35"/>
      <c r="ADX114" s="35"/>
      <c r="AEN114"/>
      <c r="AEO114"/>
      <c r="AEP114"/>
      <c r="AEQ114"/>
      <c r="AER114"/>
      <c r="AES114" s="2" t="e">
        <f>+Tabla5789141516343536373839404142434445464748495051525355606264[[#This Row],[Recuento]]*#REF!</f>
        <v>#REF!</v>
      </c>
      <c r="AET114" s="36"/>
      <c r="AFI114"/>
      <c r="AFJ114"/>
      <c r="AFK114"/>
      <c r="AFL114"/>
      <c r="AFM114"/>
      <c r="AFN114">
        <f>+Tabla578914151634353637383940414243444546474849505152535560626467[[#This Row],[G. Total]]*Tabla578914151634353637383940414243444546474849505152535560626467[[#This Row],[Recuento]]</f>
        <v>0</v>
      </c>
      <c r="AFO114" s="35"/>
    </row>
    <row r="115" spans="59:847" x14ac:dyDescent="0.25">
      <c r="BG115"/>
      <c r="BH115"/>
      <c r="BI115"/>
      <c r="BJ115"/>
      <c r="BK115"/>
      <c r="BL115">
        <f>+Tabla3102[[#This Row],[Longitud de eje]]*BF115</f>
        <v>0</v>
      </c>
      <c r="BM115">
        <f>+Tabla3102[[#This Row],[Longitud de eje]]*BG115</f>
        <v>0</v>
      </c>
      <c r="BO115"/>
      <c r="BP115"/>
      <c r="BQ115"/>
      <c r="BR115"/>
      <c r="BS115"/>
      <c r="BT115"/>
      <c r="BU115"/>
      <c r="BV115">
        <v>1</v>
      </c>
      <c r="BW115"/>
      <c r="BX115"/>
      <c r="BY115"/>
      <c r="BZ115"/>
      <c r="CA115"/>
      <c r="CB115">
        <f>+Tabla31011[[#This Row],[Longitud de eje]]*BV115</f>
        <v>0</v>
      </c>
      <c r="CD115">
        <v>1</v>
      </c>
      <c r="CE115"/>
      <c r="CF115"/>
      <c r="CG115"/>
      <c r="CH115"/>
      <c r="CI115"/>
      <c r="CJ115"/>
      <c r="CK115"/>
      <c r="CL115">
        <v>1</v>
      </c>
      <c r="CM115"/>
      <c r="CN115"/>
      <c r="CO115"/>
      <c r="CP115"/>
      <c r="CQ115"/>
      <c r="CR115">
        <f>+Tabla31011116[[#This Row],[Longitud de eje]]*CL115</f>
        <v>0</v>
      </c>
      <c r="CT115">
        <v>1</v>
      </c>
      <c r="CU115"/>
      <c r="CV115"/>
      <c r="CW115"/>
      <c r="CX115"/>
      <c r="CY115"/>
      <c r="CZ115"/>
      <c r="DA115"/>
      <c r="DB115">
        <v>1</v>
      </c>
      <c r="DC115"/>
      <c r="DD115"/>
      <c r="DE115"/>
      <c r="DF115"/>
      <c r="DG115">
        <f>+Tabla31011704[[#This Row],[Longitud de eje]]*DB115</f>
        <v>0</v>
      </c>
      <c r="DH115"/>
      <c r="DI115">
        <v>1</v>
      </c>
      <c r="DJ115"/>
      <c r="DK115"/>
      <c r="DL115"/>
      <c r="DM115"/>
      <c r="DN115">
        <f>+Tabla3101170411[[#This Row],[Longitud de eje]]*DI115</f>
        <v>0</v>
      </c>
      <c r="DO115"/>
      <c r="DP115">
        <v>1</v>
      </c>
      <c r="DQ115"/>
      <c r="DR115"/>
      <c r="DS115"/>
      <c r="DT115"/>
      <c r="DU115">
        <f>+Tabla3101170411120[[#This Row],[Longitud de eje]]*DP115</f>
        <v>0</v>
      </c>
      <c r="DV115"/>
      <c r="DW115">
        <v>1</v>
      </c>
      <c r="DX115"/>
      <c r="DY115"/>
      <c r="DZ115"/>
      <c r="EA115"/>
      <c r="EB115">
        <f>+Tabla3101170411120122[[#This Row],[Longitud de eje]]*DW115</f>
        <v>0</v>
      </c>
      <c r="EC115"/>
      <c r="EE115"/>
      <c r="EF115"/>
      <c r="EG115"/>
      <c r="EH115"/>
      <c r="EI115"/>
      <c r="EJ115">
        <f>+Tabla3101112[[#This Row],[En culmo]]*ED115</f>
        <v>0</v>
      </c>
      <c r="EK115"/>
      <c r="EM115"/>
      <c r="EN115"/>
      <c r="EO115"/>
      <c r="EP115"/>
      <c r="EQ115"/>
      <c r="ER115">
        <f>+Tabla3101112123[[#This Row],[En culmo]]*EL115</f>
        <v>0</v>
      </c>
      <c r="ES115"/>
      <c r="EU115"/>
      <c r="EV115"/>
      <c r="EW115"/>
      <c r="EX115"/>
      <c r="EY115"/>
      <c r="EZ115">
        <f>+Tabla310111257[[#This Row],[En culmo]]*ET115</f>
        <v>0</v>
      </c>
      <c r="FA115"/>
      <c r="FC115"/>
      <c r="FD115"/>
      <c r="FE115"/>
      <c r="FF115"/>
      <c r="FG115"/>
      <c r="FH115">
        <f>+Tabla310111257124[[#This Row],[En culmo]]*FB115</f>
        <v>0</v>
      </c>
      <c r="FI115"/>
      <c r="FK115"/>
      <c r="FL115"/>
      <c r="FM115"/>
      <c r="FN115"/>
      <c r="FO115"/>
      <c r="FP115"/>
      <c r="FQ115"/>
      <c r="FS115"/>
      <c r="FT115"/>
      <c r="FU115"/>
      <c r="FV115"/>
      <c r="FW115"/>
      <c r="FX115"/>
      <c r="FY115"/>
      <c r="GA115"/>
      <c r="GB115"/>
      <c r="GC115"/>
      <c r="GD115"/>
      <c r="GE115"/>
      <c r="GF115"/>
      <c r="GG115"/>
      <c r="GI115"/>
      <c r="GJ115"/>
      <c r="GK115"/>
      <c r="GL115"/>
      <c r="GM115"/>
      <c r="GN115"/>
      <c r="GO115"/>
      <c r="IY115"/>
      <c r="IZ115"/>
      <c r="JA115"/>
      <c r="JB115"/>
      <c r="JC115"/>
      <c r="JD115"/>
      <c r="JE115" s="2">
        <f>+Tabla520212224[[#This Row],[Recuento]]*Tabla520212224[[#This Row],[Volúmen bruto]]</f>
        <v>0</v>
      </c>
      <c r="JF115" s="2">
        <f>+Tabla520212224[[#This Row],[Recuento]]*Tabla520212224[[#This Row],[Área neta]]</f>
        <v>0</v>
      </c>
      <c r="JG115" s="26"/>
      <c r="JI115"/>
      <c r="JJ115"/>
      <c r="JK115"/>
      <c r="JL115"/>
      <c r="JM115"/>
      <c r="JN115"/>
      <c r="JO115" s="2">
        <f>+Tabla52021222425[[#This Row],[Recuento]]*Tabla52021222425[[#This Row],[Volúmen bruto]]</f>
        <v>0</v>
      </c>
      <c r="JP115" s="2">
        <f>+Tabla52021222425[[#This Row],[Recuento]]*Tabla52021222425[[#This Row],[Área neta]]</f>
        <v>0</v>
      </c>
      <c r="JQ115" s="26"/>
      <c r="JS115"/>
      <c r="JT115"/>
      <c r="JU115"/>
      <c r="JV115"/>
      <c r="JW115"/>
      <c r="JX115"/>
      <c r="JY115" s="2">
        <f>+Tabla5202122242526[[#This Row],[Recuento]]*Tabla5202122242526[[#This Row],[Volúmen bruto]]</f>
        <v>0</v>
      </c>
      <c r="JZ115" s="2">
        <f>+Tabla5202122242526[[#This Row],[Recuento]]*Tabla5202122242526[[#This Row],[Área neta]]</f>
        <v>0</v>
      </c>
      <c r="KA115" s="26"/>
      <c r="KC115"/>
      <c r="KD115"/>
      <c r="KE115"/>
      <c r="KF115"/>
      <c r="KG115"/>
      <c r="KH115"/>
      <c r="KI115" s="2">
        <f>+Tabla5202122242526104[[#This Row],[Recuento]]*Tabla5202122242526104[[#This Row],[Volúmen bruto]]</f>
        <v>0</v>
      </c>
      <c r="KJ115" s="2">
        <f>+Tabla5202122242526104[[#This Row],[Recuento]]*Tabla5202122242526104[[#This Row],[Área neta]]</f>
        <v>0</v>
      </c>
      <c r="KK115" s="26"/>
      <c r="KM115"/>
      <c r="KN115"/>
      <c r="KO115"/>
      <c r="KP115"/>
      <c r="KQ115"/>
      <c r="KR115"/>
      <c r="KS115" s="2">
        <f>+Tabla5202122242526104110[[#This Row],[Recuento]]*Tabla5202122242526104110[[#This Row],[Volúmen bruto]]</f>
        <v>0</v>
      </c>
      <c r="KT115" s="2">
        <f>+Tabla5202122242526104110[[#This Row],[Recuento]]*Tabla5202122242526104110[[#This Row],[Área neta]]</f>
        <v>0</v>
      </c>
      <c r="KU115" s="26"/>
      <c r="KW115"/>
      <c r="KX115"/>
      <c r="KY115"/>
      <c r="KZ115"/>
      <c r="LA115"/>
      <c r="LB115"/>
      <c r="LC115" s="2">
        <f>+Tabla520212224252659[[#This Row],[Recuento]]*Tabla520212224252659[[#This Row],[Volúmen bruto]]</f>
        <v>0</v>
      </c>
      <c r="LD115" s="2">
        <f>+Tabla520212224252659[[#This Row],[Recuento]]*Tabla520212224252659[[#This Row],[Área neta]]</f>
        <v>0</v>
      </c>
      <c r="LE115" s="26"/>
      <c r="LG115"/>
      <c r="LH115"/>
      <c r="LI115"/>
      <c r="LJ115"/>
      <c r="LK115"/>
      <c r="LL115"/>
      <c r="LM115" s="2">
        <f>+Tabla520212224252659111[[#This Row],[Recuento]]*Tabla520212224252659111[[#This Row],[Volúmen bruto]]</f>
        <v>0</v>
      </c>
      <c r="LN115" s="2">
        <f>+Tabla520212224252659111[[#This Row],[Recuento]]*Tabla520212224252659111[[#This Row],[Área neta]]</f>
        <v>0</v>
      </c>
      <c r="LO115" s="26"/>
      <c r="LQ115"/>
      <c r="LR115"/>
      <c r="LS115"/>
      <c r="LT115"/>
      <c r="LU115"/>
      <c r="LV115"/>
      <c r="LW115" s="2">
        <f>+Tabla520212224252659111114[[#This Row],[Recuento]]*Tabla520212224252659111114[[#This Row],[Volúmen bruto]]</f>
        <v>0</v>
      </c>
      <c r="LX115" s="2">
        <f>+Tabla520212224252659111114[[#This Row],[Recuento]]*Tabla520212224252659111114[[#This Row],[Área neta]]</f>
        <v>0</v>
      </c>
      <c r="LY115" s="26"/>
      <c r="MA115"/>
      <c r="MB115"/>
      <c r="MC115"/>
      <c r="MD115"/>
      <c r="ME115"/>
      <c r="MF115"/>
      <c r="MG115" s="2">
        <f>+Tabla520212224252659111114128[[#This Row],[Recuento]]*Tabla520212224252659111114128[[#This Row],[Volúmen bruto]]</f>
        <v>0</v>
      </c>
      <c r="MH115" s="2">
        <f>+Tabla520212224252659111114128[[#This Row],[Recuento]]*Tabla520212224252659111114128[[#This Row],[Área neta]]</f>
        <v>0</v>
      </c>
      <c r="MI115" s="26"/>
      <c r="MK115"/>
      <c r="ML115"/>
      <c r="MM115"/>
      <c r="MN115"/>
      <c r="MO115"/>
      <c r="MP115"/>
      <c r="MQ115" s="2">
        <f>+Tabla520212224252627[[#This Row],[Recuento]]*Tabla520212224252627[[#This Row],[Volúmen bruto]]</f>
        <v>0</v>
      </c>
      <c r="MR115" s="2">
        <f>+Tabla520212224252627[[#This Row],[Recuento]]*Tabla520212224252627[[#This Row],[Área neta]]</f>
        <v>0</v>
      </c>
      <c r="MS115" s="26"/>
      <c r="MU115"/>
      <c r="MV115"/>
      <c r="MW115"/>
      <c r="MX115"/>
      <c r="MY115"/>
      <c r="MZ115"/>
      <c r="NA115" s="2">
        <f>+Tabla520212224252627129[[#This Row],[Recuento]]*Tabla520212224252627129[[#This Row],[Volúmen bruto]]</f>
        <v>0</v>
      </c>
      <c r="NB115" s="2">
        <f>+Tabla520212224252627129[[#This Row],[Recuento]]*Tabla520212224252627129[[#This Row],[Área neta]]</f>
        <v>0</v>
      </c>
      <c r="NC115" s="26"/>
      <c r="NE115"/>
      <c r="NF115"/>
      <c r="NG115"/>
      <c r="NH115"/>
      <c r="NI115"/>
      <c r="NJ115"/>
      <c r="NK115" s="2">
        <f>+Tabla520212224252627129125[[#This Row],[Recuento]]*Tabla520212224252627129125[[#This Row],[Volúmen bruto]]</f>
        <v>0</v>
      </c>
      <c r="NL115" s="2">
        <f>+Tabla520212224252627129125[[#This Row],[Recuento]]*Tabla520212224252627129125[[#This Row],[Área neta]]</f>
        <v>0</v>
      </c>
      <c r="NM115" s="26"/>
      <c r="NO115"/>
      <c r="NP115"/>
      <c r="NQ115"/>
      <c r="NR115"/>
      <c r="NS115"/>
      <c r="NT115"/>
      <c r="NU115" s="2">
        <f>+Tabla520212224252627129125130[[#This Row],[Recuento]]*Tabla520212224252627129125130[[#This Row],[Volúmen bruto]]</f>
        <v>0</v>
      </c>
      <c r="NV115" s="2">
        <f>+Tabla520212224252627129125130[[#This Row],[Recuento]]*Tabla520212224252627129125130[[#This Row],[Área neta]]</f>
        <v>0</v>
      </c>
      <c r="NW115" s="26"/>
      <c r="NY115"/>
      <c r="NZ115"/>
      <c r="OA115"/>
      <c r="OB115"/>
      <c r="OC115"/>
      <c r="OD115"/>
      <c r="OE115" s="2">
        <f>+Tabla520212224252627129125130131[[#This Row],[Recuento]]*Tabla520212224252627129125130131[[#This Row],[Volúmen bruto]]</f>
        <v>0</v>
      </c>
      <c r="OF115" s="2">
        <f>+Tabla520212224252627129125130131[[#This Row],[Recuento]]*Tabla520212224252627129125130131[[#This Row],[Área neta]]</f>
        <v>0</v>
      </c>
      <c r="OG115" s="26"/>
      <c r="OI115"/>
      <c r="OJ115"/>
      <c r="OK115"/>
      <c r="OL115"/>
      <c r="OM115"/>
      <c r="ON115"/>
      <c r="OO115" s="2">
        <f>+Tabla520212224252627129125130131132[[#This Row],[Recuento]]*Tabla520212224252627129125130131132[[#This Row],[Volúmen bruto]]</f>
        <v>0</v>
      </c>
      <c r="OP115" s="2">
        <f>+Tabla520212224252627129125130131132[[#This Row],[Recuento]]*Tabla520212224252627129125130131132[[#This Row],[Área neta]]</f>
        <v>0</v>
      </c>
      <c r="OQ115" s="26"/>
      <c r="OS115"/>
      <c r="OT115"/>
      <c r="OU115"/>
      <c r="OV115"/>
      <c r="OW115"/>
      <c r="OX115"/>
      <c r="OY115" s="2">
        <f>+Tabla52021222425262728[[#This Row],[Recuento]]*Tabla52021222425262728[[#This Row],[Volúmen bruto]]</f>
        <v>0</v>
      </c>
      <c r="OZ115" s="2">
        <f>+Tabla52021222425262728[[#This Row],[Recuento]]*Tabla52021222425262728[[#This Row],[Área neta]]</f>
        <v>0</v>
      </c>
      <c r="PA115" s="26">
        <f t="shared" si="44"/>
        <v>0</v>
      </c>
      <c r="PC115"/>
      <c r="PD115"/>
      <c r="PE115"/>
      <c r="PF115"/>
      <c r="PG115"/>
      <c r="PH115"/>
      <c r="PI115" s="2">
        <f>+Tabla52021222425262728133[[#This Row],[Recuento]]*Tabla52021222425262728133[[#This Row],[Volúmen bruto]]</f>
        <v>0</v>
      </c>
      <c r="PJ115" s="2">
        <f>+Tabla52021222425262728133[[#This Row],[Recuento]]*Tabla52021222425262728133[[#This Row],[Área neta]]</f>
        <v>0</v>
      </c>
      <c r="PK115" s="26">
        <f t="shared" si="47"/>
        <v>0</v>
      </c>
      <c r="PM115"/>
      <c r="PN115"/>
      <c r="PO115"/>
      <c r="PP115"/>
      <c r="PQ115"/>
      <c r="PR115"/>
      <c r="PS115" s="2">
        <f>+Tabla5202122242526272893[[#This Row],[Recuento]]*Tabla5202122242526272893[[#This Row],[Volúmen bruto]]</f>
        <v>0</v>
      </c>
      <c r="PT115" s="2">
        <f>+Tabla5202122242526272893[[#This Row],[Recuento]]*Tabla5202122242526272893[[#This Row],[Área neta]]</f>
        <v>0</v>
      </c>
      <c r="PU115" s="26"/>
      <c r="PW115"/>
      <c r="PX115"/>
      <c r="PY115"/>
      <c r="PZ115"/>
      <c r="QA115"/>
      <c r="QB115"/>
      <c r="QC115" s="2">
        <f>+Tabla520212224252627289349[[#This Row],[Recuento]]*Tabla520212224252627289349[[#This Row],[Volúmen bruto]]</f>
        <v>0</v>
      </c>
      <c r="QD115" s="2">
        <f>+Tabla520212224252627289349[[#This Row],[Recuento]]*Tabla520212224252627289349[[#This Row],[Área neta]]</f>
        <v>0</v>
      </c>
      <c r="QE115" s="26"/>
      <c r="QG115"/>
      <c r="QH115"/>
      <c r="QI115"/>
      <c r="QJ115"/>
      <c r="QK115"/>
      <c r="QL115"/>
      <c r="QM115" s="2">
        <f>+Tabla520212224252627289349134[[#This Row],[Recuento]]*Tabla520212224252627289349134[[#This Row],[Volúmen bruto]]</f>
        <v>0</v>
      </c>
      <c r="QN115" s="2">
        <f>+Tabla520212224252627289349134[[#This Row],[Recuento]]*Tabla520212224252627289349134[[#This Row],[Área neta]]</f>
        <v>0</v>
      </c>
      <c r="QO115" s="26"/>
      <c r="QQ115"/>
      <c r="QR115"/>
      <c r="QS115"/>
      <c r="QT115"/>
      <c r="QU115"/>
      <c r="QV115"/>
      <c r="QW115"/>
      <c r="RA115" s="26"/>
      <c r="RC115"/>
      <c r="RD115"/>
      <c r="RE115"/>
      <c r="RF115"/>
      <c r="RG115"/>
      <c r="RH115"/>
      <c r="RK115" s="26"/>
      <c r="RM115"/>
      <c r="RN115"/>
      <c r="RO115"/>
      <c r="RP115"/>
      <c r="RQ115"/>
      <c r="RR115"/>
      <c r="RU115" s="26">
        <f t="shared" si="45"/>
        <v>0</v>
      </c>
      <c r="RW115"/>
      <c r="RX115"/>
      <c r="RY115"/>
      <c r="RZ115"/>
      <c r="SA115"/>
      <c r="SB115"/>
      <c r="SE115" s="26"/>
      <c r="SG115"/>
      <c r="SH115"/>
      <c r="SI115"/>
      <c r="SJ115"/>
      <c r="SK115"/>
      <c r="SL115"/>
      <c r="SO115" s="26"/>
      <c r="YK115"/>
      <c r="YL115"/>
      <c r="YM115"/>
      <c r="YN115"/>
      <c r="YO115"/>
      <c r="ADJ115"/>
      <c r="ADK115"/>
      <c r="ADL115"/>
      <c r="ADM115"/>
      <c r="ADN115"/>
      <c r="ADO115"/>
      <c r="ADP115" s="36"/>
      <c r="ADR115"/>
      <c r="ADS115"/>
      <c r="ADT115"/>
      <c r="ADU115"/>
      <c r="ADW115" s="35"/>
      <c r="ADX115" s="35"/>
      <c r="AFI115"/>
      <c r="AFJ115"/>
      <c r="AFK115"/>
      <c r="AFL115"/>
      <c r="AFM115"/>
      <c r="AFN115">
        <f>+Tabla578914151634353637383940414243444546474849505152535560626467[[#This Row],[G. Total]]*Tabla578914151634353637383940414243444546474849505152535560626467[[#This Row],[Recuento]]</f>
        <v>0</v>
      </c>
      <c r="AFO115" s="36"/>
    </row>
    <row r="116" spans="59:847" x14ac:dyDescent="0.25">
      <c r="BG116"/>
      <c r="BH116"/>
      <c r="BI116"/>
      <c r="BJ116"/>
      <c r="BK116"/>
      <c r="BL116">
        <f>+Tabla3102[[#This Row],[Longitud de eje]]*BF116</f>
        <v>0</v>
      </c>
      <c r="BM116">
        <f>+Tabla3102[[#This Row],[Longitud de eje]]*BG116</f>
        <v>0</v>
      </c>
      <c r="BO116"/>
      <c r="BP116"/>
      <c r="BQ116"/>
      <c r="BR116"/>
      <c r="BS116"/>
      <c r="BT116"/>
      <c r="BU116"/>
      <c r="BV116">
        <v>1</v>
      </c>
      <c r="BW116"/>
      <c r="BX116"/>
      <c r="BY116"/>
      <c r="BZ116"/>
      <c r="CA116"/>
      <c r="CB116">
        <f>+Tabla31011[[#This Row],[Longitud de eje]]*BV116</f>
        <v>0</v>
      </c>
      <c r="CD116">
        <v>1</v>
      </c>
      <c r="CE116"/>
      <c r="CF116"/>
      <c r="CG116"/>
      <c r="CH116"/>
      <c r="CI116"/>
      <c r="CJ116"/>
      <c r="CK116"/>
      <c r="CL116">
        <v>1</v>
      </c>
      <c r="CM116"/>
      <c r="CN116"/>
      <c r="CO116"/>
      <c r="CP116"/>
      <c r="CQ116"/>
      <c r="CR116">
        <f>+Tabla31011116[[#This Row],[Longitud de eje]]*CL116</f>
        <v>0</v>
      </c>
      <c r="CT116">
        <v>1</v>
      </c>
      <c r="CU116"/>
      <c r="CV116"/>
      <c r="CW116"/>
      <c r="CX116"/>
      <c r="CY116"/>
      <c r="CZ116"/>
      <c r="DA116"/>
      <c r="DB116">
        <v>1</v>
      </c>
      <c r="DC116"/>
      <c r="DD116"/>
      <c r="DE116"/>
      <c r="DF116"/>
      <c r="DG116">
        <f>+Tabla31011704[[#This Row],[Longitud de eje]]*DB116</f>
        <v>0</v>
      </c>
      <c r="DH116"/>
      <c r="DI116">
        <v>1</v>
      </c>
      <c r="DJ116"/>
      <c r="DK116"/>
      <c r="DL116"/>
      <c r="DM116"/>
      <c r="DN116">
        <f>+Tabla3101170411[[#This Row],[Longitud de eje]]*DI116</f>
        <v>0</v>
      </c>
      <c r="DO116"/>
      <c r="DP116">
        <v>1</v>
      </c>
      <c r="DQ116"/>
      <c r="DR116"/>
      <c r="DS116"/>
      <c r="DT116"/>
      <c r="DU116">
        <f>+Tabla3101170411120[[#This Row],[Longitud de eje]]*DP116</f>
        <v>0</v>
      </c>
      <c r="DV116"/>
      <c r="DW116">
        <v>1</v>
      </c>
      <c r="DX116"/>
      <c r="DY116"/>
      <c r="DZ116"/>
      <c r="EA116"/>
      <c r="EB116">
        <f>+Tabla3101170411120122[[#This Row],[Longitud de eje]]*DW116</f>
        <v>0</v>
      </c>
      <c r="EC116"/>
      <c r="EE116"/>
      <c r="EF116"/>
      <c r="EG116"/>
      <c r="EH116"/>
      <c r="EI116"/>
      <c r="EJ116">
        <f>+Tabla3101112[[#This Row],[En culmo]]*ED116</f>
        <v>0</v>
      </c>
      <c r="EK116"/>
      <c r="EM116"/>
      <c r="EN116"/>
      <c r="EO116"/>
      <c r="EP116"/>
      <c r="EQ116"/>
      <c r="ER116">
        <f>+Tabla3101112123[[#This Row],[En culmo]]*EL116</f>
        <v>0</v>
      </c>
      <c r="ES116"/>
      <c r="EU116"/>
      <c r="EV116"/>
      <c r="EW116"/>
      <c r="EX116"/>
      <c r="EY116"/>
      <c r="EZ116">
        <f>+Tabla310111257[[#This Row],[En culmo]]*ET116</f>
        <v>0</v>
      </c>
      <c r="FA116"/>
      <c r="FC116"/>
      <c r="FD116"/>
      <c r="FE116"/>
      <c r="FF116"/>
      <c r="FG116"/>
      <c r="FH116">
        <f>+Tabla310111257124[[#This Row],[En culmo]]*FB116</f>
        <v>0</v>
      </c>
      <c r="FI116"/>
      <c r="FK116"/>
      <c r="FL116"/>
      <c r="FM116"/>
      <c r="FN116"/>
      <c r="FO116"/>
      <c r="FP116"/>
      <c r="FQ116"/>
      <c r="FS116"/>
      <c r="FT116"/>
      <c r="FU116"/>
      <c r="FV116"/>
      <c r="FW116"/>
      <c r="FX116"/>
      <c r="FY116"/>
      <c r="GA116"/>
      <c r="GB116"/>
      <c r="GC116"/>
      <c r="GD116"/>
      <c r="GE116"/>
      <c r="GF116"/>
      <c r="GG116"/>
      <c r="GI116"/>
      <c r="GJ116"/>
      <c r="GK116"/>
      <c r="GL116"/>
      <c r="GM116"/>
      <c r="GN116"/>
      <c r="GO116"/>
      <c r="IY116"/>
      <c r="IZ116"/>
      <c r="JA116"/>
      <c r="JB116"/>
      <c r="JC116"/>
      <c r="JD116"/>
      <c r="JE116" s="2">
        <f>+Tabla520212224[[#This Row],[Recuento]]*Tabla520212224[[#This Row],[Volúmen bruto]]</f>
        <v>0</v>
      </c>
      <c r="JF116" s="2">
        <f>+Tabla520212224[[#This Row],[Recuento]]*Tabla520212224[[#This Row],[Área neta]]</f>
        <v>0</v>
      </c>
      <c r="JG116" s="26"/>
      <c r="JI116"/>
      <c r="JJ116"/>
      <c r="JK116"/>
      <c r="JL116"/>
      <c r="JM116"/>
      <c r="JN116"/>
      <c r="JO116" s="2">
        <f>+Tabla52021222425[[#This Row],[Recuento]]*Tabla52021222425[[#This Row],[Volúmen bruto]]</f>
        <v>0</v>
      </c>
      <c r="JP116" s="2">
        <f>+Tabla52021222425[[#This Row],[Recuento]]*Tabla52021222425[[#This Row],[Área neta]]</f>
        <v>0</v>
      </c>
      <c r="JQ116" s="26"/>
      <c r="JS116"/>
      <c r="JT116"/>
      <c r="JU116"/>
      <c r="JV116"/>
      <c r="JW116"/>
      <c r="JX116"/>
      <c r="JY116" s="2">
        <f>+Tabla5202122242526[[#This Row],[Recuento]]*Tabla5202122242526[[#This Row],[Volúmen bruto]]</f>
        <v>0</v>
      </c>
      <c r="JZ116" s="2">
        <f>+Tabla5202122242526[[#This Row],[Recuento]]*Tabla5202122242526[[#This Row],[Área neta]]</f>
        <v>0</v>
      </c>
      <c r="KA116" s="26"/>
      <c r="KC116"/>
      <c r="KD116"/>
      <c r="KE116"/>
      <c r="KF116"/>
      <c r="KG116"/>
      <c r="KH116"/>
      <c r="KI116" s="2">
        <f>+Tabla5202122242526104[[#This Row],[Recuento]]*Tabla5202122242526104[[#This Row],[Volúmen bruto]]</f>
        <v>0</v>
      </c>
      <c r="KJ116" s="2">
        <f>+Tabla5202122242526104[[#This Row],[Recuento]]*Tabla5202122242526104[[#This Row],[Área neta]]</f>
        <v>0</v>
      </c>
      <c r="KK116" s="26"/>
      <c r="KM116"/>
      <c r="KN116"/>
      <c r="KO116"/>
      <c r="KP116"/>
      <c r="KQ116"/>
      <c r="KR116"/>
      <c r="KS116" s="2">
        <f>+Tabla5202122242526104110[[#This Row],[Recuento]]*Tabla5202122242526104110[[#This Row],[Volúmen bruto]]</f>
        <v>0</v>
      </c>
      <c r="KT116" s="2">
        <f>+Tabla5202122242526104110[[#This Row],[Recuento]]*Tabla5202122242526104110[[#This Row],[Área neta]]</f>
        <v>0</v>
      </c>
      <c r="KU116" s="26"/>
      <c r="KW116"/>
      <c r="KX116"/>
      <c r="KY116"/>
      <c r="KZ116"/>
      <c r="LA116"/>
      <c r="LB116"/>
      <c r="LC116" s="2">
        <f>+Tabla520212224252659[[#This Row],[Recuento]]*Tabla520212224252659[[#This Row],[Volúmen bruto]]</f>
        <v>0</v>
      </c>
      <c r="LD116" s="2">
        <f>+Tabla520212224252659[[#This Row],[Recuento]]*Tabla520212224252659[[#This Row],[Área neta]]</f>
        <v>0</v>
      </c>
      <c r="LE116" s="26"/>
      <c r="LG116"/>
      <c r="LH116"/>
      <c r="LI116"/>
      <c r="LJ116"/>
      <c r="LK116"/>
      <c r="LL116"/>
      <c r="LM116" s="2">
        <f>+Tabla520212224252659111[[#This Row],[Recuento]]*Tabla520212224252659111[[#This Row],[Volúmen bruto]]</f>
        <v>0</v>
      </c>
      <c r="LN116" s="2">
        <f>+Tabla520212224252659111[[#This Row],[Recuento]]*Tabla520212224252659111[[#This Row],[Área neta]]</f>
        <v>0</v>
      </c>
      <c r="LO116" s="26"/>
      <c r="LQ116"/>
      <c r="LR116"/>
      <c r="LS116"/>
      <c r="LT116"/>
      <c r="LU116"/>
      <c r="LV116"/>
      <c r="LW116" s="2">
        <f>+Tabla520212224252659111114[[#This Row],[Recuento]]*Tabla520212224252659111114[[#This Row],[Volúmen bruto]]</f>
        <v>0</v>
      </c>
      <c r="LX116" s="2">
        <f>+Tabla520212224252659111114[[#This Row],[Recuento]]*Tabla520212224252659111114[[#This Row],[Área neta]]</f>
        <v>0</v>
      </c>
      <c r="LY116" s="26"/>
      <c r="MA116"/>
      <c r="MB116"/>
      <c r="MC116"/>
      <c r="MD116"/>
      <c r="ME116"/>
      <c r="MF116"/>
      <c r="MG116" s="2">
        <f>+Tabla520212224252659111114128[[#This Row],[Recuento]]*Tabla520212224252659111114128[[#This Row],[Volúmen bruto]]</f>
        <v>0</v>
      </c>
      <c r="MH116" s="2">
        <f>+Tabla520212224252659111114128[[#This Row],[Recuento]]*Tabla520212224252659111114128[[#This Row],[Área neta]]</f>
        <v>0</v>
      </c>
      <c r="MI116" s="26"/>
      <c r="MK116"/>
      <c r="ML116"/>
      <c r="MM116"/>
      <c r="MN116"/>
      <c r="MO116"/>
      <c r="MP116"/>
      <c r="MQ116" s="2">
        <f>+Tabla520212224252627[[#This Row],[Recuento]]*Tabla520212224252627[[#This Row],[Volúmen bruto]]</f>
        <v>0</v>
      </c>
      <c r="MR116" s="2">
        <f>+Tabla520212224252627[[#This Row],[Recuento]]*Tabla520212224252627[[#This Row],[Área neta]]</f>
        <v>0</v>
      </c>
      <c r="MS116" s="26"/>
      <c r="MU116"/>
      <c r="MV116"/>
      <c r="MW116"/>
      <c r="MX116"/>
      <c r="MY116"/>
      <c r="MZ116"/>
      <c r="NA116" s="2">
        <f>+Tabla520212224252627129[[#This Row],[Recuento]]*Tabla520212224252627129[[#This Row],[Volúmen bruto]]</f>
        <v>0</v>
      </c>
      <c r="NB116" s="2">
        <f>+Tabla520212224252627129[[#This Row],[Recuento]]*Tabla520212224252627129[[#This Row],[Área neta]]</f>
        <v>0</v>
      </c>
      <c r="NC116" s="26"/>
      <c r="NE116"/>
      <c r="NF116"/>
      <c r="NG116"/>
      <c r="NH116"/>
      <c r="NI116"/>
      <c r="NJ116"/>
      <c r="NK116" s="2">
        <f>+Tabla520212224252627129125[[#This Row],[Recuento]]*Tabla520212224252627129125[[#This Row],[Volúmen bruto]]</f>
        <v>0</v>
      </c>
      <c r="NL116" s="2">
        <f>+Tabla520212224252627129125[[#This Row],[Recuento]]*Tabla520212224252627129125[[#This Row],[Área neta]]</f>
        <v>0</v>
      </c>
      <c r="NM116" s="26"/>
      <c r="NO116"/>
      <c r="NP116"/>
      <c r="NQ116"/>
      <c r="NR116"/>
      <c r="NS116"/>
      <c r="NT116"/>
      <c r="NU116" s="2">
        <f>+Tabla520212224252627129125130[[#This Row],[Recuento]]*Tabla520212224252627129125130[[#This Row],[Volúmen bruto]]</f>
        <v>0</v>
      </c>
      <c r="NV116" s="2">
        <f>+Tabla520212224252627129125130[[#This Row],[Recuento]]*Tabla520212224252627129125130[[#This Row],[Área neta]]</f>
        <v>0</v>
      </c>
      <c r="NW116" s="26"/>
      <c r="NY116"/>
      <c r="NZ116"/>
      <c r="OA116"/>
      <c r="OB116"/>
      <c r="OC116"/>
      <c r="OD116"/>
      <c r="OE116" s="2">
        <f>+Tabla520212224252627129125130131[[#This Row],[Recuento]]*Tabla520212224252627129125130131[[#This Row],[Volúmen bruto]]</f>
        <v>0</v>
      </c>
      <c r="OF116" s="2">
        <f>+Tabla520212224252627129125130131[[#This Row],[Recuento]]*Tabla520212224252627129125130131[[#This Row],[Área neta]]</f>
        <v>0</v>
      </c>
      <c r="OG116" s="26"/>
      <c r="OI116"/>
      <c r="OJ116"/>
      <c r="OK116"/>
      <c r="OL116"/>
      <c r="OM116"/>
      <c r="ON116"/>
      <c r="OO116" s="2">
        <f>+Tabla520212224252627129125130131132[[#This Row],[Recuento]]*Tabla520212224252627129125130131132[[#This Row],[Volúmen bruto]]</f>
        <v>0</v>
      </c>
      <c r="OP116" s="2">
        <f>+Tabla520212224252627129125130131132[[#This Row],[Recuento]]*Tabla520212224252627129125130131132[[#This Row],[Área neta]]</f>
        <v>0</v>
      </c>
      <c r="OQ116" s="26"/>
      <c r="OS116"/>
      <c r="OT116"/>
      <c r="OU116"/>
      <c r="OV116"/>
      <c r="OW116"/>
      <c r="OX116"/>
      <c r="OY116" s="2">
        <f>+Tabla52021222425262728[[#This Row],[Recuento]]*Tabla52021222425262728[[#This Row],[Volúmen bruto]]</f>
        <v>0</v>
      </c>
      <c r="OZ116" s="2">
        <f>+Tabla52021222425262728[[#This Row],[Recuento]]*Tabla52021222425262728[[#This Row],[Área neta]]</f>
        <v>0</v>
      </c>
      <c r="PA116" s="26">
        <f t="shared" si="44"/>
        <v>0</v>
      </c>
      <c r="PC116"/>
      <c r="PD116"/>
      <c r="PE116"/>
      <c r="PF116"/>
      <c r="PG116"/>
      <c r="PH116"/>
      <c r="PI116" s="2">
        <f>+Tabla52021222425262728133[[#This Row],[Recuento]]*Tabla52021222425262728133[[#This Row],[Volúmen bruto]]</f>
        <v>0</v>
      </c>
      <c r="PJ116" s="2">
        <f>+Tabla52021222425262728133[[#This Row],[Recuento]]*Tabla52021222425262728133[[#This Row],[Área neta]]</f>
        <v>0</v>
      </c>
      <c r="PK116" s="26">
        <f t="shared" si="47"/>
        <v>0</v>
      </c>
      <c r="PM116"/>
      <c r="PN116"/>
      <c r="PO116"/>
      <c r="PP116"/>
      <c r="PQ116"/>
      <c r="PR116"/>
      <c r="PS116" s="2">
        <f>+Tabla5202122242526272893[[#This Row],[Recuento]]*Tabla5202122242526272893[[#This Row],[Volúmen bruto]]</f>
        <v>0</v>
      </c>
      <c r="PT116" s="2">
        <f>+Tabla5202122242526272893[[#This Row],[Recuento]]*Tabla5202122242526272893[[#This Row],[Área neta]]</f>
        <v>0</v>
      </c>
      <c r="PU116" s="26"/>
      <c r="PW116"/>
      <c r="PX116"/>
      <c r="PY116"/>
      <c r="PZ116"/>
      <c r="QA116"/>
      <c r="QB116"/>
      <c r="QC116" s="2">
        <f>+Tabla520212224252627289349[[#This Row],[Recuento]]*Tabla520212224252627289349[[#This Row],[Volúmen bruto]]</f>
        <v>0</v>
      </c>
      <c r="QD116" s="2">
        <f>+Tabla520212224252627289349[[#This Row],[Recuento]]*Tabla520212224252627289349[[#This Row],[Área neta]]</f>
        <v>0</v>
      </c>
      <c r="QE116" s="26"/>
      <c r="QG116"/>
      <c r="QH116"/>
      <c r="QI116"/>
      <c r="QJ116"/>
      <c r="QK116"/>
      <c r="QL116"/>
      <c r="QM116" s="2">
        <f>+Tabla520212224252627289349134[[#This Row],[Recuento]]*Tabla520212224252627289349134[[#This Row],[Volúmen bruto]]</f>
        <v>0</v>
      </c>
      <c r="QN116" s="2">
        <f>+Tabla520212224252627289349134[[#This Row],[Recuento]]*Tabla520212224252627289349134[[#This Row],[Área neta]]</f>
        <v>0</v>
      </c>
      <c r="QO116" s="26"/>
      <c r="QQ116"/>
      <c r="QR116"/>
      <c r="QS116"/>
      <c r="QT116"/>
      <c r="QU116"/>
      <c r="QV116"/>
      <c r="QW116"/>
      <c r="RA116" s="26"/>
      <c r="RC116"/>
      <c r="RD116"/>
      <c r="RE116"/>
      <c r="RF116"/>
      <c r="RG116"/>
      <c r="RH116"/>
      <c r="RK116" s="26"/>
      <c r="RM116"/>
      <c r="RN116"/>
      <c r="RO116"/>
      <c r="RP116"/>
      <c r="RQ116"/>
      <c r="RR116"/>
      <c r="RU116" s="26">
        <f t="shared" si="45"/>
        <v>0</v>
      </c>
      <c r="RW116"/>
      <c r="RX116"/>
      <c r="RY116"/>
      <c r="RZ116"/>
      <c r="SA116"/>
      <c r="SB116"/>
      <c r="SE116" s="26"/>
      <c r="SG116"/>
      <c r="SH116"/>
      <c r="SI116"/>
      <c r="SJ116"/>
      <c r="SK116"/>
      <c r="SL116"/>
      <c r="SO116" s="26"/>
      <c r="YK116"/>
      <c r="YL116"/>
      <c r="YM116"/>
      <c r="YN116"/>
      <c r="YO116"/>
      <c r="ADJ116"/>
      <c r="ADK116"/>
      <c r="ADL116"/>
      <c r="ADM116"/>
      <c r="ADN116"/>
      <c r="ADO116"/>
      <c r="ADP116" s="35">
        <f>+SUM(ADM116:ADM133)</f>
        <v>0</v>
      </c>
      <c r="ADR116"/>
      <c r="ADS116"/>
      <c r="ADT116"/>
      <c r="ADU116"/>
      <c r="ADW116" s="35"/>
      <c r="ADX116" s="35"/>
      <c r="AFI116"/>
      <c r="AFJ116"/>
      <c r="AFK116"/>
      <c r="AFL116"/>
      <c r="AFM116"/>
      <c r="AFN116">
        <f>+Tabla578914151634353637383940414243444546474849505152535560626467[[#This Row],[G. Total]]*Tabla578914151634353637383940414243444546474849505152535560626467[[#This Row],[Recuento]]</f>
        <v>0</v>
      </c>
      <c r="AFO116" s="36"/>
    </row>
    <row r="117" spans="59:847" x14ac:dyDescent="0.25">
      <c r="BG117"/>
      <c r="BH117"/>
      <c r="BI117"/>
      <c r="BJ117"/>
      <c r="BK117"/>
      <c r="BL117">
        <f>+Tabla3102[[#This Row],[Longitud de eje]]*BF117</f>
        <v>0</v>
      </c>
      <c r="BM117">
        <f>+Tabla3102[[#This Row],[Longitud de eje]]*BG117</f>
        <v>0</v>
      </c>
      <c r="BO117"/>
      <c r="BP117"/>
      <c r="BQ117"/>
      <c r="BR117"/>
      <c r="BS117"/>
      <c r="BT117"/>
      <c r="BU117"/>
      <c r="BV117">
        <v>1</v>
      </c>
      <c r="BW117"/>
      <c r="BX117"/>
      <c r="BY117"/>
      <c r="BZ117"/>
      <c r="CA117"/>
      <c r="CB117">
        <f>+Tabla31011[[#This Row],[Longitud de eje]]*BV117</f>
        <v>0</v>
      </c>
      <c r="CD117">
        <v>1</v>
      </c>
      <c r="CE117"/>
      <c r="CF117"/>
      <c r="CG117"/>
      <c r="CH117"/>
      <c r="CI117"/>
      <c r="CJ117"/>
      <c r="CK117"/>
      <c r="CL117">
        <v>1</v>
      </c>
      <c r="CM117"/>
      <c r="CN117"/>
      <c r="CO117"/>
      <c r="CP117"/>
      <c r="CQ117"/>
      <c r="CR117">
        <f>+Tabla31011116[[#This Row],[Longitud de eje]]*CL117</f>
        <v>0</v>
      </c>
      <c r="CT117">
        <v>1</v>
      </c>
      <c r="CU117"/>
      <c r="CV117"/>
      <c r="CW117"/>
      <c r="CX117"/>
      <c r="CY117"/>
      <c r="CZ117"/>
      <c r="DA117"/>
      <c r="DB117">
        <v>1</v>
      </c>
      <c r="DC117"/>
      <c r="DD117"/>
      <c r="DE117"/>
      <c r="DF117"/>
      <c r="DG117">
        <f>+Tabla31011704[[#This Row],[Longitud de eje]]*DB117</f>
        <v>0</v>
      </c>
      <c r="DH117"/>
      <c r="DI117">
        <v>1</v>
      </c>
      <c r="DJ117"/>
      <c r="DK117"/>
      <c r="DL117"/>
      <c r="DM117"/>
      <c r="DN117">
        <f>+Tabla3101170411[[#This Row],[Longitud de eje]]*DI117</f>
        <v>0</v>
      </c>
      <c r="DO117"/>
      <c r="DP117">
        <v>1</v>
      </c>
      <c r="DQ117"/>
      <c r="DR117"/>
      <c r="DS117"/>
      <c r="DT117"/>
      <c r="DU117">
        <f>+Tabla3101170411120[[#This Row],[Longitud de eje]]*DP117</f>
        <v>0</v>
      </c>
      <c r="DV117"/>
      <c r="DW117">
        <v>1</v>
      </c>
      <c r="DX117"/>
      <c r="DY117"/>
      <c r="DZ117"/>
      <c r="EA117"/>
      <c r="EB117">
        <f>+Tabla3101170411120122[[#This Row],[Longitud de eje]]*DW117</f>
        <v>0</v>
      </c>
      <c r="EC117"/>
      <c r="EE117"/>
      <c r="EF117"/>
      <c r="EG117"/>
      <c r="EH117"/>
      <c r="EI117"/>
      <c r="EJ117">
        <f>+Tabla3101112[[#This Row],[En culmo]]*ED117</f>
        <v>0</v>
      </c>
      <c r="EK117"/>
      <c r="EM117"/>
      <c r="EN117"/>
      <c r="EO117"/>
      <c r="EP117"/>
      <c r="EQ117"/>
      <c r="ER117">
        <f>+Tabla3101112123[[#This Row],[En culmo]]*EL117</f>
        <v>0</v>
      </c>
      <c r="ES117"/>
      <c r="EU117"/>
      <c r="EV117"/>
      <c r="EW117"/>
      <c r="EX117"/>
      <c r="EY117"/>
      <c r="EZ117">
        <f>+Tabla310111257[[#This Row],[En culmo]]*ET117</f>
        <v>0</v>
      </c>
      <c r="FA117"/>
      <c r="FC117"/>
      <c r="FD117"/>
      <c r="FE117"/>
      <c r="FF117"/>
      <c r="FG117"/>
      <c r="FH117">
        <f>+Tabla310111257124[[#This Row],[En culmo]]*FB117</f>
        <v>0</v>
      </c>
      <c r="FI117"/>
      <c r="FK117"/>
      <c r="FL117"/>
      <c r="FM117"/>
      <c r="FN117"/>
      <c r="FO117"/>
      <c r="FP117"/>
      <c r="FQ117"/>
      <c r="FS117"/>
      <c r="FT117"/>
      <c r="FU117"/>
      <c r="FV117"/>
      <c r="FW117"/>
      <c r="FX117"/>
      <c r="FY117"/>
      <c r="GA117"/>
      <c r="GB117"/>
      <c r="GC117"/>
      <c r="GD117"/>
      <c r="GE117"/>
      <c r="GF117"/>
      <c r="GG117"/>
      <c r="GI117"/>
      <c r="GJ117"/>
      <c r="GK117"/>
      <c r="GL117"/>
      <c r="GM117"/>
      <c r="GN117"/>
      <c r="GO117"/>
      <c r="IY117"/>
      <c r="IZ117"/>
      <c r="JA117"/>
      <c r="JB117"/>
      <c r="JC117"/>
      <c r="JD117"/>
      <c r="JE117" s="2">
        <f>+Tabla520212224[[#This Row],[Recuento]]*Tabla520212224[[#This Row],[Volúmen bruto]]</f>
        <v>0</v>
      </c>
      <c r="JF117" s="2">
        <f>+Tabla520212224[[#This Row],[Recuento]]*Tabla520212224[[#This Row],[Área neta]]</f>
        <v>0</v>
      </c>
      <c r="JG117" s="26"/>
      <c r="JI117"/>
      <c r="JJ117"/>
      <c r="JK117"/>
      <c r="JL117"/>
      <c r="JM117"/>
      <c r="JN117"/>
      <c r="JO117" s="2">
        <f>+Tabla52021222425[[#This Row],[Recuento]]*Tabla52021222425[[#This Row],[Volúmen bruto]]</f>
        <v>0</v>
      </c>
      <c r="JP117" s="2">
        <f>+Tabla52021222425[[#This Row],[Recuento]]*Tabla52021222425[[#This Row],[Área neta]]</f>
        <v>0</v>
      </c>
      <c r="JQ117" s="26"/>
      <c r="JS117"/>
      <c r="JT117"/>
      <c r="JU117"/>
      <c r="JV117"/>
      <c r="JW117"/>
      <c r="JX117"/>
      <c r="JY117" s="2">
        <f>+Tabla5202122242526[[#This Row],[Recuento]]*Tabla5202122242526[[#This Row],[Volúmen bruto]]</f>
        <v>0</v>
      </c>
      <c r="JZ117" s="2">
        <f>+Tabla5202122242526[[#This Row],[Recuento]]*Tabla5202122242526[[#This Row],[Área neta]]</f>
        <v>0</v>
      </c>
      <c r="KA117" s="26"/>
      <c r="KC117"/>
      <c r="KD117"/>
      <c r="KE117"/>
      <c r="KF117"/>
      <c r="KG117"/>
      <c r="KH117"/>
      <c r="KI117" s="2">
        <f>+Tabla5202122242526104[[#This Row],[Recuento]]*Tabla5202122242526104[[#This Row],[Volúmen bruto]]</f>
        <v>0</v>
      </c>
      <c r="KJ117" s="2">
        <f>+Tabla5202122242526104[[#This Row],[Recuento]]*Tabla5202122242526104[[#This Row],[Área neta]]</f>
        <v>0</v>
      </c>
      <c r="KK117" s="26"/>
      <c r="KM117"/>
      <c r="KN117"/>
      <c r="KO117"/>
      <c r="KP117"/>
      <c r="KQ117"/>
      <c r="KR117"/>
      <c r="KS117" s="2">
        <f>+Tabla5202122242526104110[[#This Row],[Recuento]]*Tabla5202122242526104110[[#This Row],[Volúmen bruto]]</f>
        <v>0</v>
      </c>
      <c r="KT117" s="2">
        <f>+Tabla5202122242526104110[[#This Row],[Recuento]]*Tabla5202122242526104110[[#This Row],[Área neta]]</f>
        <v>0</v>
      </c>
      <c r="KU117" s="26"/>
      <c r="KW117"/>
      <c r="KX117"/>
      <c r="KY117"/>
      <c r="KZ117"/>
      <c r="LA117"/>
      <c r="LB117"/>
      <c r="LC117" s="2">
        <f>+Tabla520212224252659[[#This Row],[Recuento]]*Tabla520212224252659[[#This Row],[Volúmen bruto]]</f>
        <v>0</v>
      </c>
      <c r="LD117" s="2">
        <f>+Tabla520212224252659[[#This Row],[Recuento]]*Tabla520212224252659[[#This Row],[Área neta]]</f>
        <v>0</v>
      </c>
      <c r="LE117" s="26"/>
      <c r="LG117"/>
      <c r="LH117"/>
      <c r="LI117"/>
      <c r="LJ117"/>
      <c r="LK117"/>
      <c r="LL117"/>
      <c r="LM117" s="2">
        <f>+Tabla520212224252659111[[#This Row],[Recuento]]*Tabla520212224252659111[[#This Row],[Volúmen bruto]]</f>
        <v>0</v>
      </c>
      <c r="LN117" s="2">
        <f>+Tabla520212224252659111[[#This Row],[Recuento]]*Tabla520212224252659111[[#This Row],[Área neta]]</f>
        <v>0</v>
      </c>
      <c r="LO117" s="26"/>
      <c r="LQ117"/>
      <c r="LR117"/>
      <c r="LS117"/>
      <c r="LT117"/>
      <c r="LU117"/>
      <c r="LV117"/>
      <c r="LW117" s="2">
        <f>+Tabla520212224252659111114[[#This Row],[Recuento]]*Tabla520212224252659111114[[#This Row],[Volúmen bruto]]</f>
        <v>0</v>
      </c>
      <c r="LX117" s="2">
        <f>+Tabla520212224252659111114[[#This Row],[Recuento]]*Tabla520212224252659111114[[#This Row],[Área neta]]</f>
        <v>0</v>
      </c>
      <c r="LY117" s="26"/>
      <c r="MA117"/>
      <c r="MB117"/>
      <c r="MC117"/>
      <c r="MD117"/>
      <c r="ME117"/>
      <c r="MF117"/>
      <c r="MG117" s="2">
        <f>+Tabla520212224252659111114128[[#This Row],[Recuento]]*Tabla520212224252659111114128[[#This Row],[Volúmen bruto]]</f>
        <v>0</v>
      </c>
      <c r="MH117" s="2">
        <f>+Tabla520212224252659111114128[[#This Row],[Recuento]]*Tabla520212224252659111114128[[#This Row],[Área neta]]</f>
        <v>0</v>
      </c>
      <c r="MI117" s="26"/>
      <c r="MK117"/>
      <c r="ML117"/>
      <c r="MM117"/>
      <c r="MN117"/>
      <c r="MO117"/>
      <c r="MP117"/>
      <c r="MQ117" s="2">
        <f>+Tabla520212224252627[[#This Row],[Recuento]]*Tabla520212224252627[[#This Row],[Volúmen bruto]]</f>
        <v>0</v>
      </c>
      <c r="MR117" s="2">
        <f>+Tabla520212224252627[[#This Row],[Recuento]]*Tabla520212224252627[[#This Row],[Área neta]]</f>
        <v>0</v>
      </c>
      <c r="MS117" s="26"/>
      <c r="MU117"/>
      <c r="MV117"/>
      <c r="MW117"/>
      <c r="MX117"/>
      <c r="MY117"/>
      <c r="MZ117"/>
      <c r="NA117" s="2">
        <f>+Tabla520212224252627129[[#This Row],[Recuento]]*Tabla520212224252627129[[#This Row],[Volúmen bruto]]</f>
        <v>0</v>
      </c>
      <c r="NB117" s="2">
        <f>+Tabla520212224252627129[[#This Row],[Recuento]]*Tabla520212224252627129[[#This Row],[Área neta]]</f>
        <v>0</v>
      </c>
      <c r="NC117" s="26"/>
      <c r="NE117"/>
      <c r="NF117"/>
      <c r="NG117"/>
      <c r="NH117"/>
      <c r="NI117"/>
      <c r="NJ117"/>
      <c r="NK117" s="2">
        <f>+Tabla520212224252627129125[[#This Row],[Recuento]]*Tabla520212224252627129125[[#This Row],[Volúmen bruto]]</f>
        <v>0</v>
      </c>
      <c r="NL117" s="2">
        <f>+Tabla520212224252627129125[[#This Row],[Recuento]]*Tabla520212224252627129125[[#This Row],[Área neta]]</f>
        <v>0</v>
      </c>
      <c r="NM117" s="26"/>
      <c r="NO117"/>
      <c r="NP117"/>
      <c r="NQ117"/>
      <c r="NR117"/>
      <c r="NS117"/>
      <c r="NT117"/>
      <c r="NU117" s="2">
        <f>+Tabla520212224252627129125130[[#This Row],[Recuento]]*Tabla520212224252627129125130[[#This Row],[Volúmen bruto]]</f>
        <v>0</v>
      </c>
      <c r="NV117" s="2">
        <f>+Tabla520212224252627129125130[[#This Row],[Recuento]]*Tabla520212224252627129125130[[#This Row],[Área neta]]</f>
        <v>0</v>
      </c>
      <c r="NW117" s="26"/>
      <c r="NY117"/>
      <c r="NZ117"/>
      <c r="OA117"/>
      <c r="OB117"/>
      <c r="OC117"/>
      <c r="OD117"/>
      <c r="OE117" s="2">
        <f>+Tabla520212224252627129125130131[[#This Row],[Recuento]]*Tabla520212224252627129125130131[[#This Row],[Volúmen bruto]]</f>
        <v>0</v>
      </c>
      <c r="OF117" s="2">
        <f>+Tabla520212224252627129125130131[[#This Row],[Recuento]]*Tabla520212224252627129125130131[[#This Row],[Área neta]]</f>
        <v>0</v>
      </c>
      <c r="OG117" s="26"/>
      <c r="OI117"/>
      <c r="OJ117"/>
      <c r="OK117"/>
      <c r="OL117"/>
      <c r="OM117"/>
      <c r="ON117"/>
      <c r="OO117" s="2">
        <f>+Tabla520212224252627129125130131132[[#This Row],[Recuento]]*Tabla520212224252627129125130131132[[#This Row],[Volúmen bruto]]</f>
        <v>0</v>
      </c>
      <c r="OP117" s="2">
        <f>+Tabla520212224252627129125130131132[[#This Row],[Recuento]]*Tabla520212224252627129125130131132[[#This Row],[Área neta]]</f>
        <v>0</v>
      </c>
      <c r="OQ117" s="26"/>
      <c r="OS117"/>
      <c r="OT117"/>
      <c r="OU117"/>
      <c r="OV117"/>
      <c r="OW117"/>
      <c r="OX117"/>
      <c r="OY117" s="2">
        <f>+Tabla52021222425262728[[#This Row],[Recuento]]*Tabla52021222425262728[[#This Row],[Volúmen bruto]]</f>
        <v>0</v>
      </c>
      <c r="OZ117" s="2">
        <f>+Tabla52021222425262728[[#This Row],[Recuento]]*Tabla52021222425262728[[#This Row],[Área neta]]</f>
        <v>0</v>
      </c>
      <c r="PA117" s="26">
        <f t="shared" si="44"/>
        <v>0</v>
      </c>
      <c r="PC117"/>
      <c r="PD117"/>
      <c r="PE117"/>
      <c r="PF117"/>
      <c r="PG117"/>
      <c r="PH117"/>
      <c r="PI117" s="2">
        <f>+Tabla52021222425262728133[[#This Row],[Recuento]]*Tabla52021222425262728133[[#This Row],[Volúmen bruto]]</f>
        <v>0</v>
      </c>
      <c r="PJ117" s="2">
        <f>+Tabla52021222425262728133[[#This Row],[Recuento]]*Tabla52021222425262728133[[#This Row],[Área neta]]</f>
        <v>0</v>
      </c>
      <c r="PK117" s="26">
        <f t="shared" si="47"/>
        <v>0</v>
      </c>
      <c r="PM117"/>
      <c r="PN117"/>
      <c r="PO117"/>
      <c r="PP117"/>
      <c r="PQ117"/>
      <c r="PR117"/>
      <c r="PS117" s="2">
        <f>+Tabla5202122242526272893[[#This Row],[Recuento]]*Tabla5202122242526272893[[#This Row],[Volúmen bruto]]</f>
        <v>0</v>
      </c>
      <c r="PT117" s="2">
        <f>+Tabla5202122242526272893[[#This Row],[Recuento]]*Tabla5202122242526272893[[#This Row],[Área neta]]</f>
        <v>0</v>
      </c>
      <c r="PU117" s="26"/>
      <c r="PW117"/>
      <c r="PX117"/>
      <c r="PY117"/>
      <c r="PZ117"/>
      <c r="QA117"/>
      <c r="QB117"/>
      <c r="QC117" s="2">
        <f>+Tabla520212224252627289349[[#This Row],[Recuento]]*Tabla520212224252627289349[[#This Row],[Volúmen bruto]]</f>
        <v>0</v>
      </c>
      <c r="QD117" s="2">
        <f>+Tabla520212224252627289349[[#This Row],[Recuento]]*Tabla520212224252627289349[[#This Row],[Área neta]]</f>
        <v>0</v>
      </c>
      <c r="QE117" s="26"/>
      <c r="QG117"/>
      <c r="QH117"/>
      <c r="QI117"/>
      <c r="QJ117"/>
      <c r="QK117"/>
      <c r="QL117"/>
      <c r="QM117" s="2">
        <f>+Tabla520212224252627289349134[[#This Row],[Recuento]]*Tabla520212224252627289349134[[#This Row],[Volúmen bruto]]</f>
        <v>0</v>
      </c>
      <c r="QN117" s="2">
        <f>+Tabla520212224252627289349134[[#This Row],[Recuento]]*Tabla520212224252627289349134[[#This Row],[Área neta]]</f>
        <v>0</v>
      </c>
      <c r="QO117" s="26"/>
      <c r="QQ117"/>
      <c r="QR117"/>
      <c r="QS117"/>
      <c r="QT117"/>
      <c r="QU117"/>
      <c r="QV117"/>
      <c r="QW117"/>
      <c r="RA117" s="26"/>
      <c r="RC117"/>
      <c r="RD117"/>
      <c r="RE117"/>
      <c r="RF117"/>
      <c r="RG117"/>
      <c r="RH117"/>
      <c r="RK117" s="26"/>
      <c r="RM117"/>
      <c r="RN117"/>
      <c r="RO117"/>
      <c r="RP117"/>
      <c r="RQ117"/>
      <c r="RR117"/>
      <c r="RU117" s="26">
        <f t="shared" si="45"/>
        <v>0</v>
      </c>
      <c r="RW117"/>
      <c r="RX117"/>
      <c r="RY117"/>
      <c r="RZ117"/>
      <c r="SA117"/>
      <c r="SB117"/>
      <c r="SE117" s="26"/>
      <c r="SG117"/>
      <c r="SH117"/>
      <c r="SI117"/>
      <c r="SJ117"/>
      <c r="SK117"/>
      <c r="SL117"/>
      <c r="SO117" s="26"/>
      <c r="YK117"/>
      <c r="YL117"/>
      <c r="YM117"/>
      <c r="YN117"/>
      <c r="YO117"/>
      <c r="ADJ117"/>
      <c r="ADK117"/>
      <c r="ADL117"/>
      <c r="ADM117"/>
      <c r="ADN117"/>
      <c r="ADO117"/>
      <c r="ADP117" s="36"/>
      <c r="ADR117"/>
      <c r="ADS117"/>
      <c r="ADT117"/>
      <c r="ADU117"/>
      <c r="ADW117" s="35"/>
      <c r="ADX117" s="35"/>
      <c r="AFI117"/>
      <c r="AFJ117"/>
      <c r="AFK117"/>
      <c r="AFL117"/>
      <c r="AFM117"/>
      <c r="AFN117">
        <f>+Tabla578914151634353637383940414243444546474849505152535560626467[[#This Row],[G. Total]]*Tabla578914151634353637383940414243444546474849505152535560626467[[#This Row],[Recuento]]</f>
        <v>0</v>
      </c>
      <c r="AFO117" s="36"/>
    </row>
    <row r="118" spans="59:847" x14ac:dyDescent="0.25">
      <c r="BG118"/>
      <c r="BH118"/>
      <c r="BI118"/>
      <c r="BJ118"/>
      <c r="BK118"/>
      <c r="BL118">
        <f>+Tabla3102[[#This Row],[Longitud de eje]]*BF118</f>
        <v>0</v>
      </c>
      <c r="BM118">
        <f>+Tabla3102[[#This Row],[Longitud de eje]]*BG118</f>
        <v>0</v>
      </c>
      <c r="BO118"/>
      <c r="BP118"/>
      <c r="BQ118"/>
      <c r="BR118"/>
      <c r="BS118"/>
      <c r="BT118"/>
      <c r="BU118"/>
      <c r="BV118">
        <v>1</v>
      </c>
      <c r="BW118"/>
      <c r="BX118"/>
      <c r="BY118"/>
      <c r="BZ118"/>
      <c r="CA118"/>
      <c r="CB118">
        <f>+Tabla31011[[#This Row],[Longitud de eje]]*BV118</f>
        <v>0</v>
      </c>
      <c r="CD118">
        <v>1</v>
      </c>
      <c r="CE118"/>
      <c r="CF118"/>
      <c r="CG118"/>
      <c r="CH118"/>
      <c r="CI118"/>
      <c r="CJ118"/>
      <c r="CK118"/>
      <c r="CL118">
        <v>1</v>
      </c>
      <c r="CM118"/>
      <c r="CN118"/>
      <c r="CO118"/>
      <c r="CP118"/>
      <c r="CQ118"/>
      <c r="CR118">
        <f>+Tabla31011116[[#This Row],[Longitud de eje]]*CL118</f>
        <v>0</v>
      </c>
      <c r="CT118">
        <v>1</v>
      </c>
      <c r="CU118"/>
      <c r="CV118"/>
      <c r="CW118"/>
      <c r="CX118"/>
      <c r="CY118"/>
      <c r="CZ118"/>
      <c r="DA118"/>
      <c r="DB118">
        <v>1</v>
      </c>
      <c r="DC118"/>
      <c r="DD118"/>
      <c r="DE118"/>
      <c r="DF118"/>
      <c r="DG118">
        <f>+Tabla31011704[[#This Row],[Longitud de eje]]*DB118</f>
        <v>0</v>
      </c>
      <c r="DH118"/>
      <c r="DI118">
        <v>1</v>
      </c>
      <c r="DJ118"/>
      <c r="DK118"/>
      <c r="DL118"/>
      <c r="DM118"/>
      <c r="DN118">
        <f>+Tabla3101170411[[#This Row],[Longitud de eje]]*DI118</f>
        <v>0</v>
      </c>
      <c r="DO118"/>
      <c r="DP118">
        <v>1</v>
      </c>
      <c r="DQ118"/>
      <c r="DR118"/>
      <c r="DS118"/>
      <c r="DT118"/>
      <c r="DU118">
        <f>+Tabla3101170411120[[#This Row],[Longitud de eje]]*DP118</f>
        <v>0</v>
      </c>
      <c r="DV118"/>
      <c r="DW118">
        <v>1</v>
      </c>
      <c r="DX118"/>
      <c r="DY118"/>
      <c r="DZ118"/>
      <c r="EA118"/>
      <c r="EB118">
        <f>+Tabla3101170411120122[[#This Row],[Longitud de eje]]*DW118</f>
        <v>0</v>
      </c>
      <c r="EC118"/>
      <c r="EE118"/>
      <c r="EF118"/>
      <c r="EG118"/>
      <c r="EH118"/>
      <c r="EI118"/>
      <c r="EJ118">
        <f>+Tabla3101112[[#This Row],[En culmo]]*ED118</f>
        <v>0</v>
      </c>
      <c r="EK118"/>
      <c r="EM118"/>
      <c r="EN118"/>
      <c r="EO118"/>
      <c r="EP118"/>
      <c r="EQ118"/>
      <c r="ER118">
        <f>+Tabla3101112123[[#This Row],[En culmo]]*EL118</f>
        <v>0</v>
      </c>
      <c r="ES118"/>
      <c r="EU118"/>
      <c r="EV118"/>
      <c r="EW118"/>
      <c r="EX118"/>
      <c r="EY118"/>
      <c r="EZ118">
        <f>+Tabla310111257[[#This Row],[En culmo]]*ET118</f>
        <v>0</v>
      </c>
      <c r="FA118"/>
      <c r="FC118"/>
      <c r="FD118"/>
      <c r="FE118"/>
      <c r="FF118"/>
      <c r="FG118"/>
      <c r="FH118">
        <f>+Tabla310111257124[[#This Row],[En culmo]]*FB118</f>
        <v>0</v>
      </c>
      <c r="FI118"/>
      <c r="FK118"/>
      <c r="FL118"/>
      <c r="FM118"/>
      <c r="FN118"/>
      <c r="FO118"/>
      <c r="FP118"/>
      <c r="FQ118"/>
      <c r="FS118"/>
      <c r="FT118"/>
      <c r="FU118"/>
      <c r="FV118"/>
      <c r="FW118"/>
      <c r="FX118"/>
      <c r="FY118"/>
      <c r="GA118"/>
      <c r="GB118"/>
      <c r="GC118"/>
      <c r="GD118"/>
      <c r="GE118"/>
      <c r="GF118"/>
      <c r="GG118"/>
      <c r="GI118"/>
      <c r="GJ118"/>
      <c r="GK118"/>
      <c r="GL118"/>
      <c r="GM118"/>
      <c r="GN118"/>
      <c r="GO118"/>
      <c r="IY118"/>
      <c r="IZ118"/>
      <c r="JA118"/>
      <c r="JB118"/>
      <c r="JC118"/>
      <c r="JD118"/>
      <c r="JE118" s="2">
        <f>+Tabla520212224[[#This Row],[Recuento]]*Tabla520212224[[#This Row],[Volúmen bruto]]</f>
        <v>0</v>
      </c>
      <c r="JF118" s="2">
        <f>+Tabla520212224[[#This Row],[Recuento]]*Tabla520212224[[#This Row],[Área neta]]</f>
        <v>0</v>
      </c>
      <c r="JG118" s="26"/>
      <c r="JI118"/>
      <c r="JJ118"/>
      <c r="JK118"/>
      <c r="JL118"/>
      <c r="JM118"/>
      <c r="JN118"/>
      <c r="JO118" s="2">
        <f>+Tabla52021222425[[#This Row],[Recuento]]*Tabla52021222425[[#This Row],[Volúmen bruto]]</f>
        <v>0</v>
      </c>
      <c r="JP118" s="2">
        <f>+Tabla52021222425[[#This Row],[Recuento]]*Tabla52021222425[[#This Row],[Área neta]]</f>
        <v>0</v>
      </c>
      <c r="JQ118" s="26"/>
      <c r="JS118"/>
      <c r="JT118"/>
      <c r="JU118"/>
      <c r="JV118"/>
      <c r="JW118"/>
      <c r="JX118"/>
      <c r="JY118" s="2">
        <f>+Tabla5202122242526[[#This Row],[Recuento]]*Tabla5202122242526[[#This Row],[Volúmen bruto]]</f>
        <v>0</v>
      </c>
      <c r="JZ118" s="2">
        <f>+Tabla5202122242526[[#This Row],[Recuento]]*Tabla5202122242526[[#This Row],[Área neta]]</f>
        <v>0</v>
      </c>
      <c r="KA118" s="26"/>
      <c r="KC118"/>
      <c r="KD118"/>
      <c r="KE118"/>
      <c r="KF118"/>
      <c r="KG118"/>
      <c r="KH118"/>
      <c r="KI118" s="2">
        <f>+Tabla5202122242526104[[#This Row],[Recuento]]*Tabla5202122242526104[[#This Row],[Volúmen bruto]]</f>
        <v>0</v>
      </c>
      <c r="KJ118" s="2">
        <f>+Tabla5202122242526104[[#This Row],[Recuento]]*Tabla5202122242526104[[#This Row],[Área neta]]</f>
        <v>0</v>
      </c>
      <c r="KK118" s="26"/>
      <c r="KM118"/>
      <c r="KN118"/>
      <c r="KO118"/>
      <c r="KP118"/>
      <c r="KQ118"/>
      <c r="KR118"/>
      <c r="KS118" s="2">
        <f>+Tabla5202122242526104110[[#This Row],[Recuento]]*Tabla5202122242526104110[[#This Row],[Volúmen bruto]]</f>
        <v>0</v>
      </c>
      <c r="KT118" s="2">
        <f>+Tabla5202122242526104110[[#This Row],[Recuento]]*Tabla5202122242526104110[[#This Row],[Área neta]]</f>
        <v>0</v>
      </c>
      <c r="KU118" s="26"/>
      <c r="KW118"/>
      <c r="KX118"/>
      <c r="KY118"/>
      <c r="KZ118"/>
      <c r="LA118"/>
      <c r="LB118"/>
      <c r="LC118" s="2">
        <f>+Tabla520212224252659[[#This Row],[Recuento]]*Tabla520212224252659[[#This Row],[Volúmen bruto]]</f>
        <v>0</v>
      </c>
      <c r="LD118" s="2">
        <f>+Tabla520212224252659[[#This Row],[Recuento]]*Tabla520212224252659[[#This Row],[Área neta]]</f>
        <v>0</v>
      </c>
      <c r="LE118" s="26"/>
      <c r="LG118"/>
      <c r="LH118"/>
      <c r="LI118"/>
      <c r="LJ118"/>
      <c r="LK118"/>
      <c r="LL118"/>
      <c r="LM118" s="2">
        <f>+Tabla520212224252659111[[#This Row],[Recuento]]*Tabla520212224252659111[[#This Row],[Volúmen bruto]]</f>
        <v>0</v>
      </c>
      <c r="LN118" s="2">
        <f>+Tabla520212224252659111[[#This Row],[Recuento]]*Tabla520212224252659111[[#This Row],[Área neta]]</f>
        <v>0</v>
      </c>
      <c r="LO118" s="26"/>
      <c r="LQ118"/>
      <c r="LR118"/>
      <c r="LS118"/>
      <c r="LT118"/>
      <c r="LU118"/>
      <c r="LV118"/>
      <c r="LW118" s="2">
        <f>+Tabla520212224252659111114[[#This Row],[Recuento]]*Tabla520212224252659111114[[#This Row],[Volúmen bruto]]</f>
        <v>0</v>
      </c>
      <c r="LX118" s="2">
        <f>+Tabla520212224252659111114[[#This Row],[Recuento]]*Tabla520212224252659111114[[#This Row],[Área neta]]</f>
        <v>0</v>
      </c>
      <c r="LY118" s="26"/>
      <c r="MA118"/>
      <c r="MB118"/>
      <c r="MC118"/>
      <c r="MD118"/>
      <c r="ME118"/>
      <c r="MF118"/>
      <c r="MG118" s="2">
        <f>+Tabla520212224252659111114128[[#This Row],[Recuento]]*Tabla520212224252659111114128[[#This Row],[Volúmen bruto]]</f>
        <v>0</v>
      </c>
      <c r="MH118" s="2">
        <f>+Tabla520212224252659111114128[[#This Row],[Recuento]]*Tabla520212224252659111114128[[#This Row],[Área neta]]</f>
        <v>0</v>
      </c>
      <c r="MI118" s="26"/>
      <c r="MK118"/>
      <c r="ML118"/>
      <c r="MM118"/>
      <c r="MN118"/>
      <c r="MO118"/>
      <c r="MP118"/>
      <c r="MQ118" s="2">
        <f>+Tabla520212224252627[[#This Row],[Recuento]]*Tabla520212224252627[[#This Row],[Volúmen bruto]]</f>
        <v>0</v>
      </c>
      <c r="MR118" s="2">
        <f>+Tabla520212224252627[[#This Row],[Recuento]]*Tabla520212224252627[[#This Row],[Área neta]]</f>
        <v>0</v>
      </c>
      <c r="MS118" s="26"/>
      <c r="MU118"/>
      <c r="MV118"/>
      <c r="MW118"/>
      <c r="MX118"/>
      <c r="MY118"/>
      <c r="MZ118"/>
      <c r="NA118" s="2">
        <f>+Tabla520212224252627129[[#This Row],[Recuento]]*Tabla520212224252627129[[#This Row],[Volúmen bruto]]</f>
        <v>0</v>
      </c>
      <c r="NB118" s="2">
        <f>+Tabla520212224252627129[[#This Row],[Recuento]]*Tabla520212224252627129[[#This Row],[Área neta]]</f>
        <v>0</v>
      </c>
      <c r="NC118" s="26"/>
      <c r="NE118"/>
      <c r="NF118"/>
      <c r="NG118"/>
      <c r="NH118"/>
      <c r="NI118"/>
      <c r="NJ118"/>
      <c r="NK118" s="2">
        <f>+Tabla520212224252627129125[[#This Row],[Recuento]]*Tabla520212224252627129125[[#This Row],[Volúmen bruto]]</f>
        <v>0</v>
      </c>
      <c r="NL118" s="2">
        <f>+Tabla520212224252627129125[[#This Row],[Recuento]]*Tabla520212224252627129125[[#This Row],[Área neta]]</f>
        <v>0</v>
      </c>
      <c r="NM118" s="26"/>
      <c r="NO118"/>
      <c r="NP118"/>
      <c r="NQ118"/>
      <c r="NR118"/>
      <c r="NS118"/>
      <c r="NT118"/>
      <c r="NU118" s="2">
        <f>+Tabla520212224252627129125130[[#This Row],[Recuento]]*Tabla520212224252627129125130[[#This Row],[Volúmen bruto]]</f>
        <v>0</v>
      </c>
      <c r="NV118" s="2">
        <f>+Tabla520212224252627129125130[[#This Row],[Recuento]]*Tabla520212224252627129125130[[#This Row],[Área neta]]</f>
        <v>0</v>
      </c>
      <c r="NW118" s="26"/>
      <c r="NY118"/>
      <c r="NZ118"/>
      <c r="OA118"/>
      <c r="OB118"/>
      <c r="OC118"/>
      <c r="OD118"/>
      <c r="OE118" s="2">
        <f>+Tabla520212224252627129125130131[[#This Row],[Recuento]]*Tabla520212224252627129125130131[[#This Row],[Volúmen bruto]]</f>
        <v>0</v>
      </c>
      <c r="OF118" s="2">
        <f>+Tabla520212224252627129125130131[[#This Row],[Recuento]]*Tabla520212224252627129125130131[[#This Row],[Área neta]]</f>
        <v>0</v>
      </c>
      <c r="OG118" s="26"/>
      <c r="OI118"/>
      <c r="OJ118"/>
      <c r="OK118"/>
      <c r="OL118"/>
      <c r="OM118"/>
      <c r="ON118"/>
      <c r="OO118" s="2">
        <f>+Tabla520212224252627129125130131132[[#This Row],[Recuento]]*Tabla520212224252627129125130131132[[#This Row],[Volúmen bruto]]</f>
        <v>0</v>
      </c>
      <c r="OP118" s="2">
        <f>+Tabla520212224252627129125130131132[[#This Row],[Recuento]]*Tabla520212224252627129125130131132[[#This Row],[Área neta]]</f>
        <v>0</v>
      </c>
      <c r="OQ118" s="26"/>
      <c r="OS118"/>
      <c r="OT118"/>
      <c r="OU118"/>
      <c r="OV118"/>
      <c r="OW118"/>
      <c r="OX118"/>
      <c r="OY118" s="2">
        <f>+Tabla52021222425262728[[#This Row],[Recuento]]*Tabla52021222425262728[[#This Row],[Volúmen bruto]]</f>
        <v>0</v>
      </c>
      <c r="OZ118" s="2">
        <f>+Tabla52021222425262728[[#This Row],[Recuento]]*Tabla52021222425262728[[#This Row],[Área neta]]</f>
        <v>0</v>
      </c>
      <c r="PA118" s="26">
        <f t="shared" si="44"/>
        <v>0</v>
      </c>
      <c r="PC118"/>
      <c r="PD118"/>
      <c r="PE118"/>
      <c r="PF118"/>
      <c r="PG118"/>
      <c r="PH118"/>
      <c r="PI118" s="2">
        <f>+Tabla52021222425262728133[[#This Row],[Recuento]]*Tabla52021222425262728133[[#This Row],[Volúmen bruto]]</f>
        <v>0</v>
      </c>
      <c r="PJ118" s="2">
        <f>+Tabla52021222425262728133[[#This Row],[Recuento]]*Tabla52021222425262728133[[#This Row],[Área neta]]</f>
        <v>0</v>
      </c>
      <c r="PK118" s="26">
        <f t="shared" si="47"/>
        <v>0</v>
      </c>
      <c r="PM118"/>
      <c r="PN118"/>
      <c r="PO118"/>
      <c r="PP118"/>
      <c r="PQ118"/>
      <c r="PR118"/>
      <c r="PS118" s="2">
        <f>+Tabla5202122242526272893[[#This Row],[Recuento]]*Tabla5202122242526272893[[#This Row],[Volúmen bruto]]</f>
        <v>0</v>
      </c>
      <c r="PT118" s="2">
        <f>+Tabla5202122242526272893[[#This Row],[Recuento]]*Tabla5202122242526272893[[#This Row],[Área neta]]</f>
        <v>0</v>
      </c>
      <c r="PU118" s="26"/>
      <c r="PW118"/>
      <c r="PX118"/>
      <c r="PY118"/>
      <c r="PZ118"/>
      <c r="QA118"/>
      <c r="QB118"/>
      <c r="QC118" s="2">
        <f>+Tabla520212224252627289349[[#This Row],[Recuento]]*Tabla520212224252627289349[[#This Row],[Volúmen bruto]]</f>
        <v>0</v>
      </c>
      <c r="QD118" s="2">
        <f>+Tabla520212224252627289349[[#This Row],[Recuento]]*Tabla520212224252627289349[[#This Row],[Área neta]]</f>
        <v>0</v>
      </c>
      <c r="QE118" s="26"/>
      <c r="QG118"/>
      <c r="QH118"/>
      <c r="QI118"/>
      <c r="QJ118"/>
      <c r="QK118"/>
      <c r="QL118"/>
      <c r="QM118" s="2">
        <f>+Tabla520212224252627289349134[[#This Row],[Recuento]]*Tabla520212224252627289349134[[#This Row],[Volúmen bruto]]</f>
        <v>0</v>
      </c>
      <c r="QN118" s="2">
        <f>+Tabla520212224252627289349134[[#This Row],[Recuento]]*Tabla520212224252627289349134[[#This Row],[Área neta]]</f>
        <v>0</v>
      </c>
      <c r="QO118" s="26"/>
      <c r="QQ118"/>
      <c r="QR118"/>
      <c r="QS118"/>
      <c r="QT118"/>
      <c r="QU118"/>
      <c r="QV118"/>
      <c r="QW118"/>
      <c r="RA118" s="26"/>
      <c r="RC118"/>
      <c r="RD118"/>
      <c r="RE118"/>
      <c r="RF118"/>
      <c r="RG118"/>
      <c r="RH118"/>
      <c r="RK118" s="26"/>
      <c r="RM118"/>
      <c r="RN118"/>
      <c r="RO118"/>
      <c r="RP118"/>
      <c r="RQ118"/>
      <c r="RR118"/>
      <c r="RU118" s="26">
        <f t="shared" si="45"/>
        <v>0</v>
      </c>
      <c r="RW118"/>
      <c r="RX118"/>
      <c r="RY118"/>
      <c r="RZ118"/>
      <c r="SA118"/>
      <c r="SB118"/>
      <c r="SE118" s="26"/>
      <c r="SG118"/>
      <c r="SH118"/>
      <c r="SI118"/>
      <c r="SJ118"/>
      <c r="SK118"/>
      <c r="SL118"/>
      <c r="SO118" s="26"/>
      <c r="YK118"/>
      <c r="YL118"/>
      <c r="YM118"/>
      <c r="YN118"/>
      <c r="YO118"/>
      <c r="ADJ118"/>
      <c r="ADK118"/>
      <c r="ADL118"/>
      <c r="ADM118"/>
      <c r="ADN118"/>
      <c r="ADO118"/>
      <c r="ADP118" s="36"/>
      <c r="ADR118"/>
      <c r="ADS118"/>
      <c r="ADT118"/>
      <c r="ADU118"/>
      <c r="ADW118" s="35"/>
      <c r="ADX118" s="35"/>
      <c r="AFI118"/>
      <c r="AFJ118"/>
      <c r="AFK118"/>
      <c r="AFL118"/>
      <c r="AFM118"/>
      <c r="AFN118">
        <f>+Tabla578914151634353637383940414243444546474849505152535560626467[[#This Row],[G. Total]]*Tabla578914151634353637383940414243444546474849505152535560626467[[#This Row],[Recuento]]</f>
        <v>0</v>
      </c>
      <c r="AFO118" s="36"/>
    </row>
    <row r="119" spans="59:847" x14ac:dyDescent="0.25">
      <c r="BG119"/>
      <c r="BH119"/>
      <c r="BI119"/>
      <c r="BJ119"/>
      <c r="BK119"/>
      <c r="BL119">
        <f>+Tabla3102[[#This Row],[Longitud de eje]]*BF119</f>
        <v>0</v>
      </c>
      <c r="BM119">
        <f>+Tabla3102[[#This Row],[Longitud de eje]]*BG119</f>
        <v>0</v>
      </c>
      <c r="BO119"/>
      <c r="BP119"/>
      <c r="BQ119"/>
      <c r="BR119"/>
      <c r="BS119"/>
      <c r="BT119"/>
      <c r="BU119"/>
      <c r="BV119">
        <v>1</v>
      </c>
      <c r="BW119"/>
      <c r="BX119"/>
      <c r="BY119"/>
      <c r="BZ119"/>
      <c r="CA119"/>
      <c r="CB119">
        <f>+Tabla31011[[#This Row],[Longitud de eje]]*BV119</f>
        <v>0</v>
      </c>
      <c r="CD119">
        <v>1</v>
      </c>
      <c r="CE119"/>
      <c r="CF119"/>
      <c r="CG119"/>
      <c r="CH119"/>
      <c r="CI119"/>
      <c r="CJ119"/>
      <c r="CK119"/>
      <c r="CL119">
        <v>1</v>
      </c>
      <c r="CM119"/>
      <c r="CN119"/>
      <c r="CO119"/>
      <c r="CP119"/>
      <c r="CQ119"/>
      <c r="CR119">
        <f>+Tabla31011116[[#This Row],[Longitud de eje]]*CL119</f>
        <v>0</v>
      </c>
      <c r="CT119">
        <v>1</v>
      </c>
      <c r="CU119"/>
      <c r="CV119"/>
      <c r="CW119"/>
      <c r="CX119"/>
      <c r="CY119"/>
      <c r="CZ119"/>
      <c r="DA119"/>
      <c r="DB119">
        <v>1</v>
      </c>
      <c r="DC119"/>
      <c r="DD119"/>
      <c r="DE119"/>
      <c r="DF119"/>
      <c r="DG119">
        <f>+Tabla31011704[[#This Row],[Longitud de eje]]*DB119</f>
        <v>0</v>
      </c>
      <c r="DH119"/>
      <c r="DI119">
        <v>1</v>
      </c>
      <c r="DJ119"/>
      <c r="DK119"/>
      <c r="DL119"/>
      <c r="DM119"/>
      <c r="DN119">
        <f>+Tabla3101170411[[#This Row],[Longitud de eje]]*DI119</f>
        <v>0</v>
      </c>
      <c r="DO119"/>
      <c r="DP119">
        <v>1</v>
      </c>
      <c r="DQ119"/>
      <c r="DR119"/>
      <c r="DS119"/>
      <c r="DT119"/>
      <c r="DU119">
        <f>+Tabla3101170411120[[#This Row],[Longitud de eje]]*DP119</f>
        <v>0</v>
      </c>
      <c r="DV119"/>
      <c r="DW119">
        <v>1</v>
      </c>
      <c r="DX119"/>
      <c r="DY119"/>
      <c r="DZ119"/>
      <c r="EA119"/>
      <c r="EB119">
        <f>+Tabla3101170411120122[[#This Row],[Longitud de eje]]*DW119</f>
        <v>0</v>
      </c>
      <c r="EC119"/>
      <c r="EE119"/>
      <c r="EF119"/>
      <c r="EG119"/>
      <c r="EH119"/>
      <c r="EI119"/>
      <c r="EJ119">
        <f>+Tabla3101112[[#This Row],[En culmo]]*ED119</f>
        <v>0</v>
      </c>
      <c r="EK119"/>
      <c r="EM119"/>
      <c r="EN119"/>
      <c r="EO119"/>
      <c r="EP119"/>
      <c r="EQ119"/>
      <c r="ER119">
        <f>+Tabla3101112123[[#This Row],[En culmo]]*EL119</f>
        <v>0</v>
      </c>
      <c r="ES119"/>
      <c r="EU119"/>
      <c r="EV119"/>
      <c r="EW119"/>
      <c r="EX119"/>
      <c r="EY119"/>
      <c r="EZ119">
        <f>+Tabla310111257[[#This Row],[En culmo]]*ET119</f>
        <v>0</v>
      </c>
      <c r="FA119"/>
      <c r="FC119"/>
      <c r="FD119"/>
      <c r="FE119"/>
      <c r="FF119"/>
      <c r="FG119"/>
      <c r="FH119">
        <f>+Tabla310111257124[[#This Row],[En culmo]]*FB119</f>
        <v>0</v>
      </c>
      <c r="FI119"/>
      <c r="FK119"/>
      <c r="FL119"/>
      <c r="FM119"/>
      <c r="FN119"/>
      <c r="FO119"/>
      <c r="FP119"/>
      <c r="FQ119"/>
      <c r="FS119"/>
      <c r="FT119"/>
      <c r="FU119"/>
      <c r="FV119"/>
      <c r="FW119"/>
      <c r="FX119"/>
      <c r="FY119"/>
      <c r="GA119"/>
      <c r="GB119"/>
      <c r="GC119"/>
      <c r="GD119"/>
      <c r="GE119"/>
      <c r="GF119"/>
      <c r="GG119"/>
      <c r="GI119"/>
      <c r="GJ119"/>
      <c r="GK119"/>
      <c r="GL119"/>
      <c r="GM119"/>
      <c r="GN119"/>
      <c r="GO119"/>
      <c r="IY119"/>
      <c r="IZ119"/>
      <c r="JA119"/>
      <c r="JB119"/>
      <c r="JC119"/>
      <c r="JD119"/>
      <c r="JE119" s="2">
        <f>+Tabla520212224[[#This Row],[Recuento]]*Tabla520212224[[#This Row],[Volúmen bruto]]</f>
        <v>0</v>
      </c>
      <c r="JF119" s="2">
        <f>+Tabla520212224[[#This Row],[Recuento]]*Tabla520212224[[#This Row],[Área neta]]</f>
        <v>0</v>
      </c>
      <c r="JG119" s="26"/>
      <c r="JI119"/>
      <c r="JJ119"/>
      <c r="JK119"/>
      <c r="JL119"/>
      <c r="JM119"/>
      <c r="JN119"/>
      <c r="JO119" s="2">
        <f>+Tabla52021222425[[#This Row],[Recuento]]*Tabla52021222425[[#This Row],[Volúmen bruto]]</f>
        <v>0</v>
      </c>
      <c r="JP119" s="2">
        <f>+Tabla52021222425[[#This Row],[Recuento]]*Tabla52021222425[[#This Row],[Área neta]]</f>
        <v>0</v>
      </c>
      <c r="JQ119" s="26"/>
      <c r="JS119"/>
      <c r="JT119"/>
      <c r="JU119"/>
      <c r="JV119"/>
      <c r="JW119"/>
      <c r="JX119"/>
      <c r="JY119" s="2">
        <f>+Tabla5202122242526[[#This Row],[Recuento]]*Tabla5202122242526[[#This Row],[Volúmen bruto]]</f>
        <v>0</v>
      </c>
      <c r="JZ119" s="2">
        <f>+Tabla5202122242526[[#This Row],[Recuento]]*Tabla5202122242526[[#This Row],[Área neta]]</f>
        <v>0</v>
      </c>
      <c r="KA119" s="26"/>
      <c r="KC119"/>
      <c r="KD119"/>
      <c r="KE119"/>
      <c r="KF119"/>
      <c r="KG119"/>
      <c r="KH119"/>
      <c r="KI119" s="2">
        <f>+Tabla5202122242526104[[#This Row],[Recuento]]*Tabla5202122242526104[[#This Row],[Volúmen bruto]]</f>
        <v>0</v>
      </c>
      <c r="KJ119" s="2">
        <f>+Tabla5202122242526104[[#This Row],[Recuento]]*Tabla5202122242526104[[#This Row],[Área neta]]</f>
        <v>0</v>
      </c>
      <c r="KK119" s="26"/>
      <c r="KM119"/>
      <c r="KN119"/>
      <c r="KO119"/>
      <c r="KP119"/>
      <c r="KQ119"/>
      <c r="KR119"/>
      <c r="KS119" s="2">
        <f>+Tabla5202122242526104110[[#This Row],[Recuento]]*Tabla5202122242526104110[[#This Row],[Volúmen bruto]]</f>
        <v>0</v>
      </c>
      <c r="KT119" s="2">
        <f>+Tabla5202122242526104110[[#This Row],[Recuento]]*Tabla5202122242526104110[[#This Row],[Área neta]]</f>
        <v>0</v>
      </c>
      <c r="KU119" s="26"/>
      <c r="KW119"/>
      <c r="KX119"/>
      <c r="KY119"/>
      <c r="KZ119"/>
      <c r="LA119"/>
      <c r="LB119"/>
      <c r="LC119" s="2">
        <f>+Tabla520212224252659[[#This Row],[Recuento]]*Tabla520212224252659[[#This Row],[Volúmen bruto]]</f>
        <v>0</v>
      </c>
      <c r="LD119" s="2">
        <f>+Tabla520212224252659[[#This Row],[Recuento]]*Tabla520212224252659[[#This Row],[Área neta]]</f>
        <v>0</v>
      </c>
      <c r="LE119" s="26"/>
      <c r="LG119"/>
      <c r="LH119"/>
      <c r="LI119"/>
      <c r="LJ119"/>
      <c r="LK119"/>
      <c r="LL119"/>
      <c r="LM119" s="2">
        <f>+Tabla520212224252659111[[#This Row],[Recuento]]*Tabla520212224252659111[[#This Row],[Volúmen bruto]]</f>
        <v>0</v>
      </c>
      <c r="LN119" s="2">
        <f>+Tabla520212224252659111[[#This Row],[Recuento]]*Tabla520212224252659111[[#This Row],[Área neta]]</f>
        <v>0</v>
      </c>
      <c r="LO119" s="26"/>
      <c r="LQ119"/>
      <c r="LR119"/>
      <c r="LS119"/>
      <c r="LT119"/>
      <c r="LU119"/>
      <c r="LV119"/>
      <c r="LW119" s="2">
        <f>+Tabla520212224252659111114[[#This Row],[Recuento]]*Tabla520212224252659111114[[#This Row],[Volúmen bruto]]</f>
        <v>0</v>
      </c>
      <c r="LX119" s="2">
        <f>+Tabla520212224252659111114[[#This Row],[Recuento]]*Tabla520212224252659111114[[#This Row],[Área neta]]</f>
        <v>0</v>
      </c>
      <c r="LY119" s="26"/>
      <c r="MA119"/>
      <c r="MB119"/>
      <c r="MC119"/>
      <c r="MD119"/>
      <c r="ME119"/>
      <c r="MF119"/>
      <c r="MG119" s="2">
        <f>+Tabla520212224252659111114128[[#This Row],[Recuento]]*Tabla520212224252659111114128[[#This Row],[Volúmen bruto]]</f>
        <v>0</v>
      </c>
      <c r="MH119" s="2">
        <f>+Tabla520212224252659111114128[[#This Row],[Recuento]]*Tabla520212224252659111114128[[#This Row],[Área neta]]</f>
        <v>0</v>
      </c>
      <c r="MI119" s="26"/>
      <c r="MK119"/>
      <c r="ML119"/>
      <c r="MM119"/>
      <c r="MN119"/>
      <c r="MO119"/>
      <c r="MP119"/>
      <c r="MQ119" s="2">
        <f>+Tabla520212224252627[[#This Row],[Recuento]]*Tabla520212224252627[[#This Row],[Volúmen bruto]]</f>
        <v>0</v>
      </c>
      <c r="MR119" s="2">
        <f>+Tabla520212224252627[[#This Row],[Recuento]]*Tabla520212224252627[[#This Row],[Área neta]]</f>
        <v>0</v>
      </c>
      <c r="MS119" s="26"/>
      <c r="MU119"/>
      <c r="MV119"/>
      <c r="MW119"/>
      <c r="MX119"/>
      <c r="MY119"/>
      <c r="MZ119"/>
      <c r="NA119" s="2">
        <f>+Tabla520212224252627129[[#This Row],[Recuento]]*Tabla520212224252627129[[#This Row],[Volúmen bruto]]</f>
        <v>0</v>
      </c>
      <c r="NB119" s="2">
        <f>+Tabla520212224252627129[[#This Row],[Recuento]]*Tabla520212224252627129[[#This Row],[Área neta]]</f>
        <v>0</v>
      </c>
      <c r="NC119" s="26"/>
      <c r="NE119"/>
      <c r="NF119"/>
      <c r="NG119"/>
      <c r="NH119"/>
      <c r="NI119"/>
      <c r="NJ119"/>
      <c r="NK119" s="2">
        <f>+Tabla520212224252627129125[[#This Row],[Recuento]]*Tabla520212224252627129125[[#This Row],[Volúmen bruto]]</f>
        <v>0</v>
      </c>
      <c r="NL119" s="2">
        <f>+Tabla520212224252627129125[[#This Row],[Recuento]]*Tabla520212224252627129125[[#This Row],[Área neta]]</f>
        <v>0</v>
      </c>
      <c r="NM119" s="26"/>
      <c r="NO119"/>
      <c r="NP119"/>
      <c r="NQ119"/>
      <c r="NR119"/>
      <c r="NS119"/>
      <c r="NT119"/>
      <c r="NU119" s="2">
        <f>+Tabla520212224252627129125130[[#This Row],[Recuento]]*Tabla520212224252627129125130[[#This Row],[Volúmen bruto]]</f>
        <v>0</v>
      </c>
      <c r="NV119" s="2">
        <f>+Tabla520212224252627129125130[[#This Row],[Recuento]]*Tabla520212224252627129125130[[#This Row],[Área neta]]</f>
        <v>0</v>
      </c>
      <c r="NW119" s="26"/>
      <c r="NY119"/>
      <c r="NZ119"/>
      <c r="OA119"/>
      <c r="OB119"/>
      <c r="OC119"/>
      <c r="OD119"/>
      <c r="OE119" s="2">
        <f>+Tabla520212224252627129125130131[[#This Row],[Recuento]]*Tabla520212224252627129125130131[[#This Row],[Volúmen bruto]]</f>
        <v>0</v>
      </c>
      <c r="OF119" s="2">
        <f>+Tabla520212224252627129125130131[[#This Row],[Recuento]]*Tabla520212224252627129125130131[[#This Row],[Área neta]]</f>
        <v>0</v>
      </c>
      <c r="OG119" s="26"/>
      <c r="OI119"/>
      <c r="OJ119"/>
      <c r="OK119"/>
      <c r="OL119"/>
      <c r="OM119"/>
      <c r="ON119"/>
      <c r="OO119" s="2">
        <f>+Tabla520212224252627129125130131132[[#This Row],[Recuento]]*Tabla520212224252627129125130131132[[#This Row],[Volúmen bruto]]</f>
        <v>0</v>
      </c>
      <c r="OP119" s="2">
        <f>+Tabla520212224252627129125130131132[[#This Row],[Recuento]]*Tabla520212224252627129125130131132[[#This Row],[Área neta]]</f>
        <v>0</v>
      </c>
      <c r="OQ119" s="26"/>
      <c r="OS119"/>
      <c r="OT119"/>
      <c r="OU119"/>
      <c r="OV119"/>
      <c r="OW119"/>
      <c r="OX119"/>
      <c r="OY119" s="2">
        <f>+Tabla52021222425262728[[#This Row],[Recuento]]*Tabla52021222425262728[[#This Row],[Volúmen bruto]]</f>
        <v>0</v>
      </c>
      <c r="OZ119" s="2">
        <f>+Tabla52021222425262728[[#This Row],[Recuento]]*Tabla52021222425262728[[#This Row],[Área neta]]</f>
        <v>0</v>
      </c>
      <c r="PA119" s="26">
        <f t="shared" si="44"/>
        <v>0</v>
      </c>
      <c r="PC119"/>
      <c r="PD119"/>
      <c r="PE119"/>
      <c r="PF119"/>
      <c r="PG119"/>
      <c r="PH119"/>
      <c r="PI119" s="2">
        <f>+Tabla52021222425262728133[[#This Row],[Recuento]]*Tabla52021222425262728133[[#This Row],[Volúmen bruto]]</f>
        <v>0</v>
      </c>
      <c r="PJ119" s="2">
        <f>+Tabla52021222425262728133[[#This Row],[Recuento]]*Tabla52021222425262728133[[#This Row],[Área neta]]</f>
        <v>0</v>
      </c>
      <c r="PK119" s="26">
        <f t="shared" si="47"/>
        <v>0</v>
      </c>
      <c r="PM119"/>
      <c r="PN119"/>
      <c r="PO119"/>
      <c r="PP119"/>
      <c r="PQ119"/>
      <c r="PR119"/>
      <c r="PS119" s="2">
        <f>+Tabla5202122242526272893[[#This Row],[Recuento]]*Tabla5202122242526272893[[#This Row],[Volúmen bruto]]</f>
        <v>0</v>
      </c>
      <c r="PT119" s="2">
        <f>+Tabla5202122242526272893[[#This Row],[Recuento]]*Tabla5202122242526272893[[#This Row],[Área neta]]</f>
        <v>0</v>
      </c>
      <c r="PU119" s="26"/>
      <c r="PW119"/>
      <c r="PX119"/>
      <c r="PY119"/>
      <c r="PZ119"/>
      <c r="QA119"/>
      <c r="QB119"/>
      <c r="QC119" s="2">
        <f>+Tabla520212224252627289349[[#This Row],[Recuento]]*Tabla520212224252627289349[[#This Row],[Volúmen bruto]]</f>
        <v>0</v>
      </c>
      <c r="QD119" s="2">
        <f>+Tabla520212224252627289349[[#This Row],[Recuento]]*Tabla520212224252627289349[[#This Row],[Área neta]]</f>
        <v>0</v>
      </c>
      <c r="QE119" s="26"/>
      <c r="QG119"/>
      <c r="QH119"/>
      <c r="QI119"/>
      <c r="QJ119"/>
      <c r="QK119"/>
      <c r="QL119"/>
      <c r="QM119" s="2">
        <f>+Tabla520212224252627289349134[[#This Row],[Recuento]]*Tabla520212224252627289349134[[#This Row],[Volúmen bruto]]</f>
        <v>0</v>
      </c>
      <c r="QN119" s="2">
        <f>+Tabla520212224252627289349134[[#This Row],[Recuento]]*Tabla520212224252627289349134[[#This Row],[Área neta]]</f>
        <v>0</v>
      </c>
      <c r="QO119" s="26"/>
      <c r="QQ119"/>
      <c r="QR119"/>
      <c r="QS119"/>
      <c r="QT119"/>
      <c r="QU119"/>
      <c r="QV119"/>
      <c r="QW119"/>
      <c r="RA119" s="26"/>
      <c r="RC119"/>
      <c r="RD119"/>
      <c r="RE119"/>
      <c r="RF119"/>
      <c r="RG119"/>
      <c r="RH119"/>
      <c r="RK119" s="26"/>
      <c r="RM119"/>
      <c r="RN119"/>
      <c r="RO119"/>
      <c r="RP119"/>
      <c r="RQ119"/>
      <c r="RR119"/>
      <c r="RU119" s="26">
        <f t="shared" si="45"/>
        <v>0</v>
      </c>
      <c r="RW119"/>
      <c r="RX119"/>
      <c r="RY119"/>
      <c r="RZ119"/>
      <c r="SA119"/>
      <c r="SB119"/>
      <c r="SE119" s="26"/>
      <c r="SG119"/>
      <c r="SH119"/>
      <c r="SI119"/>
      <c r="SJ119"/>
      <c r="SK119"/>
      <c r="SL119"/>
      <c r="SO119" s="26"/>
      <c r="YK119"/>
      <c r="YL119"/>
      <c r="YM119"/>
      <c r="YN119"/>
      <c r="YO119"/>
      <c r="ADJ119"/>
      <c r="ADK119"/>
      <c r="ADL119"/>
      <c r="ADM119"/>
      <c r="ADN119"/>
      <c r="ADO119"/>
      <c r="ADP119" s="36"/>
      <c r="ADR119"/>
      <c r="ADS119"/>
      <c r="ADT119"/>
      <c r="ADU119"/>
      <c r="ADW119" s="35"/>
      <c r="ADX119" s="35"/>
      <c r="AFI119"/>
      <c r="AFJ119"/>
      <c r="AFK119"/>
      <c r="AFL119"/>
      <c r="AFM119"/>
      <c r="AFN119">
        <f>+Tabla578914151634353637383940414243444546474849505152535560626467[[#This Row],[G. Total]]*Tabla578914151634353637383940414243444546474849505152535560626467[[#This Row],[Recuento]]</f>
        <v>0</v>
      </c>
      <c r="AFO119" s="36"/>
    </row>
    <row r="120" spans="59:847" x14ac:dyDescent="0.25">
      <c r="BG120"/>
      <c r="BH120"/>
      <c r="BI120"/>
      <c r="BJ120"/>
      <c r="BK120"/>
      <c r="BL120">
        <f>+Tabla3102[[#This Row],[Longitud de eje]]*BF120</f>
        <v>0</v>
      </c>
      <c r="BM120">
        <f>+Tabla3102[[#This Row],[Longitud de eje]]*BG120</f>
        <v>0</v>
      </c>
      <c r="BO120"/>
      <c r="BP120"/>
      <c r="BQ120"/>
      <c r="BR120"/>
      <c r="BS120"/>
      <c r="BT120"/>
      <c r="BU120"/>
      <c r="BV120">
        <v>1</v>
      </c>
      <c r="BW120"/>
      <c r="BX120"/>
      <c r="BY120"/>
      <c r="BZ120"/>
      <c r="CA120"/>
      <c r="CB120">
        <f>+Tabla31011[[#This Row],[Longitud de eje]]*BV120</f>
        <v>0</v>
      </c>
      <c r="CD120">
        <v>1</v>
      </c>
      <c r="CE120"/>
      <c r="CF120"/>
      <c r="CG120"/>
      <c r="CH120"/>
      <c r="CI120"/>
      <c r="CJ120"/>
      <c r="CK120"/>
      <c r="CL120">
        <v>1</v>
      </c>
      <c r="CM120"/>
      <c r="CN120"/>
      <c r="CO120"/>
      <c r="CP120"/>
      <c r="CQ120"/>
      <c r="CR120">
        <f>+Tabla31011116[[#This Row],[Longitud de eje]]*CL120</f>
        <v>0</v>
      </c>
      <c r="CT120">
        <v>1</v>
      </c>
      <c r="CU120"/>
      <c r="CV120"/>
      <c r="CW120"/>
      <c r="CX120"/>
      <c r="CY120"/>
      <c r="CZ120"/>
      <c r="DA120"/>
      <c r="DB120">
        <v>1</v>
      </c>
      <c r="DC120"/>
      <c r="DD120"/>
      <c r="DE120"/>
      <c r="DF120"/>
      <c r="DG120">
        <f>+Tabla31011704[[#This Row],[Longitud de eje]]*DB120</f>
        <v>0</v>
      </c>
      <c r="DH120"/>
      <c r="DI120">
        <v>1</v>
      </c>
      <c r="DJ120"/>
      <c r="DK120"/>
      <c r="DL120"/>
      <c r="DM120"/>
      <c r="DN120">
        <f>+Tabla3101170411[[#This Row],[Longitud de eje]]*DI120</f>
        <v>0</v>
      </c>
      <c r="DO120"/>
      <c r="DP120">
        <v>1</v>
      </c>
      <c r="DQ120"/>
      <c r="DR120"/>
      <c r="DS120"/>
      <c r="DT120"/>
      <c r="DU120">
        <f>+Tabla3101170411120[[#This Row],[Longitud de eje]]*DP120</f>
        <v>0</v>
      </c>
      <c r="DV120"/>
      <c r="DW120">
        <v>1</v>
      </c>
      <c r="DX120"/>
      <c r="DY120"/>
      <c r="DZ120"/>
      <c r="EA120"/>
      <c r="EB120">
        <f>+Tabla3101170411120122[[#This Row],[Longitud de eje]]*DW120</f>
        <v>0</v>
      </c>
      <c r="EC120"/>
      <c r="EE120"/>
      <c r="EF120"/>
      <c r="EG120"/>
      <c r="EH120"/>
      <c r="EI120"/>
      <c r="EJ120">
        <f>+Tabla3101112[[#This Row],[En culmo]]*ED120</f>
        <v>0</v>
      </c>
      <c r="EK120"/>
      <c r="EM120"/>
      <c r="EN120"/>
      <c r="EO120"/>
      <c r="EP120"/>
      <c r="EQ120"/>
      <c r="ER120">
        <f>+Tabla3101112123[[#This Row],[En culmo]]*EL120</f>
        <v>0</v>
      </c>
      <c r="ES120"/>
      <c r="EU120"/>
      <c r="EV120"/>
      <c r="EW120"/>
      <c r="EX120"/>
      <c r="EY120"/>
      <c r="EZ120">
        <f>+Tabla310111257[[#This Row],[En culmo]]*ET120</f>
        <v>0</v>
      </c>
      <c r="FA120"/>
      <c r="FC120"/>
      <c r="FD120"/>
      <c r="FE120"/>
      <c r="FF120"/>
      <c r="FG120"/>
      <c r="FH120">
        <f>+Tabla310111257124[[#This Row],[En culmo]]*FB120</f>
        <v>0</v>
      </c>
      <c r="FI120"/>
      <c r="FK120"/>
      <c r="FL120"/>
      <c r="FM120"/>
      <c r="FN120"/>
      <c r="FO120"/>
      <c r="FP120"/>
      <c r="FQ120"/>
      <c r="FS120"/>
      <c r="FT120"/>
      <c r="FU120"/>
      <c r="FV120"/>
      <c r="FW120"/>
      <c r="FX120"/>
      <c r="FY120"/>
      <c r="GA120"/>
      <c r="GB120"/>
      <c r="GC120"/>
      <c r="GD120"/>
      <c r="GE120"/>
      <c r="GF120"/>
      <c r="GG120"/>
      <c r="GI120"/>
      <c r="GJ120"/>
      <c r="GK120"/>
      <c r="GL120"/>
      <c r="GM120"/>
      <c r="GN120"/>
      <c r="GO120"/>
      <c r="IY120"/>
      <c r="IZ120"/>
      <c r="JA120"/>
      <c r="JB120"/>
      <c r="JC120"/>
      <c r="JD120"/>
      <c r="JE120" s="2">
        <f>+Tabla520212224[[#This Row],[Recuento]]*Tabla520212224[[#This Row],[Volúmen bruto]]</f>
        <v>0</v>
      </c>
      <c r="JF120" s="2">
        <f>+Tabla520212224[[#This Row],[Recuento]]*Tabla520212224[[#This Row],[Área neta]]</f>
        <v>0</v>
      </c>
      <c r="JG120" s="26"/>
      <c r="JI120"/>
      <c r="JJ120"/>
      <c r="JK120"/>
      <c r="JL120"/>
      <c r="JM120"/>
      <c r="JN120"/>
      <c r="JO120" s="2">
        <f>+Tabla52021222425[[#This Row],[Recuento]]*Tabla52021222425[[#This Row],[Volúmen bruto]]</f>
        <v>0</v>
      </c>
      <c r="JP120" s="2">
        <f>+Tabla52021222425[[#This Row],[Recuento]]*Tabla52021222425[[#This Row],[Área neta]]</f>
        <v>0</v>
      </c>
      <c r="JQ120" s="26"/>
      <c r="JS120"/>
      <c r="JT120"/>
      <c r="JU120"/>
      <c r="JV120"/>
      <c r="JW120"/>
      <c r="JX120"/>
      <c r="JY120" s="2">
        <f>+Tabla5202122242526[[#This Row],[Recuento]]*Tabla5202122242526[[#This Row],[Volúmen bruto]]</f>
        <v>0</v>
      </c>
      <c r="JZ120" s="2">
        <f>+Tabla5202122242526[[#This Row],[Recuento]]*Tabla5202122242526[[#This Row],[Área neta]]</f>
        <v>0</v>
      </c>
      <c r="KA120" s="26"/>
      <c r="KC120"/>
      <c r="KD120"/>
      <c r="KE120"/>
      <c r="KF120"/>
      <c r="KG120"/>
      <c r="KH120"/>
      <c r="KI120" s="2">
        <f>+Tabla5202122242526104[[#This Row],[Recuento]]*Tabla5202122242526104[[#This Row],[Volúmen bruto]]</f>
        <v>0</v>
      </c>
      <c r="KJ120" s="2">
        <f>+Tabla5202122242526104[[#This Row],[Recuento]]*Tabla5202122242526104[[#This Row],[Área neta]]</f>
        <v>0</v>
      </c>
      <c r="KK120" s="26"/>
      <c r="KM120"/>
      <c r="KN120"/>
      <c r="KO120"/>
      <c r="KP120"/>
      <c r="KQ120"/>
      <c r="KR120"/>
      <c r="KS120" s="2">
        <f>+Tabla5202122242526104110[[#This Row],[Recuento]]*Tabla5202122242526104110[[#This Row],[Volúmen bruto]]</f>
        <v>0</v>
      </c>
      <c r="KT120" s="2">
        <f>+Tabla5202122242526104110[[#This Row],[Recuento]]*Tabla5202122242526104110[[#This Row],[Área neta]]</f>
        <v>0</v>
      </c>
      <c r="KU120" s="26"/>
      <c r="KW120"/>
      <c r="KX120"/>
      <c r="KY120"/>
      <c r="KZ120"/>
      <c r="LA120"/>
      <c r="LB120"/>
      <c r="LC120" s="2">
        <f>+Tabla520212224252659[[#This Row],[Recuento]]*Tabla520212224252659[[#This Row],[Volúmen bruto]]</f>
        <v>0</v>
      </c>
      <c r="LD120" s="2">
        <f>+Tabla520212224252659[[#This Row],[Recuento]]*Tabla520212224252659[[#This Row],[Área neta]]</f>
        <v>0</v>
      </c>
      <c r="LE120" s="26"/>
      <c r="LG120"/>
      <c r="LH120"/>
      <c r="LI120"/>
      <c r="LJ120"/>
      <c r="LK120"/>
      <c r="LL120"/>
      <c r="LM120" s="2">
        <f>+Tabla520212224252659111[[#This Row],[Recuento]]*Tabla520212224252659111[[#This Row],[Volúmen bruto]]</f>
        <v>0</v>
      </c>
      <c r="LN120" s="2">
        <f>+Tabla520212224252659111[[#This Row],[Recuento]]*Tabla520212224252659111[[#This Row],[Área neta]]</f>
        <v>0</v>
      </c>
      <c r="LO120" s="26"/>
      <c r="LQ120"/>
      <c r="LR120"/>
      <c r="LS120"/>
      <c r="LT120"/>
      <c r="LU120"/>
      <c r="LV120"/>
      <c r="LW120" s="2">
        <f>+Tabla520212224252659111114[[#This Row],[Recuento]]*Tabla520212224252659111114[[#This Row],[Volúmen bruto]]</f>
        <v>0</v>
      </c>
      <c r="LX120" s="2">
        <f>+Tabla520212224252659111114[[#This Row],[Recuento]]*Tabla520212224252659111114[[#This Row],[Área neta]]</f>
        <v>0</v>
      </c>
      <c r="LY120" s="26"/>
      <c r="MA120"/>
      <c r="MB120"/>
      <c r="MC120"/>
      <c r="MD120"/>
      <c r="ME120"/>
      <c r="MF120"/>
      <c r="MG120" s="2">
        <f>+Tabla520212224252659111114128[[#This Row],[Recuento]]*Tabla520212224252659111114128[[#This Row],[Volúmen bruto]]</f>
        <v>0</v>
      </c>
      <c r="MH120" s="2">
        <f>+Tabla520212224252659111114128[[#This Row],[Recuento]]*Tabla520212224252659111114128[[#This Row],[Área neta]]</f>
        <v>0</v>
      </c>
      <c r="MI120" s="26"/>
      <c r="MK120"/>
      <c r="ML120"/>
      <c r="MM120"/>
      <c r="MN120"/>
      <c r="MO120"/>
      <c r="MP120"/>
      <c r="MQ120" s="2">
        <f>+Tabla520212224252627[[#This Row],[Recuento]]*Tabla520212224252627[[#This Row],[Volúmen bruto]]</f>
        <v>0</v>
      </c>
      <c r="MR120" s="2">
        <f>+Tabla520212224252627[[#This Row],[Recuento]]*Tabla520212224252627[[#This Row],[Área neta]]</f>
        <v>0</v>
      </c>
      <c r="MS120" s="26"/>
      <c r="MU120"/>
      <c r="MV120"/>
      <c r="MW120"/>
      <c r="MX120"/>
      <c r="MY120"/>
      <c r="MZ120"/>
      <c r="NA120" s="2">
        <f>+Tabla520212224252627129[[#This Row],[Recuento]]*Tabla520212224252627129[[#This Row],[Volúmen bruto]]</f>
        <v>0</v>
      </c>
      <c r="NB120" s="2">
        <f>+Tabla520212224252627129[[#This Row],[Recuento]]*Tabla520212224252627129[[#This Row],[Área neta]]</f>
        <v>0</v>
      </c>
      <c r="NC120" s="26"/>
      <c r="NE120"/>
      <c r="NF120"/>
      <c r="NG120"/>
      <c r="NH120"/>
      <c r="NI120"/>
      <c r="NJ120"/>
      <c r="NK120" s="2">
        <f>+Tabla520212224252627129125[[#This Row],[Recuento]]*Tabla520212224252627129125[[#This Row],[Volúmen bruto]]</f>
        <v>0</v>
      </c>
      <c r="NL120" s="2">
        <f>+Tabla520212224252627129125[[#This Row],[Recuento]]*Tabla520212224252627129125[[#This Row],[Área neta]]</f>
        <v>0</v>
      </c>
      <c r="NM120" s="26"/>
      <c r="NO120"/>
      <c r="NP120"/>
      <c r="NQ120"/>
      <c r="NR120"/>
      <c r="NS120"/>
      <c r="NT120"/>
      <c r="NU120" s="2">
        <f>+Tabla520212224252627129125130[[#This Row],[Recuento]]*Tabla520212224252627129125130[[#This Row],[Volúmen bruto]]</f>
        <v>0</v>
      </c>
      <c r="NV120" s="2">
        <f>+Tabla520212224252627129125130[[#This Row],[Recuento]]*Tabla520212224252627129125130[[#This Row],[Área neta]]</f>
        <v>0</v>
      </c>
      <c r="NW120" s="26"/>
      <c r="NY120"/>
      <c r="NZ120"/>
      <c r="OA120"/>
      <c r="OB120"/>
      <c r="OC120"/>
      <c r="OD120"/>
      <c r="OE120" s="2">
        <f>+Tabla520212224252627129125130131[[#This Row],[Recuento]]*Tabla520212224252627129125130131[[#This Row],[Volúmen bruto]]</f>
        <v>0</v>
      </c>
      <c r="OF120" s="2">
        <f>+Tabla520212224252627129125130131[[#This Row],[Recuento]]*Tabla520212224252627129125130131[[#This Row],[Área neta]]</f>
        <v>0</v>
      </c>
      <c r="OG120" s="26"/>
      <c r="OI120"/>
      <c r="OJ120"/>
      <c r="OK120"/>
      <c r="OL120"/>
      <c r="OM120"/>
      <c r="ON120"/>
      <c r="OO120" s="2">
        <f>+Tabla520212224252627129125130131132[[#This Row],[Recuento]]*Tabla520212224252627129125130131132[[#This Row],[Volúmen bruto]]</f>
        <v>0</v>
      </c>
      <c r="OP120" s="2">
        <f>+Tabla520212224252627129125130131132[[#This Row],[Recuento]]*Tabla520212224252627129125130131132[[#This Row],[Área neta]]</f>
        <v>0</v>
      </c>
      <c r="OQ120" s="26"/>
      <c r="OS120"/>
      <c r="OT120"/>
      <c r="OU120"/>
      <c r="OV120"/>
      <c r="OW120"/>
      <c r="OX120"/>
      <c r="OY120" s="2">
        <f>+Tabla52021222425262728[[#This Row],[Recuento]]*Tabla52021222425262728[[#This Row],[Volúmen bruto]]</f>
        <v>0</v>
      </c>
      <c r="OZ120" s="2">
        <f>+Tabla52021222425262728[[#This Row],[Recuento]]*Tabla52021222425262728[[#This Row],[Área neta]]</f>
        <v>0</v>
      </c>
      <c r="PA120" s="26">
        <f t="shared" si="44"/>
        <v>0</v>
      </c>
      <c r="PC120"/>
      <c r="PD120"/>
      <c r="PE120"/>
      <c r="PF120"/>
      <c r="PG120"/>
      <c r="PH120"/>
      <c r="PI120" s="2">
        <f>+Tabla52021222425262728133[[#This Row],[Recuento]]*Tabla52021222425262728133[[#This Row],[Volúmen bruto]]</f>
        <v>0</v>
      </c>
      <c r="PJ120" s="2">
        <f>+Tabla52021222425262728133[[#This Row],[Recuento]]*Tabla52021222425262728133[[#This Row],[Área neta]]</f>
        <v>0</v>
      </c>
      <c r="PK120" s="26">
        <f t="shared" si="47"/>
        <v>0</v>
      </c>
      <c r="PM120"/>
      <c r="PN120"/>
      <c r="PO120"/>
      <c r="PP120"/>
      <c r="PQ120"/>
      <c r="PR120"/>
      <c r="PS120" s="2">
        <f>+Tabla5202122242526272893[[#This Row],[Recuento]]*Tabla5202122242526272893[[#This Row],[Volúmen bruto]]</f>
        <v>0</v>
      </c>
      <c r="PT120" s="2">
        <f>+Tabla5202122242526272893[[#This Row],[Recuento]]*Tabla5202122242526272893[[#This Row],[Área neta]]</f>
        <v>0</v>
      </c>
      <c r="PU120" s="26"/>
      <c r="PW120"/>
      <c r="PX120"/>
      <c r="PY120"/>
      <c r="PZ120"/>
      <c r="QA120"/>
      <c r="QB120"/>
      <c r="QC120" s="2">
        <f>+Tabla520212224252627289349[[#This Row],[Recuento]]*Tabla520212224252627289349[[#This Row],[Volúmen bruto]]</f>
        <v>0</v>
      </c>
      <c r="QD120" s="2">
        <f>+Tabla520212224252627289349[[#This Row],[Recuento]]*Tabla520212224252627289349[[#This Row],[Área neta]]</f>
        <v>0</v>
      </c>
      <c r="QE120" s="26"/>
      <c r="QG120"/>
      <c r="QH120"/>
      <c r="QI120"/>
      <c r="QJ120"/>
      <c r="QK120"/>
      <c r="QL120"/>
      <c r="QM120" s="2">
        <f>+Tabla520212224252627289349134[[#This Row],[Recuento]]*Tabla520212224252627289349134[[#This Row],[Volúmen bruto]]</f>
        <v>0</v>
      </c>
      <c r="QN120" s="2">
        <f>+Tabla520212224252627289349134[[#This Row],[Recuento]]*Tabla520212224252627289349134[[#This Row],[Área neta]]</f>
        <v>0</v>
      </c>
      <c r="QO120" s="26"/>
      <c r="QQ120"/>
      <c r="QR120"/>
      <c r="QS120"/>
      <c r="QT120"/>
      <c r="QU120"/>
      <c r="QV120"/>
      <c r="QW120"/>
      <c r="RA120" s="26"/>
      <c r="RC120"/>
      <c r="RD120"/>
      <c r="RE120"/>
      <c r="RF120"/>
      <c r="RG120"/>
      <c r="RH120"/>
      <c r="RK120" s="26"/>
      <c r="RM120"/>
      <c r="RN120"/>
      <c r="RO120"/>
      <c r="RP120"/>
      <c r="RQ120"/>
      <c r="RR120"/>
      <c r="RU120" s="26">
        <f t="shared" si="45"/>
        <v>0</v>
      </c>
      <c r="RW120"/>
      <c r="RX120"/>
      <c r="RY120"/>
      <c r="RZ120"/>
      <c r="SA120"/>
      <c r="SB120"/>
      <c r="SE120" s="26"/>
      <c r="SG120"/>
      <c r="SH120"/>
      <c r="SI120"/>
      <c r="SJ120"/>
      <c r="SK120"/>
      <c r="SL120"/>
      <c r="SO120" s="26"/>
      <c r="YK120"/>
      <c r="YL120"/>
      <c r="YM120"/>
      <c r="YN120"/>
      <c r="YO120"/>
      <c r="ADJ120"/>
      <c r="ADK120"/>
      <c r="ADL120"/>
      <c r="ADM120"/>
      <c r="ADN120"/>
      <c r="ADO120"/>
      <c r="ADP120" s="36"/>
      <c r="ADR120"/>
      <c r="ADS120"/>
      <c r="ADT120"/>
      <c r="ADU120"/>
      <c r="ADW120" s="35"/>
      <c r="ADX120" s="35"/>
      <c r="AFI120"/>
      <c r="AFJ120"/>
      <c r="AFK120"/>
      <c r="AFL120"/>
      <c r="AFM120"/>
      <c r="AFN120">
        <f>+Tabla578914151634353637383940414243444546474849505152535560626467[[#This Row],[G. Total]]*Tabla578914151634353637383940414243444546474849505152535560626467[[#This Row],[Recuento]]</f>
        <v>0</v>
      </c>
      <c r="AFO120" s="36"/>
    </row>
    <row r="121" spans="59:847" x14ac:dyDescent="0.25">
      <c r="BG121"/>
      <c r="BH121"/>
      <c r="BI121"/>
      <c r="BJ121"/>
      <c r="BK121"/>
      <c r="BL121">
        <f>+Tabla3102[[#This Row],[Longitud de eje]]*BF121</f>
        <v>0</v>
      </c>
      <c r="BM121">
        <f>+Tabla3102[[#This Row],[Longitud de eje]]*BG121</f>
        <v>0</v>
      </c>
      <c r="BO121"/>
      <c r="BP121"/>
      <c r="BQ121"/>
      <c r="BR121"/>
      <c r="BS121"/>
      <c r="BT121"/>
      <c r="BU121"/>
      <c r="BV121">
        <v>1</v>
      </c>
      <c r="BW121"/>
      <c r="BX121"/>
      <c r="BY121"/>
      <c r="BZ121"/>
      <c r="CA121"/>
      <c r="CB121">
        <f>+Tabla31011[[#This Row],[Longitud de eje]]*BV121</f>
        <v>0</v>
      </c>
      <c r="CD121">
        <v>1</v>
      </c>
      <c r="CE121"/>
      <c r="CF121"/>
      <c r="CG121"/>
      <c r="CH121"/>
      <c r="CI121"/>
      <c r="CJ121"/>
      <c r="CK121"/>
      <c r="CL121">
        <v>1</v>
      </c>
      <c r="CM121"/>
      <c r="CN121"/>
      <c r="CO121"/>
      <c r="CP121"/>
      <c r="CQ121"/>
      <c r="CR121">
        <f>+Tabla31011116[[#This Row],[Longitud de eje]]*CL121</f>
        <v>0</v>
      </c>
      <c r="CT121">
        <v>1</v>
      </c>
      <c r="CU121"/>
      <c r="CV121"/>
      <c r="CW121"/>
      <c r="CX121"/>
      <c r="CY121"/>
      <c r="CZ121"/>
      <c r="DA121"/>
      <c r="DB121">
        <v>1</v>
      </c>
      <c r="DC121"/>
      <c r="DD121"/>
      <c r="DE121"/>
      <c r="DF121"/>
      <c r="DG121">
        <f>+Tabla31011704[[#This Row],[Longitud de eje]]*DB121</f>
        <v>0</v>
      </c>
      <c r="DH121"/>
      <c r="DI121">
        <v>1</v>
      </c>
      <c r="DJ121"/>
      <c r="DK121"/>
      <c r="DL121"/>
      <c r="DM121"/>
      <c r="DN121">
        <f>+Tabla3101170411[[#This Row],[Longitud de eje]]*DI121</f>
        <v>0</v>
      </c>
      <c r="DO121"/>
      <c r="DP121">
        <v>1</v>
      </c>
      <c r="DQ121"/>
      <c r="DR121"/>
      <c r="DS121"/>
      <c r="DT121"/>
      <c r="DU121">
        <f>+Tabla3101170411120[[#This Row],[Longitud de eje]]*DP121</f>
        <v>0</v>
      </c>
      <c r="DV121"/>
      <c r="DW121">
        <v>1</v>
      </c>
      <c r="DX121"/>
      <c r="DY121"/>
      <c r="DZ121"/>
      <c r="EA121"/>
      <c r="EB121">
        <f>+Tabla3101170411120122[[#This Row],[Longitud de eje]]*DW121</f>
        <v>0</v>
      </c>
      <c r="EC121"/>
      <c r="EE121"/>
      <c r="EF121"/>
      <c r="EG121"/>
      <c r="EH121"/>
      <c r="EI121"/>
      <c r="EJ121">
        <f>+Tabla3101112[[#This Row],[En culmo]]*ED121</f>
        <v>0</v>
      </c>
      <c r="EK121"/>
      <c r="EM121"/>
      <c r="EN121"/>
      <c r="EO121"/>
      <c r="EP121"/>
      <c r="EQ121"/>
      <c r="ER121">
        <f>+Tabla3101112123[[#This Row],[En culmo]]*EL121</f>
        <v>0</v>
      </c>
      <c r="ES121"/>
      <c r="EU121"/>
      <c r="EV121"/>
      <c r="EW121"/>
      <c r="EX121"/>
      <c r="EY121"/>
      <c r="EZ121">
        <f>+Tabla310111257[[#This Row],[En culmo]]*ET121</f>
        <v>0</v>
      </c>
      <c r="FA121"/>
      <c r="FC121"/>
      <c r="FD121"/>
      <c r="FE121"/>
      <c r="FF121"/>
      <c r="FG121"/>
      <c r="FH121">
        <f>+Tabla310111257124[[#This Row],[En culmo]]*FB121</f>
        <v>0</v>
      </c>
      <c r="FI121"/>
      <c r="FK121"/>
      <c r="FL121"/>
      <c r="FM121"/>
      <c r="FN121"/>
      <c r="FO121"/>
      <c r="FP121"/>
      <c r="FQ121"/>
      <c r="FS121"/>
      <c r="FT121"/>
      <c r="FU121"/>
      <c r="FV121"/>
      <c r="FW121"/>
      <c r="FX121"/>
      <c r="FY121"/>
      <c r="GA121"/>
      <c r="GB121"/>
      <c r="GC121"/>
      <c r="GD121"/>
      <c r="GE121"/>
      <c r="GF121"/>
      <c r="GG121"/>
      <c r="GI121"/>
      <c r="GJ121"/>
      <c r="GK121"/>
      <c r="GL121"/>
      <c r="GM121"/>
      <c r="GN121"/>
      <c r="GO121"/>
      <c r="IY121"/>
      <c r="IZ121"/>
      <c r="JA121"/>
      <c r="JB121"/>
      <c r="JC121"/>
      <c r="JD121"/>
      <c r="JE121" s="2">
        <f>+Tabla520212224[[#This Row],[Recuento]]*Tabla520212224[[#This Row],[Volúmen bruto]]</f>
        <v>0</v>
      </c>
      <c r="JF121" s="2">
        <f>+Tabla520212224[[#This Row],[Recuento]]*Tabla520212224[[#This Row],[Área neta]]</f>
        <v>0</v>
      </c>
      <c r="JG121" s="26"/>
      <c r="JI121"/>
      <c r="JJ121"/>
      <c r="JK121"/>
      <c r="JL121"/>
      <c r="JM121"/>
      <c r="JN121"/>
      <c r="JO121" s="2">
        <f>+Tabla52021222425[[#This Row],[Recuento]]*Tabla52021222425[[#This Row],[Volúmen bruto]]</f>
        <v>0</v>
      </c>
      <c r="JP121" s="2">
        <f>+Tabla52021222425[[#This Row],[Recuento]]*Tabla52021222425[[#This Row],[Área neta]]</f>
        <v>0</v>
      </c>
      <c r="JQ121" s="26"/>
      <c r="JS121"/>
      <c r="JT121"/>
      <c r="JU121"/>
      <c r="JV121"/>
      <c r="JW121"/>
      <c r="JX121"/>
      <c r="JY121" s="2">
        <f>+Tabla5202122242526[[#This Row],[Recuento]]*Tabla5202122242526[[#This Row],[Volúmen bruto]]</f>
        <v>0</v>
      </c>
      <c r="JZ121" s="2">
        <f>+Tabla5202122242526[[#This Row],[Recuento]]*Tabla5202122242526[[#This Row],[Área neta]]</f>
        <v>0</v>
      </c>
      <c r="KA121" s="26"/>
      <c r="KC121"/>
      <c r="KD121"/>
      <c r="KE121"/>
      <c r="KF121"/>
      <c r="KG121"/>
      <c r="KH121"/>
      <c r="KI121" s="2">
        <f>+Tabla5202122242526104[[#This Row],[Recuento]]*Tabla5202122242526104[[#This Row],[Volúmen bruto]]</f>
        <v>0</v>
      </c>
      <c r="KJ121" s="2">
        <f>+Tabla5202122242526104[[#This Row],[Recuento]]*Tabla5202122242526104[[#This Row],[Área neta]]</f>
        <v>0</v>
      </c>
      <c r="KK121" s="26"/>
      <c r="KM121"/>
      <c r="KN121"/>
      <c r="KO121"/>
      <c r="KP121"/>
      <c r="KQ121"/>
      <c r="KR121"/>
      <c r="KS121" s="2">
        <f>+Tabla5202122242526104110[[#This Row],[Recuento]]*Tabla5202122242526104110[[#This Row],[Volúmen bruto]]</f>
        <v>0</v>
      </c>
      <c r="KT121" s="2">
        <f>+Tabla5202122242526104110[[#This Row],[Recuento]]*Tabla5202122242526104110[[#This Row],[Área neta]]</f>
        <v>0</v>
      </c>
      <c r="KU121" s="26"/>
      <c r="KW121"/>
      <c r="KX121"/>
      <c r="KY121"/>
      <c r="KZ121"/>
      <c r="LA121"/>
      <c r="LB121"/>
      <c r="LC121" s="2">
        <f>+Tabla520212224252659[[#This Row],[Recuento]]*Tabla520212224252659[[#This Row],[Volúmen bruto]]</f>
        <v>0</v>
      </c>
      <c r="LD121" s="2">
        <f>+Tabla520212224252659[[#This Row],[Recuento]]*Tabla520212224252659[[#This Row],[Área neta]]</f>
        <v>0</v>
      </c>
      <c r="LE121" s="26"/>
      <c r="LG121"/>
      <c r="LH121"/>
      <c r="LI121"/>
      <c r="LJ121"/>
      <c r="LK121"/>
      <c r="LL121"/>
      <c r="LM121" s="2">
        <f>+Tabla520212224252659111[[#This Row],[Recuento]]*Tabla520212224252659111[[#This Row],[Volúmen bruto]]</f>
        <v>0</v>
      </c>
      <c r="LN121" s="2">
        <f>+Tabla520212224252659111[[#This Row],[Recuento]]*Tabla520212224252659111[[#This Row],[Área neta]]</f>
        <v>0</v>
      </c>
      <c r="LO121" s="26"/>
      <c r="LQ121"/>
      <c r="LR121"/>
      <c r="LS121"/>
      <c r="LT121"/>
      <c r="LU121"/>
      <c r="LV121"/>
      <c r="LW121" s="2">
        <f>+Tabla520212224252659111114[[#This Row],[Recuento]]*Tabla520212224252659111114[[#This Row],[Volúmen bruto]]</f>
        <v>0</v>
      </c>
      <c r="LX121" s="2">
        <f>+Tabla520212224252659111114[[#This Row],[Recuento]]*Tabla520212224252659111114[[#This Row],[Área neta]]</f>
        <v>0</v>
      </c>
      <c r="LY121" s="26"/>
      <c r="MA121"/>
      <c r="MB121"/>
      <c r="MC121"/>
      <c r="MD121"/>
      <c r="ME121"/>
      <c r="MF121"/>
      <c r="MG121" s="2">
        <f>+Tabla520212224252659111114128[[#This Row],[Recuento]]*Tabla520212224252659111114128[[#This Row],[Volúmen bruto]]</f>
        <v>0</v>
      </c>
      <c r="MH121" s="2">
        <f>+Tabla520212224252659111114128[[#This Row],[Recuento]]*Tabla520212224252659111114128[[#This Row],[Área neta]]</f>
        <v>0</v>
      </c>
      <c r="MI121" s="26"/>
      <c r="MK121"/>
      <c r="ML121"/>
      <c r="MM121"/>
      <c r="MN121"/>
      <c r="MO121"/>
      <c r="MP121"/>
      <c r="MQ121" s="2">
        <f>+Tabla520212224252627[[#This Row],[Recuento]]*Tabla520212224252627[[#This Row],[Volúmen bruto]]</f>
        <v>0</v>
      </c>
      <c r="MR121" s="2">
        <f>+Tabla520212224252627[[#This Row],[Recuento]]*Tabla520212224252627[[#This Row],[Área neta]]</f>
        <v>0</v>
      </c>
      <c r="MS121" s="26"/>
      <c r="MU121"/>
      <c r="MV121"/>
      <c r="MW121"/>
      <c r="MX121"/>
      <c r="MY121"/>
      <c r="MZ121"/>
      <c r="NA121" s="2">
        <f>+Tabla520212224252627129[[#This Row],[Recuento]]*Tabla520212224252627129[[#This Row],[Volúmen bruto]]</f>
        <v>0</v>
      </c>
      <c r="NB121" s="2">
        <f>+Tabla520212224252627129[[#This Row],[Recuento]]*Tabla520212224252627129[[#This Row],[Área neta]]</f>
        <v>0</v>
      </c>
      <c r="NC121" s="26"/>
      <c r="NE121"/>
      <c r="NF121"/>
      <c r="NG121"/>
      <c r="NH121"/>
      <c r="NI121"/>
      <c r="NJ121"/>
      <c r="NK121" s="2">
        <f>+Tabla520212224252627129125[[#This Row],[Recuento]]*Tabla520212224252627129125[[#This Row],[Volúmen bruto]]</f>
        <v>0</v>
      </c>
      <c r="NL121" s="2">
        <f>+Tabla520212224252627129125[[#This Row],[Recuento]]*Tabla520212224252627129125[[#This Row],[Área neta]]</f>
        <v>0</v>
      </c>
      <c r="NM121" s="26"/>
      <c r="NO121"/>
      <c r="NP121"/>
      <c r="NQ121"/>
      <c r="NR121"/>
      <c r="NS121"/>
      <c r="NT121"/>
      <c r="NU121" s="2">
        <f>+Tabla520212224252627129125130[[#This Row],[Recuento]]*Tabla520212224252627129125130[[#This Row],[Volúmen bruto]]</f>
        <v>0</v>
      </c>
      <c r="NV121" s="2">
        <f>+Tabla520212224252627129125130[[#This Row],[Recuento]]*Tabla520212224252627129125130[[#This Row],[Área neta]]</f>
        <v>0</v>
      </c>
      <c r="NW121" s="26"/>
      <c r="NY121"/>
      <c r="NZ121"/>
      <c r="OA121"/>
      <c r="OB121"/>
      <c r="OC121"/>
      <c r="OD121"/>
      <c r="OE121" s="2">
        <f>+Tabla520212224252627129125130131[[#This Row],[Recuento]]*Tabla520212224252627129125130131[[#This Row],[Volúmen bruto]]</f>
        <v>0</v>
      </c>
      <c r="OF121" s="2">
        <f>+Tabla520212224252627129125130131[[#This Row],[Recuento]]*Tabla520212224252627129125130131[[#This Row],[Área neta]]</f>
        <v>0</v>
      </c>
      <c r="OG121" s="26"/>
      <c r="OI121"/>
      <c r="OJ121"/>
      <c r="OK121"/>
      <c r="OL121"/>
      <c r="OM121"/>
      <c r="ON121"/>
      <c r="OO121" s="2">
        <f>+Tabla520212224252627129125130131132[[#This Row],[Recuento]]*Tabla520212224252627129125130131132[[#This Row],[Volúmen bruto]]</f>
        <v>0</v>
      </c>
      <c r="OP121" s="2">
        <f>+Tabla520212224252627129125130131132[[#This Row],[Recuento]]*Tabla520212224252627129125130131132[[#This Row],[Área neta]]</f>
        <v>0</v>
      </c>
      <c r="OQ121" s="26"/>
      <c r="OS121"/>
      <c r="OT121"/>
      <c r="OU121"/>
      <c r="OV121"/>
      <c r="OW121"/>
      <c r="OX121"/>
      <c r="OY121" s="2">
        <f>+Tabla52021222425262728[[#This Row],[Recuento]]*Tabla52021222425262728[[#This Row],[Volúmen bruto]]</f>
        <v>0</v>
      </c>
      <c r="OZ121" s="2">
        <f>+Tabla52021222425262728[[#This Row],[Recuento]]*Tabla52021222425262728[[#This Row],[Área neta]]</f>
        <v>0</v>
      </c>
      <c r="PA121" s="26">
        <f t="shared" si="44"/>
        <v>0</v>
      </c>
      <c r="PC121"/>
      <c r="PD121"/>
      <c r="PE121"/>
      <c r="PF121"/>
      <c r="PG121"/>
      <c r="PH121"/>
      <c r="PI121" s="2">
        <f>+Tabla52021222425262728133[[#This Row],[Recuento]]*Tabla52021222425262728133[[#This Row],[Volúmen bruto]]</f>
        <v>0</v>
      </c>
      <c r="PJ121" s="2">
        <f>+Tabla52021222425262728133[[#This Row],[Recuento]]*Tabla52021222425262728133[[#This Row],[Área neta]]</f>
        <v>0</v>
      </c>
      <c r="PK121" s="26">
        <f t="shared" si="47"/>
        <v>0</v>
      </c>
      <c r="PM121"/>
      <c r="PN121"/>
      <c r="PO121"/>
      <c r="PP121"/>
      <c r="PQ121"/>
      <c r="PR121"/>
      <c r="PS121" s="2">
        <f>+Tabla5202122242526272893[[#This Row],[Recuento]]*Tabla5202122242526272893[[#This Row],[Volúmen bruto]]</f>
        <v>0</v>
      </c>
      <c r="PT121" s="2">
        <f>+Tabla5202122242526272893[[#This Row],[Recuento]]*Tabla5202122242526272893[[#This Row],[Área neta]]</f>
        <v>0</v>
      </c>
      <c r="PU121" s="26"/>
      <c r="PW121"/>
      <c r="PX121"/>
      <c r="PY121"/>
      <c r="PZ121"/>
      <c r="QA121"/>
      <c r="QB121"/>
      <c r="QC121" s="2">
        <f>+Tabla520212224252627289349[[#This Row],[Recuento]]*Tabla520212224252627289349[[#This Row],[Volúmen bruto]]</f>
        <v>0</v>
      </c>
      <c r="QD121" s="2">
        <f>+Tabla520212224252627289349[[#This Row],[Recuento]]*Tabla520212224252627289349[[#This Row],[Área neta]]</f>
        <v>0</v>
      </c>
      <c r="QE121" s="26"/>
      <c r="QG121"/>
      <c r="QH121"/>
      <c r="QI121"/>
      <c r="QJ121"/>
      <c r="QK121"/>
      <c r="QL121"/>
      <c r="QM121" s="2">
        <f>+Tabla520212224252627289349134[[#This Row],[Recuento]]*Tabla520212224252627289349134[[#This Row],[Volúmen bruto]]</f>
        <v>0</v>
      </c>
      <c r="QN121" s="2">
        <f>+Tabla520212224252627289349134[[#This Row],[Recuento]]*Tabla520212224252627289349134[[#This Row],[Área neta]]</f>
        <v>0</v>
      </c>
      <c r="QO121" s="26"/>
      <c r="QQ121"/>
      <c r="QR121"/>
      <c r="QS121"/>
      <c r="QT121"/>
      <c r="QU121"/>
      <c r="QV121"/>
      <c r="QW121"/>
      <c r="RA121" s="26"/>
      <c r="RC121"/>
      <c r="RD121"/>
      <c r="RE121"/>
      <c r="RF121"/>
      <c r="RG121"/>
      <c r="RH121"/>
      <c r="RK121" s="26"/>
      <c r="RM121"/>
      <c r="RN121"/>
      <c r="RO121"/>
      <c r="RP121"/>
      <c r="RQ121"/>
      <c r="RR121"/>
      <c r="RU121" s="26">
        <f t="shared" si="45"/>
        <v>0</v>
      </c>
      <c r="RW121"/>
      <c r="RX121"/>
      <c r="RY121"/>
      <c r="RZ121"/>
      <c r="SA121"/>
      <c r="SB121"/>
      <c r="SE121" s="26"/>
      <c r="SG121"/>
      <c r="SH121"/>
      <c r="SI121"/>
      <c r="SJ121"/>
      <c r="SK121"/>
      <c r="SL121"/>
      <c r="SO121" s="26"/>
      <c r="YK121"/>
      <c r="YL121"/>
      <c r="YM121"/>
      <c r="YN121"/>
      <c r="YO121"/>
      <c r="ADJ121"/>
      <c r="ADK121"/>
      <c r="ADL121"/>
      <c r="ADM121"/>
      <c r="ADN121"/>
      <c r="ADO121"/>
      <c r="ADP121" s="36"/>
      <c r="ADR121"/>
      <c r="ADS121"/>
      <c r="ADT121"/>
      <c r="ADU121"/>
      <c r="ADW121" s="35"/>
      <c r="ADX121" s="35"/>
      <c r="AFI121"/>
      <c r="AFJ121"/>
      <c r="AFK121"/>
      <c r="AFL121"/>
      <c r="AFM121"/>
      <c r="AFN121">
        <f>+Tabla578914151634353637383940414243444546474849505152535560626467[[#This Row],[G. Total]]*Tabla578914151634353637383940414243444546474849505152535560626467[[#This Row],[Recuento]]</f>
        <v>0</v>
      </c>
      <c r="AFO121" s="36"/>
    </row>
    <row r="122" spans="59:847" x14ac:dyDescent="0.25">
      <c r="BG122"/>
      <c r="BH122"/>
      <c r="BI122"/>
      <c r="BJ122"/>
      <c r="BK122"/>
      <c r="BL122">
        <f>+Tabla3102[[#This Row],[Longitud de eje]]*BF122</f>
        <v>0</v>
      </c>
      <c r="BM122">
        <f>+Tabla3102[[#This Row],[Longitud de eje]]*BG122</f>
        <v>0</v>
      </c>
      <c r="BO122"/>
      <c r="BP122"/>
      <c r="BQ122"/>
      <c r="BR122"/>
      <c r="BS122"/>
      <c r="BT122"/>
      <c r="BU122"/>
      <c r="BV122">
        <v>1</v>
      </c>
      <c r="BW122"/>
      <c r="BX122"/>
      <c r="BY122"/>
      <c r="BZ122"/>
      <c r="CA122"/>
      <c r="CB122">
        <f>+Tabla31011[[#This Row],[Longitud de eje]]*BV122</f>
        <v>0</v>
      </c>
      <c r="CD122">
        <v>1</v>
      </c>
      <c r="CE122"/>
      <c r="CF122"/>
      <c r="CG122"/>
      <c r="CH122"/>
      <c r="CI122"/>
      <c r="CJ122"/>
      <c r="CK122"/>
      <c r="CL122">
        <v>1</v>
      </c>
      <c r="CM122"/>
      <c r="CN122"/>
      <c r="CO122"/>
      <c r="CP122"/>
      <c r="CQ122"/>
      <c r="CR122">
        <f>+Tabla31011116[[#This Row],[Longitud de eje]]*CL122</f>
        <v>0</v>
      </c>
      <c r="CT122">
        <v>1</v>
      </c>
      <c r="CU122"/>
      <c r="CV122"/>
      <c r="CW122"/>
      <c r="CX122"/>
      <c r="CY122"/>
      <c r="CZ122"/>
      <c r="DA122"/>
      <c r="DB122">
        <v>1</v>
      </c>
      <c r="DC122"/>
      <c r="DD122"/>
      <c r="DE122"/>
      <c r="DF122"/>
      <c r="DG122">
        <f>+Tabla31011704[[#This Row],[Longitud de eje]]*DB122</f>
        <v>0</v>
      </c>
      <c r="DH122"/>
      <c r="DI122">
        <v>1</v>
      </c>
      <c r="DJ122"/>
      <c r="DK122"/>
      <c r="DL122"/>
      <c r="DM122"/>
      <c r="DN122">
        <f>+Tabla3101170411[[#This Row],[Longitud de eje]]*DI122</f>
        <v>0</v>
      </c>
      <c r="DO122"/>
      <c r="DP122">
        <v>1</v>
      </c>
      <c r="DQ122"/>
      <c r="DR122"/>
      <c r="DS122"/>
      <c r="DT122"/>
      <c r="DU122">
        <f>+Tabla3101170411120[[#This Row],[Longitud de eje]]*DP122</f>
        <v>0</v>
      </c>
      <c r="DV122"/>
      <c r="DW122">
        <v>1</v>
      </c>
      <c r="DX122"/>
      <c r="DY122"/>
      <c r="DZ122"/>
      <c r="EA122"/>
      <c r="EB122">
        <f>+Tabla3101170411120122[[#This Row],[Longitud de eje]]*DW122</f>
        <v>0</v>
      </c>
      <c r="EC122"/>
      <c r="EE122"/>
      <c r="EF122"/>
      <c r="EG122"/>
      <c r="EH122"/>
      <c r="EI122"/>
      <c r="EJ122">
        <f>+Tabla3101112[[#This Row],[En culmo]]*ED122</f>
        <v>0</v>
      </c>
      <c r="EK122"/>
      <c r="EM122"/>
      <c r="EN122"/>
      <c r="EO122"/>
      <c r="EP122"/>
      <c r="EQ122"/>
      <c r="ER122">
        <f>+Tabla3101112123[[#This Row],[En culmo]]*EL122</f>
        <v>0</v>
      </c>
      <c r="ES122"/>
      <c r="EU122"/>
      <c r="EV122"/>
      <c r="EW122"/>
      <c r="EX122"/>
      <c r="EY122"/>
      <c r="EZ122">
        <f>+Tabla310111257[[#This Row],[En culmo]]*ET122</f>
        <v>0</v>
      </c>
      <c r="FA122"/>
      <c r="FC122"/>
      <c r="FD122"/>
      <c r="FE122"/>
      <c r="FF122"/>
      <c r="FG122"/>
      <c r="FH122">
        <f>+Tabla310111257124[[#This Row],[En culmo]]*FB122</f>
        <v>0</v>
      </c>
      <c r="FI122"/>
      <c r="FK122"/>
      <c r="FL122"/>
      <c r="FM122"/>
      <c r="FN122"/>
      <c r="FO122"/>
      <c r="FP122"/>
      <c r="FQ122"/>
      <c r="FS122"/>
      <c r="FT122"/>
      <c r="FU122"/>
      <c r="FV122"/>
      <c r="FW122"/>
      <c r="FX122"/>
      <c r="FY122"/>
      <c r="GA122"/>
      <c r="GB122"/>
      <c r="GC122"/>
      <c r="GD122"/>
      <c r="GE122"/>
      <c r="GF122"/>
      <c r="GG122"/>
      <c r="GI122"/>
      <c r="GJ122"/>
      <c r="GK122"/>
      <c r="GL122"/>
      <c r="GM122"/>
      <c r="GN122"/>
      <c r="GO122"/>
      <c r="IY122"/>
      <c r="IZ122"/>
      <c r="JA122"/>
      <c r="JB122"/>
      <c r="JC122"/>
      <c r="JD122"/>
      <c r="JE122" s="2">
        <f>+Tabla520212224[[#This Row],[Recuento]]*Tabla520212224[[#This Row],[Volúmen bruto]]</f>
        <v>0</v>
      </c>
      <c r="JF122" s="2">
        <f>+Tabla520212224[[#This Row],[Recuento]]*Tabla520212224[[#This Row],[Área neta]]</f>
        <v>0</v>
      </c>
      <c r="JG122" s="26"/>
      <c r="JI122"/>
      <c r="JJ122"/>
      <c r="JK122"/>
      <c r="JL122"/>
      <c r="JM122"/>
      <c r="JN122"/>
      <c r="JO122" s="2">
        <f>+Tabla52021222425[[#This Row],[Recuento]]*Tabla52021222425[[#This Row],[Volúmen bruto]]</f>
        <v>0</v>
      </c>
      <c r="JP122" s="2">
        <f>+Tabla52021222425[[#This Row],[Recuento]]*Tabla52021222425[[#This Row],[Área neta]]</f>
        <v>0</v>
      </c>
      <c r="JQ122" s="26"/>
      <c r="JS122"/>
      <c r="JT122"/>
      <c r="JU122"/>
      <c r="JV122"/>
      <c r="JW122"/>
      <c r="JX122"/>
      <c r="JY122" s="2">
        <f>+Tabla5202122242526[[#This Row],[Recuento]]*Tabla5202122242526[[#This Row],[Volúmen bruto]]</f>
        <v>0</v>
      </c>
      <c r="JZ122" s="2">
        <f>+Tabla5202122242526[[#This Row],[Recuento]]*Tabla5202122242526[[#This Row],[Área neta]]</f>
        <v>0</v>
      </c>
      <c r="KA122" s="26"/>
      <c r="KC122"/>
      <c r="KD122"/>
      <c r="KE122"/>
      <c r="KF122"/>
      <c r="KG122"/>
      <c r="KH122"/>
      <c r="KI122" s="2">
        <f>+Tabla5202122242526104[[#This Row],[Recuento]]*Tabla5202122242526104[[#This Row],[Volúmen bruto]]</f>
        <v>0</v>
      </c>
      <c r="KJ122" s="2">
        <f>+Tabla5202122242526104[[#This Row],[Recuento]]*Tabla5202122242526104[[#This Row],[Área neta]]</f>
        <v>0</v>
      </c>
      <c r="KK122" s="26"/>
      <c r="KM122"/>
      <c r="KN122"/>
      <c r="KO122"/>
      <c r="KP122"/>
      <c r="KQ122"/>
      <c r="KR122"/>
      <c r="KS122" s="2">
        <f>+Tabla5202122242526104110[[#This Row],[Recuento]]*Tabla5202122242526104110[[#This Row],[Volúmen bruto]]</f>
        <v>0</v>
      </c>
      <c r="KT122" s="2">
        <f>+Tabla5202122242526104110[[#This Row],[Recuento]]*Tabla5202122242526104110[[#This Row],[Área neta]]</f>
        <v>0</v>
      </c>
      <c r="KU122" s="26"/>
      <c r="KW122"/>
      <c r="KX122"/>
      <c r="KY122"/>
      <c r="KZ122"/>
      <c r="LA122"/>
      <c r="LB122"/>
      <c r="LC122" s="2">
        <f>+Tabla520212224252659[[#This Row],[Recuento]]*Tabla520212224252659[[#This Row],[Volúmen bruto]]</f>
        <v>0</v>
      </c>
      <c r="LD122" s="2">
        <f>+Tabla520212224252659[[#This Row],[Recuento]]*Tabla520212224252659[[#This Row],[Área neta]]</f>
        <v>0</v>
      </c>
      <c r="LE122" s="26"/>
      <c r="LG122"/>
      <c r="LH122"/>
      <c r="LI122"/>
      <c r="LJ122"/>
      <c r="LK122"/>
      <c r="LL122"/>
      <c r="LM122" s="2">
        <f>+Tabla520212224252659111[[#This Row],[Recuento]]*Tabla520212224252659111[[#This Row],[Volúmen bruto]]</f>
        <v>0</v>
      </c>
      <c r="LN122" s="2">
        <f>+Tabla520212224252659111[[#This Row],[Recuento]]*Tabla520212224252659111[[#This Row],[Área neta]]</f>
        <v>0</v>
      </c>
      <c r="LO122" s="26"/>
      <c r="LQ122"/>
      <c r="LR122"/>
      <c r="LS122"/>
      <c r="LT122"/>
      <c r="LU122"/>
      <c r="LV122"/>
      <c r="LW122" s="2">
        <f>+Tabla520212224252659111114[[#This Row],[Recuento]]*Tabla520212224252659111114[[#This Row],[Volúmen bruto]]</f>
        <v>0</v>
      </c>
      <c r="LX122" s="2">
        <f>+Tabla520212224252659111114[[#This Row],[Recuento]]*Tabla520212224252659111114[[#This Row],[Área neta]]</f>
        <v>0</v>
      </c>
      <c r="LY122" s="26"/>
      <c r="MA122"/>
      <c r="MB122"/>
      <c r="MC122"/>
      <c r="MD122"/>
      <c r="ME122"/>
      <c r="MF122"/>
      <c r="MG122" s="2">
        <f>+Tabla520212224252659111114128[[#This Row],[Recuento]]*Tabla520212224252659111114128[[#This Row],[Volúmen bruto]]</f>
        <v>0</v>
      </c>
      <c r="MH122" s="2">
        <f>+Tabla520212224252659111114128[[#This Row],[Recuento]]*Tabla520212224252659111114128[[#This Row],[Área neta]]</f>
        <v>0</v>
      </c>
      <c r="MI122" s="26"/>
      <c r="MK122"/>
      <c r="ML122"/>
      <c r="MM122"/>
      <c r="MN122"/>
      <c r="MO122"/>
      <c r="MP122"/>
      <c r="MQ122" s="2">
        <f>+Tabla520212224252627[[#This Row],[Recuento]]*Tabla520212224252627[[#This Row],[Volúmen bruto]]</f>
        <v>0</v>
      </c>
      <c r="MR122" s="2">
        <f>+Tabla520212224252627[[#This Row],[Recuento]]*Tabla520212224252627[[#This Row],[Área neta]]</f>
        <v>0</v>
      </c>
      <c r="MS122" s="26"/>
      <c r="MU122"/>
      <c r="MV122"/>
      <c r="MW122"/>
      <c r="MX122"/>
      <c r="MY122"/>
      <c r="MZ122"/>
      <c r="NA122" s="2">
        <f>+Tabla520212224252627129[[#This Row],[Recuento]]*Tabla520212224252627129[[#This Row],[Volúmen bruto]]</f>
        <v>0</v>
      </c>
      <c r="NB122" s="2">
        <f>+Tabla520212224252627129[[#This Row],[Recuento]]*Tabla520212224252627129[[#This Row],[Área neta]]</f>
        <v>0</v>
      </c>
      <c r="NC122" s="26"/>
      <c r="NE122"/>
      <c r="NF122"/>
      <c r="NG122"/>
      <c r="NH122"/>
      <c r="NI122"/>
      <c r="NJ122"/>
      <c r="NK122" s="2">
        <f>+Tabla520212224252627129125[[#This Row],[Recuento]]*Tabla520212224252627129125[[#This Row],[Volúmen bruto]]</f>
        <v>0</v>
      </c>
      <c r="NL122" s="2">
        <f>+Tabla520212224252627129125[[#This Row],[Recuento]]*Tabla520212224252627129125[[#This Row],[Área neta]]</f>
        <v>0</v>
      </c>
      <c r="NM122" s="26"/>
      <c r="NO122"/>
      <c r="NP122"/>
      <c r="NQ122"/>
      <c r="NR122"/>
      <c r="NS122"/>
      <c r="NT122"/>
      <c r="NU122" s="2">
        <f>+Tabla520212224252627129125130[[#This Row],[Recuento]]*Tabla520212224252627129125130[[#This Row],[Volúmen bruto]]</f>
        <v>0</v>
      </c>
      <c r="NV122" s="2">
        <f>+Tabla520212224252627129125130[[#This Row],[Recuento]]*Tabla520212224252627129125130[[#This Row],[Área neta]]</f>
        <v>0</v>
      </c>
      <c r="NW122" s="26"/>
      <c r="NY122"/>
      <c r="NZ122"/>
      <c r="OA122"/>
      <c r="OB122"/>
      <c r="OC122"/>
      <c r="OD122"/>
      <c r="OE122" s="2">
        <f>+Tabla520212224252627129125130131[[#This Row],[Recuento]]*Tabla520212224252627129125130131[[#This Row],[Volúmen bruto]]</f>
        <v>0</v>
      </c>
      <c r="OF122" s="2">
        <f>+Tabla520212224252627129125130131[[#This Row],[Recuento]]*Tabla520212224252627129125130131[[#This Row],[Área neta]]</f>
        <v>0</v>
      </c>
      <c r="OG122" s="26"/>
      <c r="OI122"/>
      <c r="OJ122"/>
      <c r="OK122"/>
      <c r="OL122"/>
      <c r="OM122"/>
      <c r="ON122"/>
      <c r="OO122" s="2">
        <f>+Tabla520212224252627129125130131132[[#This Row],[Recuento]]*Tabla520212224252627129125130131132[[#This Row],[Volúmen bruto]]</f>
        <v>0</v>
      </c>
      <c r="OP122" s="2">
        <f>+Tabla520212224252627129125130131132[[#This Row],[Recuento]]*Tabla520212224252627129125130131132[[#This Row],[Área neta]]</f>
        <v>0</v>
      </c>
      <c r="OQ122" s="26"/>
      <c r="OS122"/>
      <c r="OT122"/>
      <c r="OU122"/>
      <c r="OV122"/>
      <c r="OW122"/>
      <c r="OX122"/>
      <c r="OY122" s="2">
        <f>+Tabla52021222425262728[[#This Row],[Recuento]]*Tabla52021222425262728[[#This Row],[Volúmen bruto]]</f>
        <v>0</v>
      </c>
      <c r="OZ122" s="2">
        <f>+Tabla52021222425262728[[#This Row],[Recuento]]*Tabla52021222425262728[[#This Row],[Área neta]]</f>
        <v>0</v>
      </c>
      <c r="PA122" s="26">
        <f t="shared" si="44"/>
        <v>0</v>
      </c>
      <c r="PC122"/>
      <c r="PD122"/>
      <c r="PE122"/>
      <c r="PF122"/>
      <c r="PG122"/>
      <c r="PH122"/>
      <c r="PI122" s="2">
        <f>+Tabla52021222425262728133[[#This Row],[Recuento]]*Tabla52021222425262728133[[#This Row],[Volúmen bruto]]</f>
        <v>0</v>
      </c>
      <c r="PJ122" s="2">
        <f>+Tabla52021222425262728133[[#This Row],[Recuento]]*Tabla52021222425262728133[[#This Row],[Área neta]]</f>
        <v>0</v>
      </c>
      <c r="PK122" s="26">
        <f t="shared" si="47"/>
        <v>0</v>
      </c>
      <c r="PM122"/>
      <c r="PN122"/>
      <c r="PO122"/>
      <c r="PP122"/>
      <c r="PQ122"/>
      <c r="PR122"/>
      <c r="PS122" s="2">
        <f>+Tabla5202122242526272893[[#This Row],[Recuento]]*Tabla5202122242526272893[[#This Row],[Volúmen bruto]]</f>
        <v>0</v>
      </c>
      <c r="PT122" s="2">
        <f>+Tabla5202122242526272893[[#This Row],[Recuento]]*Tabla5202122242526272893[[#This Row],[Área neta]]</f>
        <v>0</v>
      </c>
      <c r="PU122" s="26"/>
      <c r="PW122"/>
      <c r="PX122"/>
      <c r="PY122"/>
      <c r="PZ122"/>
      <c r="QA122"/>
      <c r="QB122"/>
      <c r="QC122" s="2">
        <f>+Tabla520212224252627289349[[#This Row],[Recuento]]*Tabla520212224252627289349[[#This Row],[Volúmen bruto]]</f>
        <v>0</v>
      </c>
      <c r="QD122" s="2">
        <f>+Tabla520212224252627289349[[#This Row],[Recuento]]*Tabla520212224252627289349[[#This Row],[Área neta]]</f>
        <v>0</v>
      </c>
      <c r="QE122" s="26"/>
      <c r="QG122"/>
      <c r="QH122"/>
      <c r="QI122"/>
      <c r="QJ122"/>
      <c r="QK122"/>
      <c r="QL122"/>
      <c r="QM122" s="2">
        <f>+Tabla520212224252627289349134[[#This Row],[Recuento]]*Tabla520212224252627289349134[[#This Row],[Volúmen bruto]]</f>
        <v>0</v>
      </c>
      <c r="QN122" s="2">
        <f>+Tabla520212224252627289349134[[#This Row],[Recuento]]*Tabla520212224252627289349134[[#This Row],[Área neta]]</f>
        <v>0</v>
      </c>
      <c r="QO122" s="26"/>
      <c r="QQ122"/>
      <c r="QR122"/>
      <c r="QS122"/>
      <c r="QT122"/>
      <c r="QU122"/>
      <c r="QV122"/>
      <c r="QW122"/>
      <c r="QX122" s="2">
        <f>+Tabla5202122242526272829[[#This Row],[Recuento]]*Tabla5202122242526272829[[#This Row],[Volúmen bruto]]</f>
        <v>0</v>
      </c>
      <c r="QY122" s="2">
        <f>+Tabla5202122242526272829[[#This Row],[Recuento]]*Tabla5202122242526272829[[#This Row],[Área neta]]</f>
        <v>0</v>
      </c>
      <c r="RA122" s="26"/>
      <c r="RC122"/>
      <c r="RD122"/>
      <c r="RE122"/>
      <c r="RF122"/>
      <c r="RG122"/>
      <c r="RH122"/>
      <c r="RK122" s="26"/>
      <c r="RM122"/>
      <c r="RN122"/>
      <c r="RO122"/>
      <c r="RP122"/>
      <c r="RQ122"/>
      <c r="RR122"/>
      <c r="RU122" s="26">
        <f t="shared" si="45"/>
        <v>0</v>
      </c>
      <c r="RW122"/>
      <c r="RX122"/>
      <c r="RY122"/>
      <c r="RZ122"/>
      <c r="SA122"/>
      <c r="SB122"/>
      <c r="SE122" s="26"/>
      <c r="SG122"/>
      <c r="SH122"/>
      <c r="SI122"/>
      <c r="SJ122"/>
      <c r="SK122"/>
      <c r="SL122"/>
      <c r="SO122" s="26"/>
      <c r="YK122"/>
      <c r="YL122"/>
      <c r="YM122"/>
      <c r="YN122"/>
      <c r="YO122"/>
      <c r="ADJ122"/>
      <c r="ADK122"/>
      <c r="ADL122"/>
      <c r="ADM122"/>
      <c r="ADN122"/>
      <c r="ADO122"/>
      <c r="ADP122" s="36"/>
      <c r="ADR122"/>
      <c r="ADS122"/>
      <c r="ADT122"/>
      <c r="ADU122"/>
      <c r="ADW122" s="35">
        <f>+SUM(ADR122:ADR124)</f>
        <v>0</v>
      </c>
      <c r="ADX122" s="35"/>
      <c r="AFI122"/>
      <c r="AFJ122"/>
      <c r="AFK122"/>
      <c r="AFL122"/>
      <c r="AFM122"/>
      <c r="AFN122">
        <f>+Tabla578914151634353637383940414243444546474849505152535560626467[[#This Row],[G. Total]]*Tabla578914151634353637383940414243444546474849505152535560626467[[#This Row],[Recuento]]</f>
        <v>0</v>
      </c>
      <c r="AFO122" s="36"/>
    </row>
    <row r="123" spans="59:847" x14ac:dyDescent="0.25">
      <c r="BG123"/>
      <c r="BH123"/>
      <c r="BI123"/>
      <c r="BJ123"/>
      <c r="BK123"/>
      <c r="BL123">
        <f>+Tabla3102[[#This Row],[Longitud de eje]]*BF123</f>
        <v>0</v>
      </c>
      <c r="BM123">
        <f>+Tabla3102[[#This Row],[Longitud de eje]]*BG123</f>
        <v>0</v>
      </c>
      <c r="BO123"/>
      <c r="BP123"/>
      <c r="BQ123"/>
      <c r="BR123"/>
      <c r="BS123"/>
      <c r="BT123"/>
      <c r="BU123"/>
      <c r="BV123">
        <v>1</v>
      </c>
      <c r="BW123"/>
      <c r="BX123"/>
      <c r="BY123"/>
      <c r="BZ123"/>
      <c r="CA123"/>
      <c r="CB123">
        <f>+Tabla31011[[#This Row],[Longitud de eje]]*BV123</f>
        <v>0</v>
      </c>
      <c r="CD123">
        <v>1</v>
      </c>
      <c r="CE123"/>
      <c r="CF123"/>
      <c r="CG123"/>
      <c r="CH123"/>
      <c r="CI123"/>
      <c r="CJ123"/>
      <c r="CK123"/>
      <c r="CL123">
        <v>1</v>
      </c>
      <c r="CM123"/>
      <c r="CN123"/>
      <c r="CO123"/>
      <c r="CP123"/>
      <c r="CQ123"/>
      <c r="CR123">
        <f>+Tabla31011116[[#This Row],[Longitud de eje]]*CL123</f>
        <v>0</v>
      </c>
      <c r="CT123">
        <v>1</v>
      </c>
      <c r="CU123"/>
      <c r="CV123"/>
      <c r="CW123"/>
      <c r="CX123"/>
      <c r="CY123"/>
      <c r="CZ123"/>
      <c r="DA123"/>
      <c r="DB123">
        <v>1</v>
      </c>
      <c r="DC123"/>
      <c r="DD123"/>
      <c r="DE123"/>
      <c r="DF123"/>
      <c r="DG123">
        <f>+Tabla31011704[[#This Row],[Longitud de eje]]*DB123</f>
        <v>0</v>
      </c>
      <c r="DH123"/>
      <c r="DI123">
        <v>1</v>
      </c>
      <c r="DJ123"/>
      <c r="DK123"/>
      <c r="DL123"/>
      <c r="DM123"/>
      <c r="DN123">
        <f>+Tabla3101170411[[#This Row],[Longitud de eje]]*DI123</f>
        <v>0</v>
      </c>
      <c r="DO123"/>
      <c r="DP123">
        <v>1</v>
      </c>
      <c r="DQ123"/>
      <c r="DR123"/>
      <c r="DS123"/>
      <c r="DT123"/>
      <c r="DU123">
        <f>+Tabla3101170411120[[#This Row],[Longitud de eje]]*DP123</f>
        <v>0</v>
      </c>
      <c r="DV123"/>
      <c r="DW123">
        <v>1</v>
      </c>
      <c r="DX123"/>
      <c r="DY123"/>
      <c r="DZ123"/>
      <c r="EA123"/>
      <c r="EB123">
        <f>+Tabla3101170411120122[[#This Row],[Longitud de eje]]*DW123</f>
        <v>0</v>
      </c>
      <c r="EC123"/>
      <c r="EE123"/>
      <c r="EF123"/>
      <c r="EG123"/>
      <c r="EH123"/>
      <c r="EI123"/>
      <c r="EJ123"/>
      <c r="EK123"/>
      <c r="EM123"/>
      <c r="EN123"/>
      <c r="EO123"/>
      <c r="EP123"/>
      <c r="EQ123"/>
      <c r="ER123"/>
      <c r="ES123"/>
      <c r="EU123"/>
      <c r="EV123"/>
      <c r="EW123"/>
      <c r="EX123"/>
      <c r="EY123"/>
      <c r="EZ123"/>
      <c r="FA123"/>
      <c r="FC123"/>
      <c r="FD123"/>
      <c r="FE123"/>
      <c r="FF123"/>
      <c r="FG123"/>
      <c r="FH123"/>
      <c r="FI123"/>
      <c r="FK123"/>
      <c r="FL123"/>
      <c r="FM123"/>
      <c r="FN123"/>
      <c r="FO123"/>
      <c r="FP123"/>
      <c r="FQ123"/>
      <c r="FS123"/>
      <c r="FT123"/>
      <c r="FU123"/>
      <c r="FV123"/>
      <c r="FW123"/>
      <c r="FX123"/>
      <c r="FY123"/>
      <c r="GA123"/>
      <c r="GB123"/>
      <c r="GC123"/>
      <c r="GD123"/>
      <c r="GE123"/>
      <c r="GF123"/>
      <c r="GG123"/>
      <c r="GI123"/>
      <c r="GJ123"/>
      <c r="GK123"/>
      <c r="GL123"/>
      <c r="GM123"/>
      <c r="GN123"/>
      <c r="GO123"/>
      <c r="IY123"/>
      <c r="IZ123"/>
      <c r="JA123"/>
      <c r="JB123"/>
      <c r="JC123"/>
      <c r="JD123"/>
      <c r="JE123" s="2">
        <f>+Tabla520212224[[#This Row],[Recuento]]*Tabla520212224[[#This Row],[Volúmen bruto]]</f>
        <v>0</v>
      </c>
      <c r="JF123" s="2">
        <f>+Tabla520212224[[#This Row],[Recuento]]*Tabla520212224[[#This Row],[Área neta]]</f>
        <v>0</v>
      </c>
      <c r="JG123" s="26"/>
      <c r="JI123"/>
      <c r="JJ123"/>
      <c r="JK123"/>
      <c r="JL123"/>
      <c r="JM123"/>
      <c r="JN123"/>
      <c r="JO123" s="2">
        <f>+Tabla52021222425[[#This Row],[Recuento]]*Tabla52021222425[[#This Row],[Volúmen bruto]]</f>
        <v>0</v>
      </c>
      <c r="JP123" s="2">
        <f>+Tabla52021222425[[#This Row],[Recuento]]*Tabla52021222425[[#This Row],[Área neta]]</f>
        <v>0</v>
      </c>
      <c r="JQ123" s="26"/>
      <c r="JS123"/>
      <c r="JT123"/>
      <c r="JU123"/>
      <c r="JV123"/>
      <c r="JW123"/>
      <c r="JX123"/>
      <c r="JY123" s="2">
        <f>+Tabla5202122242526[[#This Row],[Recuento]]*Tabla5202122242526[[#This Row],[Volúmen bruto]]</f>
        <v>0</v>
      </c>
      <c r="JZ123" s="2">
        <f>+Tabla5202122242526[[#This Row],[Recuento]]*Tabla5202122242526[[#This Row],[Área neta]]</f>
        <v>0</v>
      </c>
      <c r="KA123" s="26"/>
      <c r="KC123"/>
      <c r="KD123"/>
      <c r="KE123"/>
      <c r="KF123"/>
      <c r="KG123"/>
      <c r="KH123"/>
      <c r="KI123" s="2">
        <f>+Tabla5202122242526104[[#This Row],[Recuento]]*Tabla5202122242526104[[#This Row],[Volúmen bruto]]</f>
        <v>0</v>
      </c>
      <c r="KJ123" s="2">
        <f>+Tabla5202122242526104[[#This Row],[Recuento]]*Tabla5202122242526104[[#This Row],[Área neta]]</f>
        <v>0</v>
      </c>
      <c r="KK123" s="26"/>
      <c r="KM123"/>
      <c r="KN123"/>
      <c r="KO123"/>
      <c r="KP123"/>
      <c r="KQ123"/>
      <c r="KR123"/>
      <c r="KS123" s="2">
        <f>+Tabla5202122242526104110[[#This Row],[Recuento]]*Tabla5202122242526104110[[#This Row],[Volúmen bruto]]</f>
        <v>0</v>
      </c>
      <c r="KT123" s="2">
        <f>+Tabla5202122242526104110[[#This Row],[Recuento]]*Tabla5202122242526104110[[#This Row],[Área neta]]</f>
        <v>0</v>
      </c>
      <c r="KU123" s="26"/>
      <c r="KW123"/>
      <c r="KX123"/>
      <c r="KY123"/>
      <c r="KZ123"/>
      <c r="LA123"/>
      <c r="LB123"/>
      <c r="LC123" s="2">
        <f>+Tabla520212224252659[[#This Row],[Recuento]]*Tabla520212224252659[[#This Row],[Volúmen bruto]]</f>
        <v>0</v>
      </c>
      <c r="LD123" s="2">
        <f>+Tabla520212224252659[[#This Row],[Recuento]]*Tabla520212224252659[[#This Row],[Área neta]]</f>
        <v>0</v>
      </c>
      <c r="LE123" s="26"/>
      <c r="LG123"/>
      <c r="LH123"/>
      <c r="LI123"/>
      <c r="LJ123"/>
      <c r="LK123"/>
      <c r="LL123"/>
      <c r="LM123" s="2">
        <f>+Tabla520212224252659111[[#This Row],[Recuento]]*Tabla520212224252659111[[#This Row],[Volúmen bruto]]</f>
        <v>0</v>
      </c>
      <c r="LN123" s="2">
        <f>+Tabla520212224252659111[[#This Row],[Recuento]]*Tabla520212224252659111[[#This Row],[Área neta]]</f>
        <v>0</v>
      </c>
      <c r="LO123" s="26"/>
      <c r="LQ123"/>
      <c r="LR123"/>
      <c r="LS123"/>
      <c r="LT123"/>
      <c r="LU123"/>
      <c r="LV123"/>
      <c r="LW123" s="2">
        <f>+Tabla520212224252659111114[[#This Row],[Recuento]]*Tabla520212224252659111114[[#This Row],[Volúmen bruto]]</f>
        <v>0</v>
      </c>
      <c r="LX123" s="2">
        <f>+Tabla520212224252659111114[[#This Row],[Recuento]]*Tabla520212224252659111114[[#This Row],[Área neta]]</f>
        <v>0</v>
      </c>
      <c r="LY123" s="26"/>
      <c r="MA123"/>
      <c r="MB123"/>
      <c r="MC123"/>
      <c r="MD123"/>
      <c r="ME123"/>
      <c r="MF123"/>
      <c r="MG123" s="2">
        <f>+Tabla520212224252659111114128[[#This Row],[Recuento]]*Tabla520212224252659111114128[[#This Row],[Volúmen bruto]]</f>
        <v>0</v>
      </c>
      <c r="MH123" s="2">
        <f>+Tabla520212224252659111114128[[#This Row],[Recuento]]*Tabla520212224252659111114128[[#This Row],[Área neta]]</f>
        <v>0</v>
      </c>
      <c r="MI123" s="26"/>
      <c r="MK123"/>
      <c r="ML123"/>
      <c r="MM123"/>
      <c r="MN123"/>
      <c r="MO123"/>
      <c r="MP123"/>
      <c r="MQ123" s="2">
        <f>+Tabla520212224252627[[#This Row],[Recuento]]*Tabla520212224252627[[#This Row],[Volúmen bruto]]</f>
        <v>0</v>
      </c>
      <c r="MR123" s="2">
        <f>+Tabla520212224252627[[#This Row],[Recuento]]*Tabla520212224252627[[#This Row],[Área neta]]</f>
        <v>0</v>
      </c>
      <c r="MS123" s="26"/>
      <c r="MU123"/>
      <c r="MV123"/>
      <c r="MW123"/>
      <c r="MX123"/>
      <c r="MY123"/>
      <c r="MZ123"/>
      <c r="NA123" s="2">
        <f>+Tabla520212224252627129[[#This Row],[Recuento]]*Tabla520212224252627129[[#This Row],[Volúmen bruto]]</f>
        <v>0</v>
      </c>
      <c r="NB123" s="2">
        <f>+Tabla520212224252627129[[#This Row],[Recuento]]*Tabla520212224252627129[[#This Row],[Área neta]]</f>
        <v>0</v>
      </c>
      <c r="NC123" s="26"/>
      <c r="NE123"/>
      <c r="NF123"/>
      <c r="NG123"/>
      <c r="NH123"/>
      <c r="NI123"/>
      <c r="NJ123"/>
      <c r="NK123" s="2">
        <f>+Tabla520212224252627129125[[#This Row],[Recuento]]*Tabla520212224252627129125[[#This Row],[Volúmen bruto]]</f>
        <v>0</v>
      </c>
      <c r="NL123" s="2">
        <f>+Tabla520212224252627129125[[#This Row],[Recuento]]*Tabla520212224252627129125[[#This Row],[Área neta]]</f>
        <v>0</v>
      </c>
      <c r="NM123" s="26"/>
      <c r="NO123"/>
      <c r="NP123"/>
      <c r="NQ123"/>
      <c r="NR123"/>
      <c r="NS123"/>
      <c r="NT123"/>
      <c r="NU123" s="2">
        <f>+Tabla520212224252627129125130[[#This Row],[Recuento]]*Tabla520212224252627129125130[[#This Row],[Volúmen bruto]]</f>
        <v>0</v>
      </c>
      <c r="NV123" s="2">
        <f>+Tabla520212224252627129125130[[#This Row],[Recuento]]*Tabla520212224252627129125130[[#This Row],[Área neta]]</f>
        <v>0</v>
      </c>
      <c r="NW123" s="26"/>
      <c r="NY123"/>
      <c r="NZ123"/>
      <c r="OA123"/>
      <c r="OB123"/>
      <c r="OC123"/>
      <c r="OD123"/>
      <c r="OE123" s="2">
        <f>+Tabla520212224252627129125130131[[#This Row],[Recuento]]*Tabla520212224252627129125130131[[#This Row],[Volúmen bruto]]</f>
        <v>0</v>
      </c>
      <c r="OF123" s="2">
        <f>+Tabla520212224252627129125130131[[#This Row],[Recuento]]*Tabla520212224252627129125130131[[#This Row],[Área neta]]</f>
        <v>0</v>
      </c>
      <c r="OG123" s="26"/>
      <c r="OI123"/>
      <c r="OJ123"/>
      <c r="OK123"/>
      <c r="OL123"/>
      <c r="OM123"/>
      <c r="ON123"/>
      <c r="OO123" s="2">
        <f>+Tabla520212224252627129125130131132[[#This Row],[Recuento]]*Tabla520212224252627129125130131132[[#This Row],[Volúmen bruto]]</f>
        <v>0</v>
      </c>
      <c r="OP123" s="2">
        <f>+Tabla520212224252627129125130131132[[#This Row],[Recuento]]*Tabla520212224252627129125130131132[[#This Row],[Área neta]]</f>
        <v>0</v>
      </c>
      <c r="OQ123" s="26"/>
      <c r="OS123"/>
      <c r="OT123"/>
      <c r="OU123"/>
      <c r="OV123"/>
      <c r="OW123"/>
      <c r="OX123"/>
      <c r="OY123" s="2">
        <f>+Tabla52021222425262728[[#This Row],[Recuento]]*Tabla52021222425262728[[#This Row],[Volúmen bruto]]</f>
        <v>0</v>
      </c>
      <c r="OZ123" s="2">
        <f>+Tabla52021222425262728[[#This Row],[Recuento]]*Tabla52021222425262728[[#This Row],[Área neta]]</f>
        <v>0</v>
      </c>
      <c r="PA123" s="26">
        <f t="shared" si="44"/>
        <v>0</v>
      </c>
      <c r="PC123"/>
      <c r="PD123"/>
      <c r="PE123"/>
      <c r="PF123"/>
      <c r="PG123"/>
      <c r="PH123"/>
      <c r="PI123" s="2">
        <f>+Tabla52021222425262728133[[#This Row],[Recuento]]*Tabla52021222425262728133[[#This Row],[Volúmen bruto]]</f>
        <v>0</v>
      </c>
      <c r="PJ123" s="2">
        <f>+Tabla52021222425262728133[[#This Row],[Recuento]]*Tabla52021222425262728133[[#This Row],[Área neta]]</f>
        <v>0</v>
      </c>
      <c r="PK123" s="26">
        <f t="shared" si="47"/>
        <v>0</v>
      </c>
      <c r="PM123"/>
      <c r="PN123"/>
      <c r="PO123"/>
      <c r="PP123"/>
      <c r="PQ123"/>
      <c r="PR123"/>
      <c r="PS123" s="2">
        <f>+Tabla5202122242526272893[[#This Row],[Recuento]]*Tabla5202122242526272893[[#This Row],[Volúmen bruto]]</f>
        <v>0</v>
      </c>
      <c r="PT123" s="2">
        <f>+Tabla5202122242526272893[[#This Row],[Recuento]]*Tabla5202122242526272893[[#This Row],[Área neta]]</f>
        <v>0</v>
      </c>
      <c r="PU123" s="26"/>
      <c r="PW123"/>
      <c r="PX123"/>
      <c r="PY123"/>
      <c r="PZ123"/>
      <c r="QA123"/>
      <c r="QB123"/>
      <c r="QC123" s="2">
        <f>+Tabla520212224252627289349[[#This Row],[Recuento]]*Tabla520212224252627289349[[#This Row],[Volúmen bruto]]</f>
        <v>0</v>
      </c>
      <c r="QD123" s="2">
        <f>+Tabla520212224252627289349[[#This Row],[Recuento]]*Tabla520212224252627289349[[#This Row],[Área neta]]</f>
        <v>0</v>
      </c>
      <c r="QE123" s="26"/>
      <c r="QG123"/>
      <c r="QH123"/>
      <c r="QI123"/>
      <c r="QJ123"/>
      <c r="QK123"/>
      <c r="QL123"/>
      <c r="QM123" s="2">
        <f>+Tabla520212224252627289349134[[#This Row],[Recuento]]*Tabla520212224252627289349134[[#This Row],[Volúmen bruto]]</f>
        <v>0</v>
      </c>
      <c r="QN123" s="2">
        <f>+Tabla520212224252627289349134[[#This Row],[Recuento]]*Tabla520212224252627289349134[[#This Row],[Área neta]]</f>
        <v>0</v>
      </c>
      <c r="QO123" s="26"/>
      <c r="QQ123"/>
      <c r="QR123"/>
      <c r="QS123"/>
      <c r="QT123"/>
      <c r="QU123"/>
      <c r="QV123"/>
      <c r="QW123"/>
      <c r="QX123" s="2">
        <f>+Tabla5202122242526272829[[#This Row],[Recuento]]*Tabla5202122242526272829[[#This Row],[Volúmen bruto]]</f>
        <v>0</v>
      </c>
      <c r="QY123" s="2">
        <f>+Tabla5202122242526272829[[#This Row],[Recuento]]*Tabla5202122242526272829[[#This Row],[Área neta]]</f>
        <v>0</v>
      </c>
      <c r="RA123" s="26"/>
      <c r="RC123"/>
      <c r="RD123"/>
      <c r="RE123"/>
      <c r="RF123"/>
      <c r="RG123"/>
      <c r="RH123"/>
      <c r="RK123" s="26"/>
      <c r="RM123"/>
      <c r="RN123"/>
      <c r="RO123"/>
      <c r="RP123"/>
      <c r="RQ123"/>
      <c r="RR123"/>
      <c r="RU123" s="26">
        <f t="shared" si="45"/>
        <v>0</v>
      </c>
      <c r="RW123"/>
      <c r="RX123"/>
      <c r="RY123"/>
      <c r="RZ123"/>
      <c r="SA123"/>
      <c r="SB123"/>
      <c r="SE123" s="26"/>
      <c r="SG123"/>
      <c r="SH123"/>
      <c r="SI123"/>
      <c r="SJ123"/>
      <c r="SK123"/>
      <c r="SL123"/>
      <c r="SO123" s="26"/>
      <c r="YK123"/>
      <c r="YL123"/>
      <c r="YM123"/>
      <c r="YN123"/>
      <c r="YO123"/>
      <c r="ADJ123"/>
      <c r="ADK123"/>
      <c r="ADL123"/>
      <c r="ADM123"/>
      <c r="ADN123"/>
      <c r="ADO123"/>
      <c r="ADP123" s="36"/>
      <c r="ADR123"/>
      <c r="ADS123"/>
      <c r="ADT123"/>
      <c r="ADU123"/>
      <c r="ADW123" s="35"/>
      <c r="ADX123" s="35"/>
      <c r="AFI123"/>
      <c r="AFJ123"/>
      <c r="AFK123"/>
      <c r="AFL123"/>
      <c r="AFM123"/>
      <c r="AFN123">
        <f>+Tabla578914151634353637383940414243444546474849505152535560626467[[#This Row],[G. Total]]*Tabla578914151634353637383940414243444546474849505152535560626467[[#This Row],[Recuento]]</f>
        <v>0</v>
      </c>
      <c r="AFO123" s="36"/>
    </row>
    <row r="124" spans="59:847" x14ac:dyDescent="0.25">
      <c r="BG124"/>
      <c r="BH124"/>
      <c r="BI124"/>
      <c r="BJ124"/>
      <c r="BK124"/>
      <c r="BL124">
        <f>+Tabla3102[[#This Row],[Longitud de eje]]*BF124</f>
        <v>0</v>
      </c>
      <c r="BM124">
        <f>+Tabla3102[[#This Row],[Longitud de eje]]*BG124</f>
        <v>0</v>
      </c>
      <c r="BO124"/>
      <c r="BP124"/>
      <c r="BQ124"/>
      <c r="BR124"/>
      <c r="BS124"/>
      <c r="BT124"/>
      <c r="BU124"/>
      <c r="BV124">
        <v>1</v>
      </c>
      <c r="BW124"/>
      <c r="BX124"/>
      <c r="BY124"/>
      <c r="BZ124"/>
      <c r="CA124"/>
      <c r="CB124">
        <f>+Tabla31011[[#This Row],[Longitud de eje]]*BV124</f>
        <v>0</v>
      </c>
      <c r="CD124">
        <v>1</v>
      </c>
      <c r="CE124"/>
      <c r="CF124"/>
      <c r="CG124"/>
      <c r="CH124"/>
      <c r="CI124"/>
      <c r="CJ124"/>
      <c r="CK124"/>
      <c r="CL124">
        <v>1</v>
      </c>
      <c r="CM124"/>
      <c r="CN124"/>
      <c r="CO124"/>
      <c r="CP124"/>
      <c r="CQ124"/>
      <c r="CR124">
        <f>+Tabla31011116[[#This Row],[Longitud de eje]]*CL124</f>
        <v>0</v>
      </c>
      <c r="CT124">
        <v>1</v>
      </c>
      <c r="CU124"/>
      <c r="CV124"/>
      <c r="CW124"/>
      <c r="CX124"/>
      <c r="CY124"/>
      <c r="CZ124"/>
      <c r="DA124"/>
      <c r="DB124">
        <v>1</v>
      </c>
      <c r="DC124"/>
      <c r="DD124"/>
      <c r="DE124"/>
      <c r="DF124"/>
      <c r="DG124">
        <f>+Tabla31011704[[#This Row],[Longitud de eje]]*DB124</f>
        <v>0</v>
      </c>
      <c r="DH124"/>
      <c r="DI124">
        <v>1</v>
      </c>
      <c r="DJ124"/>
      <c r="DK124"/>
      <c r="DL124"/>
      <c r="DM124"/>
      <c r="DN124">
        <f>+Tabla3101170411[[#This Row],[Longitud de eje]]*DI124</f>
        <v>0</v>
      </c>
      <c r="DO124"/>
      <c r="DP124">
        <v>1</v>
      </c>
      <c r="DQ124"/>
      <c r="DR124"/>
      <c r="DS124"/>
      <c r="DT124"/>
      <c r="DU124">
        <f>+Tabla3101170411120[[#This Row],[Longitud de eje]]*DP124</f>
        <v>0</v>
      </c>
      <c r="DV124"/>
      <c r="DW124">
        <v>1</v>
      </c>
      <c r="DX124"/>
      <c r="DY124"/>
      <c r="DZ124"/>
      <c r="EA124"/>
      <c r="EB124">
        <f>+Tabla3101170411120122[[#This Row],[Longitud de eje]]*DW124</f>
        <v>0</v>
      </c>
      <c r="EC124"/>
      <c r="EE124"/>
      <c r="EF124"/>
      <c r="EG124"/>
      <c r="EH124"/>
      <c r="EI124"/>
      <c r="EJ124"/>
      <c r="EK124"/>
      <c r="EM124"/>
      <c r="EN124"/>
      <c r="EO124"/>
      <c r="EP124"/>
      <c r="EQ124"/>
      <c r="ER124"/>
      <c r="ES124"/>
      <c r="EU124"/>
      <c r="EV124"/>
      <c r="EW124"/>
      <c r="EX124"/>
      <c r="EY124"/>
      <c r="EZ124"/>
      <c r="FA124"/>
      <c r="FC124"/>
      <c r="FD124"/>
      <c r="FE124"/>
      <c r="FF124"/>
      <c r="FG124"/>
      <c r="FH124"/>
      <c r="FI124"/>
      <c r="FK124"/>
      <c r="FL124"/>
      <c r="FM124"/>
      <c r="FN124"/>
      <c r="FO124"/>
      <c r="FP124"/>
      <c r="FQ124"/>
      <c r="FS124"/>
      <c r="FT124"/>
      <c r="FU124"/>
      <c r="FV124"/>
      <c r="FW124"/>
      <c r="FX124"/>
      <c r="FY124"/>
      <c r="GA124"/>
      <c r="GB124"/>
      <c r="GC124"/>
      <c r="GD124"/>
      <c r="GE124"/>
      <c r="GF124"/>
      <c r="GG124"/>
      <c r="GI124"/>
      <c r="GJ124"/>
      <c r="GK124"/>
      <c r="GL124"/>
      <c r="GM124"/>
      <c r="GN124"/>
      <c r="GO124"/>
      <c r="JI124"/>
      <c r="JJ124"/>
      <c r="JK124"/>
      <c r="JL124"/>
      <c r="JM124"/>
      <c r="JN124"/>
      <c r="JO124" s="2">
        <f>+Tabla52021222425[[#This Row],[Recuento]]*Tabla52021222425[[#This Row],[Volúmen bruto]]</f>
        <v>0</v>
      </c>
      <c r="JP124" s="2">
        <f>+Tabla52021222425[[#This Row],[Recuento]]*Tabla52021222425[[#This Row],[Área neta]]</f>
        <v>0</v>
      </c>
      <c r="JQ124" s="26"/>
      <c r="JS124"/>
      <c r="JT124"/>
      <c r="JU124"/>
      <c r="JV124"/>
      <c r="JW124"/>
      <c r="JX124"/>
      <c r="JY124" s="2">
        <f>+Tabla5202122242526[[#This Row],[Recuento]]*Tabla5202122242526[[#This Row],[Volúmen bruto]]</f>
        <v>0</v>
      </c>
      <c r="JZ124" s="2">
        <f>+Tabla5202122242526[[#This Row],[Recuento]]*Tabla5202122242526[[#This Row],[Área neta]]</f>
        <v>0</v>
      </c>
      <c r="KA124" s="26"/>
      <c r="KC124"/>
      <c r="KD124"/>
      <c r="KE124"/>
      <c r="KF124"/>
      <c r="KG124"/>
      <c r="KH124"/>
      <c r="KI124" s="2">
        <f>+Tabla5202122242526104[[#This Row],[Recuento]]*Tabla5202122242526104[[#This Row],[Volúmen bruto]]</f>
        <v>0</v>
      </c>
      <c r="KJ124" s="2">
        <f>+Tabla5202122242526104[[#This Row],[Recuento]]*Tabla5202122242526104[[#This Row],[Área neta]]</f>
        <v>0</v>
      </c>
      <c r="KK124" s="26"/>
      <c r="KM124"/>
      <c r="KN124"/>
      <c r="KO124"/>
      <c r="KP124"/>
      <c r="KQ124"/>
      <c r="KR124"/>
      <c r="KS124" s="2">
        <f>+Tabla5202122242526104110[[#This Row],[Recuento]]*Tabla5202122242526104110[[#This Row],[Volúmen bruto]]</f>
        <v>0</v>
      </c>
      <c r="KT124" s="2">
        <f>+Tabla5202122242526104110[[#This Row],[Recuento]]*Tabla5202122242526104110[[#This Row],[Área neta]]</f>
        <v>0</v>
      </c>
      <c r="KU124" s="26"/>
      <c r="KW124"/>
      <c r="KX124"/>
      <c r="KY124"/>
      <c r="KZ124"/>
      <c r="LA124"/>
      <c r="LB124"/>
      <c r="LC124" s="2">
        <f>+Tabla520212224252659[[#This Row],[Recuento]]*Tabla520212224252659[[#This Row],[Volúmen bruto]]</f>
        <v>0</v>
      </c>
      <c r="LD124" s="2">
        <f>+Tabla520212224252659[[#This Row],[Recuento]]*Tabla520212224252659[[#This Row],[Área neta]]</f>
        <v>0</v>
      </c>
      <c r="LE124" s="26"/>
      <c r="LG124"/>
      <c r="LH124"/>
      <c r="LI124"/>
      <c r="LJ124"/>
      <c r="LK124"/>
      <c r="LL124"/>
      <c r="LM124" s="2">
        <f>+Tabla520212224252659111[[#This Row],[Recuento]]*Tabla520212224252659111[[#This Row],[Volúmen bruto]]</f>
        <v>0</v>
      </c>
      <c r="LN124" s="2">
        <f>+Tabla520212224252659111[[#This Row],[Recuento]]*Tabla520212224252659111[[#This Row],[Área neta]]</f>
        <v>0</v>
      </c>
      <c r="LO124" s="26"/>
      <c r="LQ124"/>
      <c r="LR124"/>
      <c r="LS124"/>
      <c r="LT124"/>
      <c r="LU124"/>
      <c r="LV124"/>
      <c r="LW124" s="2">
        <f>+Tabla520212224252659111114[[#This Row],[Recuento]]*Tabla520212224252659111114[[#This Row],[Volúmen bruto]]</f>
        <v>0</v>
      </c>
      <c r="LX124" s="2">
        <f>+Tabla520212224252659111114[[#This Row],[Recuento]]*Tabla520212224252659111114[[#This Row],[Área neta]]</f>
        <v>0</v>
      </c>
      <c r="LY124" s="26"/>
      <c r="MA124"/>
      <c r="MB124"/>
      <c r="MC124"/>
      <c r="MD124"/>
      <c r="ME124"/>
      <c r="MF124"/>
      <c r="MG124" s="2">
        <f>+Tabla520212224252659111114128[[#This Row],[Recuento]]*Tabla520212224252659111114128[[#This Row],[Volúmen bruto]]</f>
        <v>0</v>
      </c>
      <c r="MH124" s="2">
        <f>+Tabla520212224252659111114128[[#This Row],[Recuento]]*Tabla520212224252659111114128[[#This Row],[Área neta]]</f>
        <v>0</v>
      </c>
      <c r="MI124" s="26"/>
      <c r="MK124"/>
      <c r="ML124"/>
      <c r="MM124"/>
      <c r="MN124"/>
      <c r="MO124"/>
      <c r="MP124"/>
      <c r="MQ124" s="2">
        <f>+Tabla520212224252627[[#This Row],[Recuento]]*Tabla520212224252627[[#This Row],[Volúmen bruto]]</f>
        <v>0</v>
      </c>
      <c r="MR124" s="2">
        <f>+Tabla520212224252627[[#This Row],[Recuento]]*Tabla520212224252627[[#This Row],[Área neta]]</f>
        <v>0</v>
      </c>
      <c r="MS124" s="26"/>
      <c r="MU124"/>
      <c r="MV124"/>
      <c r="MW124"/>
      <c r="MX124"/>
      <c r="MY124"/>
      <c r="MZ124"/>
      <c r="NA124" s="2">
        <f>+Tabla520212224252627129[[#This Row],[Recuento]]*Tabla520212224252627129[[#This Row],[Volúmen bruto]]</f>
        <v>0</v>
      </c>
      <c r="NB124" s="2">
        <f>+Tabla520212224252627129[[#This Row],[Recuento]]*Tabla520212224252627129[[#This Row],[Área neta]]</f>
        <v>0</v>
      </c>
      <c r="NC124" s="26"/>
      <c r="NE124"/>
      <c r="NF124"/>
      <c r="NG124"/>
      <c r="NH124"/>
      <c r="NI124"/>
      <c r="NJ124"/>
      <c r="NK124" s="2">
        <f>+Tabla520212224252627129125[[#This Row],[Recuento]]*Tabla520212224252627129125[[#This Row],[Volúmen bruto]]</f>
        <v>0</v>
      </c>
      <c r="NL124" s="2">
        <f>+Tabla520212224252627129125[[#This Row],[Recuento]]*Tabla520212224252627129125[[#This Row],[Área neta]]</f>
        <v>0</v>
      </c>
      <c r="NM124" s="26"/>
      <c r="NO124"/>
      <c r="NP124"/>
      <c r="NQ124"/>
      <c r="NR124"/>
      <c r="NS124"/>
      <c r="NT124"/>
      <c r="NU124" s="2">
        <f>+Tabla520212224252627129125130[[#This Row],[Recuento]]*Tabla520212224252627129125130[[#This Row],[Volúmen bruto]]</f>
        <v>0</v>
      </c>
      <c r="NV124" s="2">
        <f>+Tabla520212224252627129125130[[#This Row],[Recuento]]*Tabla520212224252627129125130[[#This Row],[Área neta]]</f>
        <v>0</v>
      </c>
      <c r="NW124" s="26"/>
      <c r="NY124"/>
      <c r="NZ124"/>
      <c r="OA124"/>
      <c r="OB124"/>
      <c r="OC124"/>
      <c r="OD124"/>
      <c r="OE124" s="2">
        <f>+Tabla520212224252627129125130131[[#This Row],[Recuento]]*Tabla520212224252627129125130131[[#This Row],[Volúmen bruto]]</f>
        <v>0</v>
      </c>
      <c r="OF124" s="2">
        <f>+Tabla520212224252627129125130131[[#This Row],[Recuento]]*Tabla520212224252627129125130131[[#This Row],[Área neta]]</f>
        <v>0</v>
      </c>
      <c r="OG124" s="26"/>
      <c r="OI124"/>
      <c r="OJ124"/>
      <c r="OK124"/>
      <c r="OL124"/>
      <c r="OM124"/>
      <c r="ON124"/>
      <c r="OO124" s="2">
        <f>+Tabla520212224252627129125130131132[[#This Row],[Recuento]]*Tabla520212224252627129125130131132[[#This Row],[Volúmen bruto]]</f>
        <v>0</v>
      </c>
      <c r="OP124" s="2">
        <f>+Tabla520212224252627129125130131132[[#This Row],[Recuento]]*Tabla520212224252627129125130131132[[#This Row],[Área neta]]</f>
        <v>0</v>
      </c>
      <c r="OQ124" s="26"/>
      <c r="OS124"/>
      <c r="OT124"/>
      <c r="OU124"/>
      <c r="OV124"/>
      <c r="OW124"/>
      <c r="OX124"/>
      <c r="OY124" s="2">
        <f>+Tabla52021222425262728[[#This Row],[Recuento]]*Tabla52021222425262728[[#This Row],[Volúmen bruto]]</f>
        <v>0</v>
      </c>
      <c r="OZ124" s="2">
        <f>+Tabla52021222425262728[[#This Row],[Recuento]]*Tabla52021222425262728[[#This Row],[Área neta]]</f>
        <v>0</v>
      </c>
      <c r="PA124" s="26">
        <f t="shared" si="44"/>
        <v>0</v>
      </c>
      <c r="PC124"/>
      <c r="PD124"/>
      <c r="PE124"/>
      <c r="PF124"/>
      <c r="PG124"/>
      <c r="PH124"/>
      <c r="PI124" s="2">
        <f>+Tabla52021222425262728133[[#This Row],[Recuento]]*Tabla52021222425262728133[[#This Row],[Volúmen bruto]]</f>
        <v>0</v>
      </c>
      <c r="PJ124" s="2">
        <f>+Tabla52021222425262728133[[#This Row],[Recuento]]*Tabla52021222425262728133[[#This Row],[Área neta]]</f>
        <v>0</v>
      </c>
      <c r="PK124" s="26">
        <f t="shared" si="47"/>
        <v>0</v>
      </c>
      <c r="PM124"/>
      <c r="PN124"/>
      <c r="PO124"/>
      <c r="PP124"/>
      <c r="PQ124"/>
      <c r="PR124"/>
      <c r="PS124" s="2">
        <f>+Tabla5202122242526272893[[#This Row],[Recuento]]*Tabla5202122242526272893[[#This Row],[Volúmen bruto]]</f>
        <v>0</v>
      </c>
      <c r="PT124" s="2">
        <f>+Tabla5202122242526272893[[#This Row],[Recuento]]*Tabla5202122242526272893[[#This Row],[Área neta]]</f>
        <v>0</v>
      </c>
      <c r="PU124" s="26"/>
      <c r="PW124"/>
      <c r="PX124"/>
      <c r="PY124"/>
      <c r="PZ124"/>
      <c r="QA124"/>
      <c r="QB124"/>
      <c r="QC124" s="2">
        <f>+Tabla520212224252627289349[[#This Row],[Recuento]]*Tabla520212224252627289349[[#This Row],[Volúmen bruto]]</f>
        <v>0</v>
      </c>
      <c r="QD124" s="2">
        <f>+Tabla520212224252627289349[[#This Row],[Recuento]]*Tabla520212224252627289349[[#This Row],[Área neta]]</f>
        <v>0</v>
      </c>
      <c r="QE124" s="26"/>
      <c r="QG124"/>
      <c r="QH124"/>
      <c r="QI124"/>
      <c r="QJ124"/>
      <c r="QK124"/>
      <c r="QL124"/>
      <c r="QM124" s="2">
        <f>+Tabla520212224252627289349134[[#This Row],[Recuento]]*Tabla520212224252627289349134[[#This Row],[Volúmen bruto]]</f>
        <v>0</v>
      </c>
      <c r="QN124" s="2">
        <f>+Tabla520212224252627289349134[[#This Row],[Recuento]]*Tabla520212224252627289349134[[#This Row],[Área neta]]</f>
        <v>0</v>
      </c>
      <c r="QO124" s="26"/>
      <c r="QQ124"/>
      <c r="QR124"/>
      <c r="QS124"/>
      <c r="QT124"/>
      <c r="QU124"/>
      <c r="QV124"/>
      <c r="QW124"/>
      <c r="QX124" s="2">
        <f>+Tabla5202122242526272829[[#This Row],[Recuento]]*Tabla5202122242526272829[[#This Row],[Volúmen bruto]]</f>
        <v>0</v>
      </c>
      <c r="QY124" s="2">
        <f>+Tabla5202122242526272829[[#This Row],[Recuento]]*Tabla5202122242526272829[[#This Row],[Área neta]]</f>
        <v>0</v>
      </c>
      <c r="RA124" s="26"/>
      <c r="RC124"/>
      <c r="RD124"/>
      <c r="RE124"/>
      <c r="RF124"/>
      <c r="RG124"/>
      <c r="RH124"/>
      <c r="RK124" s="26"/>
      <c r="RM124"/>
      <c r="RN124"/>
      <c r="RO124"/>
      <c r="RP124"/>
      <c r="RQ124"/>
      <c r="RR124"/>
      <c r="RU124" s="26">
        <f t="shared" si="45"/>
        <v>0</v>
      </c>
      <c r="RW124"/>
      <c r="RX124"/>
      <c r="RY124"/>
      <c r="RZ124"/>
      <c r="SA124"/>
      <c r="SB124"/>
      <c r="SE124" s="26"/>
      <c r="SG124"/>
      <c r="SH124"/>
      <c r="SI124"/>
      <c r="SJ124"/>
      <c r="SK124"/>
      <c r="SL124"/>
      <c r="SO124" s="26"/>
      <c r="YK124"/>
      <c r="YL124"/>
      <c r="YM124"/>
      <c r="YN124"/>
      <c r="YO124"/>
      <c r="ADJ124"/>
      <c r="ADK124"/>
      <c r="ADL124"/>
      <c r="ADM124"/>
      <c r="ADN124"/>
      <c r="ADO124"/>
      <c r="ADP124" s="36"/>
      <c r="ADR124"/>
      <c r="ADS124"/>
      <c r="ADT124"/>
      <c r="ADU124"/>
      <c r="ADW124" s="35"/>
      <c r="ADX124" s="35"/>
      <c r="AFI124"/>
      <c r="AFJ124"/>
      <c r="AFK124"/>
      <c r="AFL124"/>
      <c r="AFM124"/>
      <c r="AFN124">
        <f>+Tabla578914151634353637383940414243444546474849505152535560626467[[#This Row],[G. Total]]*Tabla578914151634353637383940414243444546474849505152535560626467[[#This Row],[Recuento]]</f>
        <v>0</v>
      </c>
      <c r="AFO124" s="36"/>
    </row>
    <row r="125" spans="59:847" x14ac:dyDescent="0.25">
      <c r="BG125"/>
      <c r="BH125"/>
      <c r="BI125"/>
      <c r="BJ125"/>
      <c r="BK125"/>
      <c r="BL125">
        <f>+Tabla3102[[#This Row],[Longitud de eje]]*BF125</f>
        <v>0</v>
      </c>
      <c r="BM125">
        <f>+Tabla3102[[#This Row],[Longitud de eje]]*BG125</f>
        <v>0</v>
      </c>
      <c r="BO125"/>
      <c r="BP125"/>
      <c r="BQ125"/>
      <c r="BR125"/>
      <c r="BS125"/>
      <c r="BT125"/>
      <c r="BU125"/>
      <c r="BV125">
        <v>1</v>
      </c>
      <c r="BW125"/>
      <c r="BX125"/>
      <c r="BY125"/>
      <c r="BZ125"/>
      <c r="CA125"/>
      <c r="CB125">
        <f>+Tabla31011[[#This Row],[Longitud de eje]]*BV125</f>
        <v>0</v>
      </c>
      <c r="CD125">
        <v>1</v>
      </c>
      <c r="CE125"/>
      <c r="CF125"/>
      <c r="CG125"/>
      <c r="CH125"/>
      <c r="CI125"/>
      <c r="CJ125"/>
      <c r="CK125"/>
      <c r="CL125">
        <v>1</v>
      </c>
      <c r="CM125"/>
      <c r="CN125"/>
      <c r="CO125"/>
      <c r="CP125"/>
      <c r="CQ125"/>
      <c r="CR125">
        <f>+Tabla31011116[[#This Row],[Longitud de eje]]*CL125</f>
        <v>0</v>
      </c>
      <c r="CT125">
        <v>1</v>
      </c>
      <c r="CU125"/>
      <c r="CV125"/>
      <c r="CW125"/>
      <c r="CX125"/>
      <c r="CY125"/>
      <c r="CZ125"/>
      <c r="DA125"/>
      <c r="DB125">
        <v>1</v>
      </c>
      <c r="DC125"/>
      <c r="DD125"/>
      <c r="DE125"/>
      <c r="DF125"/>
      <c r="DG125">
        <f>+Tabla31011704[[#This Row],[Longitud de eje]]*DB125</f>
        <v>0</v>
      </c>
      <c r="DH125"/>
      <c r="DI125">
        <v>1</v>
      </c>
      <c r="DJ125"/>
      <c r="DK125"/>
      <c r="DL125"/>
      <c r="DM125"/>
      <c r="DN125">
        <f>+Tabla3101170411[[#This Row],[Longitud de eje]]*DI125</f>
        <v>0</v>
      </c>
      <c r="DO125"/>
      <c r="DP125">
        <v>1</v>
      </c>
      <c r="DQ125"/>
      <c r="DR125"/>
      <c r="DS125"/>
      <c r="DT125"/>
      <c r="DU125">
        <f>+Tabla3101170411120[[#This Row],[Longitud de eje]]*DP125</f>
        <v>0</v>
      </c>
      <c r="DV125"/>
      <c r="DW125">
        <v>1</v>
      </c>
      <c r="DX125"/>
      <c r="DY125"/>
      <c r="DZ125"/>
      <c r="EA125"/>
      <c r="EB125">
        <f>+Tabla3101170411120122[[#This Row],[Longitud de eje]]*DW125</f>
        <v>0</v>
      </c>
      <c r="EC125"/>
      <c r="EE125"/>
      <c r="EF125"/>
      <c r="EG125"/>
      <c r="EH125"/>
      <c r="EI125"/>
      <c r="EJ125"/>
      <c r="EK125"/>
      <c r="EM125"/>
      <c r="EN125"/>
      <c r="EO125"/>
      <c r="EP125"/>
      <c r="EQ125"/>
      <c r="ER125"/>
      <c r="ES125"/>
      <c r="EU125"/>
      <c r="EV125"/>
      <c r="EW125"/>
      <c r="EX125"/>
      <c r="EY125"/>
      <c r="EZ125"/>
      <c r="FA125"/>
      <c r="FC125"/>
      <c r="FD125"/>
      <c r="FE125"/>
      <c r="FF125"/>
      <c r="FG125"/>
      <c r="FH125"/>
      <c r="FI125"/>
      <c r="FK125"/>
      <c r="FL125"/>
      <c r="FM125"/>
      <c r="FN125"/>
      <c r="FO125"/>
      <c r="FP125"/>
      <c r="FQ125"/>
      <c r="FS125"/>
      <c r="FT125"/>
      <c r="FU125"/>
      <c r="FV125"/>
      <c r="FW125"/>
      <c r="FX125"/>
      <c r="FY125"/>
      <c r="GA125"/>
      <c r="GB125"/>
      <c r="GC125"/>
      <c r="GD125"/>
      <c r="GE125"/>
      <c r="GF125"/>
      <c r="GG125"/>
      <c r="GI125"/>
      <c r="GJ125"/>
      <c r="GK125"/>
      <c r="GL125"/>
      <c r="GM125"/>
      <c r="GN125"/>
      <c r="GO125"/>
      <c r="JI125"/>
      <c r="JJ125"/>
      <c r="JK125"/>
      <c r="JL125"/>
      <c r="JM125"/>
      <c r="JN125"/>
      <c r="JO125" s="2">
        <f>+Tabla52021222425[[#This Row],[Recuento]]*Tabla52021222425[[#This Row],[Volúmen bruto]]</f>
        <v>0</v>
      </c>
      <c r="JP125" s="2">
        <f>+Tabla52021222425[[#This Row],[Recuento]]*Tabla52021222425[[#This Row],[Área neta]]</f>
        <v>0</v>
      </c>
      <c r="JQ125" s="26"/>
      <c r="JS125"/>
      <c r="JT125"/>
      <c r="JU125"/>
      <c r="JV125"/>
      <c r="JW125"/>
      <c r="JX125"/>
      <c r="JY125" s="2">
        <f>+Tabla5202122242526[[#This Row],[Recuento]]*Tabla5202122242526[[#This Row],[Volúmen bruto]]</f>
        <v>0</v>
      </c>
      <c r="JZ125" s="2">
        <f>+Tabla5202122242526[[#This Row],[Recuento]]*Tabla5202122242526[[#This Row],[Área neta]]</f>
        <v>0</v>
      </c>
      <c r="KA125" s="26"/>
      <c r="KC125"/>
      <c r="KD125"/>
      <c r="KE125"/>
      <c r="KF125"/>
      <c r="KG125"/>
      <c r="KH125"/>
      <c r="KI125" s="2">
        <f>+Tabla5202122242526104[[#This Row],[Recuento]]*Tabla5202122242526104[[#This Row],[Volúmen bruto]]</f>
        <v>0</v>
      </c>
      <c r="KJ125" s="2">
        <f>+Tabla5202122242526104[[#This Row],[Recuento]]*Tabla5202122242526104[[#This Row],[Área neta]]</f>
        <v>0</v>
      </c>
      <c r="KK125" s="26"/>
      <c r="KM125"/>
      <c r="KN125"/>
      <c r="KO125"/>
      <c r="KP125"/>
      <c r="KQ125"/>
      <c r="KR125"/>
      <c r="KS125" s="2">
        <f>+Tabla5202122242526104110[[#This Row],[Recuento]]*Tabla5202122242526104110[[#This Row],[Volúmen bruto]]</f>
        <v>0</v>
      </c>
      <c r="KT125" s="2">
        <f>+Tabla5202122242526104110[[#This Row],[Recuento]]*Tabla5202122242526104110[[#This Row],[Área neta]]</f>
        <v>0</v>
      </c>
      <c r="KU125" s="26"/>
      <c r="KW125"/>
      <c r="KX125"/>
      <c r="KY125"/>
      <c r="KZ125"/>
      <c r="LA125"/>
      <c r="LB125"/>
      <c r="LC125" s="2">
        <f>+Tabla520212224252659[[#This Row],[Recuento]]*Tabla520212224252659[[#This Row],[Volúmen bruto]]</f>
        <v>0</v>
      </c>
      <c r="LD125" s="2">
        <f>+Tabla520212224252659[[#This Row],[Recuento]]*Tabla520212224252659[[#This Row],[Área neta]]</f>
        <v>0</v>
      </c>
      <c r="LE125" s="26"/>
      <c r="LG125"/>
      <c r="LH125"/>
      <c r="LI125"/>
      <c r="LJ125"/>
      <c r="LK125"/>
      <c r="LL125"/>
      <c r="LM125" s="2">
        <f>+Tabla520212224252659111[[#This Row],[Recuento]]*Tabla520212224252659111[[#This Row],[Volúmen bruto]]</f>
        <v>0</v>
      </c>
      <c r="LN125" s="2">
        <f>+Tabla520212224252659111[[#This Row],[Recuento]]*Tabla520212224252659111[[#This Row],[Área neta]]</f>
        <v>0</v>
      </c>
      <c r="LO125" s="26"/>
      <c r="LQ125"/>
      <c r="LR125"/>
      <c r="LS125"/>
      <c r="LT125"/>
      <c r="LU125"/>
      <c r="LV125"/>
      <c r="LW125" s="2">
        <f>+Tabla520212224252659111114[[#This Row],[Recuento]]*Tabla520212224252659111114[[#This Row],[Volúmen bruto]]</f>
        <v>0</v>
      </c>
      <c r="LX125" s="2">
        <f>+Tabla520212224252659111114[[#This Row],[Recuento]]*Tabla520212224252659111114[[#This Row],[Área neta]]</f>
        <v>0</v>
      </c>
      <c r="LY125" s="26"/>
      <c r="MA125"/>
      <c r="MB125"/>
      <c r="MC125"/>
      <c r="MD125"/>
      <c r="ME125"/>
      <c r="MF125"/>
      <c r="MG125" s="2">
        <f>+Tabla520212224252659111114128[[#This Row],[Recuento]]*Tabla520212224252659111114128[[#This Row],[Volúmen bruto]]</f>
        <v>0</v>
      </c>
      <c r="MH125" s="2">
        <f>+Tabla520212224252659111114128[[#This Row],[Recuento]]*Tabla520212224252659111114128[[#This Row],[Área neta]]</f>
        <v>0</v>
      </c>
      <c r="MI125" s="26"/>
      <c r="MK125"/>
      <c r="ML125"/>
      <c r="MM125"/>
      <c r="MN125"/>
      <c r="MO125"/>
      <c r="MP125"/>
      <c r="MQ125" s="2">
        <f>+Tabla520212224252627[[#This Row],[Recuento]]*Tabla520212224252627[[#This Row],[Volúmen bruto]]</f>
        <v>0</v>
      </c>
      <c r="MR125" s="2">
        <f>+Tabla520212224252627[[#This Row],[Recuento]]*Tabla520212224252627[[#This Row],[Área neta]]</f>
        <v>0</v>
      </c>
      <c r="MS125" s="26"/>
      <c r="MU125"/>
      <c r="MV125"/>
      <c r="MW125"/>
      <c r="MX125"/>
      <c r="MY125"/>
      <c r="MZ125"/>
      <c r="NA125" s="2">
        <f>+Tabla520212224252627129[[#This Row],[Recuento]]*Tabla520212224252627129[[#This Row],[Volúmen bruto]]</f>
        <v>0</v>
      </c>
      <c r="NB125" s="2">
        <f>+Tabla520212224252627129[[#This Row],[Recuento]]*Tabla520212224252627129[[#This Row],[Área neta]]</f>
        <v>0</v>
      </c>
      <c r="NC125" s="26"/>
      <c r="NE125"/>
      <c r="NF125"/>
      <c r="NG125"/>
      <c r="NH125"/>
      <c r="NI125"/>
      <c r="NJ125"/>
      <c r="NK125" s="2">
        <f>+Tabla520212224252627129125[[#This Row],[Recuento]]*Tabla520212224252627129125[[#This Row],[Volúmen bruto]]</f>
        <v>0</v>
      </c>
      <c r="NL125" s="2">
        <f>+Tabla520212224252627129125[[#This Row],[Recuento]]*Tabla520212224252627129125[[#This Row],[Área neta]]</f>
        <v>0</v>
      </c>
      <c r="NM125" s="26"/>
      <c r="NO125"/>
      <c r="NP125"/>
      <c r="NQ125"/>
      <c r="NR125"/>
      <c r="NS125"/>
      <c r="NT125"/>
      <c r="NU125" s="2">
        <f>+Tabla520212224252627129125130[[#This Row],[Recuento]]*Tabla520212224252627129125130[[#This Row],[Volúmen bruto]]</f>
        <v>0</v>
      </c>
      <c r="NV125" s="2">
        <f>+Tabla520212224252627129125130[[#This Row],[Recuento]]*Tabla520212224252627129125130[[#This Row],[Área neta]]</f>
        <v>0</v>
      </c>
      <c r="NW125" s="26"/>
      <c r="NY125"/>
      <c r="NZ125"/>
      <c r="OA125"/>
      <c r="OB125"/>
      <c r="OC125"/>
      <c r="OD125"/>
      <c r="OE125" s="2">
        <f>+Tabla520212224252627129125130131[[#This Row],[Recuento]]*Tabla520212224252627129125130131[[#This Row],[Volúmen bruto]]</f>
        <v>0</v>
      </c>
      <c r="OF125" s="2">
        <f>+Tabla520212224252627129125130131[[#This Row],[Recuento]]*Tabla520212224252627129125130131[[#This Row],[Área neta]]</f>
        <v>0</v>
      </c>
      <c r="OG125" s="26"/>
      <c r="OI125"/>
      <c r="OJ125"/>
      <c r="OK125"/>
      <c r="OL125"/>
      <c r="OM125"/>
      <c r="ON125"/>
      <c r="OO125" s="2">
        <f>+Tabla520212224252627129125130131132[[#This Row],[Recuento]]*Tabla520212224252627129125130131132[[#This Row],[Volúmen bruto]]</f>
        <v>0</v>
      </c>
      <c r="OP125" s="2">
        <f>+Tabla520212224252627129125130131132[[#This Row],[Recuento]]*Tabla520212224252627129125130131132[[#This Row],[Área neta]]</f>
        <v>0</v>
      </c>
      <c r="OQ125" s="26"/>
      <c r="OS125"/>
      <c r="OT125"/>
      <c r="OU125"/>
      <c r="OV125"/>
      <c r="OW125"/>
      <c r="OX125"/>
      <c r="OY125" s="2">
        <f>+Tabla52021222425262728[[#This Row],[Recuento]]*Tabla52021222425262728[[#This Row],[Volúmen bruto]]</f>
        <v>0</v>
      </c>
      <c r="OZ125" s="2">
        <f>+Tabla52021222425262728[[#This Row],[Recuento]]*Tabla52021222425262728[[#This Row],[Área neta]]</f>
        <v>0</v>
      </c>
      <c r="PA125" s="26">
        <f t="shared" si="44"/>
        <v>0</v>
      </c>
      <c r="PC125"/>
      <c r="PD125"/>
      <c r="PE125"/>
      <c r="PF125"/>
      <c r="PG125"/>
      <c r="PH125"/>
      <c r="PI125" s="2">
        <f>+Tabla52021222425262728133[[#This Row],[Recuento]]*Tabla52021222425262728133[[#This Row],[Volúmen bruto]]</f>
        <v>0</v>
      </c>
      <c r="PJ125" s="2">
        <f>+Tabla52021222425262728133[[#This Row],[Recuento]]*Tabla52021222425262728133[[#This Row],[Área neta]]</f>
        <v>0</v>
      </c>
      <c r="PK125" s="26">
        <f t="shared" si="47"/>
        <v>0</v>
      </c>
      <c r="PM125"/>
      <c r="PN125"/>
      <c r="PO125"/>
      <c r="PP125"/>
      <c r="PQ125"/>
      <c r="PR125"/>
      <c r="PS125" s="2">
        <f>+Tabla5202122242526272893[[#This Row],[Recuento]]*Tabla5202122242526272893[[#This Row],[Volúmen bruto]]</f>
        <v>0</v>
      </c>
      <c r="PT125" s="2">
        <f>+Tabla5202122242526272893[[#This Row],[Recuento]]*Tabla5202122242526272893[[#This Row],[Área neta]]</f>
        <v>0</v>
      </c>
      <c r="PU125" s="26"/>
      <c r="PW125"/>
      <c r="PX125"/>
      <c r="PY125"/>
      <c r="PZ125"/>
      <c r="QA125"/>
      <c r="QB125"/>
      <c r="QC125" s="2">
        <f>+Tabla520212224252627289349[[#This Row],[Recuento]]*Tabla520212224252627289349[[#This Row],[Volúmen bruto]]</f>
        <v>0</v>
      </c>
      <c r="QD125" s="2">
        <f>+Tabla520212224252627289349[[#This Row],[Recuento]]*Tabla520212224252627289349[[#This Row],[Área neta]]</f>
        <v>0</v>
      </c>
      <c r="QE125" s="26"/>
      <c r="QG125"/>
      <c r="QH125"/>
      <c r="QI125"/>
      <c r="QJ125"/>
      <c r="QK125"/>
      <c r="QL125"/>
      <c r="QM125" s="2">
        <f>+Tabla520212224252627289349134[[#This Row],[Recuento]]*Tabla520212224252627289349134[[#This Row],[Volúmen bruto]]</f>
        <v>0</v>
      </c>
      <c r="QN125" s="2">
        <f>+Tabla520212224252627289349134[[#This Row],[Recuento]]*Tabla520212224252627289349134[[#This Row],[Área neta]]</f>
        <v>0</v>
      </c>
      <c r="QO125" s="26"/>
      <c r="QQ125"/>
      <c r="QR125"/>
      <c r="QS125"/>
      <c r="QT125"/>
      <c r="QU125"/>
      <c r="QV125"/>
      <c r="QW125"/>
      <c r="QX125" s="2">
        <f>+Tabla5202122242526272829[[#This Row],[Recuento]]*Tabla5202122242526272829[[#This Row],[Volúmen bruto]]</f>
        <v>0</v>
      </c>
      <c r="QY125" s="2">
        <f>+Tabla5202122242526272829[[#This Row],[Recuento]]*Tabla5202122242526272829[[#This Row],[Área neta]]</f>
        <v>0</v>
      </c>
      <c r="RA125" s="26"/>
      <c r="RC125"/>
      <c r="RD125"/>
      <c r="RE125"/>
      <c r="RF125"/>
      <c r="RG125"/>
      <c r="RH125"/>
      <c r="RK125" s="26"/>
      <c r="RM125"/>
      <c r="RN125"/>
      <c r="RO125"/>
      <c r="RP125"/>
      <c r="RQ125"/>
      <c r="RR125"/>
      <c r="RU125" s="26">
        <f t="shared" si="45"/>
        <v>0</v>
      </c>
      <c r="RW125"/>
      <c r="RX125"/>
      <c r="RY125"/>
      <c r="RZ125"/>
      <c r="SA125"/>
      <c r="SB125"/>
      <c r="SE125" s="26"/>
      <c r="SG125"/>
      <c r="SH125"/>
      <c r="SI125"/>
      <c r="SJ125"/>
      <c r="SK125"/>
      <c r="SL125"/>
      <c r="SO125" s="26"/>
      <c r="YK125"/>
      <c r="YL125"/>
      <c r="YM125"/>
      <c r="YN125"/>
      <c r="YO125"/>
      <c r="ADJ125"/>
      <c r="ADK125"/>
      <c r="ADL125"/>
      <c r="ADM125"/>
      <c r="ADN125"/>
      <c r="ADO125"/>
      <c r="ADP125" s="36"/>
      <c r="AFI125"/>
      <c r="AFJ125"/>
      <c r="AFK125"/>
      <c r="AFL125"/>
      <c r="AFM125"/>
      <c r="AFN125">
        <f>+Tabla578914151634353637383940414243444546474849505152535560626467[[#This Row],[G. Total]]*Tabla578914151634353637383940414243444546474849505152535560626467[[#This Row],[Recuento]]</f>
        <v>0</v>
      </c>
      <c r="AFO125" s="36"/>
    </row>
    <row r="126" spans="59:847" x14ac:dyDescent="0.25">
      <c r="BG126"/>
      <c r="BH126"/>
      <c r="BI126"/>
      <c r="BJ126"/>
      <c r="BK126"/>
      <c r="BL126">
        <f>+Tabla3102[[#This Row],[Longitud de eje]]*BF126</f>
        <v>0</v>
      </c>
      <c r="BM126">
        <f>+Tabla3102[[#This Row],[Longitud de eje]]*BG126</f>
        <v>0</v>
      </c>
      <c r="BO126"/>
      <c r="BP126"/>
      <c r="BQ126"/>
      <c r="BR126"/>
      <c r="BS126"/>
      <c r="BT126"/>
      <c r="BU126"/>
      <c r="BW126"/>
      <c r="BX126"/>
      <c r="BY126"/>
      <c r="BZ126"/>
      <c r="CA126"/>
      <c r="CB126"/>
      <c r="CD126">
        <v>1</v>
      </c>
      <c r="CE126"/>
      <c r="CF126"/>
      <c r="CG126"/>
      <c r="CH126"/>
      <c r="CI126"/>
      <c r="CJ126"/>
      <c r="CK126"/>
      <c r="CM126"/>
      <c r="CN126"/>
      <c r="CO126"/>
      <c r="CP126"/>
      <c r="CQ126"/>
      <c r="CR126"/>
      <c r="CT126">
        <v>1</v>
      </c>
      <c r="CU126"/>
      <c r="CV126"/>
      <c r="CW126"/>
      <c r="CX126"/>
      <c r="CY126"/>
      <c r="CZ126"/>
      <c r="DA126"/>
      <c r="DB126">
        <v>1</v>
      </c>
      <c r="DC126"/>
      <c r="DD126"/>
      <c r="DE126"/>
      <c r="DF126"/>
      <c r="DG126">
        <f>+Tabla31011704[[#This Row],[Longitud de eje]]*DB126</f>
        <v>0</v>
      </c>
      <c r="DH126"/>
      <c r="DI126">
        <v>1</v>
      </c>
      <c r="DJ126"/>
      <c r="DK126"/>
      <c r="DL126"/>
      <c r="DM126"/>
      <c r="DN126">
        <f>+Tabla3101170411[[#This Row],[Longitud de eje]]*DI126</f>
        <v>0</v>
      </c>
      <c r="DO126"/>
      <c r="DP126">
        <v>1</v>
      </c>
      <c r="DQ126"/>
      <c r="DR126"/>
      <c r="DS126"/>
      <c r="DT126"/>
      <c r="DU126">
        <f>+Tabla3101170411120[[#This Row],[Longitud de eje]]*DP126</f>
        <v>0</v>
      </c>
      <c r="DV126"/>
      <c r="DW126">
        <v>1</v>
      </c>
      <c r="DX126"/>
      <c r="DY126"/>
      <c r="DZ126"/>
      <c r="EA126"/>
      <c r="EB126">
        <f>+Tabla3101170411120122[[#This Row],[Longitud de eje]]*DW126</f>
        <v>0</v>
      </c>
      <c r="EC126"/>
      <c r="EE126"/>
      <c r="EF126"/>
      <c r="EG126"/>
      <c r="EH126"/>
      <c r="EI126"/>
      <c r="EJ126"/>
      <c r="EK126"/>
      <c r="EM126"/>
      <c r="EN126"/>
      <c r="EO126"/>
      <c r="EP126"/>
      <c r="EQ126"/>
      <c r="ER126"/>
      <c r="ES126"/>
      <c r="EU126"/>
      <c r="EV126"/>
      <c r="EW126"/>
      <c r="EX126"/>
      <c r="EY126"/>
      <c r="EZ126"/>
      <c r="FA126"/>
      <c r="FC126"/>
      <c r="FD126"/>
      <c r="FE126"/>
      <c r="FF126"/>
      <c r="FG126"/>
      <c r="FH126"/>
      <c r="FI126"/>
      <c r="FK126"/>
      <c r="FL126"/>
      <c r="FM126"/>
      <c r="FN126"/>
      <c r="FO126"/>
      <c r="FP126"/>
      <c r="FQ126"/>
      <c r="FS126"/>
      <c r="FT126"/>
      <c r="FU126"/>
      <c r="FV126"/>
      <c r="FW126"/>
      <c r="FX126"/>
      <c r="FY126"/>
      <c r="GA126"/>
      <c r="GB126"/>
      <c r="GC126"/>
      <c r="GD126"/>
      <c r="GE126"/>
      <c r="GF126"/>
      <c r="GG126"/>
      <c r="GI126"/>
      <c r="GJ126"/>
      <c r="GK126"/>
      <c r="GL126"/>
      <c r="GM126"/>
      <c r="GN126"/>
      <c r="GO126"/>
      <c r="JI126"/>
      <c r="JJ126"/>
      <c r="JK126"/>
      <c r="JL126"/>
      <c r="JM126"/>
      <c r="JN126"/>
      <c r="JO126" s="2">
        <f>+Tabla52021222425[[#This Row],[Recuento]]*Tabla52021222425[[#This Row],[Volúmen bruto]]</f>
        <v>0</v>
      </c>
      <c r="JP126" s="2">
        <f>+Tabla52021222425[[#This Row],[Recuento]]*Tabla52021222425[[#This Row],[Área neta]]</f>
        <v>0</v>
      </c>
      <c r="JQ126" s="26"/>
      <c r="JS126"/>
      <c r="JT126"/>
      <c r="JU126"/>
      <c r="JV126"/>
      <c r="JW126"/>
      <c r="JX126"/>
      <c r="JY126" s="2">
        <f>+Tabla5202122242526[[#This Row],[Recuento]]*Tabla5202122242526[[#This Row],[Volúmen bruto]]</f>
        <v>0</v>
      </c>
      <c r="JZ126" s="2">
        <f>+Tabla5202122242526[[#This Row],[Recuento]]*Tabla5202122242526[[#This Row],[Área neta]]</f>
        <v>0</v>
      </c>
      <c r="KA126" s="26"/>
      <c r="KC126"/>
      <c r="KD126"/>
      <c r="KE126"/>
      <c r="KF126"/>
      <c r="KG126"/>
      <c r="KH126"/>
      <c r="KI126" s="2">
        <f>+Tabla5202122242526104[[#This Row],[Recuento]]*Tabla5202122242526104[[#This Row],[Volúmen bruto]]</f>
        <v>0</v>
      </c>
      <c r="KJ126" s="2">
        <f>+Tabla5202122242526104[[#This Row],[Recuento]]*Tabla5202122242526104[[#This Row],[Área neta]]</f>
        <v>0</v>
      </c>
      <c r="KK126" s="26"/>
      <c r="KM126"/>
      <c r="KN126"/>
      <c r="KO126"/>
      <c r="KP126"/>
      <c r="KQ126"/>
      <c r="KR126"/>
      <c r="KS126" s="2">
        <f>+Tabla5202122242526104110[[#This Row],[Recuento]]*Tabla5202122242526104110[[#This Row],[Volúmen bruto]]</f>
        <v>0</v>
      </c>
      <c r="KT126" s="2">
        <f>+Tabla5202122242526104110[[#This Row],[Recuento]]*Tabla5202122242526104110[[#This Row],[Área neta]]</f>
        <v>0</v>
      </c>
      <c r="KU126" s="26"/>
      <c r="KW126"/>
      <c r="KX126"/>
      <c r="KY126"/>
      <c r="KZ126"/>
      <c r="LA126"/>
      <c r="LB126"/>
      <c r="LC126" s="2">
        <f>+Tabla520212224252659[[#This Row],[Recuento]]*Tabla520212224252659[[#This Row],[Volúmen bruto]]</f>
        <v>0</v>
      </c>
      <c r="LD126" s="2">
        <f>+Tabla520212224252659[[#This Row],[Recuento]]*Tabla520212224252659[[#This Row],[Área neta]]</f>
        <v>0</v>
      </c>
      <c r="LE126" s="26"/>
      <c r="LG126"/>
      <c r="LH126"/>
      <c r="LI126"/>
      <c r="LJ126"/>
      <c r="LK126"/>
      <c r="LL126"/>
      <c r="LM126" s="2">
        <f>+Tabla520212224252659111[[#This Row],[Recuento]]*Tabla520212224252659111[[#This Row],[Volúmen bruto]]</f>
        <v>0</v>
      </c>
      <c r="LN126" s="2">
        <f>+Tabla520212224252659111[[#This Row],[Recuento]]*Tabla520212224252659111[[#This Row],[Área neta]]</f>
        <v>0</v>
      </c>
      <c r="LO126" s="26"/>
      <c r="LQ126"/>
      <c r="LR126"/>
      <c r="LS126"/>
      <c r="LT126"/>
      <c r="LU126"/>
      <c r="LV126"/>
      <c r="LW126" s="2">
        <f>+Tabla520212224252659111114[[#This Row],[Recuento]]*Tabla520212224252659111114[[#This Row],[Volúmen bruto]]</f>
        <v>0</v>
      </c>
      <c r="LX126" s="2">
        <f>+Tabla520212224252659111114[[#This Row],[Recuento]]*Tabla520212224252659111114[[#This Row],[Área neta]]</f>
        <v>0</v>
      </c>
      <c r="LY126" s="26"/>
      <c r="MA126"/>
      <c r="MB126"/>
      <c r="MC126"/>
      <c r="MD126"/>
      <c r="ME126"/>
      <c r="MF126"/>
      <c r="MG126" s="2">
        <f>+Tabla520212224252659111114128[[#This Row],[Recuento]]*Tabla520212224252659111114128[[#This Row],[Volúmen bruto]]</f>
        <v>0</v>
      </c>
      <c r="MH126" s="2">
        <f>+Tabla520212224252659111114128[[#This Row],[Recuento]]*Tabla520212224252659111114128[[#This Row],[Área neta]]</f>
        <v>0</v>
      </c>
      <c r="MI126" s="26"/>
      <c r="MK126"/>
      <c r="ML126"/>
      <c r="MM126"/>
      <c r="MN126"/>
      <c r="MO126"/>
      <c r="MP126"/>
      <c r="MQ126" s="2">
        <f>+Tabla520212224252627[[#This Row],[Recuento]]*Tabla520212224252627[[#This Row],[Volúmen bruto]]</f>
        <v>0</v>
      </c>
      <c r="MR126" s="2">
        <f>+Tabla520212224252627[[#This Row],[Recuento]]*Tabla520212224252627[[#This Row],[Área neta]]</f>
        <v>0</v>
      </c>
      <c r="MS126" s="26"/>
      <c r="MU126"/>
      <c r="MV126"/>
      <c r="MW126"/>
      <c r="MX126"/>
      <c r="MY126"/>
      <c r="MZ126"/>
      <c r="NA126" s="2">
        <f>+Tabla520212224252627129[[#This Row],[Recuento]]*Tabla520212224252627129[[#This Row],[Volúmen bruto]]</f>
        <v>0</v>
      </c>
      <c r="NB126" s="2">
        <f>+Tabla520212224252627129[[#This Row],[Recuento]]*Tabla520212224252627129[[#This Row],[Área neta]]</f>
        <v>0</v>
      </c>
      <c r="NC126" s="26"/>
      <c r="NE126"/>
      <c r="NF126"/>
      <c r="NG126"/>
      <c r="NH126"/>
      <c r="NI126"/>
      <c r="NJ126"/>
      <c r="NK126" s="2">
        <f>+Tabla520212224252627129125[[#This Row],[Recuento]]*Tabla520212224252627129125[[#This Row],[Volúmen bruto]]</f>
        <v>0</v>
      </c>
      <c r="NL126" s="2">
        <f>+Tabla520212224252627129125[[#This Row],[Recuento]]*Tabla520212224252627129125[[#This Row],[Área neta]]</f>
        <v>0</v>
      </c>
      <c r="NM126" s="26"/>
      <c r="NO126"/>
      <c r="NP126"/>
      <c r="NQ126"/>
      <c r="NR126"/>
      <c r="NS126"/>
      <c r="NT126"/>
      <c r="NU126" s="2">
        <f>+Tabla520212224252627129125130[[#This Row],[Recuento]]*Tabla520212224252627129125130[[#This Row],[Volúmen bruto]]</f>
        <v>0</v>
      </c>
      <c r="NV126" s="2">
        <f>+Tabla520212224252627129125130[[#This Row],[Recuento]]*Tabla520212224252627129125130[[#This Row],[Área neta]]</f>
        <v>0</v>
      </c>
      <c r="NW126" s="26"/>
      <c r="NY126"/>
      <c r="NZ126"/>
      <c r="OA126"/>
      <c r="OB126"/>
      <c r="OC126"/>
      <c r="OD126"/>
      <c r="OE126" s="2">
        <f>+Tabla520212224252627129125130131[[#This Row],[Recuento]]*Tabla520212224252627129125130131[[#This Row],[Volúmen bruto]]</f>
        <v>0</v>
      </c>
      <c r="OF126" s="2">
        <f>+Tabla520212224252627129125130131[[#This Row],[Recuento]]*Tabla520212224252627129125130131[[#This Row],[Área neta]]</f>
        <v>0</v>
      </c>
      <c r="OG126" s="26"/>
      <c r="OI126"/>
      <c r="OJ126"/>
      <c r="OK126"/>
      <c r="OL126"/>
      <c r="OM126"/>
      <c r="ON126"/>
      <c r="OO126" s="2">
        <f>+Tabla520212224252627129125130131132[[#This Row],[Recuento]]*Tabla520212224252627129125130131132[[#This Row],[Volúmen bruto]]</f>
        <v>0</v>
      </c>
      <c r="OP126" s="2">
        <f>+Tabla520212224252627129125130131132[[#This Row],[Recuento]]*Tabla520212224252627129125130131132[[#This Row],[Área neta]]</f>
        <v>0</v>
      </c>
      <c r="OQ126" s="26"/>
      <c r="OS126"/>
      <c r="OT126"/>
      <c r="OU126"/>
      <c r="OV126"/>
      <c r="OW126"/>
      <c r="OX126"/>
      <c r="OY126" s="2">
        <f>+Tabla52021222425262728[[#This Row],[Recuento]]*Tabla52021222425262728[[#This Row],[Volúmen bruto]]</f>
        <v>0</v>
      </c>
      <c r="OZ126" s="2">
        <f>+Tabla52021222425262728[[#This Row],[Recuento]]*Tabla52021222425262728[[#This Row],[Área neta]]</f>
        <v>0</v>
      </c>
      <c r="PA126" s="26">
        <f t="shared" si="44"/>
        <v>0</v>
      </c>
      <c r="PC126"/>
      <c r="PD126"/>
      <c r="PE126"/>
      <c r="PF126"/>
      <c r="PG126"/>
      <c r="PH126"/>
      <c r="PI126" s="2">
        <f>+Tabla52021222425262728133[[#This Row],[Recuento]]*Tabla52021222425262728133[[#This Row],[Volúmen bruto]]</f>
        <v>0</v>
      </c>
      <c r="PJ126" s="2">
        <f>+Tabla52021222425262728133[[#This Row],[Recuento]]*Tabla52021222425262728133[[#This Row],[Área neta]]</f>
        <v>0</v>
      </c>
      <c r="PK126" s="26">
        <f t="shared" si="47"/>
        <v>0</v>
      </c>
      <c r="PM126"/>
      <c r="PN126"/>
      <c r="PO126"/>
      <c r="PP126"/>
      <c r="PQ126"/>
      <c r="PR126"/>
      <c r="PS126" s="2">
        <f>+Tabla5202122242526272893[[#This Row],[Recuento]]*Tabla5202122242526272893[[#This Row],[Volúmen bruto]]</f>
        <v>0</v>
      </c>
      <c r="PT126" s="2">
        <f>+Tabla5202122242526272893[[#This Row],[Recuento]]*Tabla5202122242526272893[[#This Row],[Área neta]]</f>
        <v>0</v>
      </c>
      <c r="PU126" s="26"/>
      <c r="PW126"/>
      <c r="PX126"/>
      <c r="PY126"/>
      <c r="PZ126"/>
      <c r="QA126"/>
      <c r="QB126"/>
      <c r="QC126" s="2">
        <f>+Tabla520212224252627289349[[#This Row],[Recuento]]*Tabla520212224252627289349[[#This Row],[Volúmen bruto]]</f>
        <v>0</v>
      </c>
      <c r="QD126" s="2">
        <f>+Tabla520212224252627289349[[#This Row],[Recuento]]*Tabla520212224252627289349[[#This Row],[Área neta]]</f>
        <v>0</v>
      </c>
      <c r="QE126" s="26"/>
      <c r="QG126"/>
      <c r="QH126"/>
      <c r="QI126"/>
      <c r="QJ126"/>
      <c r="QK126"/>
      <c r="QL126"/>
      <c r="QM126" s="2">
        <f>+Tabla520212224252627289349134[[#This Row],[Recuento]]*Tabla520212224252627289349134[[#This Row],[Volúmen bruto]]</f>
        <v>0</v>
      </c>
      <c r="QN126" s="2">
        <f>+Tabla520212224252627289349134[[#This Row],[Recuento]]*Tabla520212224252627289349134[[#This Row],[Área neta]]</f>
        <v>0</v>
      </c>
      <c r="QO126" s="26"/>
      <c r="QQ126"/>
      <c r="QR126"/>
      <c r="QS126"/>
      <c r="QT126"/>
      <c r="QU126"/>
      <c r="QV126"/>
      <c r="QW126"/>
      <c r="QX126" s="2">
        <f>+Tabla5202122242526272829[[#This Row],[Recuento]]*Tabla5202122242526272829[[#This Row],[Volúmen bruto]]</f>
        <v>0</v>
      </c>
      <c r="QY126" s="2">
        <f>+Tabla5202122242526272829[[#This Row],[Recuento]]*Tabla5202122242526272829[[#This Row],[Área neta]]</f>
        <v>0</v>
      </c>
      <c r="RA126" s="26"/>
      <c r="RC126"/>
      <c r="RD126"/>
      <c r="RE126"/>
      <c r="RF126"/>
      <c r="RG126"/>
      <c r="RH126"/>
      <c r="RK126" s="26"/>
      <c r="RM126"/>
      <c r="RN126"/>
      <c r="RO126"/>
      <c r="RP126"/>
      <c r="RQ126"/>
      <c r="RR126"/>
      <c r="RU126" s="26">
        <f t="shared" si="45"/>
        <v>0</v>
      </c>
      <c r="RW126"/>
      <c r="RX126"/>
      <c r="RY126"/>
      <c r="RZ126"/>
      <c r="SA126"/>
      <c r="SB126"/>
      <c r="SE126" s="26"/>
      <c r="SG126"/>
      <c r="SH126"/>
      <c r="SI126"/>
      <c r="SJ126"/>
      <c r="SK126"/>
      <c r="SL126"/>
      <c r="SO126" s="26"/>
      <c r="YK126"/>
      <c r="YL126"/>
      <c r="YM126"/>
      <c r="YN126"/>
      <c r="YO126"/>
      <c r="ADJ126"/>
      <c r="ADK126"/>
      <c r="ADL126"/>
      <c r="ADM126"/>
      <c r="ADN126"/>
      <c r="ADO126"/>
      <c r="ADP126" s="36"/>
      <c r="AFI126"/>
      <c r="AFJ126"/>
      <c r="AFK126"/>
      <c r="AFL126"/>
      <c r="AFM126"/>
      <c r="AFN126">
        <f>+Tabla578914151634353637383940414243444546474849505152535560626467[[#This Row],[G. Total]]*Tabla578914151634353637383940414243444546474849505152535560626467[[#This Row],[Recuento]]</f>
        <v>0</v>
      </c>
      <c r="AFO126" s="36"/>
    </row>
    <row r="127" spans="59:847" x14ac:dyDescent="0.25">
      <c r="BG127"/>
      <c r="BH127"/>
      <c r="BI127"/>
      <c r="BJ127"/>
      <c r="BK127"/>
      <c r="BL127">
        <f>+Tabla3102[[#This Row],[Longitud de eje]]*BF127</f>
        <v>0</v>
      </c>
      <c r="BM127">
        <f>+Tabla3102[[#This Row],[Longitud de eje]]*BG127</f>
        <v>0</v>
      </c>
      <c r="BO127"/>
      <c r="BP127"/>
      <c r="BQ127"/>
      <c r="BR127"/>
      <c r="BS127"/>
      <c r="BT127"/>
      <c r="BU127"/>
      <c r="BW127"/>
      <c r="BX127"/>
      <c r="BY127"/>
      <c r="BZ127"/>
      <c r="CA127"/>
      <c r="CB127"/>
      <c r="CD127">
        <v>1</v>
      </c>
      <c r="CE127"/>
      <c r="CF127"/>
      <c r="CG127"/>
      <c r="CH127"/>
      <c r="CI127"/>
      <c r="CJ127"/>
      <c r="CK127"/>
      <c r="CM127"/>
      <c r="CN127"/>
      <c r="CO127"/>
      <c r="CP127"/>
      <c r="CQ127"/>
      <c r="CR127"/>
      <c r="CT127">
        <v>1</v>
      </c>
      <c r="CU127"/>
      <c r="CV127"/>
      <c r="CW127"/>
      <c r="CX127"/>
      <c r="CY127"/>
      <c r="CZ127"/>
      <c r="DA127"/>
      <c r="DB127">
        <v>1</v>
      </c>
      <c r="DC127"/>
      <c r="DD127"/>
      <c r="DE127"/>
      <c r="DF127"/>
      <c r="DG127">
        <f>+Tabla31011704[[#This Row],[Longitud de eje]]*DB127</f>
        <v>0</v>
      </c>
      <c r="DH127"/>
      <c r="DI127">
        <v>1</v>
      </c>
      <c r="DJ127"/>
      <c r="DK127"/>
      <c r="DL127"/>
      <c r="DM127"/>
      <c r="DN127">
        <f>+Tabla3101170411[[#This Row],[Longitud de eje]]*DI127</f>
        <v>0</v>
      </c>
      <c r="DO127"/>
      <c r="DP127">
        <v>1</v>
      </c>
      <c r="DQ127"/>
      <c r="DR127"/>
      <c r="DS127"/>
      <c r="DT127"/>
      <c r="DU127">
        <f>+Tabla3101170411120[[#This Row],[Longitud de eje]]*DP127</f>
        <v>0</v>
      </c>
      <c r="DV127"/>
      <c r="DW127">
        <v>1</v>
      </c>
      <c r="DX127"/>
      <c r="DY127"/>
      <c r="DZ127"/>
      <c r="EA127"/>
      <c r="EB127">
        <f>+Tabla3101170411120122[[#This Row],[Longitud de eje]]*DW127</f>
        <v>0</v>
      </c>
      <c r="EC127"/>
      <c r="EE127"/>
      <c r="EF127"/>
      <c r="EG127"/>
      <c r="EH127"/>
      <c r="EI127"/>
      <c r="EJ127"/>
      <c r="EK127"/>
      <c r="EM127"/>
      <c r="EN127"/>
      <c r="EO127"/>
      <c r="EP127"/>
      <c r="EQ127"/>
      <c r="ER127"/>
      <c r="ES127"/>
      <c r="EU127"/>
      <c r="EV127"/>
      <c r="EW127"/>
      <c r="EX127"/>
      <c r="EY127"/>
      <c r="EZ127"/>
      <c r="FA127"/>
      <c r="FC127"/>
      <c r="FD127"/>
      <c r="FE127"/>
      <c r="FF127"/>
      <c r="FG127"/>
      <c r="FH127"/>
      <c r="FI127"/>
      <c r="FK127"/>
      <c r="FL127"/>
      <c r="FM127"/>
      <c r="FN127"/>
      <c r="FO127"/>
      <c r="FP127"/>
      <c r="FQ127"/>
      <c r="FS127"/>
      <c r="FT127"/>
      <c r="FU127"/>
      <c r="FV127"/>
      <c r="FW127"/>
      <c r="FX127"/>
      <c r="FY127"/>
      <c r="GA127"/>
      <c r="GB127"/>
      <c r="GC127"/>
      <c r="GD127"/>
      <c r="GE127"/>
      <c r="GF127"/>
      <c r="GG127"/>
      <c r="GI127"/>
      <c r="GJ127"/>
      <c r="GK127"/>
      <c r="GL127"/>
      <c r="GM127"/>
      <c r="GN127"/>
      <c r="GO127"/>
      <c r="JI127"/>
      <c r="JJ127"/>
      <c r="JK127"/>
      <c r="JL127"/>
      <c r="JM127"/>
      <c r="JN127"/>
      <c r="JO127" s="2">
        <f>+Tabla52021222425[[#This Row],[Recuento]]*Tabla52021222425[[#This Row],[Volúmen bruto]]</f>
        <v>0</v>
      </c>
      <c r="JP127" s="2">
        <f>+Tabla52021222425[[#This Row],[Recuento]]*Tabla52021222425[[#This Row],[Área neta]]</f>
        <v>0</v>
      </c>
      <c r="JQ127" s="26"/>
      <c r="JS127"/>
      <c r="JT127"/>
      <c r="JU127"/>
      <c r="JV127"/>
      <c r="JW127"/>
      <c r="JX127"/>
      <c r="JY127" s="2">
        <f>+Tabla5202122242526[[#This Row],[Recuento]]*Tabla5202122242526[[#This Row],[Volúmen bruto]]</f>
        <v>0</v>
      </c>
      <c r="JZ127" s="2">
        <f>+Tabla5202122242526[[#This Row],[Recuento]]*Tabla5202122242526[[#This Row],[Área neta]]</f>
        <v>0</v>
      </c>
      <c r="KA127" s="26"/>
      <c r="KC127"/>
      <c r="KD127"/>
      <c r="KE127"/>
      <c r="KF127"/>
      <c r="KG127"/>
      <c r="KH127"/>
      <c r="KI127" s="2">
        <f>+Tabla5202122242526104[[#This Row],[Recuento]]*Tabla5202122242526104[[#This Row],[Volúmen bruto]]</f>
        <v>0</v>
      </c>
      <c r="KJ127" s="2">
        <f>+Tabla5202122242526104[[#This Row],[Recuento]]*Tabla5202122242526104[[#This Row],[Área neta]]</f>
        <v>0</v>
      </c>
      <c r="KK127" s="26"/>
      <c r="KM127"/>
      <c r="KN127"/>
      <c r="KO127"/>
      <c r="KP127"/>
      <c r="KQ127"/>
      <c r="KR127"/>
      <c r="KS127" s="2">
        <f>+Tabla5202122242526104110[[#This Row],[Recuento]]*Tabla5202122242526104110[[#This Row],[Volúmen bruto]]</f>
        <v>0</v>
      </c>
      <c r="KT127" s="2">
        <f>+Tabla5202122242526104110[[#This Row],[Recuento]]*Tabla5202122242526104110[[#This Row],[Área neta]]</f>
        <v>0</v>
      </c>
      <c r="KU127" s="26"/>
      <c r="KW127"/>
      <c r="KX127"/>
      <c r="KY127"/>
      <c r="KZ127"/>
      <c r="LA127"/>
      <c r="LB127"/>
      <c r="LC127" s="2">
        <f>+Tabla520212224252659[[#This Row],[Recuento]]*Tabla520212224252659[[#This Row],[Volúmen bruto]]</f>
        <v>0</v>
      </c>
      <c r="LD127" s="2">
        <f>+Tabla520212224252659[[#This Row],[Recuento]]*Tabla520212224252659[[#This Row],[Área neta]]</f>
        <v>0</v>
      </c>
      <c r="LE127" s="26"/>
      <c r="LG127"/>
      <c r="LH127"/>
      <c r="LI127"/>
      <c r="LJ127"/>
      <c r="LK127"/>
      <c r="LL127"/>
      <c r="LM127" s="2">
        <f>+Tabla520212224252659111[[#This Row],[Recuento]]*Tabla520212224252659111[[#This Row],[Volúmen bruto]]</f>
        <v>0</v>
      </c>
      <c r="LN127" s="2">
        <f>+Tabla520212224252659111[[#This Row],[Recuento]]*Tabla520212224252659111[[#This Row],[Área neta]]</f>
        <v>0</v>
      </c>
      <c r="LO127" s="26"/>
      <c r="LQ127"/>
      <c r="LR127"/>
      <c r="LS127"/>
      <c r="LT127"/>
      <c r="LU127"/>
      <c r="LV127"/>
      <c r="LW127" s="2">
        <f>+Tabla520212224252659111114[[#This Row],[Recuento]]*Tabla520212224252659111114[[#This Row],[Volúmen bruto]]</f>
        <v>0</v>
      </c>
      <c r="LX127" s="2">
        <f>+Tabla520212224252659111114[[#This Row],[Recuento]]*Tabla520212224252659111114[[#This Row],[Área neta]]</f>
        <v>0</v>
      </c>
      <c r="LY127" s="26"/>
      <c r="MA127"/>
      <c r="MB127"/>
      <c r="MC127"/>
      <c r="MD127"/>
      <c r="ME127"/>
      <c r="MF127"/>
      <c r="MG127" s="2">
        <f>+Tabla520212224252659111114128[[#This Row],[Recuento]]*Tabla520212224252659111114128[[#This Row],[Volúmen bruto]]</f>
        <v>0</v>
      </c>
      <c r="MH127" s="2">
        <f>+Tabla520212224252659111114128[[#This Row],[Recuento]]*Tabla520212224252659111114128[[#This Row],[Área neta]]</f>
        <v>0</v>
      </c>
      <c r="MI127" s="26"/>
      <c r="MK127"/>
      <c r="ML127"/>
      <c r="MM127"/>
      <c r="MN127"/>
      <c r="MO127"/>
      <c r="MP127"/>
      <c r="MQ127" s="2">
        <f>+Tabla520212224252627[[#This Row],[Recuento]]*Tabla520212224252627[[#This Row],[Volúmen bruto]]</f>
        <v>0</v>
      </c>
      <c r="MR127" s="2">
        <f>+Tabla520212224252627[[#This Row],[Recuento]]*Tabla520212224252627[[#This Row],[Área neta]]</f>
        <v>0</v>
      </c>
      <c r="MS127" s="26"/>
      <c r="MU127"/>
      <c r="MV127"/>
      <c r="MW127"/>
      <c r="MX127"/>
      <c r="MY127"/>
      <c r="MZ127"/>
      <c r="NA127" s="2">
        <f>+Tabla520212224252627129[[#This Row],[Recuento]]*Tabla520212224252627129[[#This Row],[Volúmen bruto]]</f>
        <v>0</v>
      </c>
      <c r="NB127" s="2">
        <f>+Tabla520212224252627129[[#This Row],[Recuento]]*Tabla520212224252627129[[#This Row],[Área neta]]</f>
        <v>0</v>
      </c>
      <c r="NC127" s="26"/>
      <c r="NE127"/>
      <c r="NF127"/>
      <c r="NG127"/>
      <c r="NH127"/>
      <c r="NI127"/>
      <c r="NJ127"/>
      <c r="NK127" s="2">
        <f>+Tabla520212224252627129125[[#This Row],[Recuento]]*Tabla520212224252627129125[[#This Row],[Volúmen bruto]]</f>
        <v>0</v>
      </c>
      <c r="NL127" s="2">
        <f>+Tabla520212224252627129125[[#This Row],[Recuento]]*Tabla520212224252627129125[[#This Row],[Área neta]]</f>
        <v>0</v>
      </c>
      <c r="NM127" s="26"/>
      <c r="NO127"/>
      <c r="NP127"/>
      <c r="NQ127"/>
      <c r="NR127"/>
      <c r="NS127"/>
      <c r="NT127"/>
      <c r="NU127" s="2">
        <f>+Tabla520212224252627129125130[[#This Row],[Recuento]]*Tabla520212224252627129125130[[#This Row],[Volúmen bruto]]</f>
        <v>0</v>
      </c>
      <c r="NV127" s="2">
        <f>+Tabla520212224252627129125130[[#This Row],[Recuento]]*Tabla520212224252627129125130[[#This Row],[Área neta]]</f>
        <v>0</v>
      </c>
      <c r="NW127" s="26"/>
      <c r="NY127"/>
      <c r="NZ127"/>
      <c r="OA127"/>
      <c r="OB127"/>
      <c r="OC127"/>
      <c r="OD127"/>
      <c r="OE127" s="2">
        <f>+Tabla520212224252627129125130131[[#This Row],[Recuento]]*Tabla520212224252627129125130131[[#This Row],[Volúmen bruto]]</f>
        <v>0</v>
      </c>
      <c r="OF127" s="2">
        <f>+Tabla520212224252627129125130131[[#This Row],[Recuento]]*Tabla520212224252627129125130131[[#This Row],[Área neta]]</f>
        <v>0</v>
      </c>
      <c r="OG127" s="26"/>
      <c r="OI127"/>
      <c r="OJ127"/>
      <c r="OK127"/>
      <c r="OL127"/>
      <c r="OM127"/>
      <c r="ON127"/>
      <c r="OO127" s="2">
        <f>+Tabla520212224252627129125130131132[[#This Row],[Recuento]]*Tabla520212224252627129125130131132[[#This Row],[Volúmen bruto]]</f>
        <v>0</v>
      </c>
      <c r="OP127" s="2">
        <f>+Tabla520212224252627129125130131132[[#This Row],[Recuento]]*Tabla520212224252627129125130131132[[#This Row],[Área neta]]</f>
        <v>0</v>
      </c>
      <c r="OQ127" s="26"/>
      <c r="OS127"/>
      <c r="OT127"/>
      <c r="OU127"/>
      <c r="OV127"/>
      <c r="OW127"/>
      <c r="OX127"/>
      <c r="OY127" s="2">
        <f>+Tabla52021222425262728[[#This Row],[Recuento]]*Tabla52021222425262728[[#This Row],[Volúmen bruto]]</f>
        <v>0</v>
      </c>
      <c r="OZ127" s="2">
        <f>+Tabla52021222425262728[[#This Row],[Recuento]]*Tabla52021222425262728[[#This Row],[Área neta]]</f>
        <v>0</v>
      </c>
      <c r="PA127" s="26">
        <f t="shared" si="44"/>
        <v>0</v>
      </c>
      <c r="PC127"/>
      <c r="PD127"/>
      <c r="PE127"/>
      <c r="PF127"/>
      <c r="PG127"/>
      <c r="PH127"/>
      <c r="PI127" s="2">
        <f>+Tabla52021222425262728133[[#This Row],[Recuento]]*Tabla52021222425262728133[[#This Row],[Volúmen bruto]]</f>
        <v>0</v>
      </c>
      <c r="PJ127" s="2">
        <f>+Tabla52021222425262728133[[#This Row],[Recuento]]*Tabla52021222425262728133[[#This Row],[Área neta]]</f>
        <v>0</v>
      </c>
      <c r="PK127" s="26">
        <f t="shared" si="47"/>
        <v>0</v>
      </c>
      <c r="PM127"/>
      <c r="PN127"/>
      <c r="PO127"/>
      <c r="PP127"/>
      <c r="PQ127"/>
      <c r="PR127"/>
      <c r="PS127" s="2">
        <f>+Tabla5202122242526272893[[#This Row],[Recuento]]*Tabla5202122242526272893[[#This Row],[Volúmen bruto]]</f>
        <v>0</v>
      </c>
      <c r="PT127" s="2">
        <f>+Tabla5202122242526272893[[#This Row],[Recuento]]*Tabla5202122242526272893[[#This Row],[Área neta]]</f>
        <v>0</v>
      </c>
      <c r="PU127" s="26"/>
      <c r="PW127"/>
      <c r="PX127"/>
      <c r="PY127"/>
      <c r="PZ127"/>
      <c r="QA127"/>
      <c r="QB127"/>
      <c r="QC127" s="2">
        <f>+Tabla520212224252627289349[[#This Row],[Recuento]]*Tabla520212224252627289349[[#This Row],[Volúmen bruto]]</f>
        <v>0</v>
      </c>
      <c r="QD127" s="2">
        <f>+Tabla520212224252627289349[[#This Row],[Recuento]]*Tabla520212224252627289349[[#This Row],[Área neta]]</f>
        <v>0</v>
      </c>
      <c r="QE127" s="26"/>
      <c r="QG127"/>
      <c r="QH127"/>
      <c r="QI127"/>
      <c r="QJ127"/>
      <c r="QK127"/>
      <c r="QL127"/>
      <c r="QM127" s="2">
        <f>+Tabla520212224252627289349134[[#This Row],[Recuento]]*Tabla520212224252627289349134[[#This Row],[Volúmen bruto]]</f>
        <v>0</v>
      </c>
      <c r="QN127" s="2">
        <f>+Tabla520212224252627289349134[[#This Row],[Recuento]]*Tabla520212224252627289349134[[#This Row],[Área neta]]</f>
        <v>0</v>
      </c>
      <c r="QO127" s="26"/>
      <c r="QQ127"/>
      <c r="QR127"/>
      <c r="QS127"/>
      <c r="QT127"/>
      <c r="QU127"/>
      <c r="QV127"/>
      <c r="QW127"/>
      <c r="QX127" s="2">
        <f>+Tabla5202122242526272829[[#This Row],[Recuento]]*Tabla5202122242526272829[[#This Row],[Volúmen bruto]]</f>
        <v>0</v>
      </c>
      <c r="QY127" s="2">
        <f>+Tabla5202122242526272829[[#This Row],[Recuento]]*Tabla5202122242526272829[[#This Row],[Área neta]]</f>
        <v>0</v>
      </c>
      <c r="RA127" s="26"/>
      <c r="RC127"/>
      <c r="RD127"/>
      <c r="RE127"/>
      <c r="RF127"/>
      <c r="RG127"/>
      <c r="RH127"/>
      <c r="RK127" s="26"/>
      <c r="RM127"/>
      <c r="RN127"/>
      <c r="RO127"/>
      <c r="RP127"/>
      <c r="RQ127"/>
      <c r="RR127"/>
      <c r="RU127" s="26">
        <f t="shared" si="45"/>
        <v>0</v>
      </c>
      <c r="RW127"/>
      <c r="RX127"/>
      <c r="RY127"/>
      <c r="RZ127"/>
      <c r="SA127"/>
      <c r="SB127"/>
      <c r="SE127" s="26"/>
      <c r="SG127"/>
      <c r="SH127"/>
      <c r="SI127"/>
      <c r="SJ127"/>
      <c r="SK127"/>
      <c r="SL127"/>
      <c r="SO127" s="26"/>
      <c r="YK127"/>
      <c r="YL127"/>
      <c r="YM127"/>
      <c r="YN127"/>
      <c r="YO127"/>
      <c r="ADJ127"/>
      <c r="ADK127"/>
      <c r="ADL127"/>
      <c r="ADM127"/>
      <c r="ADN127"/>
      <c r="ADO127"/>
      <c r="ADP127" s="36"/>
      <c r="AFI127"/>
      <c r="AFJ127"/>
      <c r="AFK127"/>
      <c r="AFL127"/>
      <c r="AFM127"/>
      <c r="AFN127">
        <f>+Tabla578914151634353637383940414243444546474849505152535560626467[[#This Row],[G. Total]]*Tabla578914151634353637383940414243444546474849505152535560626467[[#This Row],[Recuento]]</f>
        <v>0</v>
      </c>
      <c r="AFO127" s="36"/>
    </row>
    <row r="128" spans="59:847" x14ac:dyDescent="0.25">
      <c r="BG128"/>
      <c r="BH128"/>
      <c r="BI128"/>
      <c r="BJ128"/>
      <c r="BK128"/>
      <c r="BL128">
        <f>+Tabla3102[[#This Row],[Longitud de eje]]*BF128</f>
        <v>0</v>
      </c>
      <c r="BM128">
        <f>+Tabla3102[[#This Row],[Longitud de eje]]*BG128</f>
        <v>0</v>
      </c>
      <c r="BO128"/>
      <c r="BP128"/>
      <c r="BQ128"/>
      <c r="BR128"/>
      <c r="BS128"/>
      <c r="BT128"/>
      <c r="BU128"/>
      <c r="BW128"/>
      <c r="BX128"/>
      <c r="BY128"/>
      <c r="BZ128"/>
      <c r="CA128"/>
      <c r="CB128"/>
      <c r="CD128">
        <v>1</v>
      </c>
      <c r="CE128"/>
      <c r="CF128"/>
      <c r="CG128"/>
      <c r="CH128"/>
      <c r="CI128"/>
      <c r="CJ128"/>
      <c r="CK128"/>
      <c r="CM128"/>
      <c r="CN128"/>
      <c r="CO128"/>
      <c r="CP128"/>
      <c r="CQ128"/>
      <c r="CR128"/>
      <c r="CT128">
        <v>1</v>
      </c>
      <c r="CU128"/>
      <c r="CV128"/>
      <c r="CW128"/>
      <c r="CX128"/>
      <c r="CY128"/>
      <c r="CZ128"/>
      <c r="DA128"/>
      <c r="DB128">
        <v>1</v>
      </c>
      <c r="DC128"/>
      <c r="DD128"/>
      <c r="DE128"/>
      <c r="DF128"/>
      <c r="DG128">
        <f>+Tabla31011704[[#This Row],[Longitud de eje]]*DB128</f>
        <v>0</v>
      </c>
      <c r="DH128"/>
      <c r="DI128">
        <v>1</v>
      </c>
      <c r="DJ128"/>
      <c r="DK128"/>
      <c r="DL128"/>
      <c r="DM128"/>
      <c r="DN128">
        <f>+Tabla3101170411[[#This Row],[Longitud de eje]]*DI128</f>
        <v>0</v>
      </c>
      <c r="DO128"/>
      <c r="DP128">
        <v>1</v>
      </c>
      <c r="DQ128"/>
      <c r="DR128"/>
      <c r="DS128"/>
      <c r="DT128"/>
      <c r="DU128">
        <f>+Tabla3101170411120[[#This Row],[Longitud de eje]]*DP128</f>
        <v>0</v>
      </c>
      <c r="DV128"/>
      <c r="DW128">
        <v>1</v>
      </c>
      <c r="DX128"/>
      <c r="DY128"/>
      <c r="DZ128"/>
      <c r="EA128"/>
      <c r="EB128">
        <f>+Tabla3101170411120122[[#This Row],[Longitud de eje]]*DW128</f>
        <v>0</v>
      </c>
      <c r="EC128"/>
      <c r="EE128"/>
      <c r="EF128"/>
      <c r="EG128"/>
      <c r="EH128"/>
      <c r="EI128"/>
      <c r="EJ128"/>
      <c r="EK128"/>
      <c r="EM128"/>
      <c r="EN128"/>
      <c r="EO128"/>
      <c r="EP128"/>
      <c r="EQ128"/>
      <c r="ER128"/>
      <c r="ES128"/>
      <c r="EU128"/>
      <c r="EV128"/>
      <c r="EW128"/>
      <c r="EX128"/>
      <c r="EY128"/>
      <c r="EZ128"/>
      <c r="FA128"/>
      <c r="FC128"/>
      <c r="FD128"/>
      <c r="FE128"/>
      <c r="FF128"/>
      <c r="FG128"/>
      <c r="FH128"/>
      <c r="FI128"/>
      <c r="FK128"/>
      <c r="FL128"/>
      <c r="FM128"/>
      <c r="FN128"/>
      <c r="FO128"/>
      <c r="FP128"/>
      <c r="FQ128"/>
      <c r="FS128"/>
      <c r="FT128"/>
      <c r="FU128"/>
      <c r="FV128"/>
      <c r="FW128"/>
      <c r="FX128"/>
      <c r="FY128"/>
      <c r="GA128"/>
      <c r="GB128"/>
      <c r="GC128"/>
      <c r="GD128"/>
      <c r="GE128"/>
      <c r="GF128"/>
      <c r="GG128"/>
      <c r="GI128"/>
      <c r="GJ128"/>
      <c r="GK128"/>
      <c r="GL128"/>
      <c r="GM128"/>
      <c r="GN128"/>
      <c r="GO128"/>
      <c r="JI128"/>
      <c r="JJ128"/>
      <c r="JK128"/>
      <c r="JL128"/>
      <c r="JM128"/>
      <c r="JN128"/>
      <c r="JO128" s="2">
        <f>+Tabla52021222425[[#This Row],[Recuento]]*Tabla52021222425[[#This Row],[Volúmen bruto]]</f>
        <v>0</v>
      </c>
      <c r="JP128" s="2">
        <f>+Tabla52021222425[[#This Row],[Recuento]]*Tabla52021222425[[#This Row],[Área neta]]</f>
        <v>0</v>
      </c>
      <c r="JQ128" s="26"/>
      <c r="JS128"/>
      <c r="JT128"/>
      <c r="JU128"/>
      <c r="JV128"/>
      <c r="JW128"/>
      <c r="JX128"/>
      <c r="JY128" s="2">
        <f>+Tabla5202122242526[[#This Row],[Recuento]]*Tabla5202122242526[[#This Row],[Volúmen bruto]]</f>
        <v>0</v>
      </c>
      <c r="JZ128" s="2">
        <f>+Tabla5202122242526[[#This Row],[Recuento]]*Tabla5202122242526[[#This Row],[Área neta]]</f>
        <v>0</v>
      </c>
      <c r="KA128" s="26"/>
      <c r="KC128"/>
      <c r="KD128"/>
      <c r="KE128"/>
      <c r="KF128"/>
      <c r="KG128"/>
      <c r="KH128"/>
      <c r="KI128" s="2">
        <f>+Tabla5202122242526104[[#This Row],[Recuento]]*Tabla5202122242526104[[#This Row],[Volúmen bruto]]</f>
        <v>0</v>
      </c>
      <c r="KJ128" s="2">
        <f>+Tabla5202122242526104[[#This Row],[Recuento]]*Tabla5202122242526104[[#This Row],[Área neta]]</f>
        <v>0</v>
      </c>
      <c r="KK128" s="26"/>
      <c r="KM128"/>
      <c r="KN128"/>
      <c r="KO128"/>
      <c r="KP128"/>
      <c r="KQ128"/>
      <c r="KR128"/>
      <c r="KS128" s="2">
        <f>+Tabla5202122242526104110[[#This Row],[Recuento]]*Tabla5202122242526104110[[#This Row],[Volúmen bruto]]</f>
        <v>0</v>
      </c>
      <c r="KT128" s="2">
        <f>+Tabla5202122242526104110[[#This Row],[Recuento]]*Tabla5202122242526104110[[#This Row],[Área neta]]</f>
        <v>0</v>
      </c>
      <c r="KU128" s="26"/>
      <c r="KW128"/>
      <c r="KX128"/>
      <c r="KY128"/>
      <c r="KZ128"/>
      <c r="LA128"/>
      <c r="LB128"/>
      <c r="LC128" s="2">
        <f>+Tabla520212224252659[[#This Row],[Recuento]]*Tabla520212224252659[[#This Row],[Volúmen bruto]]</f>
        <v>0</v>
      </c>
      <c r="LD128" s="2">
        <f>+Tabla520212224252659[[#This Row],[Recuento]]*Tabla520212224252659[[#This Row],[Área neta]]</f>
        <v>0</v>
      </c>
      <c r="LE128" s="26"/>
      <c r="LG128"/>
      <c r="LH128"/>
      <c r="LI128"/>
      <c r="LJ128"/>
      <c r="LK128"/>
      <c r="LL128"/>
      <c r="LM128" s="2">
        <f>+Tabla520212224252659111[[#This Row],[Recuento]]*Tabla520212224252659111[[#This Row],[Volúmen bruto]]</f>
        <v>0</v>
      </c>
      <c r="LN128" s="2">
        <f>+Tabla520212224252659111[[#This Row],[Recuento]]*Tabla520212224252659111[[#This Row],[Área neta]]</f>
        <v>0</v>
      </c>
      <c r="LO128" s="26"/>
      <c r="LQ128"/>
      <c r="LR128"/>
      <c r="LS128"/>
      <c r="LT128"/>
      <c r="LU128"/>
      <c r="LV128"/>
      <c r="LW128" s="2">
        <f>+Tabla520212224252659111114[[#This Row],[Recuento]]*Tabla520212224252659111114[[#This Row],[Volúmen bruto]]</f>
        <v>0</v>
      </c>
      <c r="LX128" s="2">
        <f>+Tabla520212224252659111114[[#This Row],[Recuento]]*Tabla520212224252659111114[[#This Row],[Área neta]]</f>
        <v>0</v>
      </c>
      <c r="LY128" s="26"/>
      <c r="MA128"/>
      <c r="MB128"/>
      <c r="MC128"/>
      <c r="MD128"/>
      <c r="ME128"/>
      <c r="MF128"/>
      <c r="MG128" s="2">
        <f>+Tabla520212224252659111114128[[#This Row],[Recuento]]*Tabla520212224252659111114128[[#This Row],[Volúmen bruto]]</f>
        <v>0</v>
      </c>
      <c r="MH128" s="2">
        <f>+Tabla520212224252659111114128[[#This Row],[Recuento]]*Tabla520212224252659111114128[[#This Row],[Área neta]]</f>
        <v>0</v>
      </c>
      <c r="MI128" s="26"/>
      <c r="MK128"/>
      <c r="ML128"/>
      <c r="MM128"/>
      <c r="MN128"/>
      <c r="MO128"/>
      <c r="MP128"/>
      <c r="MQ128" s="2">
        <f>+Tabla520212224252627[[#This Row],[Recuento]]*Tabla520212224252627[[#This Row],[Volúmen bruto]]</f>
        <v>0</v>
      </c>
      <c r="MR128" s="2">
        <f>+Tabla520212224252627[[#This Row],[Recuento]]*Tabla520212224252627[[#This Row],[Área neta]]</f>
        <v>0</v>
      </c>
      <c r="MS128" s="26"/>
      <c r="MU128"/>
      <c r="MV128"/>
      <c r="MW128"/>
      <c r="MX128"/>
      <c r="MY128"/>
      <c r="MZ128"/>
      <c r="NA128" s="2">
        <f>+Tabla520212224252627129[[#This Row],[Recuento]]*Tabla520212224252627129[[#This Row],[Volúmen bruto]]</f>
        <v>0</v>
      </c>
      <c r="NB128" s="2">
        <f>+Tabla520212224252627129[[#This Row],[Recuento]]*Tabla520212224252627129[[#This Row],[Área neta]]</f>
        <v>0</v>
      </c>
      <c r="NC128" s="26"/>
      <c r="NE128"/>
      <c r="NF128"/>
      <c r="NG128"/>
      <c r="NH128"/>
      <c r="NI128"/>
      <c r="NJ128"/>
      <c r="NK128" s="2">
        <f>+Tabla520212224252627129125[[#This Row],[Recuento]]*Tabla520212224252627129125[[#This Row],[Volúmen bruto]]</f>
        <v>0</v>
      </c>
      <c r="NL128" s="2">
        <f>+Tabla520212224252627129125[[#This Row],[Recuento]]*Tabla520212224252627129125[[#This Row],[Área neta]]</f>
        <v>0</v>
      </c>
      <c r="NM128" s="26"/>
      <c r="NO128"/>
      <c r="NP128"/>
      <c r="NQ128"/>
      <c r="NR128"/>
      <c r="NS128"/>
      <c r="NT128"/>
      <c r="NU128" s="2">
        <f>+Tabla520212224252627129125130[[#This Row],[Recuento]]*Tabla520212224252627129125130[[#This Row],[Volúmen bruto]]</f>
        <v>0</v>
      </c>
      <c r="NV128" s="2">
        <f>+Tabla520212224252627129125130[[#This Row],[Recuento]]*Tabla520212224252627129125130[[#This Row],[Área neta]]</f>
        <v>0</v>
      </c>
      <c r="NW128" s="26"/>
      <c r="NY128"/>
      <c r="NZ128"/>
      <c r="OA128"/>
      <c r="OB128"/>
      <c r="OC128"/>
      <c r="OD128"/>
      <c r="OE128" s="2">
        <f>+Tabla520212224252627129125130131[[#This Row],[Recuento]]*Tabla520212224252627129125130131[[#This Row],[Volúmen bruto]]</f>
        <v>0</v>
      </c>
      <c r="OF128" s="2">
        <f>+Tabla520212224252627129125130131[[#This Row],[Recuento]]*Tabla520212224252627129125130131[[#This Row],[Área neta]]</f>
        <v>0</v>
      </c>
      <c r="OG128" s="26"/>
      <c r="OI128"/>
      <c r="OJ128"/>
      <c r="OK128"/>
      <c r="OL128"/>
      <c r="OM128"/>
      <c r="ON128"/>
      <c r="OO128" s="2">
        <f>+Tabla520212224252627129125130131132[[#This Row],[Recuento]]*Tabla520212224252627129125130131132[[#This Row],[Volúmen bruto]]</f>
        <v>0</v>
      </c>
      <c r="OP128" s="2">
        <f>+Tabla520212224252627129125130131132[[#This Row],[Recuento]]*Tabla520212224252627129125130131132[[#This Row],[Área neta]]</f>
        <v>0</v>
      </c>
      <c r="OQ128" s="26"/>
      <c r="OS128"/>
      <c r="OT128"/>
      <c r="OU128"/>
      <c r="OV128"/>
      <c r="OW128"/>
      <c r="OX128"/>
      <c r="OY128" s="2">
        <f>+Tabla52021222425262728[[#This Row],[Recuento]]*Tabla52021222425262728[[#This Row],[Volúmen bruto]]</f>
        <v>0</v>
      </c>
      <c r="OZ128" s="2">
        <f>+Tabla52021222425262728[[#This Row],[Recuento]]*Tabla52021222425262728[[#This Row],[Área neta]]</f>
        <v>0</v>
      </c>
      <c r="PA128" s="26">
        <f t="shared" si="44"/>
        <v>0</v>
      </c>
      <c r="PC128"/>
      <c r="PD128"/>
      <c r="PE128"/>
      <c r="PF128"/>
      <c r="PG128"/>
      <c r="PH128"/>
      <c r="PI128" s="2">
        <f>+Tabla52021222425262728133[[#This Row],[Recuento]]*Tabla52021222425262728133[[#This Row],[Volúmen bruto]]</f>
        <v>0</v>
      </c>
      <c r="PJ128" s="2">
        <f>+Tabla52021222425262728133[[#This Row],[Recuento]]*Tabla52021222425262728133[[#This Row],[Área neta]]</f>
        <v>0</v>
      </c>
      <c r="PK128" s="26">
        <f t="shared" si="47"/>
        <v>0</v>
      </c>
      <c r="PM128"/>
      <c r="PN128"/>
      <c r="PO128"/>
      <c r="PP128"/>
      <c r="PQ128"/>
      <c r="PR128"/>
      <c r="PS128" s="2">
        <f>+Tabla5202122242526272893[[#This Row],[Recuento]]*Tabla5202122242526272893[[#This Row],[Volúmen bruto]]</f>
        <v>0</v>
      </c>
      <c r="PT128" s="2">
        <f>+Tabla5202122242526272893[[#This Row],[Recuento]]*Tabla5202122242526272893[[#This Row],[Área neta]]</f>
        <v>0</v>
      </c>
      <c r="PU128" s="26"/>
      <c r="PW128"/>
      <c r="PX128"/>
      <c r="PY128"/>
      <c r="PZ128"/>
      <c r="QA128"/>
      <c r="QB128"/>
      <c r="QC128" s="2">
        <f>+Tabla520212224252627289349[[#This Row],[Recuento]]*Tabla520212224252627289349[[#This Row],[Volúmen bruto]]</f>
        <v>0</v>
      </c>
      <c r="QD128" s="2">
        <f>+Tabla520212224252627289349[[#This Row],[Recuento]]*Tabla520212224252627289349[[#This Row],[Área neta]]</f>
        <v>0</v>
      </c>
      <c r="QE128" s="26"/>
      <c r="QG128"/>
      <c r="QH128"/>
      <c r="QI128"/>
      <c r="QJ128"/>
      <c r="QK128"/>
      <c r="QL128"/>
      <c r="QM128" s="2">
        <f>+Tabla520212224252627289349134[[#This Row],[Recuento]]*Tabla520212224252627289349134[[#This Row],[Volúmen bruto]]</f>
        <v>0</v>
      </c>
      <c r="QN128" s="2">
        <f>+Tabla520212224252627289349134[[#This Row],[Recuento]]*Tabla520212224252627289349134[[#This Row],[Área neta]]</f>
        <v>0</v>
      </c>
      <c r="QO128" s="26"/>
      <c r="QQ128"/>
      <c r="QR128"/>
      <c r="QS128"/>
      <c r="QT128"/>
      <c r="QU128"/>
      <c r="QV128"/>
      <c r="QW128"/>
      <c r="QX128" s="2">
        <f>+Tabla5202122242526272829[[#This Row],[Recuento]]*Tabla5202122242526272829[[#This Row],[Volúmen bruto]]</f>
        <v>0</v>
      </c>
      <c r="QY128" s="2">
        <f>+Tabla5202122242526272829[[#This Row],[Recuento]]*Tabla5202122242526272829[[#This Row],[Área neta]]</f>
        <v>0</v>
      </c>
      <c r="RA128" s="26"/>
      <c r="RC128"/>
      <c r="RD128"/>
      <c r="RE128"/>
      <c r="RF128"/>
      <c r="RG128"/>
      <c r="RH128"/>
      <c r="RK128" s="26"/>
      <c r="RM128"/>
      <c r="RN128"/>
      <c r="RO128"/>
      <c r="RP128"/>
      <c r="RQ128"/>
      <c r="RR128"/>
      <c r="RU128" s="26">
        <f t="shared" si="45"/>
        <v>0</v>
      </c>
      <c r="RW128"/>
      <c r="RX128"/>
      <c r="RY128"/>
      <c r="RZ128"/>
      <c r="SA128"/>
      <c r="SB128"/>
      <c r="SE128" s="26"/>
      <c r="SG128"/>
      <c r="SH128"/>
      <c r="SI128"/>
      <c r="SJ128"/>
      <c r="SK128"/>
      <c r="SL128"/>
      <c r="SO128" s="26"/>
      <c r="YK128"/>
      <c r="YL128"/>
      <c r="YM128"/>
      <c r="YN128"/>
      <c r="YO128"/>
      <c r="ADJ128"/>
      <c r="ADK128"/>
      <c r="ADL128"/>
      <c r="ADM128"/>
      <c r="ADN128"/>
      <c r="ADO128"/>
      <c r="ADP128" s="36"/>
      <c r="AFI128"/>
      <c r="AFJ128"/>
      <c r="AFK128"/>
      <c r="AFL128"/>
      <c r="AFM128"/>
      <c r="AFN128">
        <f>+Tabla578914151634353637383940414243444546474849505152535560626467[[#This Row],[G. Total]]*Tabla578914151634353637383940414243444546474849505152535560626467[[#This Row],[Recuento]]</f>
        <v>0</v>
      </c>
      <c r="AFO128" s="36"/>
    </row>
    <row r="129" spans="59:847" x14ac:dyDescent="0.25">
      <c r="BG129"/>
      <c r="BH129"/>
      <c r="BI129"/>
      <c r="BJ129"/>
      <c r="BK129"/>
      <c r="BL129">
        <f>+Tabla3102[[#This Row],[Longitud de eje]]*BF129</f>
        <v>0</v>
      </c>
      <c r="BM129">
        <f>+Tabla3102[[#This Row],[Longitud de eje]]*BG129</f>
        <v>0</v>
      </c>
      <c r="BO129"/>
      <c r="BP129"/>
      <c r="BQ129"/>
      <c r="BR129"/>
      <c r="BS129"/>
      <c r="BT129"/>
      <c r="BU129"/>
      <c r="BW129"/>
      <c r="BX129"/>
      <c r="BY129"/>
      <c r="BZ129"/>
      <c r="CA129"/>
      <c r="CB129"/>
      <c r="CD129">
        <v>1</v>
      </c>
      <c r="CE129"/>
      <c r="CF129"/>
      <c r="CG129"/>
      <c r="CH129"/>
      <c r="CI129"/>
      <c r="CJ129"/>
      <c r="CK129"/>
      <c r="CM129"/>
      <c r="CN129"/>
      <c r="CO129"/>
      <c r="CP129"/>
      <c r="CQ129"/>
      <c r="CR129"/>
      <c r="CT129">
        <v>1</v>
      </c>
      <c r="CU129"/>
      <c r="CV129"/>
      <c r="CW129"/>
      <c r="CX129"/>
      <c r="CY129"/>
      <c r="CZ129"/>
      <c r="DA129"/>
      <c r="DB129">
        <v>1</v>
      </c>
      <c r="DC129"/>
      <c r="DD129"/>
      <c r="DE129"/>
      <c r="DF129"/>
      <c r="DG129">
        <f>+Tabla31011704[[#This Row],[Longitud de eje]]*DB129</f>
        <v>0</v>
      </c>
      <c r="DH129"/>
      <c r="DI129">
        <v>1</v>
      </c>
      <c r="DJ129"/>
      <c r="DK129"/>
      <c r="DL129"/>
      <c r="DM129"/>
      <c r="DN129">
        <f>+Tabla3101170411[[#This Row],[Longitud de eje]]*DI129</f>
        <v>0</v>
      </c>
      <c r="DO129"/>
      <c r="DP129">
        <v>1</v>
      </c>
      <c r="DQ129"/>
      <c r="DR129"/>
      <c r="DS129"/>
      <c r="DT129"/>
      <c r="DU129">
        <f>+Tabla3101170411120[[#This Row],[Longitud de eje]]*DP129</f>
        <v>0</v>
      </c>
      <c r="DV129"/>
      <c r="DW129">
        <v>1</v>
      </c>
      <c r="DX129"/>
      <c r="DY129"/>
      <c r="DZ129"/>
      <c r="EA129"/>
      <c r="EB129">
        <f>+Tabla3101170411120122[[#This Row],[Longitud de eje]]*DW129</f>
        <v>0</v>
      </c>
      <c r="EC129"/>
      <c r="EE129"/>
      <c r="EF129"/>
      <c r="EG129"/>
      <c r="EH129"/>
      <c r="EI129"/>
      <c r="EJ129"/>
      <c r="EK129"/>
      <c r="EM129"/>
      <c r="EN129"/>
      <c r="EO129"/>
      <c r="EP129"/>
      <c r="EQ129"/>
      <c r="ER129"/>
      <c r="ES129"/>
      <c r="EU129"/>
      <c r="EV129"/>
      <c r="EW129"/>
      <c r="EX129"/>
      <c r="EY129"/>
      <c r="EZ129"/>
      <c r="FA129"/>
      <c r="FC129"/>
      <c r="FD129"/>
      <c r="FE129"/>
      <c r="FF129"/>
      <c r="FG129"/>
      <c r="FH129"/>
      <c r="FI129"/>
      <c r="FK129"/>
      <c r="FL129"/>
      <c r="FM129"/>
      <c r="FN129"/>
      <c r="FO129"/>
      <c r="FP129"/>
      <c r="FQ129"/>
      <c r="FS129"/>
      <c r="FT129"/>
      <c r="FU129"/>
      <c r="FV129"/>
      <c r="FW129"/>
      <c r="FX129"/>
      <c r="FY129"/>
      <c r="GA129"/>
      <c r="GB129"/>
      <c r="GC129"/>
      <c r="GD129"/>
      <c r="GE129"/>
      <c r="GF129"/>
      <c r="GG129"/>
      <c r="GI129"/>
      <c r="GJ129"/>
      <c r="GK129"/>
      <c r="GL129"/>
      <c r="GM129"/>
      <c r="GN129"/>
      <c r="GO129"/>
      <c r="JI129"/>
      <c r="JJ129"/>
      <c r="JK129"/>
      <c r="JL129"/>
      <c r="JM129"/>
      <c r="JN129"/>
      <c r="JO129" s="2">
        <f>+Tabla52021222425[[#This Row],[Recuento]]*Tabla52021222425[[#This Row],[Volúmen bruto]]</f>
        <v>0</v>
      </c>
      <c r="JP129" s="2">
        <f>+Tabla52021222425[[#This Row],[Recuento]]*Tabla52021222425[[#This Row],[Área neta]]</f>
        <v>0</v>
      </c>
      <c r="JQ129" s="26"/>
      <c r="JS129"/>
      <c r="JT129"/>
      <c r="JU129"/>
      <c r="JV129"/>
      <c r="JW129"/>
      <c r="JX129"/>
      <c r="JY129" s="2">
        <f>+Tabla5202122242526[[#This Row],[Recuento]]*Tabla5202122242526[[#This Row],[Volúmen bruto]]</f>
        <v>0</v>
      </c>
      <c r="JZ129" s="2">
        <f>+Tabla5202122242526[[#This Row],[Recuento]]*Tabla5202122242526[[#This Row],[Área neta]]</f>
        <v>0</v>
      </c>
      <c r="KA129" s="26"/>
      <c r="KC129"/>
      <c r="KD129"/>
      <c r="KE129"/>
      <c r="KF129"/>
      <c r="KG129"/>
      <c r="KH129"/>
      <c r="KI129" s="2">
        <f>+Tabla5202122242526104[[#This Row],[Recuento]]*Tabla5202122242526104[[#This Row],[Volúmen bruto]]</f>
        <v>0</v>
      </c>
      <c r="KJ129" s="2">
        <f>+Tabla5202122242526104[[#This Row],[Recuento]]*Tabla5202122242526104[[#This Row],[Área neta]]</f>
        <v>0</v>
      </c>
      <c r="KK129" s="26"/>
      <c r="KM129"/>
      <c r="KN129"/>
      <c r="KO129"/>
      <c r="KP129"/>
      <c r="KQ129"/>
      <c r="KR129"/>
      <c r="KS129" s="2">
        <f>+Tabla5202122242526104110[[#This Row],[Recuento]]*Tabla5202122242526104110[[#This Row],[Volúmen bruto]]</f>
        <v>0</v>
      </c>
      <c r="KT129" s="2">
        <f>+Tabla5202122242526104110[[#This Row],[Recuento]]*Tabla5202122242526104110[[#This Row],[Área neta]]</f>
        <v>0</v>
      </c>
      <c r="KU129" s="26"/>
      <c r="KW129"/>
      <c r="KX129"/>
      <c r="KY129"/>
      <c r="KZ129"/>
      <c r="LA129"/>
      <c r="LB129"/>
      <c r="LC129" s="2">
        <f>+Tabla520212224252659[[#This Row],[Recuento]]*Tabla520212224252659[[#This Row],[Volúmen bruto]]</f>
        <v>0</v>
      </c>
      <c r="LD129" s="2">
        <f>+Tabla520212224252659[[#This Row],[Recuento]]*Tabla520212224252659[[#This Row],[Área neta]]</f>
        <v>0</v>
      </c>
      <c r="LE129" s="26"/>
      <c r="LG129"/>
      <c r="LH129"/>
      <c r="LI129"/>
      <c r="LJ129"/>
      <c r="LK129"/>
      <c r="LL129"/>
      <c r="LM129" s="2">
        <f>+Tabla520212224252659111[[#This Row],[Recuento]]*Tabla520212224252659111[[#This Row],[Volúmen bruto]]</f>
        <v>0</v>
      </c>
      <c r="LN129" s="2">
        <f>+Tabla520212224252659111[[#This Row],[Recuento]]*Tabla520212224252659111[[#This Row],[Área neta]]</f>
        <v>0</v>
      </c>
      <c r="LO129" s="26"/>
      <c r="LQ129"/>
      <c r="LR129"/>
      <c r="LS129"/>
      <c r="LT129"/>
      <c r="LU129"/>
      <c r="LV129"/>
      <c r="LW129" s="2">
        <f>+Tabla520212224252659111114[[#This Row],[Recuento]]*Tabla520212224252659111114[[#This Row],[Volúmen bruto]]</f>
        <v>0</v>
      </c>
      <c r="LX129" s="2">
        <f>+Tabla520212224252659111114[[#This Row],[Recuento]]*Tabla520212224252659111114[[#This Row],[Área neta]]</f>
        <v>0</v>
      </c>
      <c r="LY129" s="26"/>
      <c r="MA129"/>
      <c r="MB129"/>
      <c r="MC129"/>
      <c r="MD129"/>
      <c r="ME129"/>
      <c r="MF129"/>
      <c r="MG129" s="2">
        <f>+Tabla520212224252659111114128[[#This Row],[Recuento]]*Tabla520212224252659111114128[[#This Row],[Volúmen bruto]]</f>
        <v>0</v>
      </c>
      <c r="MH129" s="2">
        <f>+Tabla520212224252659111114128[[#This Row],[Recuento]]*Tabla520212224252659111114128[[#This Row],[Área neta]]</f>
        <v>0</v>
      </c>
      <c r="MI129" s="26"/>
      <c r="MK129"/>
      <c r="ML129"/>
      <c r="MM129"/>
      <c r="MN129"/>
      <c r="MO129"/>
      <c r="MP129"/>
      <c r="MQ129" s="2">
        <f>+Tabla520212224252627[[#This Row],[Recuento]]*Tabla520212224252627[[#This Row],[Volúmen bruto]]</f>
        <v>0</v>
      </c>
      <c r="MR129" s="2">
        <f>+Tabla520212224252627[[#This Row],[Recuento]]*Tabla520212224252627[[#This Row],[Área neta]]</f>
        <v>0</v>
      </c>
      <c r="MS129" s="26"/>
      <c r="MU129"/>
      <c r="MV129"/>
      <c r="MW129"/>
      <c r="MX129"/>
      <c r="MY129"/>
      <c r="MZ129"/>
      <c r="NA129" s="2">
        <f>+Tabla520212224252627129[[#This Row],[Recuento]]*Tabla520212224252627129[[#This Row],[Volúmen bruto]]</f>
        <v>0</v>
      </c>
      <c r="NB129" s="2">
        <f>+Tabla520212224252627129[[#This Row],[Recuento]]*Tabla520212224252627129[[#This Row],[Área neta]]</f>
        <v>0</v>
      </c>
      <c r="NC129" s="26"/>
      <c r="NE129"/>
      <c r="NF129"/>
      <c r="NG129"/>
      <c r="NH129"/>
      <c r="NI129"/>
      <c r="NJ129"/>
      <c r="NK129" s="2">
        <f>+Tabla520212224252627129125[[#This Row],[Recuento]]*Tabla520212224252627129125[[#This Row],[Volúmen bruto]]</f>
        <v>0</v>
      </c>
      <c r="NL129" s="2">
        <f>+Tabla520212224252627129125[[#This Row],[Recuento]]*Tabla520212224252627129125[[#This Row],[Área neta]]</f>
        <v>0</v>
      </c>
      <c r="NM129" s="26"/>
      <c r="NO129"/>
      <c r="NP129"/>
      <c r="NQ129"/>
      <c r="NR129"/>
      <c r="NS129"/>
      <c r="NT129"/>
      <c r="NU129" s="2">
        <f>+Tabla520212224252627129125130[[#This Row],[Recuento]]*Tabla520212224252627129125130[[#This Row],[Volúmen bruto]]</f>
        <v>0</v>
      </c>
      <c r="NV129" s="2">
        <f>+Tabla520212224252627129125130[[#This Row],[Recuento]]*Tabla520212224252627129125130[[#This Row],[Área neta]]</f>
        <v>0</v>
      </c>
      <c r="NW129" s="26"/>
      <c r="NY129"/>
      <c r="NZ129"/>
      <c r="OA129"/>
      <c r="OB129"/>
      <c r="OC129"/>
      <c r="OD129"/>
      <c r="OE129" s="2">
        <f>+Tabla520212224252627129125130131[[#This Row],[Recuento]]*Tabla520212224252627129125130131[[#This Row],[Volúmen bruto]]</f>
        <v>0</v>
      </c>
      <c r="OF129" s="2">
        <f>+Tabla520212224252627129125130131[[#This Row],[Recuento]]*Tabla520212224252627129125130131[[#This Row],[Área neta]]</f>
        <v>0</v>
      </c>
      <c r="OG129" s="26"/>
      <c r="OI129"/>
      <c r="OJ129"/>
      <c r="OK129"/>
      <c r="OL129"/>
      <c r="OM129"/>
      <c r="ON129"/>
      <c r="OO129" s="2">
        <f>+Tabla520212224252627129125130131132[[#This Row],[Recuento]]*Tabla520212224252627129125130131132[[#This Row],[Volúmen bruto]]</f>
        <v>0</v>
      </c>
      <c r="OP129" s="2">
        <f>+Tabla520212224252627129125130131132[[#This Row],[Recuento]]*Tabla520212224252627129125130131132[[#This Row],[Área neta]]</f>
        <v>0</v>
      </c>
      <c r="OQ129" s="26"/>
      <c r="OS129"/>
      <c r="OT129"/>
      <c r="OU129"/>
      <c r="OV129"/>
      <c r="OW129"/>
      <c r="OX129"/>
      <c r="OY129" s="2">
        <f>+Tabla52021222425262728[[#This Row],[Recuento]]*Tabla52021222425262728[[#This Row],[Volúmen bruto]]</f>
        <v>0</v>
      </c>
      <c r="OZ129" s="2">
        <f>+Tabla52021222425262728[[#This Row],[Recuento]]*Tabla52021222425262728[[#This Row],[Área neta]]</f>
        <v>0</v>
      </c>
      <c r="PA129" s="26">
        <f t="shared" si="44"/>
        <v>0</v>
      </c>
      <c r="PC129"/>
      <c r="PD129"/>
      <c r="PE129"/>
      <c r="PF129"/>
      <c r="PG129"/>
      <c r="PH129"/>
      <c r="PI129" s="2">
        <f>+Tabla52021222425262728133[[#This Row],[Recuento]]*Tabla52021222425262728133[[#This Row],[Volúmen bruto]]</f>
        <v>0</v>
      </c>
      <c r="PJ129" s="2">
        <f>+Tabla52021222425262728133[[#This Row],[Recuento]]*Tabla52021222425262728133[[#This Row],[Área neta]]</f>
        <v>0</v>
      </c>
      <c r="PK129" s="26">
        <f t="shared" si="47"/>
        <v>0</v>
      </c>
      <c r="PM129"/>
      <c r="PN129"/>
      <c r="PO129"/>
      <c r="PP129"/>
      <c r="PQ129"/>
      <c r="PR129"/>
      <c r="PS129" s="2">
        <f>+Tabla5202122242526272893[[#This Row],[Recuento]]*Tabla5202122242526272893[[#This Row],[Volúmen bruto]]</f>
        <v>0</v>
      </c>
      <c r="PT129" s="2">
        <f>+Tabla5202122242526272893[[#This Row],[Recuento]]*Tabla5202122242526272893[[#This Row],[Área neta]]</f>
        <v>0</v>
      </c>
      <c r="PU129" s="26"/>
      <c r="PW129"/>
      <c r="PX129"/>
      <c r="PY129"/>
      <c r="PZ129"/>
      <c r="QA129"/>
      <c r="QB129"/>
      <c r="QC129" s="2">
        <f>+Tabla520212224252627289349[[#This Row],[Recuento]]*Tabla520212224252627289349[[#This Row],[Volúmen bruto]]</f>
        <v>0</v>
      </c>
      <c r="QD129" s="2">
        <f>+Tabla520212224252627289349[[#This Row],[Recuento]]*Tabla520212224252627289349[[#This Row],[Área neta]]</f>
        <v>0</v>
      </c>
      <c r="QE129" s="26"/>
      <c r="QG129"/>
      <c r="QH129"/>
      <c r="QI129"/>
      <c r="QJ129"/>
      <c r="QK129"/>
      <c r="QL129"/>
      <c r="QM129" s="2">
        <f>+Tabla520212224252627289349134[[#This Row],[Recuento]]*Tabla520212224252627289349134[[#This Row],[Volúmen bruto]]</f>
        <v>0</v>
      </c>
      <c r="QN129" s="2">
        <f>+Tabla520212224252627289349134[[#This Row],[Recuento]]*Tabla520212224252627289349134[[#This Row],[Área neta]]</f>
        <v>0</v>
      </c>
      <c r="QO129" s="26"/>
      <c r="QQ129"/>
      <c r="QR129"/>
      <c r="QS129"/>
      <c r="QT129"/>
      <c r="QU129"/>
      <c r="QV129"/>
      <c r="QW129"/>
      <c r="QX129" s="2">
        <f>+Tabla5202122242526272829[[#This Row],[Recuento]]*Tabla5202122242526272829[[#This Row],[Volúmen bruto]]</f>
        <v>0</v>
      </c>
      <c r="QY129" s="2">
        <f>+Tabla5202122242526272829[[#This Row],[Recuento]]*Tabla5202122242526272829[[#This Row],[Área neta]]</f>
        <v>0</v>
      </c>
      <c r="RA129" s="26"/>
      <c r="RC129"/>
      <c r="RD129"/>
      <c r="RE129"/>
      <c r="RF129"/>
      <c r="RG129"/>
      <c r="RH129"/>
      <c r="RK129" s="26"/>
      <c r="RM129"/>
      <c r="RN129"/>
      <c r="RO129"/>
      <c r="RP129"/>
      <c r="RQ129"/>
      <c r="RR129"/>
      <c r="RU129" s="26">
        <f t="shared" si="45"/>
        <v>0</v>
      </c>
      <c r="RW129"/>
      <c r="RX129"/>
      <c r="RY129"/>
      <c r="RZ129"/>
      <c r="SA129"/>
      <c r="SB129"/>
      <c r="SE129" s="26"/>
      <c r="SG129"/>
      <c r="SH129"/>
      <c r="SI129"/>
      <c r="SJ129"/>
      <c r="SK129"/>
      <c r="SL129"/>
      <c r="SO129" s="26"/>
      <c r="YK129"/>
      <c r="YL129"/>
      <c r="YM129"/>
      <c r="YN129"/>
      <c r="YO129"/>
      <c r="ADJ129"/>
      <c r="ADK129"/>
      <c r="ADL129"/>
      <c r="ADM129"/>
      <c r="ADN129"/>
      <c r="ADO129"/>
      <c r="ADP129" s="36"/>
      <c r="AFI129"/>
      <c r="AFJ129"/>
      <c r="AFK129"/>
      <c r="AFL129"/>
      <c r="AFM129"/>
      <c r="AFN129">
        <f>+Tabla578914151634353637383940414243444546474849505152535560626467[[#This Row],[G. Total]]*Tabla578914151634353637383940414243444546474849505152535560626467[[#This Row],[Recuento]]</f>
        <v>0</v>
      </c>
      <c r="AFO129" s="36"/>
    </row>
    <row r="130" spans="59:847" x14ac:dyDescent="0.25">
      <c r="BG130"/>
      <c r="BH130"/>
      <c r="BI130"/>
      <c r="BJ130"/>
      <c r="BK130"/>
      <c r="BL130">
        <f>+Tabla3102[[#This Row],[Longitud de eje]]*BF130</f>
        <v>0</v>
      </c>
      <c r="BM130">
        <f>+Tabla3102[[#This Row],[Longitud de eje]]*BG130</f>
        <v>0</v>
      </c>
      <c r="BO130"/>
      <c r="BP130"/>
      <c r="BQ130"/>
      <c r="BR130"/>
      <c r="BS130"/>
      <c r="BT130"/>
      <c r="BU130"/>
      <c r="BW130"/>
      <c r="BX130"/>
      <c r="BY130"/>
      <c r="BZ130"/>
      <c r="CA130"/>
      <c r="CB130"/>
      <c r="CD130">
        <v>1</v>
      </c>
      <c r="CE130"/>
      <c r="CF130"/>
      <c r="CG130"/>
      <c r="CH130"/>
      <c r="CI130"/>
      <c r="CJ130"/>
      <c r="CK130"/>
      <c r="CM130"/>
      <c r="CN130"/>
      <c r="CO130"/>
      <c r="CP130"/>
      <c r="CQ130"/>
      <c r="CR130"/>
      <c r="CT130">
        <v>1</v>
      </c>
      <c r="CU130"/>
      <c r="CV130"/>
      <c r="CW130"/>
      <c r="CX130"/>
      <c r="CY130"/>
      <c r="CZ130"/>
      <c r="DA130"/>
      <c r="DB130">
        <v>1</v>
      </c>
      <c r="DC130"/>
      <c r="DD130"/>
      <c r="DE130"/>
      <c r="DF130"/>
      <c r="DG130">
        <f>+Tabla31011704[[#This Row],[Longitud de eje]]*DB130</f>
        <v>0</v>
      </c>
      <c r="DH130"/>
      <c r="DI130">
        <v>1</v>
      </c>
      <c r="DJ130"/>
      <c r="DK130"/>
      <c r="DL130"/>
      <c r="DM130"/>
      <c r="DN130">
        <f>+Tabla3101170411[[#This Row],[Longitud de eje]]*DI130</f>
        <v>0</v>
      </c>
      <c r="DO130"/>
      <c r="DP130">
        <v>1</v>
      </c>
      <c r="DQ130"/>
      <c r="DR130"/>
      <c r="DS130"/>
      <c r="DT130"/>
      <c r="DU130">
        <f>+Tabla3101170411120[[#This Row],[Longitud de eje]]*DP130</f>
        <v>0</v>
      </c>
      <c r="DV130"/>
      <c r="DW130">
        <v>1</v>
      </c>
      <c r="DX130"/>
      <c r="DY130"/>
      <c r="DZ130"/>
      <c r="EA130"/>
      <c r="EB130">
        <f>+Tabla3101170411120122[[#This Row],[Longitud de eje]]*DW130</f>
        <v>0</v>
      </c>
      <c r="EC130"/>
      <c r="EE130"/>
      <c r="EF130"/>
      <c r="EG130"/>
      <c r="EH130"/>
      <c r="EI130"/>
      <c r="EJ130"/>
      <c r="EK130"/>
      <c r="EM130"/>
      <c r="EN130"/>
      <c r="EO130"/>
      <c r="EP130"/>
      <c r="EQ130"/>
      <c r="ER130"/>
      <c r="ES130"/>
      <c r="EU130"/>
      <c r="EV130"/>
      <c r="EW130"/>
      <c r="EX130"/>
      <c r="EY130"/>
      <c r="EZ130"/>
      <c r="FA130"/>
      <c r="FC130"/>
      <c r="FD130"/>
      <c r="FE130"/>
      <c r="FF130"/>
      <c r="FG130"/>
      <c r="FH130"/>
      <c r="FI130"/>
      <c r="FK130"/>
      <c r="FL130"/>
      <c r="FM130"/>
      <c r="FN130"/>
      <c r="FO130"/>
      <c r="FP130"/>
      <c r="FQ130"/>
      <c r="FS130"/>
      <c r="FT130"/>
      <c r="FU130"/>
      <c r="FV130"/>
      <c r="FW130"/>
      <c r="FX130"/>
      <c r="FY130"/>
      <c r="GA130"/>
      <c r="GB130"/>
      <c r="GC130"/>
      <c r="GD130"/>
      <c r="GE130"/>
      <c r="GF130"/>
      <c r="GG130"/>
      <c r="GI130"/>
      <c r="GJ130"/>
      <c r="GK130"/>
      <c r="GL130"/>
      <c r="GM130"/>
      <c r="GN130"/>
      <c r="GO130"/>
      <c r="JI130"/>
      <c r="JJ130"/>
      <c r="JK130"/>
      <c r="JL130"/>
      <c r="JM130"/>
      <c r="JN130"/>
      <c r="JO130" s="2">
        <f>+Tabla52021222425[[#This Row],[Recuento]]*Tabla52021222425[[#This Row],[Volúmen bruto]]</f>
        <v>0</v>
      </c>
      <c r="JP130" s="2">
        <f>+Tabla52021222425[[#This Row],[Recuento]]*Tabla52021222425[[#This Row],[Área neta]]</f>
        <v>0</v>
      </c>
      <c r="JQ130" s="26"/>
      <c r="JS130"/>
      <c r="JT130"/>
      <c r="JU130"/>
      <c r="JV130"/>
      <c r="JW130"/>
      <c r="JX130"/>
      <c r="JY130" s="2">
        <f>+Tabla5202122242526[[#This Row],[Recuento]]*Tabla5202122242526[[#This Row],[Volúmen bruto]]</f>
        <v>0</v>
      </c>
      <c r="JZ130" s="2">
        <f>+Tabla5202122242526[[#This Row],[Recuento]]*Tabla5202122242526[[#This Row],[Área neta]]</f>
        <v>0</v>
      </c>
      <c r="KA130" s="26"/>
      <c r="KC130"/>
      <c r="KD130"/>
      <c r="KE130"/>
      <c r="KF130"/>
      <c r="KG130"/>
      <c r="KH130"/>
      <c r="KI130" s="2">
        <f>+Tabla5202122242526104[[#This Row],[Recuento]]*Tabla5202122242526104[[#This Row],[Volúmen bruto]]</f>
        <v>0</v>
      </c>
      <c r="KJ130" s="2">
        <f>+Tabla5202122242526104[[#This Row],[Recuento]]*Tabla5202122242526104[[#This Row],[Área neta]]</f>
        <v>0</v>
      </c>
      <c r="KK130" s="26"/>
      <c r="KM130"/>
      <c r="KN130"/>
      <c r="KO130"/>
      <c r="KP130"/>
      <c r="KQ130"/>
      <c r="KR130"/>
      <c r="KS130" s="2">
        <f>+Tabla5202122242526104110[[#This Row],[Recuento]]*Tabla5202122242526104110[[#This Row],[Volúmen bruto]]</f>
        <v>0</v>
      </c>
      <c r="KT130" s="2">
        <f>+Tabla5202122242526104110[[#This Row],[Recuento]]*Tabla5202122242526104110[[#This Row],[Área neta]]</f>
        <v>0</v>
      </c>
      <c r="KU130" s="26"/>
      <c r="KW130"/>
      <c r="KX130"/>
      <c r="KY130"/>
      <c r="KZ130"/>
      <c r="LA130"/>
      <c r="LB130"/>
      <c r="LC130" s="2">
        <f>+Tabla520212224252659[[#This Row],[Recuento]]*Tabla520212224252659[[#This Row],[Volúmen bruto]]</f>
        <v>0</v>
      </c>
      <c r="LD130" s="2">
        <f>+Tabla520212224252659[[#This Row],[Recuento]]*Tabla520212224252659[[#This Row],[Área neta]]</f>
        <v>0</v>
      </c>
      <c r="LE130" s="26"/>
      <c r="LG130"/>
      <c r="LH130"/>
      <c r="LI130"/>
      <c r="LJ130"/>
      <c r="LK130"/>
      <c r="LL130"/>
      <c r="LM130" s="2">
        <f>+Tabla520212224252659111[[#This Row],[Recuento]]*Tabla520212224252659111[[#This Row],[Volúmen bruto]]</f>
        <v>0</v>
      </c>
      <c r="LN130" s="2">
        <f>+Tabla520212224252659111[[#This Row],[Recuento]]*Tabla520212224252659111[[#This Row],[Área neta]]</f>
        <v>0</v>
      </c>
      <c r="LO130" s="26"/>
      <c r="LQ130"/>
      <c r="LR130"/>
      <c r="LS130"/>
      <c r="LT130"/>
      <c r="LU130"/>
      <c r="LV130"/>
      <c r="LW130" s="2">
        <f>+Tabla520212224252659111114[[#This Row],[Recuento]]*Tabla520212224252659111114[[#This Row],[Volúmen bruto]]</f>
        <v>0</v>
      </c>
      <c r="LX130" s="2">
        <f>+Tabla520212224252659111114[[#This Row],[Recuento]]*Tabla520212224252659111114[[#This Row],[Área neta]]</f>
        <v>0</v>
      </c>
      <c r="LY130" s="26"/>
      <c r="MA130"/>
      <c r="MB130"/>
      <c r="MC130"/>
      <c r="MD130"/>
      <c r="ME130"/>
      <c r="MF130"/>
      <c r="MG130" s="2">
        <f>+Tabla520212224252659111114128[[#This Row],[Recuento]]*Tabla520212224252659111114128[[#This Row],[Volúmen bruto]]</f>
        <v>0</v>
      </c>
      <c r="MH130" s="2">
        <f>+Tabla520212224252659111114128[[#This Row],[Recuento]]*Tabla520212224252659111114128[[#This Row],[Área neta]]</f>
        <v>0</v>
      </c>
      <c r="MI130" s="26"/>
      <c r="MK130"/>
      <c r="ML130"/>
      <c r="MM130"/>
      <c r="MN130"/>
      <c r="MO130"/>
      <c r="MP130"/>
      <c r="MQ130" s="2">
        <f>+Tabla520212224252627[[#This Row],[Recuento]]*Tabla520212224252627[[#This Row],[Volúmen bruto]]</f>
        <v>0</v>
      </c>
      <c r="MR130" s="2">
        <f>+Tabla520212224252627[[#This Row],[Recuento]]*Tabla520212224252627[[#This Row],[Área neta]]</f>
        <v>0</v>
      </c>
      <c r="MS130" s="26"/>
      <c r="MU130"/>
      <c r="MV130"/>
      <c r="MW130"/>
      <c r="MX130"/>
      <c r="MY130"/>
      <c r="MZ130"/>
      <c r="NA130" s="2">
        <f>+Tabla520212224252627129[[#This Row],[Recuento]]*Tabla520212224252627129[[#This Row],[Volúmen bruto]]</f>
        <v>0</v>
      </c>
      <c r="NB130" s="2">
        <f>+Tabla520212224252627129[[#This Row],[Recuento]]*Tabla520212224252627129[[#This Row],[Área neta]]</f>
        <v>0</v>
      </c>
      <c r="NC130" s="26"/>
      <c r="NE130"/>
      <c r="NF130"/>
      <c r="NG130"/>
      <c r="NH130"/>
      <c r="NI130"/>
      <c r="NJ130"/>
      <c r="NK130" s="2">
        <f>+Tabla520212224252627129125[[#This Row],[Recuento]]*Tabla520212224252627129125[[#This Row],[Volúmen bruto]]</f>
        <v>0</v>
      </c>
      <c r="NL130" s="2">
        <f>+Tabla520212224252627129125[[#This Row],[Recuento]]*Tabla520212224252627129125[[#This Row],[Área neta]]</f>
        <v>0</v>
      </c>
      <c r="NM130" s="26"/>
      <c r="NO130"/>
      <c r="NP130"/>
      <c r="NQ130"/>
      <c r="NR130"/>
      <c r="NS130"/>
      <c r="NT130"/>
      <c r="NU130" s="2">
        <f>+Tabla520212224252627129125130[[#This Row],[Recuento]]*Tabla520212224252627129125130[[#This Row],[Volúmen bruto]]</f>
        <v>0</v>
      </c>
      <c r="NV130" s="2">
        <f>+Tabla520212224252627129125130[[#This Row],[Recuento]]*Tabla520212224252627129125130[[#This Row],[Área neta]]</f>
        <v>0</v>
      </c>
      <c r="NW130" s="26"/>
      <c r="NY130"/>
      <c r="NZ130"/>
      <c r="OA130"/>
      <c r="OB130"/>
      <c r="OC130"/>
      <c r="OD130"/>
      <c r="OE130" s="2">
        <f>+Tabla520212224252627129125130131[[#This Row],[Recuento]]*Tabla520212224252627129125130131[[#This Row],[Volúmen bruto]]</f>
        <v>0</v>
      </c>
      <c r="OF130" s="2">
        <f>+Tabla520212224252627129125130131[[#This Row],[Recuento]]*Tabla520212224252627129125130131[[#This Row],[Área neta]]</f>
        <v>0</v>
      </c>
      <c r="OG130" s="26"/>
      <c r="OI130"/>
      <c r="OJ130"/>
      <c r="OK130"/>
      <c r="OL130"/>
      <c r="OM130"/>
      <c r="ON130"/>
      <c r="OO130" s="2">
        <f>+Tabla520212224252627129125130131132[[#This Row],[Recuento]]*Tabla520212224252627129125130131132[[#This Row],[Volúmen bruto]]</f>
        <v>0</v>
      </c>
      <c r="OP130" s="2">
        <f>+Tabla520212224252627129125130131132[[#This Row],[Recuento]]*Tabla520212224252627129125130131132[[#This Row],[Área neta]]</f>
        <v>0</v>
      </c>
      <c r="OQ130" s="26"/>
      <c r="OS130"/>
      <c r="OT130"/>
      <c r="OU130"/>
      <c r="OV130"/>
      <c r="OW130"/>
      <c r="OX130"/>
      <c r="OY130" s="2">
        <f>+Tabla52021222425262728[[#This Row],[Recuento]]*Tabla52021222425262728[[#This Row],[Volúmen bruto]]</f>
        <v>0</v>
      </c>
      <c r="OZ130" s="2">
        <f>+Tabla52021222425262728[[#This Row],[Recuento]]*Tabla52021222425262728[[#This Row],[Área neta]]</f>
        <v>0</v>
      </c>
      <c r="PA130" s="26">
        <f t="shared" si="44"/>
        <v>0</v>
      </c>
      <c r="PC130"/>
      <c r="PD130"/>
      <c r="PE130"/>
      <c r="PF130"/>
      <c r="PG130"/>
      <c r="PH130"/>
      <c r="PI130" s="2">
        <f>+Tabla52021222425262728133[[#This Row],[Recuento]]*Tabla52021222425262728133[[#This Row],[Volúmen bruto]]</f>
        <v>0</v>
      </c>
      <c r="PJ130" s="2">
        <f>+Tabla52021222425262728133[[#This Row],[Recuento]]*Tabla52021222425262728133[[#This Row],[Área neta]]</f>
        <v>0</v>
      </c>
      <c r="PK130" s="26">
        <f t="shared" si="47"/>
        <v>0</v>
      </c>
      <c r="PM130"/>
      <c r="PN130"/>
      <c r="PO130"/>
      <c r="PP130"/>
      <c r="PQ130"/>
      <c r="PR130"/>
      <c r="PS130" s="2">
        <f>+Tabla5202122242526272893[[#This Row],[Recuento]]*Tabla5202122242526272893[[#This Row],[Volúmen bruto]]</f>
        <v>0</v>
      </c>
      <c r="PT130" s="2">
        <f>+Tabla5202122242526272893[[#This Row],[Recuento]]*Tabla5202122242526272893[[#This Row],[Área neta]]</f>
        <v>0</v>
      </c>
      <c r="PU130" s="26"/>
      <c r="PW130"/>
      <c r="PX130"/>
      <c r="PY130"/>
      <c r="PZ130"/>
      <c r="QA130"/>
      <c r="QB130"/>
      <c r="QC130" s="2">
        <f>+Tabla520212224252627289349[[#This Row],[Recuento]]*Tabla520212224252627289349[[#This Row],[Volúmen bruto]]</f>
        <v>0</v>
      </c>
      <c r="QD130" s="2">
        <f>+Tabla520212224252627289349[[#This Row],[Recuento]]*Tabla520212224252627289349[[#This Row],[Área neta]]</f>
        <v>0</v>
      </c>
      <c r="QE130" s="26"/>
      <c r="QG130"/>
      <c r="QH130"/>
      <c r="QI130"/>
      <c r="QJ130"/>
      <c r="QK130"/>
      <c r="QL130"/>
      <c r="QM130" s="2">
        <f>+Tabla520212224252627289349134[[#This Row],[Recuento]]*Tabla520212224252627289349134[[#This Row],[Volúmen bruto]]</f>
        <v>0</v>
      </c>
      <c r="QN130" s="2">
        <f>+Tabla520212224252627289349134[[#This Row],[Recuento]]*Tabla520212224252627289349134[[#This Row],[Área neta]]</f>
        <v>0</v>
      </c>
      <c r="QO130" s="26"/>
      <c r="QQ130"/>
      <c r="QR130"/>
      <c r="QS130"/>
      <c r="QT130"/>
      <c r="QU130"/>
      <c r="QV130"/>
      <c r="QW130"/>
      <c r="QX130" s="2">
        <f>+Tabla5202122242526272829[[#This Row],[Recuento]]*Tabla5202122242526272829[[#This Row],[Volúmen bruto]]</f>
        <v>0</v>
      </c>
      <c r="QY130" s="2">
        <f>+Tabla5202122242526272829[[#This Row],[Recuento]]*Tabla5202122242526272829[[#This Row],[Área neta]]</f>
        <v>0</v>
      </c>
      <c r="RA130" s="26"/>
      <c r="RC130"/>
      <c r="RD130"/>
      <c r="RE130"/>
      <c r="RF130"/>
      <c r="RG130"/>
      <c r="RH130"/>
      <c r="RK130" s="26"/>
      <c r="RM130"/>
      <c r="RN130"/>
      <c r="RO130"/>
      <c r="RP130"/>
      <c r="RQ130"/>
      <c r="RR130"/>
      <c r="RU130" s="26">
        <f t="shared" si="45"/>
        <v>0</v>
      </c>
      <c r="RW130"/>
      <c r="RX130"/>
      <c r="RY130"/>
      <c r="RZ130"/>
      <c r="SA130"/>
      <c r="SB130"/>
      <c r="SE130" s="26"/>
      <c r="SG130"/>
      <c r="SH130"/>
      <c r="SI130"/>
      <c r="SJ130"/>
      <c r="SK130"/>
      <c r="SL130"/>
      <c r="SO130" s="26"/>
      <c r="YK130"/>
      <c r="YL130"/>
      <c r="YM130"/>
      <c r="YN130"/>
      <c r="YO130"/>
      <c r="ADJ130"/>
      <c r="ADK130"/>
      <c r="ADL130"/>
      <c r="ADM130"/>
      <c r="ADN130"/>
      <c r="ADO130"/>
      <c r="ADP130" s="36"/>
      <c r="AFI130"/>
      <c r="AFJ130"/>
      <c r="AFK130"/>
      <c r="AFL130"/>
      <c r="AFM130"/>
      <c r="AFN130">
        <f>+Tabla578914151634353637383940414243444546474849505152535560626467[[#This Row],[G. Total]]*Tabla578914151634353637383940414243444546474849505152535560626467[[#This Row],[Recuento]]</f>
        <v>0</v>
      </c>
      <c r="AFO130" s="36"/>
    </row>
    <row r="131" spans="59:847" x14ac:dyDescent="0.25">
      <c r="BG131"/>
      <c r="BH131"/>
      <c r="BI131"/>
      <c r="BJ131"/>
      <c r="BK131"/>
      <c r="BL131">
        <f>+Tabla3102[[#This Row],[Longitud de eje]]*BF131</f>
        <v>0</v>
      </c>
      <c r="BM131">
        <f>+Tabla3102[[#This Row],[Longitud de eje]]*BG131</f>
        <v>0</v>
      </c>
      <c r="BO131"/>
      <c r="BP131"/>
      <c r="BQ131"/>
      <c r="BR131"/>
      <c r="BS131"/>
      <c r="BT131"/>
      <c r="BU131"/>
      <c r="BW131"/>
      <c r="BX131"/>
      <c r="BY131"/>
      <c r="BZ131"/>
      <c r="CA131"/>
      <c r="CB131"/>
      <c r="CD131">
        <v>1</v>
      </c>
      <c r="CE131"/>
      <c r="CF131"/>
      <c r="CG131"/>
      <c r="CH131"/>
      <c r="CI131"/>
      <c r="CJ131"/>
      <c r="CK131"/>
      <c r="CM131"/>
      <c r="CN131"/>
      <c r="CO131"/>
      <c r="CP131"/>
      <c r="CQ131"/>
      <c r="CR131"/>
      <c r="CT131">
        <v>1</v>
      </c>
      <c r="CU131"/>
      <c r="CV131"/>
      <c r="CW131"/>
      <c r="CX131"/>
      <c r="CY131"/>
      <c r="CZ131"/>
      <c r="DA131"/>
      <c r="DB131">
        <v>1</v>
      </c>
      <c r="DC131"/>
      <c r="DD131"/>
      <c r="DE131"/>
      <c r="DF131"/>
      <c r="DG131">
        <f>+Tabla31011704[[#This Row],[Longitud de eje]]*DB131</f>
        <v>0</v>
      </c>
      <c r="DH131"/>
      <c r="DI131">
        <v>1</v>
      </c>
      <c r="DJ131"/>
      <c r="DK131"/>
      <c r="DL131"/>
      <c r="DM131"/>
      <c r="DN131">
        <f>+Tabla3101170411[[#This Row],[Longitud de eje]]*DI131</f>
        <v>0</v>
      </c>
      <c r="DO131"/>
      <c r="DP131">
        <v>1</v>
      </c>
      <c r="DQ131"/>
      <c r="DR131"/>
      <c r="DS131"/>
      <c r="DT131"/>
      <c r="DU131">
        <f>+Tabla3101170411120[[#This Row],[Longitud de eje]]*DP131</f>
        <v>0</v>
      </c>
      <c r="DV131"/>
      <c r="DW131">
        <v>1</v>
      </c>
      <c r="DX131"/>
      <c r="DY131"/>
      <c r="DZ131"/>
      <c r="EA131"/>
      <c r="EB131">
        <f>+Tabla3101170411120122[[#This Row],[Longitud de eje]]*DW131</f>
        <v>0</v>
      </c>
      <c r="EC131"/>
      <c r="EE131"/>
      <c r="EF131"/>
      <c r="EG131"/>
      <c r="EH131"/>
      <c r="EI131"/>
      <c r="EJ131"/>
      <c r="EK131"/>
      <c r="EM131"/>
      <c r="EN131"/>
      <c r="EO131"/>
      <c r="EP131"/>
      <c r="EQ131"/>
      <c r="ER131"/>
      <c r="ES131"/>
      <c r="EU131"/>
      <c r="EV131"/>
      <c r="EW131"/>
      <c r="EX131"/>
      <c r="EY131"/>
      <c r="EZ131"/>
      <c r="FA131"/>
      <c r="FC131"/>
      <c r="FD131"/>
      <c r="FE131"/>
      <c r="FF131"/>
      <c r="FG131"/>
      <c r="FH131"/>
      <c r="FI131"/>
      <c r="FK131"/>
      <c r="FL131"/>
      <c r="FM131"/>
      <c r="FN131"/>
      <c r="FO131"/>
      <c r="FP131"/>
      <c r="FQ131"/>
      <c r="FS131"/>
      <c r="FT131"/>
      <c r="FU131"/>
      <c r="FV131"/>
      <c r="FW131"/>
      <c r="FX131"/>
      <c r="FY131"/>
      <c r="GA131"/>
      <c r="GB131"/>
      <c r="GC131"/>
      <c r="GD131"/>
      <c r="GE131"/>
      <c r="GF131"/>
      <c r="GG131"/>
      <c r="GI131"/>
      <c r="GJ131"/>
      <c r="GK131"/>
      <c r="GL131"/>
      <c r="GM131"/>
      <c r="GN131"/>
      <c r="GO131"/>
      <c r="JI131"/>
      <c r="JJ131"/>
      <c r="JK131"/>
      <c r="JL131"/>
      <c r="JM131"/>
      <c r="JN131"/>
      <c r="JO131" s="2">
        <f>+Tabla52021222425[[#This Row],[Recuento]]*Tabla52021222425[[#This Row],[Volúmen bruto]]</f>
        <v>0</v>
      </c>
      <c r="JP131" s="2">
        <f>+Tabla52021222425[[#This Row],[Recuento]]*Tabla52021222425[[#This Row],[Área neta]]</f>
        <v>0</v>
      </c>
      <c r="JQ131" s="26"/>
      <c r="JS131"/>
      <c r="JT131"/>
      <c r="JU131"/>
      <c r="JV131"/>
      <c r="JW131"/>
      <c r="JX131"/>
      <c r="JY131" s="2">
        <f>+Tabla5202122242526[[#This Row],[Recuento]]*Tabla5202122242526[[#This Row],[Volúmen bruto]]</f>
        <v>0</v>
      </c>
      <c r="JZ131" s="2">
        <f>+Tabla5202122242526[[#This Row],[Recuento]]*Tabla5202122242526[[#This Row],[Área neta]]</f>
        <v>0</v>
      </c>
      <c r="KA131" s="26"/>
      <c r="KC131"/>
      <c r="KD131"/>
      <c r="KE131"/>
      <c r="KF131"/>
      <c r="KG131"/>
      <c r="KH131"/>
      <c r="KI131" s="2">
        <f>+Tabla5202122242526104[[#This Row],[Recuento]]*Tabla5202122242526104[[#This Row],[Volúmen bruto]]</f>
        <v>0</v>
      </c>
      <c r="KJ131" s="2">
        <f>+Tabla5202122242526104[[#This Row],[Recuento]]*Tabla5202122242526104[[#This Row],[Área neta]]</f>
        <v>0</v>
      </c>
      <c r="KK131" s="26"/>
      <c r="KM131"/>
      <c r="KN131"/>
      <c r="KO131"/>
      <c r="KP131"/>
      <c r="KQ131"/>
      <c r="KR131"/>
      <c r="KS131" s="2">
        <f>+Tabla5202122242526104110[[#This Row],[Recuento]]*Tabla5202122242526104110[[#This Row],[Volúmen bruto]]</f>
        <v>0</v>
      </c>
      <c r="KT131" s="2">
        <f>+Tabla5202122242526104110[[#This Row],[Recuento]]*Tabla5202122242526104110[[#This Row],[Área neta]]</f>
        <v>0</v>
      </c>
      <c r="KU131" s="26"/>
      <c r="KW131"/>
      <c r="KX131"/>
      <c r="KY131"/>
      <c r="KZ131"/>
      <c r="LA131"/>
      <c r="LB131"/>
      <c r="LC131" s="2">
        <f>+Tabla520212224252659[[#This Row],[Recuento]]*Tabla520212224252659[[#This Row],[Volúmen bruto]]</f>
        <v>0</v>
      </c>
      <c r="LD131" s="2">
        <f>+Tabla520212224252659[[#This Row],[Recuento]]*Tabla520212224252659[[#This Row],[Área neta]]</f>
        <v>0</v>
      </c>
      <c r="LE131" s="26"/>
      <c r="LG131"/>
      <c r="LH131"/>
      <c r="LI131"/>
      <c r="LJ131"/>
      <c r="LK131"/>
      <c r="LL131"/>
      <c r="LM131" s="2">
        <f>+Tabla520212224252659111[[#This Row],[Recuento]]*Tabla520212224252659111[[#This Row],[Volúmen bruto]]</f>
        <v>0</v>
      </c>
      <c r="LN131" s="2">
        <f>+Tabla520212224252659111[[#This Row],[Recuento]]*Tabla520212224252659111[[#This Row],[Área neta]]</f>
        <v>0</v>
      </c>
      <c r="LO131" s="26"/>
      <c r="LQ131"/>
      <c r="LR131"/>
      <c r="LS131"/>
      <c r="LT131"/>
      <c r="LU131"/>
      <c r="LV131"/>
      <c r="LW131" s="2">
        <f>+Tabla520212224252659111114[[#This Row],[Recuento]]*Tabla520212224252659111114[[#This Row],[Volúmen bruto]]</f>
        <v>0</v>
      </c>
      <c r="LX131" s="2">
        <f>+Tabla520212224252659111114[[#This Row],[Recuento]]*Tabla520212224252659111114[[#This Row],[Área neta]]</f>
        <v>0</v>
      </c>
      <c r="LY131" s="26"/>
      <c r="MA131"/>
      <c r="MB131"/>
      <c r="MC131"/>
      <c r="MD131"/>
      <c r="ME131"/>
      <c r="MF131"/>
      <c r="MG131" s="2">
        <f>+Tabla520212224252659111114128[[#This Row],[Recuento]]*Tabla520212224252659111114128[[#This Row],[Volúmen bruto]]</f>
        <v>0</v>
      </c>
      <c r="MH131" s="2">
        <f>+Tabla520212224252659111114128[[#This Row],[Recuento]]*Tabla520212224252659111114128[[#This Row],[Área neta]]</f>
        <v>0</v>
      </c>
      <c r="MI131" s="26"/>
      <c r="MK131"/>
      <c r="ML131"/>
      <c r="MM131"/>
      <c r="MN131"/>
      <c r="MO131"/>
      <c r="MP131"/>
      <c r="MQ131" s="2">
        <f>+Tabla520212224252627[[#This Row],[Recuento]]*Tabla520212224252627[[#This Row],[Volúmen bruto]]</f>
        <v>0</v>
      </c>
      <c r="MR131" s="2">
        <f>+Tabla520212224252627[[#This Row],[Recuento]]*Tabla520212224252627[[#This Row],[Área neta]]</f>
        <v>0</v>
      </c>
      <c r="MS131" s="26"/>
      <c r="MU131"/>
      <c r="MV131"/>
      <c r="MW131"/>
      <c r="MX131"/>
      <c r="MY131"/>
      <c r="MZ131"/>
      <c r="NA131" s="2">
        <f>+Tabla520212224252627129[[#This Row],[Recuento]]*Tabla520212224252627129[[#This Row],[Volúmen bruto]]</f>
        <v>0</v>
      </c>
      <c r="NB131" s="2">
        <f>+Tabla520212224252627129[[#This Row],[Recuento]]*Tabla520212224252627129[[#This Row],[Área neta]]</f>
        <v>0</v>
      </c>
      <c r="NC131" s="26"/>
      <c r="NE131"/>
      <c r="NF131"/>
      <c r="NG131"/>
      <c r="NH131"/>
      <c r="NI131"/>
      <c r="NJ131"/>
      <c r="NK131" s="2">
        <f>+Tabla520212224252627129125[[#This Row],[Recuento]]*Tabla520212224252627129125[[#This Row],[Volúmen bruto]]</f>
        <v>0</v>
      </c>
      <c r="NL131" s="2">
        <f>+Tabla520212224252627129125[[#This Row],[Recuento]]*Tabla520212224252627129125[[#This Row],[Área neta]]</f>
        <v>0</v>
      </c>
      <c r="NM131" s="26"/>
      <c r="NO131"/>
      <c r="NP131"/>
      <c r="NQ131"/>
      <c r="NR131"/>
      <c r="NS131"/>
      <c r="NT131"/>
      <c r="NU131" s="2">
        <f>+Tabla520212224252627129125130[[#This Row],[Recuento]]*Tabla520212224252627129125130[[#This Row],[Volúmen bruto]]</f>
        <v>0</v>
      </c>
      <c r="NV131" s="2">
        <f>+Tabla520212224252627129125130[[#This Row],[Recuento]]*Tabla520212224252627129125130[[#This Row],[Área neta]]</f>
        <v>0</v>
      </c>
      <c r="NW131" s="26"/>
      <c r="NY131"/>
      <c r="NZ131"/>
      <c r="OA131"/>
      <c r="OB131"/>
      <c r="OC131"/>
      <c r="OD131"/>
      <c r="OE131" s="2">
        <f>+Tabla520212224252627129125130131[[#This Row],[Recuento]]*Tabla520212224252627129125130131[[#This Row],[Volúmen bruto]]</f>
        <v>0</v>
      </c>
      <c r="OF131" s="2">
        <f>+Tabla520212224252627129125130131[[#This Row],[Recuento]]*Tabla520212224252627129125130131[[#This Row],[Área neta]]</f>
        <v>0</v>
      </c>
      <c r="OG131" s="26"/>
      <c r="OI131"/>
      <c r="OJ131"/>
      <c r="OK131"/>
      <c r="OL131"/>
      <c r="OM131"/>
      <c r="ON131"/>
      <c r="OO131" s="2">
        <f>+Tabla520212224252627129125130131132[[#This Row],[Recuento]]*Tabla520212224252627129125130131132[[#This Row],[Volúmen bruto]]</f>
        <v>0</v>
      </c>
      <c r="OP131" s="2">
        <f>+Tabla520212224252627129125130131132[[#This Row],[Recuento]]*Tabla520212224252627129125130131132[[#This Row],[Área neta]]</f>
        <v>0</v>
      </c>
      <c r="OQ131" s="26"/>
      <c r="OS131"/>
      <c r="OT131"/>
      <c r="OU131"/>
      <c r="OV131"/>
      <c r="OW131"/>
      <c r="OX131"/>
      <c r="OY131" s="2">
        <f>+Tabla52021222425262728[[#This Row],[Recuento]]*Tabla52021222425262728[[#This Row],[Volúmen bruto]]</f>
        <v>0</v>
      </c>
      <c r="OZ131" s="2">
        <f>+Tabla52021222425262728[[#This Row],[Recuento]]*Tabla52021222425262728[[#This Row],[Área neta]]</f>
        <v>0</v>
      </c>
      <c r="PA131" s="26">
        <f t="shared" si="44"/>
        <v>0</v>
      </c>
      <c r="PC131"/>
      <c r="PD131"/>
      <c r="PE131"/>
      <c r="PF131"/>
      <c r="PG131"/>
      <c r="PH131"/>
      <c r="PI131" s="2">
        <f>+Tabla52021222425262728133[[#This Row],[Recuento]]*Tabla52021222425262728133[[#This Row],[Volúmen bruto]]</f>
        <v>0</v>
      </c>
      <c r="PJ131" s="2">
        <f>+Tabla52021222425262728133[[#This Row],[Recuento]]*Tabla52021222425262728133[[#This Row],[Área neta]]</f>
        <v>0</v>
      </c>
      <c r="PK131" s="26">
        <f t="shared" si="47"/>
        <v>0</v>
      </c>
      <c r="PM131"/>
      <c r="PN131"/>
      <c r="PO131"/>
      <c r="PP131"/>
      <c r="PQ131"/>
      <c r="PR131"/>
      <c r="PS131" s="2">
        <f>+Tabla5202122242526272893[[#This Row],[Recuento]]*Tabla5202122242526272893[[#This Row],[Volúmen bruto]]</f>
        <v>0</v>
      </c>
      <c r="PT131" s="2">
        <f>+Tabla5202122242526272893[[#This Row],[Recuento]]*Tabla5202122242526272893[[#This Row],[Área neta]]</f>
        <v>0</v>
      </c>
      <c r="PU131" s="26"/>
      <c r="PW131"/>
      <c r="PX131"/>
      <c r="PY131"/>
      <c r="PZ131"/>
      <c r="QA131"/>
      <c r="QB131"/>
      <c r="QC131" s="2">
        <f>+Tabla520212224252627289349[[#This Row],[Recuento]]*Tabla520212224252627289349[[#This Row],[Volúmen bruto]]</f>
        <v>0</v>
      </c>
      <c r="QD131" s="2">
        <f>+Tabla520212224252627289349[[#This Row],[Recuento]]*Tabla520212224252627289349[[#This Row],[Área neta]]</f>
        <v>0</v>
      </c>
      <c r="QE131" s="26"/>
      <c r="QG131"/>
      <c r="QH131"/>
      <c r="QI131"/>
      <c r="QJ131"/>
      <c r="QK131"/>
      <c r="QL131"/>
      <c r="QM131" s="2">
        <f>+Tabla520212224252627289349134[[#This Row],[Recuento]]*Tabla520212224252627289349134[[#This Row],[Volúmen bruto]]</f>
        <v>0</v>
      </c>
      <c r="QN131" s="2">
        <f>+Tabla520212224252627289349134[[#This Row],[Recuento]]*Tabla520212224252627289349134[[#This Row],[Área neta]]</f>
        <v>0</v>
      </c>
      <c r="QO131" s="26"/>
      <c r="QQ131"/>
      <c r="QR131"/>
      <c r="QS131"/>
      <c r="QT131"/>
      <c r="QU131"/>
      <c r="QV131"/>
      <c r="QW131"/>
      <c r="QX131" s="2">
        <f>+Tabla5202122242526272829[[#This Row],[Recuento]]*Tabla5202122242526272829[[#This Row],[Volúmen bruto]]</f>
        <v>0</v>
      </c>
      <c r="QY131" s="2">
        <f>+Tabla5202122242526272829[[#This Row],[Recuento]]*Tabla5202122242526272829[[#This Row],[Área neta]]</f>
        <v>0</v>
      </c>
      <c r="RA131" s="26"/>
      <c r="RW131"/>
      <c r="RX131"/>
      <c r="RY131"/>
      <c r="RZ131"/>
      <c r="SA131"/>
      <c r="SB131"/>
      <c r="SE131" s="26"/>
      <c r="SG131"/>
      <c r="SH131"/>
      <c r="SI131"/>
      <c r="SJ131"/>
      <c r="SK131"/>
      <c r="SL131"/>
      <c r="SO131" s="26"/>
      <c r="YK131"/>
      <c r="YL131"/>
      <c r="YM131"/>
      <c r="YN131"/>
      <c r="YO131"/>
      <c r="ADJ131"/>
      <c r="ADK131"/>
      <c r="ADL131"/>
      <c r="ADM131"/>
      <c r="ADN131"/>
      <c r="ADO131"/>
      <c r="ADP131" s="36"/>
      <c r="AFI131"/>
      <c r="AFJ131"/>
      <c r="AFK131"/>
      <c r="AFL131"/>
      <c r="AFM131"/>
      <c r="AFN131">
        <f>+Tabla578914151634353637383940414243444546474849505152535560626467[[#This Row],[G. Total]]*Tabla578914151634353637383940414243444546474849505152535560626467[[#This Row],[Recuento]]</f>
        <v>0</v>
      </c>
      <c r="AFO131" s="36"/>
    </row>
    <row r="132" spans="59:847" x14ac:dyDescent="0.25">
      <c r="BG132"/>
      <c r="BH132"/>
      <c r="BI132"/>
      <c r="BJ132"/>
      <c r="BK132"/>
      <c r="BL132">
        <f>+Tabla3102[[#This Row],[Longitud de eje]]*BF132</f>
        <v>0</v>
      </c>
      <c r="BM132">
        <f>+Tabla3102[[#This Row],[Longitud de eje]]*BG132</f>
        <v>0</v>
      </c>
      <c r="BO132"/>
      <c r="BP132"/>
      <c r="BQ132"/>
      <c r="BR132"/>
      <c r="BS132"/>
      <c r="BT132"/>
      <c r="BU132"/>
      <c r="BW132"/>
      <c r="BX132"/>
      <c r="BY132"/>
      <c r="BZ132"/>
      <c r="CA132"/>
      <c r="CB132"/>
      <c r="CD132">
        <v>1</v>
      </c>
      <c r="CE132"/>
      <c r="CF132"/>
      <c r="CG132"/>
      <c r="CH132"/>
      <c r="CI132"/>
      <c r="CJ132"/>
      <c r="CK132"/>
      <c r="CM132"/>
      <c r="CN132"/>
      <c r="CO132"/>
      <c r="CP132"/>
      <c r="CQ132"/>
      <c r="CR132"/>
      <c r="CT132">
        <v>1</v>
      </c>
      <c r="CU132"/>
      <c r="CV132"/>
      <c r="CW132"/>
      <c r="CX132"/>
      <c r="CY132"/>
      <c r="CZ132"/>
      <c r="DA132"/>
      <c r="DB132">
        <v>1</v>
      </c>
      <c r="DC132"/>
      <c r="DD132"/>
      <c r="DE132"/>
      <c r="DF132"/>
      <c r="DG132">
        <f>+Tabla31011704[[#This Row],[Longitud de eje]]*DB132</f>
        <v>0</v>
      </c>
      <c r="DH132"/>
      <c r="DI132">
        <v>1</v>
      </c>
      <c r="DJ132"/>
      <c r="DK132"/>
      <c r="DL132"/>
      <c r="DM132"/>
      <c r="DN132">
        <f>+Tabla3101170411[[#This Row],[Longitud de eje]]*DI132</f>
        <v>0</v>
      </c>
      <c r="DO132"/>
      <c r="DP132">
        <v>1</v>
      </c>
      <c r="DQ132"/>
      <c r="DR132"/>
      <c r="DS132"/>
      <c r="DT132"/>
      <c r="DU132">
        <f>+Tabla3101170411120[[#This Row],[Longitud de eje]]*DP132</f>
        <v>0</v>
      </c>
      <c r="DV132"/>
      <c r="DW132">
        <v>1</v>
      </c>
      <c r="DX132"/>
      <c r="DY132"/>
      <c r="DZ132"/>
      <c r="EA132"/>
      <c r="EB132">
        <f>+Tabla3101170411120122[[#This Row],[Longitud de eje]]*DW132</f>
        <v>0</v>
      </c>
      <c r="EC132"/>
      <c r="EE132"/>
      <c r="EF132"/>
      <c r="EG132"/>
      <c r="EH132"/>
      <c r="EI132"/>
      <c r="EJ132"/>
      <c r="EK132"/>
      <c r="EM132"/>
      <c r="EN132"/>
      <c r="EO132"/>
      <c r="EP132"/>
      <c r="EQ132"/>
      <c r="ER132"/>
      <c r="ES132"/>
      <c r="EU132"/>
      <c r="EV132"/>
      <c r="EW132"/>
      <c r="EX132"/>
      <c r="EY132"/>
      <c r="EZ132"/>
      <c r="FA132"/>
      <c r="FC132"/>
      <c r="FD132"/>
      <c r="FE132"/>
      <c r="FF132"/>
      <c r="FG132"/>
      <c r="FH132"/>
      <c r="FI132"/>
      <c r="FK132"/>
      <c r="FL132"/>
      <c r="FM132"/>
      <c r="FN132"/>
      <c r="FO132"/>
      <c r="FP132"/>
      <c r="FQ132"/>
      <c r="FS132"/>
      <c r="FT132"/>
      <c r="FU132"/>
      <c r="FV132"/>
      <c r="FW132"/>
      <c r="FX132"/>
      <c r="FY132"/>
      <c r="GA132"/>
      <c r="GB132"/>
      <c r="GC132"/>
      <c r="GD132"/>
      <c r="GE132"/>
      <c r="GF132"/>
      <c r="GG132"/>
      <c r="GI132"/>
      <c r="GJ132"/>
      <c r="GK132"/>
      <c r="GL132"/>
      <c r="GM132"/>
      <c r="GN132"/>
      <c r="GO132"/>
      <c r="JI132"/>
      <c r="JJ132"/>
      <c r="JK132"/>
      <c r="JL132"/>
      <c r="JM132"/>
      <c r="JN132"/>
      <c r="JO132" s="2">
        <f>+Tabla52021222425[[#This Row],[Recuento]]*Tabla52021222425[[#This Row],[Volúmen bruto]]</f>
        <v>0</v>
      </c>
      <c r="JP132" s="2">
        <f>+Tabla52021222425[[#This Row],[Recuento]]*Tabla52021222425[[#This Row],[Área neta]]</f>
        <v>0</v>
      </c>
      <c r="JQ132" s="26"/>
      <c r="JS132"/>
      <c r="JT132"/>
      <c r="JU132"/>
      <c r="JV132"/>
      <c r="JW132"/>
      <c r="JX132"/>
      <c r="JY132" s="2">
        <f>+Tabla5202122242526[[#This Row],[Recuento]]*Tabla5202122242526[[#This Row],[Volúmen bruto]]</f>
        <v>0</v>
      </c>
      <c r="JZ132" s="2">
        <f>+Tabla5202122242526[[#This Row],[Recuento]]*Tabla5202122242526[[#This Row],[Área neta]]</f>
        <v>0</v>
      </c>
      <c r="KA132" s="26"/>
      <c r="KC132"/>
      <c r="KD132"/>
      <c r="KE132"/>
      <c r="KF132"/>
      <c r="KG132"/>
      <c r="KH132"/>
      <c r="KI132" s="2">
        <f>+Tabla5202122242526104[[#This Row],[Recuento]]*Tabla5202122242526104[[#This Row],[Volúmen bruto]]</f>
        <v>0</v>
      </c>
      <c r="KJ132" s="2">
        <f>+Tabla5202122242526104[[#This Row],[Recuento]]*Tabla5202122242526104[[#This Row],[Área neta]]</f>
        <v>0</v>
      </c>
      <c r="KK132" s="26"/>
      <c r="KM132"/>
      <c r="KN132"/>
      <c r="KO132"/>
      <c r="KP132"/>
      <c r="KQ132"/>
      <c r="KR132"/>
      <c r="KS132" s="2">
        <f>+Tabla5202122242526104110[[#This Row],[Recuento]]*Tabla5202122242526104110[[#This Row],[Volúmen bruto]]</f>
        <v>0</v>
      </c>
      <c r="KT132" s="2">
        <f>+Tabla5202122242526104110[[#This Row],[Recuento]]*Tabla5202122242526104110[[#This Row],[Área neta]]</f>
        <v>0</v>
      </c>
      <c r="KU132" s="26"/>
      <c r="KW132"/>
      <c r="KX132"/>
      <c r="KY132"/>
      <c r="KZ132"/>
      <c r="LA132"/>
      <c r="LB132"/>
      <c r="LC132" s="2">
        <f>+Tabla520212224252659[[#This Row],[Recuento]]*Tabla520212224252659[[#This Row],[Volúmen bruto]]</f>
        <v>0</v>
      </c>
      <c r="LD132" s="2">
        <f>+Tabla520212224252659[[#This Row],[Recuento]]*Tabla520212224252659[[#This Row],[Área neta]]</f>
        <v>0</v>
      </c>
      <c r="LE132" s="26"/>
      <c r="LG132"/>
      <c r="LH132"/>
      <c r="LI132"/>
      <c r="LJ132"/>
      <c r="LK132"/>
      <c r="LL132"/>
      <c r="LM132" s="2">
        <f>+Tabla520212224252659111[[#This Row],[Recuento]]*Tabla520212224252659111[[#This Row],[Volúmen bruto]]</f>
        <v>0</v>
      </c>
      <c r="LN132" s="2">
        <f>+Tabla520212224252659111[[#This Row],[Recuento]]*Tabla520212224252659111[[#This Row],[Área neta]]</f>
        <v>0</v>
      </c>
      <c r="LO132" s="26"/>
      <c r="LQ132"/>
      <c r="LR132"/>
      <c r="LS132"/>
      <c r="LT132"/>
      <c r="LU132"/>
      <c r="LV132"/>
      <c r="LW132" s="2">
        <f>+Tabla520212224252659111114[[#This Row],[Recuento]]*Tabla520212224252659111114[[#This Row],[Volúmen bruto]]</f>
        <v>0</v>
      </c>
      <c r="LX132" s="2">
        <f>+Tabla520212224252659111114[[#This Row],[Recuento]]*Tabla520212224252659111114[[#This Row],[Área neta]]</f>
        <v>0</v>
      </c>
      <c r="LY132" s="26"/>
      <c r="MA132"/>
      <c r="MB132"/>
      <c r="MC132"/>
      <c r="MD132"/>
      <c r="ME132"/>
      <c r="MF132"/>
      <c r="MG132" s="2">
        <f>+Tabla520212224252659111114128[[#This Row],[Recuento]]*Tabla520212224252659111114128[[#This Row],[Volúmen bruto]]</f>
        <v>0</v>
      </c>
      <c r="MH132" s="2">
        <f>+Tabla520212224252659111114128[[#This Row],[Recuento]]*Tabla520212224252659111114128[[#This Row],[Área neta]]</f>
        <v>0</v>
      </c>
      <c r="MI132" s="26"/>
      <c r="MK132"/>
      <c r="ML132"/>
      <c r="MM132"/>
      <c r="MN132"/>
      <c r="MO132"/>
      <c r="MP132"/>
      <c r="MQ132" s="2">
        <f>+Tabla520212224252627[[#This Row],[Recuento]]*Tabla520212224252627[[#This Row],[Volúmen bruto]]</f>
        <v>0</v>
      </c>
      <c r="MR132" s="2">
        <f>+Tabla520212224252627[[#This Row],[Recuento]]*Tabla520212224252627[[#This Row],[Área neta]]</f>
        <v>0</v>
      </c>
      <c r="MS132" s="26"/>
      <c r="MU132"/>
      <c r="MV132"/>
      <c r="MW132"/>
      <c r="MX132"/>
      <c r="MY132"/>
      <c r="MZ132"/>
      <c r="NA132" s="2">
        <f>+Tabla520212224252627129[[#This Row],[Recuento]]*Tabla520212224252627129[[#This Row],[Volúmen bruto]]</f>
        <v>0</v>
      </c>
      <c r="NB132" s="2">
        <f>+Tabla520212224252627129[[#This Row],[Recuento]]*Tabla520212224252627129[[#This Row],[Área neta]]</f>
        <v>0</v>
      </c>
      <c r="NC132" s="26"/>
      <c r="NE132"/>
      <c r="NF132"/>
      <c r="NG132"/>
      <c r="NH132"/>
      <c r="NI132"/>
      <c r="NJ132"/>
      <c r="NK132" s="2">
        <f>+Tabla520212224252627129125[[#This Row],[Recuento]]*Tabla520212224252627129125[[#This Row],[Volúmen bruto]]</f>
        <v>0</v>
      </c>
      <c r="NL132" s="2">
        <f>+Tabla520212224252627129125[[#This Row],[Recuento]]*Tabla520212224252627129125[[#This Row],[Área neta]]</f>
        <v>0</v>
      </c>
      <c r="NM132" s="26"/>
      <c r="NO132"/>
      <c r="NP132"/>
      <c r="NQ132"/>
      <c r="NR132"/>
      <c r="NS132"/>
      <c r="NT132"/>
      <c r="NU132" s="2">
        <f>+Tabla520212224252627129125130[[#This Row],[Recuento]]*Tabla520212224252627129125130[[#This Row],[Volúmen bruto]]</f>
        <v>0</v>
      </c>
      <c r="NV132" s="2">
        <f>+Tabla520212224252627129125130[[#This Row],[Recuento]]*Tabla520212224252627129125130[[#This Row],[Área neta]]</f>
        <v>0</v>
      </c>
      <c r="NW132" s="26"/>
      <c r="NY132"/>
      <c r="NZ132"/>
      <c r="OA132"/>
      <c r="OB132"/>
      <c r="OC132"/>
      <c r="OD132"/>
      <c r="OE132" s="2">
        <f>+Tabla520212224252627129125130131[[#This Row],[Recuento]]*Tabla520212224252627129125130131[[#This Row],[Volúmen bruto]]</f>
        <v>0</v>
      </c>
      <c r="OF132" s="2">
        <f>+Tabla520212224252627129125130131[[#This Row],[Recuento]]*Tabla520212224252627129125130131[[#This Row],[Área neta]]</f>
        <v>0</v>
      </c>
      <c r="OG132" s="26"/>
      <c r="OI132"/>
      <c r="OJ132"/>
      <c r="OK132"/>
      <c r="OL132"/>
      <c r="OM132"/>
      <c r="ON132"/>
      <c r="OO132" s="2">
        <f>+Tabla520212224252627129125130131132[[#This Row],[Recuento]]*Tabla520212224252627129125130131132[[#This Row],[Volúmen bruto]]</f>
        <v>0</v>
      </c>
      <c r="OP132" s="2">
        <f>+Tabla520212224252627129125130131132[[#This Row],[Recuento]]*Tabla520212224252627129125130131132[[#This Row],[Área neta]]</f>
        <v>0</v>
      </c>
      <c r="OQ132" s="26"/>
      <c r="OS132"/>
      <c r="OT132"/>
      <c r="OU132"/>
      <c r="OV132"/>
      <c r="OW132"/>
      <c r="OX132"/>
      <c r="OY132" s="2">
        <f>+Tabla52021222425262728[[#This Row],[Recuento]]*Tabla52021222425262728[[#This Row],[Volúmen bruto]]</f>
        <v>0</v>
      </c>
      <c r="OZ132" s="2">
        <f>+Tabla52021222425262728[[#This Row],[Recuento]]*Tabla52021222425262728[[#This Row],[Área neta]]</f>
        <v>0</v>
      </c>
      <c r="PA132" s="26">
        <f>+SUM(OZ134)</f>
        <v>0</v>
      </c>
      <c r="PC132"/>
      <c r="PD132"/>
      <c r="PE132"/>
      <c r="PF132"/>
      <c r="PG132"/>
      <c r="PH132"/>
      <c r="PI132" s="2">
        <f>+Tabla52021222425262728133[[#This Row],[Recuento]]*Tabla52021222425262728133[[#This Row],[Volúmen bruto]]</f>
        <v>0</v>
      </c>
      <c r="PJ132" s="2">
        <f>+Tabla52021222425262728133[[#This Row],[Recuento]]*Tabla52021222425262728133[[#This Row],[Área neta]]</f>
        <v>0</v>
      </c>
      <c r="PK132" s="26">
        <f>+SUM(PJ134)</f>
        <v>0</v>
      </c>
      <c r="PM132"/>
      <c r="PN132"/>
      <c r="PO132"/>
      <c r="PP132"/>
      <c r="PQ132"/>
      <c r="PR132"/>
      <c r="PS132" s="2">
        <f>+Tabla5202122242526272893[[#This Row],[Recuento]]*Tabla5202122242526272893[[#This Row],[Volúmen bruto]]</f>
        <v>0</v>
      </c>
      <c r="PT132" s="2">
        <f>+Tabla5202122242526272893[[#This Row],[Recuento]]*Tabla5202122242526272893[[#This Row],[Área neta]]</f>
        <v>0</v>
      </c>
      <c r="PU132" s="26"/>
      <c r="PW132"/>
      <c r="PX132"/>
      <c r="PY132"/>
      <c r="PZ132"/>
      <c r="QA132"/>
      <c r="QB132"/>
      <c r="QC132" s="2">
        <f>+Tabla520212224252627289349[[#This Row],[Recuento]]*Tabla520212224252627289349[[#This Row],[Volúmen bruto]]</f>
        <v>0</v>
      </c>
      <c r="QD132" s="2">
        <f>+Tabla520212224252627289349[[#This Row],[Recuento]]*Tabla520212224252627289349[[#This Row],[Área neta]]</f>
        <v>0</v>
      </c>
      <c r="QE132" s="26"/>
      <c r="QG132"/>
      <c r="QH132"/>
      <c r="QI132"/>
      <c r="QJ132"/>
      <c r="QK132"/>
      <c r="QL132"/>
      <c r="QM132" s="2">
        <f>+Tabla520212224252627289349134[[#This Row],[Recuento]]*Tabla520212224252627289349134[[#This Row],[Volúmen bruto]]</f>
        <v>0</v>
      </c>
      <c r="QN132" s="2">
        <f>+Tabla520212224252627289349134[[#This Row],[Recuento]]*Tabla520212224252627289349134[[#This Row],[Área neta]]</f>
        <v>0</v>
      </c>
      <c r="QO132" s="26"/>
      <c r="QQ132"/>
      <c r="QR132"/>
      <c r="QS132"/>
      <c r="QT132"/>
      <c r="QU132"/>
      <c r="QV132"/>
      <c r="QW132"/>
      <c r="QX132" s="2">
        <f>+Tabla5202122242526272829[[#This Row],[Recuento]]*Tabla5202122242526272829[[#This Row],[Volúmen bruto]]</f>
        <v>0</v>
      </c>
      <c r="QY132" s="2">
        <f>+Tabla5202122242526272829[[#This Row],[Recuento]]*Tabla5202122242526272829[[#This Row],[Área neta]]</f>
        <v>0</v>
      </c>
      <c r="RA132" s="26"/>
      <c r="RW132"/>
      <c r="RX132"/>
      <c r="RY132"/>
      <c r="RZ132"/>
      <c r="SA132"/>
      <c r="SB132"/>
      <c r="SE132" s="26"/>
      <c r="SG132"/>
      <c r="SH132"/>
      <c r="SI132"/>
      <c r="SJ132"/>
      <c r="SK132"/>
      <c r="SL132"/>
      <c r="SO132" s="26"/>
      <c r="YK132"/>
      <c r="YL132"/>
      <c r="YM132"/>
      <c r="YN132"/>
      <c r="YO132"/>
      <c r="ADJ132"/>
      <c r="ADK132"/>
      <c r="ADL132"/>
      <c r="ADM132"/>
      <c r="ADN132"/>
      <c r="ADO132"/>
      <c r="ADP132" s="36"/>
      <c r="AFI132"/>
      <c r="AFJ132"/>
      <c r="AFK132"/>
      <c r="AFL132"/>
      <c r="AFM132"/>
      <c r="AFN132">
        <f>+Tabla578914151634353637383940414243444546474849505152535560626467[[#This Row],[G. Total]]*Tabla578914151634353637383940414243444546474849505152535560626467[[#This Row],[Recuento]]</f>
        <v>0</v>
      </c>
      <c r="AFO132" s="35"/>
    </row>
    <row r="133" spans="59:847" x14ac:dyDescent="0.25">
      <c r="BG133"/>
      <c r="BH133"/>
      <c r="BI133"/>
      <c r="BJ133"/>
      <c r="BK133"/>
      <c r="BL133">
        <f>+Tabla3102[[#This Row],[Longitud de eje]]*BF133</f>
        <v>0</v>
      </c>
      <c r="BM133">
        <f>+Tabla3102[[#This Row],[Longitud de eje]]*BG133</f>
        <v>0</v>
      </c>
      <c r="BO133"/>
      <c r="BP133"/>
      <c r="BQ133"/>
      <c r="BR133"/>
      <c r="BS133"/>
      <c r="BT133"/>
      <c r="BU133"/>
      <c r="BW133"/>
      <c r="BX133"/>
      <c r="BY133"/>
      <c r="BZ133"/>
      <c r="CA133"/>
      <c r="CB133"/>
      <c r="CD133">
        <v>1</v>
      </c>
      <c r="CE133"/>
      <c r="CF133"/>
      <c r="CG133"/>
      <c r="CH133"/>
      <c r="CI133"/>
      <c r="CJ133"/>
      <c r="CK133"/>
      <c r="CM133"/>
      <c r="CN133"/>
      <c r="CO133"/>
      <c r="CP133"/>
      <c r="CQ133"/>
      <c r="CR133"/>
      <c r="CT133">
        <v>1</v>
      </c>
      <c r="CU133"/>
      <c r="CV133"/>
      <c r="CW133"/>
      <c r="CX133"/>
      <c r="CY133"/>
      <c r="CZ133"/>
      <c r="DA133"/>
      <c r="DB133">
        <v>1</v>
      </c>
      <c r="DC133"/>
      <c r="DD133"/>
      <c r="DE133"/>
      <c r="DF133"/>
      <c r="DG133">
        <f>+Tabla31011704[[#This Row],[Longitud de eje]]*DB133</f>
        <v>0</v>
      </c>
      <c r="DH133"/>
      <c r="DI133">
        <v>1</v>
      </c>
      <c r="DJ133"/>
      <c r="DK133"/>
      <c r="DL133"/>
      <c r="DM133"/>
      <c r="DN133">
        <f>+Tabla3101170411[[#This Row],[Longitud de eje]]*DI133</f>
        <v>0</v>
      </c>
      <c r="DO133"/>
      <c r="DP133">
        <v>1</v>
      </c>
      <c r="DQ133"/>
      <c r="DR133"/>
      <c r="DS133"/>
      <c r="DT133"/>
      <c r="DU133">
        <f>+Tabla3101170411120[[#This Row],[Longitud de eje]]*DP133</f>
        <v>0</v>
      </c>
      <c r="DV133"/>
      <c r="DW133">
        <v>1</v>
      </c>
      <c r="DX133"/>
      <c r="DY133"/>
      <c r="DZ133"/>
      <c r="EA133"/>
      <c r="EB133">
        <f>+Tabla3101170411120122[[#This Row],[Longitud de eje]]*DW133</f>
        <v>0</v>
      </c>
      <c r="EC133"/>
      <c r="EE133"/>
      <c r="EF133"/>
      <c r="EG133"/>
      <c r="EH133"/>
      <c r="EI133"/>
      <c r="EJ133"/>
      <c r="EK133"/>
      <c r="EM133"/>
      <c r="EN133"/>
      <c r="EO133"/>
      <c r="EP133"/>
      <c r="EQ133"/>
      <c r="ER133"/>
      <c r="ES133"/>
      <c r="EU133"/>
      <c r="EV133"/>
      <c r="EW133"/>
      <c r="EX133"/>
      <c r="EY133"/>
      <c r="EZ133"/>
      <c r="FA133"/>
      <c r="FC133"/>
      <c r="FD133"/>
      <c r="FE133"/>
      <c r="FF133"/>
      <c r="FG133"/>
      <c r="FH133"/>
      <c r="FI133"/>
      <c r="FK133"/>
      <c r="FL133"/>
      <c r="FM133"/>
      <c r="FN133"/>
      <c r="FO133"/>
      <c r="FP133"/>
      <c r="FQ133"/>
      <c r="FS133"/>
      <c r="FT133"/>
      <c r="FU133"/>
      <c r="FV133"/>
      <c r="FW133"/>
      <c r="FX133"/>
      <c r="FY133"/>
      <c r="GA133"/>
      <c r="GB133"/>
      <c r="GC133"/>
      <c r="GD133"/>
      <c r="GE133"/>
      <c r="GF133"/>
      <c r="GG133"/>
      <c r="GI133"/>
      <c r="GJ133"/>
      <c r="GK133"/>
      <c r="GL133"/>
      <c r="GM133"/>
      <c r="GN133"/>
      <c r="GO133"/>
      <c r="JI133"/>
      <c r="JJ133"/>
      <c r="JK133"/>
      <c r="JL133"/>
      <c r="JM133"/>
      <c r="JN133"/>
      <c r="JO133" s="2">
        <f>+Tabla52021222425[[#This Row],[Recuento]]*Tabla52021222425[[#This Row],[Volúmen bruto]]</f>
        <v>0</v>
      </c>
      <c r="JP133" s="2">
        <f>+Tabla52021222425[[#This Row],[Recuento]]*Tabla52021222425[[#This Row],[Área neta]]</f>
        <v>0</v>
      </c>
      <c r="JQ133" s="26"/>
      <c r="YK133"/>
      <c r="YL133"/>
      <c r="YM133"/>
      <c r="YN133"/>
      <c r="YO133"/>
      <c r="ADJ133"/>
      <c r="ADK133"/>
      <c r="ADL133"/>
      <c r="ADM133"/>
      <c r="ADN133"/>
      <c r="ADO133"/>
      <c r="ADP133" s="36"/>
      <c r="AFI133"/>
      <c r="AFJ133"/>
      <c r="AFK133"/>
      <c r="AFL133"/>
      <c r="AFM133"/>
      <c r="AFN133">
        <f>+Tabla578914151634353637383940414243444546474849505152535560626467[[#This Row],[G. Total]]*Tabla578914151634353637383940414243444546474849505152535560626467[[#This Row],[Recuento]]</f>
        <v>0</v>
      </c>
      <c r="AFO133" s="36"/>
    </row>
    <row r="134" spans="59:847" x14ac:dyDescent="0.25">
      <c r="BG134"/>
      <c r="BH134"/>
      <c r="BI134"/>
      <c r="BJ134"/>
      <c r="BK134"/>
      <c r="BL134">
        <f>+Tabla3102[[#This Row],[Longitud de eje]]*BF134</f>
        <v>0</v>
      </c>
      <c r="BM134">
        <f>+Tabla3102[[#This Row],[Longitud de eje]]*BG134</f>
        <v>0</v>
      </c>
      <c r="BO134"/>
      <c r="BP134"/>
      <c r="BQ134"/>
      <c r="BR134"/>
      <c r="BS134"/>
      <c r="BT134"/>
      <c r="BU134"/>
      <c r="BW134"/>
      <c r="BX134"/>
      <c r="BY134"/>
      <c r="BZ134"/>
      <c r="CA134"/>
      <c r="CB134"/>
      <c r="CD134">
        <v>1</v>
      </c>
      <c r="CE134"/>
      <c r="CF134"/>
      <c r="CG134"/>
      <c r="CH134"/>
      <c r="CI134"/>
      <c r="CJ134"/>
      <c r="CK134"/>
      <c r="CM134"/>
      <c r="CN134"/>
      <c r="CO134"/>
      <c r="CP134"/>
      <c r="CQ134"/>
      <c r="CR134"/>
      <c r="CT134">
        <v>1</v>
      </c>
      <c r="CU134"/>
      <c r="CV134"/>
      <c r="CW134"/>
      <c r="CX134"/>
      <c r="CY134"/>
      <c r="CZ134"/>
      <c r="DA134"/>
      <c r="DB134">
        <v>1</v>
      </c>
      <c r="DC134"/>
      <c r="DD134"/>
      <c r="DE134"/>
      <c r="DF134"/>
      <c r="DG134">
        <f>+Tabla31011704[[#This Row],[Longitud de eje]]*DB134</f>
        <v>0</v>
      </c>
      <c r="DH134"/>
      <c r="DI134">
        <v>1</v>
      </c>
      <c r="DJ134"/>
      <c r="DK134"/>
      <c r="DL134"/>
      <c r="DM134"/>
      <c r="DN134">
        <f>+Tabla3101170411[[#This Row],[Longitud de eje]]*DI134</f>
        <v>0</v>
      </c>
      <c r="DO134"/>
      <c r="DP134">
        <v>1</v>
      </c>
      <c r="DQ134"/>
      <c r="DR134"/>
      <c r="DS134"/>
      <c r="DT134"/>
      <c r="DU134">
        <f>+Tabla3101170411120[[#This Row],[Longitud de eje]]*DP134</f>
        <v>0</v>
      </c>
      <c r="DV134"/>
      <c r="DW134">
        <v>1</v>
      </c>
      <c r="DX134"/>
      <c r="DY134"/>
      <c r="DZ134"/>
      <c r="EA134"/>
      <c r="EB134">
        <f>+Tabla3101170411120122[[#This Row],[Longitud de eje]]*DW134</f>
        <v>0</v>
      </c>
      <c r="EC134"/>
      <c r="EE134"/>
      <c r="EF134"/>
      <c r="EG134"/>
      <c r="EH134"/>
      <c r="EI134"/>
      <c r="EJ134"/>
      <c r="EK134"/>
      <c r="EM134"/>
      <c r="EN134"/>
      <c r="EO134"/>
      <c r="EP134"/>
      <c r="EQ134"/>
      <c r="ER134"/>
      <c r="ES134"/>
      <c r="EU134"/>
      <c r="EV134"/>
      <c r="EW134"/>
      <c r="EX134"/>
      <c r="EY134"/>
      <c r="EZ134"/>
      <c r="FA134"/>
      <c r="FC134"/>
      <c r="FD134"/>
      <c r="FE134"/>
      <c r="FF134"/>
      <c r="FG134"/>
      <c r="FH134"/>
      <c r="FI134"/>
      <c r="FK134"/>
      <c r="FL134"/>
      <c r="FM134"/>
      <c r="FN134"/>
      <c r="FO134"/>
      <c r="FP134"/>
      <c r="FQ134"/>
      <c r="FS134"/>
      <c r="FT134"/>
      <c r="FU134"/>
      <c r="FV134"/>
      <c r="FW134"/>
      <c r="FX134"/>
      <c r="FY134"/>
      <c r="GA134"/>
      <c r="GB134"/>
      <c r="GC134"/>
      <c r="GD134"/>
      <c r="GE134"/>
      <c r="GF134"/>
      <c r="GG134"/>
      <c r="GI134"/>
      <c r="GJ134"/>
      <c r="GK134"/>
      <c r="GL134"/>
      <c r="GM134"/>
      <c r="GN134"/>
      <c r="GO134"/>
      <c r="JI134"/>
      <c r="JJ134"/>
      <c r="JK134"/>
      <c r="JL134"/>
      <c r="JM134"/>
      <c r="JN134"/>
      <c r="JO134" s="2">
        <f>+Tabla52021222425[[#This Row],[Recuento]]*Tabla52021222425[[#This Row],[Volúmen bruto]]</f>
        <v>0</v>
      </c>
      <c r="JP134" s="2">
        <f>+Tabla52021222425[[#This Row],[Recuento]]*Tabla52021222425[[#This Row],[Área neta]]</f>
        <v>0</v>
      </c>
      <c r="JQ134" s="26"/>
      <c r="YK134"/>
      <c r="YL134"/>
      <c r="YM134"/>
      <c r="YN134"/>
      <c r="YO134"/>
      <c r="ADJ134"/>
      <c r="ADK134"/>
      <c r="ADL134"/>
      <c r="ADM134"/>
      <c r="ADN134"/>
      <c r="ADP134" s="35">
        <f>+SUM(ADM134:ADM144)+SUM(ADM146:ADM154)</f>
        <v>0</v>
      </c>
      <c r="AFI134"/>
      <c r="AFJ134"/>
      <c r="AFK134"/>
      <c r="AFL134"/>
      <c r="AFM134"/>
      <c r="AFN134">
        <f>+Tabla578914151634353637383940414243444546474849505152535560626467[[#This Row],[G. Total]]*Tabla578914151634353637383940414243444546474849505152535560626467[[#This Row],[Recuento]]</f>
        <v>0</v>
      </c>
      <c r="AFO134" s="36"/>
    </row>
    <row r="135" spans="59:847" x14ac:dyDescent="0.25">
      <c r="BG135"/>
      <c r="BH135"/>
      <c r="BI135"/>
      <c r="BJ135"/>
      <c r="BK135"/>
      <c r="BL135">
        <f>+Tabla3102[[#This Row],[Longitud de eje]]*BF135</f>
        <v>0</v>
      </c>
      <c r="BM135">
        <f>+Tabla3102[[#This Row],[Longitud de eje]]*BG135</f>
        <v>0</v>
      </c>
      <c r="BO135"/>
      <c r="BP135"/>
      <c r="BQ135"/>
      <c r="BR135"/>
      <c r="BS135"/>
      <c r="BT135"/>
      <c r="BU135"/>
      <c r="BW135"/>
      <c r="BX135"/>
      <c r="BY135"/>
      <c r="BZ135"/>
      <c r="CA135"/>
      <c r="CB135"/>
      <c r="CD135">
        <v>1</v>
      </c>
      <c r="CE135"/>
      <c r="CF135"/>
      <c r="CG135"/>
      <c r="CH135"/>
      <c r="CI135"/>
      <c r="CJ135"/>
      <c r="CK135"/>
      <c r="CM135"/>
      <c r="CN135"/>
      <c r="CO135"/>
      <c r="CP135"/>
      <c r="CQ135"/>
      <c r="CR135"/>
      <c r="CT135">
        <v>1</v>
      </c>
      <c r="CU135"/>
      <c r="CV135"/>
      <c r="CW135"/>
      <c r="CX135"/>
      <c r="CY135"/>
      <c r="CZ135"/>
      <c r="DA135"/>
      <c r="DB135">
        <v>1</v>
      </c>
      <c r="DC135"/>
      <c r="DD135"/>
      <c r="DE135"/>
      <c r="DF135"/>
      <c r="DG135">
        <f>+Tabla31011704[[#This Row],[Longitud de eje]]*DB135</f>
        <v>0</v>
      </c>
      <c r="DH135"/>
      <c r="DI135">
        <v>1</v>
      </c>
      <c r="DJ135"/>
      <c r="DK135"/>
      <c r="DL135"/>
      <c r="DM135"/>
      <c r="DN135">
        <f>+Tabla3101170411[[#This Row],[Longitud de eje]]*DI135</f>
        <v>0</v>
      </c>
      <c r="DO135"/>
      <c r="DP135">
        <v>1</v>
      </c>
      <c r="DQ135"/>
      <c r="DR135"/>
      <c r="DS135"/>
      <c r="DT135"/>
      <c r="DU135">
        <f>+Tabla3101170411120[[#This Row],[Longitud de eje]]*DP135</f>
        <v>0</v>
      </c>
      <c r="DV135"/>
      <c r="DW135">
        <v>1</v>
      </c>
      <c r="DX135"/>
      <c r="DY135"/>
      <c r="DZ135"/>
      <c r="EA135"/>
      <c r="EB135">
        <f>+Tabla3101170411120122[[#This Row],[Longitud de eje]]*DW135</f>
        <v>0</v>
      </c>
      <c r="EC135"/>
      <c r="EE135"/>
      <c r="EF135"/>
      <c r="EG135"/>
      <c r="EH135"/>
      <c r="EI135"/>
      <c r="EJ135"/>
      <c r="EK135"/>
      <c r="EM135"/>
      <c r="EN135"/>
      <c r="EO135"/>
      <c r="EP135"/>
      <c r="EQ135"/>
      <c r="ER135"/>
      <c r="ES135"/>
      <c r="EU135"/>
      <c r="EV135"/>
      <c r="EW135"/>
      <c r="EX135"/>
      <c r="EY135"/>
      <c r="EZ135"/>
      <c r="FA135"/>
      <c r="FC135"/>
      <c r="FD135"/>
      <c r="FE135"/>
      <c r="FF135"/>
      <c r="FG135"/>
      <c r="FH135"/>
      <c r="FI135"/>
      <c r="FK135"/>
      <c r="FL135"/>
      <c r="FM135"/>
      <c r="FN135"/>
      <c r="FO135"/>
      <c r="FP135"/>
      <c r="FQ135"/>
      <c r="FS135"/>
      <c r="FT135"/>
      <c r="FU135"/>
      <c r="FV135"/>
      <c r="FW135"/>
      <c r="FX135"/>
      <c r="FY135"/>
      <c r="GA135"/>
      <c r="GB135"/>
      <c r="GC135"/>
      <c r="GD135"/>
      <c r="GE135"/>
      <c r="GF135"/>
      <c r="GG135"/>
      <c r="GI135"/>
      <c r="GJ135"/>
      <c r="GK135"/>
      <c r="GL135"/>
      <c r="GM135"/>
      <c r="GN135"/>
      <c r="GO135"/>
      <c r="JI135"/>
      <c r="JJ135"/>
      <c r="JK135"/>
      <c r="JL135"/>
      <c r="JM135"/>
      <c r="JN135"/>
      <c r="JO135" s="2">
        <f>+Tabla52021222425[[#This Row],[Recuento]]*Tabla52021222425[[#This Row],[Volúmen bruto]]</f>
        <v>0</v>
      </c>
      <c r="JP135" s="2">
        <f>+Tabla52021222425[[#This Row],[Recuento]]*Tabla52021222425[[#This Row],[Área neta]]</f>
        <v>0</v>
      </c>
      <c r="JQ135" s="26"/>
      <c r="YK135"/>
      <c r="YL135"/>
      <c r="YM135"/>
      <c r="YN135"/>
      <c r="YO135"/>
      <c r="ADJ135"/>
      <c r="ADK135"/>
      <c r="ADL135"/>
      <c r="ADM135"/>
      <c r="ADN135"/>
      <c r="ADP135" s="36"/>
      <c r="AFI135"/>
      <c r="AFJ135"/>
      <c r="AFK135"/>
      <c r="AFL135"/>
      <c r="AFM135"/>
      <c r="AFN135">
        <f>+Tabla578914151634353637383940414243444546474849505152535560626467[[#This Row],[G. Total]]*Tabla578914151634353637383940414243444546474849505152535560626467[[#This Row],[Recuento]]</f>
        <v>0</v>
      </c>
      <c r="AFO135" s="36"/>
    </row>
    <row r="136" spans="59:847" x14ac:dyDescent="0.25">
      <c r="BG136"/>
      <c r="BH136"/>
      <c r="BI136"/>
      <c r="BJ136"/>
      <c r="BK136"/>
      <c r="BL136">
        <f>+Tabla3102[[#This Row],[Longitud de eje]]*BF136</f>
        <v>0</v>
      </c>
      <c r="BM136">
        <f>+Tabla3102[[#This Row],[Longitud de eje]]*BG136</f>
        <v>0</v>
      </c>
      <c r="BO136"/>
      <c r="BP136"/>
      <c r="BQ136"/>
      <c r="BR136"/>
      <c r="BS136"/>
      <c r="BT136"/>
      <c r="BU136"/>
      <c r="BW136"/>
      <c r="BX136"/>
      <c r="BY136"/>
      <c r="BZ136"/>
      <c r="CA136"/>
      <c r="CB136"/>
      <c r="CD136">
        <v>1</v>
      </c>
      <c r="CE136"/>
      <c r="CF136"/>
      <c r="CG136"/>
      <c r="CH136"/>
      <c r="CI136"/>
      <c r="CJ136"/>
      <c r="CK136"/>
      <c r="CM136"/>
      <c r="CN136"/>
      <c r="CO136"/>
      <c r="CP136"/>
      <c r="CQ136"/>
      <c r="CR136"/>
      <c r="CT136">
        <v>1</v>
      </c>
      <c r="CU136"/>
      <c r="CV136"/>
      <c r="CW136"/>
      <c r="CX136"/>
      <c r="CY136"/>
      <c r="CZ136"/>
      <c r="DA136"/>
      <c r="DB136">
        <v>1</v>
      </c>
      <c r="DC136"/>
      <c r="DD136"/>
      <c r="DE136"/>
      <c r="DF136"/>
      <c r="DG136">
        <f>+Tabla31011704[[#This Row],[Longitud de eje]]*DB136</f>
        <v>0</v>
      </c>
      <c r="DH136"/>
      <c r="DI136">
        <v>1</v>
      </c>
      <c r="DJ136"/>
      <c r="DK136"/>
      <c r="DL136"/>
      <c r="DM136"/>
      <c r="DN136">
        <f>+Tabla3101170411[[#This Row],[Longitud de eje]]*DI136</f>
        <v>0</v>
      </c>
      <c r="DO136"/>
      <c r="DP136">
        <v>1</v>
      </c>
      <c r="DQ136"/>
      <c r="DR136"/>
      <c r="DS136"/>
      <c r="DT136"/>
      <c r="DU136">
        <f>+Tabla3101170411120[[#This Row],[Longitud de eje]]*DP136</f>
        <v>0</v>
      </c>
      <c r="DV136"/>
      <c r="DW136">
        <v>1</v>
      </c>
      <c r="DX136"/>
      <c r="DY136"/>
      <c r="DZ136"/>
      <c r="EA136"/>
      <c r="EB136">
        <f>+Tabla3101170411120122[[#This Row],[Longitud de eje]]*DW136</f>
        <v>0</v>
      </c>
      <c r="EC136"/>
      <c r="EE136"/>
      <c r="EF136"/>
      <c r="EG136"/>
      <c r="EH136"/>
      <c r="EI136"/>
      <c r="EJ136"/>
      <c r="EK136"/>
      <c r="EM136"/>
      <c r="EN136"/>
      <c r="EO136"/>
      <c r="EP136"/>
      <c r="EQ136"/>
      <c r="ER136"/>
      <c r="ES136"/>
      <c r="EU136"/>
      <c r="EV136"/>
      <c r="EW136"/>
      <c r="EX136"/>
      <c r="EY136"/>
      <c r="EZ136"/>
      <c r="FA136"/>
      <c r="FC136"/>
      <c r="FD136"/>
      <c r="FE136"/>
      <c r="FF136"/>
      <c r="FG136"/>
      <c r="FH136"/>
      <c r="FI136"/>
      <c r="FK136"/>
      <c r="FL136"/>
      <c r="FM136"/>
      <c r="FN136"/>
      <c r="FO136"/>
      <c r="FP136"/>
      <c r="FQ136"/>
      <c r="FS136"/>
      <c r="FT136"/>
      <c r="FU136"/>
      <c r="FV136"/>
      <c r="FW136"/>
      <c r="FX136"/>
      <c r="FY136"/>
      <c r="GA136"/>
      <c r="GB136"/>
      <c r="GC136"/>
      <c r="GD136"/>
      <c r="GE136"/>
      <c r="GF136"/>
      <c r="GG136"/>
      <c r="GI136"/>
      <c r="GJ136"/>
      <c r="GK136"/>
      <c r="GL136"/>
      <c r="GM136"/>
      <c r="GN136"/>
      <c r="GO136"/>
      <c r="JI136"/>
      <c r="JJ136"/>
      <c r="JK136"/>
      <c r="JL136"/>
      <c r="JM136"/>
      <c r="JN136"/>
      <c r="JO136" s="2">
        <f>+Tabla52021222425[[#This Row],[Recuento]]*Tabla52021222425[[#This Row],[Volúmen bruto]]</f>
        <v>0</v>
      </c>
      <c r="JP136" s="2">
        <f>+Tabla52021222425[[#This Row],[Recuento]]*Tabla52021222425[[#This Row],[Área neta]]</f>
        <v>0</v>
      </c>
      <c r="JQ136" s="26"/>
      <c r="YK136"/>
      <c r="YL136"/>
      <c r="YM136"/>
      <c r="YN136"/>
      <c r="YO136"/>
      <c r="ADJ136"/>
      <c r="ADK136"/>
      <c r="ADL136"/>
      <c r="ADM136"/>
      <c r="ADN136"/>
      <c r="ADP136" s="36"/>
      <c r="AFI136"/>
      <c r="AFJ136"/>
      <c r="AFK136"/>
      <c r="AFL136"/>
      <c r="AFM136"/>
      <c r="AFN136">
        <f>+Tabla578914151634353637383940414243444546474849505152535560626467[[#This Row],[G. Total]]*Tabla578914151634353637383940414243444546474849505152535560626467[[#This Row],[Recuento]]</f>
        <v>0</v>
      </c>
      <c r="AFO136" s="36"/>
    </row>
    <row r="137" spans="59:847" x14ac:dyDescent="0.25">
      <c r="BG137"/>
      <c r="BH137"/>
      <c r="BI137"/>
      <c r="BJ137"/>
      <c r="BK137"/>
      <c r="BL137">
        <f>+Tabla3102[[#This Row],[Longitud de eje]]*BF137</f>
        <v>0</v>
      </c>
      <c r="BM137">
        <f>+Tabla3102[[#This Row],[Longitud de eje]]*BG137</f>
        <v>0</v>
      </c>
      <c r="BO137"/>
      <c r="BP137"/>
      <c r="BQ137"/>
      <c r="BR137"/>
      <c r="BS137"/>
      <c r="BT137"/>
      <c r="BU137"/>
      <c r="BW137"/>
      <c r="BX137"/>
      <c r="BY137"/>
      <c r="BZ137"/>
      <c r="CA137"/>
      <c r="CB137"/>
      <c r="CD137">
        <v>1</v>
      </c>
      <c r="CE137"/>
      <c r="CF137"/>
      <c r="CG137"/>
      <c r="CH137"/>
      <c r="CI137"/>
      <c r="CJ137"/>
      <c r="CK137"/>
      <c r="CM137"/>
      <c r="CN137"/>
      <c r="CO137"/>
      <c r="CP137"/>
      <c r="CQ137"/>
      <c r="CR137"/>
      <c r="CT137">
        <v>1</v>
      </c>
      <c r="CU137"/>
      <c r="CV137"/>
      <c r="CW137"/>
      <c r="CX137"/>
      <c r="CY137"/>
      <c r="CZ137"/>
      <c r="DA137"/>
      <c r="DB137">
        <v>1</v>
      </c>
      <c r="DC137"/>
      <c r="DD137"/>
      <c r="DE137"/>
      <c r="DF137"/>
      <c r="DG137">
        <f>+Tabla31011704[[#This Row],[Longitud de eje]]*DB137</f>
        <v>0</v>
      </c>
      <c r="DH137"/>
      <c r="DI137">
        <v>1</v>
      </c>
      <c r="DJ137"/>
      <c r="DK137"/>
      <c r="DL137"/>
      <c r="DM137"/>
      <c r="DN137">
        <f>+Tabla3101170411[[#This Row],[Longitud de eje]]*DI137</f>
        <v>0</v>
      </c>
      <c r="DO137"/>
      <c r="DP137">
        <v>1</v>
      </c>
      <c r="DQ137"/>
      <c r="DR137"/>
      <c r="DS137"/>
      <c r="DT137"/>
      <c r="DU137">
        <f>+Tabla3101170411120[[#This Row],[Longitud de eje]]*DP137</f>
        <v>0</v>
      </c>
      <c r="DV137"/>
      <c r="DW137">
        <v>1</v>
      </c>
      <c r="DX137"/>
      <c r="DY137"/>
      <c r="DZ137"/>
      <c r="EA137"/>
      <c r="EB137">
        <f>+Tabla3101170411120122[[#This Row],[Longitud de eje]]*DW137</f>
        <v>0</v>
      </c>
      <c r="EC137"/>
      <c r="EE137"/>
      <c r="EF137"/>
      <c r="EG137"/>
      <c r="EH137"/>
      <c r="EI137"/>
      <c r="EJ137"/>
      <c r="EK137"/>
      <c r="EM137"/>
      <c r="EN137"/>
      <c r="EO137"/>
      <c r="EP137"/>
      <c r="EQ137"/>
      <c r="ER137"/>
      <c r="ES137"/>
      <c r="EU137"/>
      <c r="EV137"/>
      <c r="EW137"/>
      <c r="EX137"/>
      <c r="EY137"/>
      <c r="EZ137"/>
      <c r="FA137"/>
      <c r="FC137"/>
      <c r="FD137"/>
      <c r="FE137"/>
      <c r="FF137"/>
      <c r="FG137"/>
      <c r="FH137"/>
      <c r="FI137"/>
      <c r="FK137"/>
      <c r="FL137"/>
      <c r="FM137"/>
      <c r="FN137"/>
      <c r="FO137"/>
      <c r="FP137"/>
      <c r="FQ137"/>
      <c r="FS137"/>
      <c r="FT137"/>
      <c r="FU137"/>
      <c r="FV137"/>
      <c r="FW137"/>
      <c r="FX137"/>
      <c r="FY137"/>
      <c r="GA137"/>
      <c r="GB137"/>
      <c r="GC137"/>
      <c r="GD137"/>
      <c r="GE137"/>
      <c r="GF137"/>
      <c r="GG137"/>
      <c r="GI137"/>
      <c r="GJ137"/>
      <c r="GK137"/>
      <c r="GL137"/>
      <c r="GM137"/>
      <c r="GN137"/>
      <c r="GO137"/>
      <c r="JI137"/>
      <c r="JJ137"/>
      <c r="JK137"/>
      <c r="JL137"/>
      <c r="JM137"/>
      <c r="JN137"/>
      <c r="JO137" s="2">
        <f>+Tabla52021222425[[#This Row],[Recuento]]*Tabla52021222425[[#This Row],[Volúmen bruto]]</f>
        <v>0</v>
      </c>
      <c r="JP137" s="2">
        <f>+Tabla52021222425[[#This Row],[Recuento]]*Tabla52021222425[[#This Row],[Área neta]]</f>
        <v>0</v>
      </c>
      <c r="JQ137" s="26"/>
      <c r="YK137"/>
      <c r="YL137"/>
      <c r="YM137"/>
      <c r="YN137"/>
      <c r="YO137"/>
      <c r="ADJ137"/>
      <c r="ADK137"/>
      <c r="ADL137"/>
      <c r="ADM137"/>
      <c r="ADN137"/>
      <c r="ADP137" s="36"/>
      <c r="AFI137"/>
      <c r="AFJ137"/>
      <c r="AFK137"/>
      <c r="AFL137"/>
      <c r="AFM137"/>
      <c r="AFN137">
        <f>+Tabla578914151634353637383940414243444546474849505152535560626467[[#This Row],[G. Total]]*Tabla578914151634353637383940414243444546474849505152535560626467[[#This Row],[Recuento]]</f>
        <v>0</v>
      </c>
      <c r="AFO137" s="36"/>
    </row>
    <row r="138" spans="59:847" x14ac:dyDescent="0.25">
      <c r="BG138"/>
      <c r="BH138"/>
      <c r="BI138"/>
      <c r="BJ138"/>
      <c r="BK138"/>
      <c r="BL138">
        <f>+Tabla3102[[#This Row],[Longitud de eje]]*BF138</f>
        <v>0</v>
      </c>
      <c r="BM138">
        <f>+Tabla3102[[#This Row],[Longitud de eje]]*BG138</f>
        <v>0</v>
      </c>
      <c r="BO138"/>
      <c r="BP138"/>
      <c r="BQ138"/>
      <c r="BR138"/>
      <c r="BS138"/>
      <c r="BT138"/>
      <c r="BU138"/>
      <c r="BW138"/>
      <c r="BX138"/>
      <c r="BY138"/>
      <c r="BZ138"/>
      <c r="CA138"/>
      <c r="CB138"/>
      <c r="CD138">
        <v>1</v>
      </c>
      <c r="CE138"/>
      <c r="CF138"/>
      <c r="CG138"/>
      <c r="CH138"/>
      <c r="CI138"/>
      <c r="CJ138"/>
      <c r="CK138"/>
      <c r="CM138"/>
      <c r="CN138"/>
      <c r="CO138"/>
      <c r="CP138"/>
      <c r="CQ138"/>
      <c r="CR138"/>
      <c r="CT138">
        <v>1</v>
      </c>
      <c r="CU138"/>
      <c r="CV138"/>
      <c r="CW138"/>
      <c r="CX138"/>
      <c r="CY138"/>
      <c r="CZ138"/>
      <c r="DA138"/>
      <c r="DB138">
        <v>1</v>
      </c>
      <c r="DC138"/>
      <c r="DD138"/>
      <c r="DE138"/>
      <c r="DF138"/>
      <c r="DG138">
        <f>+Tabla31011704[[#This Row],[Longitud de eje]]*DB138</f>
        <v>0</v>
      </c>
      <c r="DH138"/>
      <c r="DI138">
        <v>1</v>
      </c>
      <c r="DJ138"/>
      <c r="DK138"/>
      <c r="DL138"/>
      <c r="DM138"/>
      <c r="DN138">
        <f>+Tabla3101170411[[#This Row],[Longitud de eje]]*DI138</f>
        <v>0</v>
      </c>
      <c r="DO138"/>
      <c r="DP138">
        <v>1</v>
      </c>
      <c r="DQ138"/>
      <c r="DR138"/>
      <c r="DS138"/>
      <c r="DT138"/>
      <c r="DU138">
        <f>+Tabla3101170411120[[#This Row],[Longitud de eje]]*DP138</f>
        <v>0</v>
      </c>
      <c r="DV138"/>
      <c r="DW138">
        <v>1</v>
      </c>
      <c r="DX138"/>
      <c r="DY138"/>
      <c r="DZ138"/>
      <c r="EA138"/>
      <c r="EB138">
        <f>+Tabla3101170411120122[[#This Row],[Longitud de eje]]*DW138</f>
        <v>0</v>
      </c>
      <c r="EC138"/>
      <c r="EE138"/>
      <c r="EF138"/>
      <c r="EG138"/>
      <c r="EH138"/>
      <c r="EI138"/>
      <c r="EJ138"/>
      <c r="EK138"/>
      <c r="EM138"/>
      <c r="EN138"/>
      <c r="EO138"/>
      <c r="EP138"/>
      <c r="EQ138"/>
      <c r="ER138"/>
      <c r="ES138"/>
      <c r="EU138"/>
      <c r="EV138"/>
      <c r="EW138"/>
      <c r="EX138"/>
      <c r="EY138"/>
      <c r="EZ138"/>
      <c r="FA138"/>
      <c r="FC138"/>
      <c r="FD138"/>
      <c r="FE138"/>
      <c r="FF138"/>
      <c r="FG138"/>
      <c r="FH138"/>
      <c r="FI138"/>
      <c r="FK138"/>
      <c r="FL138"/>
      <c r="FM138"/>
      <c r="FN138"/>
      <c r="FO138"/>
      <c r="FP138"/>
      <c r="FQ138"/>
      <c r="FS138"/>
      <c r="FT138"/>
      <c r="FU138"/>
      <c r="FV138"/>
      <c r="FW138"/>
      <c r="FX138"/>
      <c r="FY138"/>
      <c r="GA138"/>
      <c r="GB138"/>
      <c r="GC138"/>
      <c r="GD138"/>
      <c r="GE138"/>
      <c r="GF138"/>
      <c r="GG138"/>
      <c r="GI138"/>
      <c r="GJ138"/>
      <c r="GK138"/>
      <c r="GL138"/>
      <c r="GM138"/>
      <c r="GN138"/>
      <c r="GO138"/>
      <c r="JI138"/>
      <c r="JJ138"/>
      <c r="JK138"/>
      <c r="JL138"/>
      <c r="JM138"/>
      <c r="JN138"/>
      <c r="JO138" s="2">
        <f>+Tabla52021222425[[#This Row],[Recuento]]*Tabla52021222425[[#This Row],[Volúmen bruto]]</f>
        <v>0</v>
      </c>
      <c r="JP138" s="2">
        <f>+Tabla52021222425[[#This Row],[Recuento]]*Tabla52021222425[[#This Row],[Área neta]]</f>
        <v>0</v>
      </c>
      <c r="JQ138" s="26"/>
      <c r="YK138"/>
      <c r="YL138"/>
      <c r="YM138"/>
      <c r="YN138"/>
      <c r="YO138"/>
      <c r="ADJ138"/>
      <c r="ADK138"/>
      <c r="ADL138"/>
      <c r="ADM138"/>
      <c r="ADN138"/>
      <c r="ADP138" s="36"/>
      <c r="AFI138"/>
      <c r="AFJ138"/>
      <c r="AFK138"/>
      <c r="AFL138"/>
      <c r="AFM138"/>
      <c r="AFN138">
        <f>+Tabla578914151634353637383940414243444546474849505152535560626467[[#This Row],[G. Total]]*Tabla578914151634353637383940414243444546474849505152535560626467[[#This Row],[Recuento]]</f>
        <v>0</v>
      </c>
      <c r="AFO138" s="36"/>
    </row>
    <row r="139" spans="59:847" x14ac:dyDescent="0.25">
      <c r="BG139"/>
      <c r="BH139"/>
      <c r="BI139"/>
      <c r="BJ139"/>
      <c r="BK139"/>
      <c r="BL139">
        <f>+Tabla3102[[#This Row],[Longitud de eje]]*BF139</f>
        <v>0</v>
      </c>
      <c r="BM139">
        <f>+Tabla3102[[#This Row],[Longitud de eje]]*BG139</f>
        <v>0</v>
      </c>
      <c r="BO139"/>
      <c r="BP139"/>
      <c r="BQ139"/>
      <c r="BR139"/>
      <c r="BS139"/>
      <c r="BT139"/>
      <c r="BU139"/>
      <c r="BW139"/>
      <c r="BX139"/>
      <c r="BY139"/>
      <c r="BZ139"/>
      <c r="CA139"/>
      <c r="CB139"/>
      <c r="CD139">
        <v>1</v>
      </c>
      <c r="CE139"/>
      <c r="CF139"/>
      <c r="CG139"/>
      <c r="CH139"/>
      <c r="CI139"/>
      <c r="CJ139"/>
      <c r="CK139"/>
      <c r="CM139"/>
      <c r="CN139"/>
      <c r="CO139"/>
      <c r="CP139"/>
      <c r="CQ139"/>
      <c r="CR139"/>
      <c r="CT139">
        <v>1</v>
      </c>
      <c r="CU139"/>
      <c r="CV139"/>
      <c r="CW139"/>
      <c r="CX139"/>
      <c r="CY139"/>
      <c r="CZ139"/>
      <c r="DA139"/>
      <c r="DB139">
        <v>1</v>
      </c>
      <c r="DC139"/>
      <c r="DD139"/>
      <c r="DE139"/>
      <c r="DF139"/>
      <c r="DG139">
        <f>+Tabla31011704[[#This Row],[Longitud de eje]]*DB139</f>
        <v>0</v>
      </c>
      <c r="DH139"/>
      <c r="DI139">
        <v>1</v>
      </c>
      <c r="DJ139"/>
      <c r="DK139"/>
      <c r="DL139"/>
      <c r="DM139"/>
      <c r="DN139">
        <f>+Tabla3101170411[[#This Row],[Longitud de eje]]*DI139</f>
        <v>0</v>
      </c>
      <c r="DO139"/>
      <c r="DP139">
        <v>1</v>
      </c>
      <c r="DQ139"/>
      <c r="DR139"/>
      <c r="DS139"/>
      <c r="DT139"/>
      <c r="DU139">
        <f>+Tabla3101170411120[[#This Row],[Longitud de eje]]*DP139</f>
        <v>0</v>
      </c>
      <c r="DV139"/>
      <c r="DW139">
        <v>1</v>
      </c>
      <c r="DX139"/>
      <c r="DY139"/>
      <c r="DZ139"/>
      <c r="EA139"/>
      <c r="EB139">
        <f>+Tabla3101170411120122[[#This Row],[Longitud de eje]]*DW139</f>
        <v>0</v>
      </c>
      <c r="EC139"/>
      <c r="EE139"/>
      <c r="EF139"/>
      <c r="EG139"/>
      <c r="EH139"/>
      <c r="EI139"/>
      <c r="EJ139"/>
      <c r="EK139"/>
      <c r="EM139"/>
      <c r="EN139"/>
      <c r="EO139"/>
      <c r="EP139"/>
      <c r="EQ139"/>
      <c r="ER139"/>
      <c r="ES139"/>
      <c r="EU139"/>
      <c r="EV139"/>
      <c r="EW139"/>
      <c r="EX139"/>
      <c r="EY139"/>
      <c r="EZ139"/>
      <c r="FA139"/>
      <c r="FC139"/>
      <c r="FD139"/>
      <c r="FE139"/>
      <c r="FF139"/>
      <c r="FG139"/>
      <c r="FH139"/>
      <c r="FI139"/>
      <c r="FK139"/>
      <c r="FL139"/>
      <c r="FM139"/>
      <c r="FN139"/>
      <c r="FO139"/>
      <c r="FP139"/>
      <c r="FQ139"/>
      <c r="FS139"/>
      <c r="FT139"/>
      <c r="FU139"/>
      <c r="FV139"/>
      <c r="FW139"/>
      <c r="FX139"/>
      <c r="FY139"/>
      <c r="GA139"/>
      <c r="GB139"/>
      <c r="GC139"/>
      <c r="GD139"/>
      <c r="GE139"/>
      <c r="GF139"/>
      <c r="GG139"/>
      <c r="GI139"/>
      <c r="GJ139"/>
      <c r="GK139"/>
      <c r="GL139"/>
      <c r="GM139"/>
      <c r="GN139"/>
      <c r="GO139"/>
      <c r="JI139"/>
      <c r="JJ139"/>
      <c r="JK139"/>
      <c r="JL139"/>
      <c r="JM139"/>
      <c r="JN139"/>
      <c r="JO139" s="2">
        <f>+Tabla52021222425[[#This Row],[Recuento]]*Tabla52021222425[[#This Row],[Volúmen bruto]]</f>
        <v>0</v>
      </c>
      <c r="JP139" s="2">
        <f>+Tabla52021222425[[#This Row],[Recuento]]*Tabla52021222425[[#This Row],[Área neta]]</f>
        <v>0</v>
      </c>
      <c r="JQ139" s="26"/>
      <c r="YK139"/>
      <c r="YL139"/>
      <c r="YM139"/>
      <c r="YN139"/>
      <c r="YO139"/>
      <c r="ADJ139"/>
      <c r="ADK139"/>
      <c r="ADL139"/>
      <c r="ADM139"/>
      <c r="ADN139"/>
      <c r="ADP139" s="36"/>
      <c r="AFI139"/>
      <c r="AFJ139"/>
      <c r="AFK139"/>
      <c r="AFL139"/>
      <c r="AFM139"/>
      <c r="AFN139">
        <f>+Tabla578914151634353637383940414243444546474849505152535560626467[[#This Row],[G. Total]]*Tabla578914151634353637383940414243444546474849505152535560626467[[#This Row],[Recuento]]</f>
        <v>0</v>
      </c>
      <c r="AFO139" s="36"/>
    </row>
    <row r="140" spans="59:847" x14ac:dyDescent="0.25">
      <c r="BG140"/>
      <c r="BH140"/>
      <c r="BI140"/>
      <c r="BJ140"/>
      <c r="BK140"/>
      <c r="BL140">
        <f>+Tabla3102[[#This Row],[Longitud de eje]]*BF140</f>
        <v>0</v>
      </c>
      <c r="BM140">
        <f>+Tabla3102[[#This Row],[Longitud de eje]]*BG140</f>
        <v>0</v>
      </c>
      <c r="BO140"/>
      <c r="BP140"/>
      <c r="BQ140"/>
      <c r="BR140"/>
      <c r="BS140"/>
      <c r="BT140"/>
      <c r="BU140"/>
      <c r="BW140"/>
      <c r="BX140"/>
      <c r="BY140"/>
      <c r="BZ140"/>
      <c r="CA140"/>
      <c r="CB140"/>
      <c r="CD140">
        <v>1</v>
      </c>
      <c r="CE140"/>
      <c r="CF140"/>
      <c r="CG140"/>
      <c r="CH140"/>
      <c r="CI140"/>
      <c r="CJ140"/>
      <c r="CK140"/>
      <c r="CM140"/>
      <c r="CN140"/>
      <c r="CO140"/>
      <c r="CP140"/>
      <c r="CQ140"/>
      <c r="CR140"/>
      <c r="CT140">
        <v>1</v>
      </c>
      <c r="CU140"/>
      <c r="CV140"/>
      <c r="CW140"/>
      <c r="CX140"/>
      <c r="CY140"/>
      <c r="CZ140"/>
      <c r="DA140"/>
      <c r="DB140">
        <v>1</v>
      </c>
      <c r="DC140"/>
      <c r="DD140"/>
      <c r="DE140"/>
      <c r="DF140"/>
      <c r="DG140">
        <f>+Tabla31011704[[#This Row],[Longitud de eje]]*DB140</f>
        <v>0</v>
      </c>
      <c r="DH140"/>
      <c r="DI140">
        <v>1</v>
      </c>
      <c r="DJ140"/>
      <c r="DK140"/>
      <c r="DL140"/>
      <c r="DM140"/>
      <c r="DN140">
        <f>+Tabla3101170411[[#This Row],[Longitud de eje]]*DI140</f>
        <v>0</v>
      </c>
      <c r="DO140"/>
      <c r="DP140">
        <v>1</v>
      </c>
      <c r="DQ140"/>
      <c r="DR140"/>
      <c r="DS140"/>
      <c r="DT140"/>
      <c r="DU140">
        <f>+Tabla3101170411120[[#This Row],[Longitud de eje]]*DP140</f>
        <v>0</v>
      </c>
      <c r="DV140"/>
      <c r="DW140">
        <v>1</v>
      </c>
      <c r="DX140"/>
      <c r="DY140"/>
      <c r="DZ140"/>
      <c r="EA140"/>
      <c r="EB140">
        <f>+Tabla3101170411120122[[#This Row],[Longitud de eje]]*DW140</f>
        <v>0</v>
      </c>
      <c r="EC140"/>
      <c r="EE140"/>
      <c r="EF140"/>
      <c r="EG140"/>
      <c r="EH140"/>
      <c r="EI140"/>
      <c r="EJ140"/>
      <c r="EK140"/>
      <c r="EM140"/>
      <c r="EN140"/>
      <c r="EO140"/>
      <c r="EP140"/>
      <c r="EQ140"/>
      <c r="ER140"/>
      <c r="ES140"/>
      <c r="EU140"/>
      <c r="EV140"/>
      <c r="EW140"/>
      <c r="EX140"/>
      <c r="EY140"/>
      <c r="EZ140"/>
      <c r="FA140"/>
      <c r="FC140"/>
      <c r="FD140"/>
      <c r="FE140"/>
      <c r="FF140"/>
      <c r="FG140"/>
      <c r="FH140"/>
      <c r="FI140"/>
      <c r="FK140"/>
      <c r="FL140"/>
      <c r="FM140"/>
      <c r="FN140"/>
      <c r="FO140"/>
      <c r="FP140"/>
      <c r="FQ140"/>
      <c r="FS140"/>
      <c r="FT140"/>
      <c r="FU140"/>
      <c r="FV140"/>
      <c r="FW140"/>
      <c r="FX140"/>
      <c r="FY140"/>
      <c r="GA140"/>
      <c r="GB140"/>
      <c r="GC140"/>
      <c r="GD140"/>
      <c r="GE140"/>
      <c r="GF140"/>
      <c r="GG140"/>
      <c r="GI140"/>
      <c r="GJ140"/>
      <c r="GK140"/>
      <c r="GL140"/>
      <c r="GM140"/>
      <c r="GN140"/>
      <c r="GO140"/>
      <c r="JI140"/>
      <c r="JJ140"/>
      <c r="JK140"/>
      <c r="JL140"/>
      <c r="JM140"/>
      <c r="JN140"/>
      <c r="JO140" s="2">
        <f>+Tabla52021222425[[#This Row],[Recuento]]*Tabla52021222425[[#This Row],[Volúmen bruto]]</f>
        <v>0</v>
      </c>
      <c r="JP140" s="2">
        <f>+Tabla52021222425[[#This Row],[Recuento]]*Tabla52021222425[[#This Row],[Área neta]]</f>
        <v>0</v>
      </c>
      <c r="JQ140" s="26"/>
      <c r="YK140"/>
      <c r="YL140"/>
      <c r="YM140"/>
      <c r="YN140"/>
      <c r="YO140"/>
      <c r="ADJ140"/>
      <c r="ADK140"/>
      <c r="ADL140"/>
      <c r="ADM140"/>
      <c r="ADN140"/>
      <c r="ADP140" s="36"/>
      <c r="AFI140"/>
      <c r="AFJ140"/>
      <c r="AFK140"/>
      <c r="AFL140"/>
      <c r="AFM140"/>
      <c r="AFN140">
        <f>+Tabla578914151634353637383940414243444546474849505152535560626467[[#This Row],[G. Total]]*Tabla578914151634353637383940414243444546474849505152535560626467[[#This Row],[Recuento]]</f>
        <v>0</v>
      </c>
      <c r="AFO140" s="36"/>
    </row>
    <row r="141" spans="59:847" x14ac:dyDescent="0.25">
      <c r="BG141"/>
      <c r="BH141"/>
      <c r="BI141"/>
      <c r="BJ141"/>
      <c r="BK141"/>
      <c r="BL141">
        <f>+Tabla3102[[#This Row],[Longitud de eje]]*BF141</f>
        <v>0</v>
      </c>
      <c r="BM141">
        <f>+Tabla3102[[#This Row],[Longitud de eje]]*BG141</f>
        <v>0</v>
      </c>
      <c r="BO141"/>
      <c r="BP141"/>
      <c r="BQ141"/>
      <c r="BR141"/>
      <c r="BS141"/>
      <c r="BT141"/>
      <c r="BU141"/>
      <c r="BW141"/>
      <c r="BX141"/>
      <c r="BY141"/>
      <c r="BZ141"/>
      <c r="CA141"/>
      <c r="CB141"/>
      <c r="CD141">
        <v>1</v>
      </c>
      <c r="CE141"/>
      <c r="CF141"/>
      <c r="CG141"/>
      <c r="CH141"/>
      <c r="CI141"/>
      <c r="CJ141"/>
      <c r="CK141"/>
      <c r="CM141"/>
      <c r="CN141"/>
      <c r="CO141"/>
      <c r="CP141"/>
      <c r="CQ141"/>
      <c r="CR141"/>
      <c r="CT141">
        <v>1</v>
      </c>
      <c r="CU141"/>
      <c r="CV141"/>
      <c r="CW141"/>
      <c r="CX141"/>
      <c r="CY141"/>
      <c r="CZ141"/>
      <c r="DA141"/>
      <c r="DB141">
        <v>1</v>
      </c>
      <c r="DC141"/>
      <c r="DD141"/>
      <c r="DE141"/>
      <c r="DF141"/>
      <c r="DG141">
        <f>+Tabla31011704[[#This Row],[Longitud de eje]]*DB141</f>
        <v>0</v>
      </c>
      <c r="DH141"/>
      <c r="DI141">
        <v>1</v>
      </c>
      <c r="DJ141"/>
      <c r="DK141"/>
      <c r="DL141"/>
      <c r="DM141"/>
      <c r="DN141">
        <f>+Tabla3101170411[[#This Row],[Longitud de eje]]*DI141</f>
        <v>0</v>
      </c>
      <c r="DO141"/>
      <c r="DP141">
        <v>1</v>
      </c>
      <c r="DQ141"/>
      <c r="DR141"/>
      <c r="DS141"/>
      <c r="DT141"/>
      <c r="DU141">
        <f>+Tabla3101170411120[[#This Row],[Longitud de eje]]*DP141</f>
        <v>0</v>
      </c>
      <c r="DV141"/>
      <c r="DW141">
        <v>1</v>
      </c>
      <c r="DX141"/>
      <c r="DY141"/>
      <c r="DZ141"/>
      <c r="EA141"/>
      <c r="EB141">
        <f>+Tabla3101170411120122[[#This Row],[Longitud de eje]]*DW141</f>
        <v>0</v>
      </c>
      <c r="EC141"/>
      <c r="EE141"/>
      <c r="EF141"/>
      <c r="EG141"/>
      <c r="EH141"/>
      <c r="EI141"/>
      <c r="EJ141"/>
      <c r="EK141"/>
      <c r="EM141"/>
      <c r="EN141"/>
      <c r="EO141"/>
      <c r="EP141"/>
      <c r="EQ141"/>
      <c r="ER141"/>
      <c r="ES141"/>
      <c r="EU141"/>
      <c r="EV141"/>
      <c r="EW141"/>
      <c r="EX141"/>
      <c r="EY141"/>
      <c r="EZ141"/>
      <c r="FA141"/>
      <c r="FC141"/>
      <c r="FD141"/>
      <c r="FE141"/>
      <c r="FF141"/>
      <c r="FG141"/>
      <c r="FH141"/>
      <c r="FI141"/>
      <c r="FK141"/>
      <c r="FL141"/>
      <c r="FM141"/>
      <c r="FN141"/>
      <c r="FO141"/>
      <c r="FP141"/>
      <c r="FQ141"/>
      <c r="FS141"/>
      <c r="FT141"/>
      <c r="FU141"/>
      <c r="FV141"/>
      <c r="FW141"/>
      <c r="FX141"/>
      <c r="FY141"/>
      <c r="GA141"/>
      <c r="GB141"/>
      <c r="GC141"/>
      <c r="GD141"/>
      <c r="GE141"/>
      <c r="GF141"/>
      <c r="GG141"/>
      <c r="GI141"/>
      <c r="GJ141"/>
      <c r="GK141"/>
      <c r="GL141"/>
      <c r="GM141"/>
      <c r="GN141"/>
      <c r="GO141"/>
      <c r="JI141"/>
      <c r="JJ141"/>
      <c r="JK141"/>
      <c r="JL141"/>
      <c r="JM141"/>
      <c r="JN141"/>
      <c r="JO141" s="2">
        <f>+Tabla52021222425[[#This Row],[Recuento]]*Tabla52021222425[[#This Row],[Volúmen bruto]]</f>
        <v>0</v>
      </c>
      <c r="JP141" s="2">
        <f>+Tabla52021222425[[#This Row],[Recuento]]*Tabla52021222425[[#This Row],[Área neta]]</f>
        <v>0</v>
      </c>
      <c r="JQ141" s="26"/>
      <c r="YK141"/>
      <c r="YL141"/>
      <c r="YM141"/>
      <c r="YN141"/>
      <c r="YO141"/>
      <c r="ADJ141"/>
      <c r="ADK141"/>
      <c r="ADL141"/>
      <c r="ADM141"/>
      <c r="ADN141"/>
      <c r="ADP141" s="36"/>
      <c r="AFI141"/>
      <c r="AFJ141"/>
      <c r="AFK141"/>
      <c r="AFL141"/>
      <c r="AFM141"/>
      <c r="AFN141">
        <f>+Tabla578914151634353637383940414243444546474849505152535560626467[[#This Row],[G. Total]]*Tabla578914151634353637383940414243444546474849505152535560626467[[#This Row],[Recuento]]</f>
        <v>0</v>
      </c>
      <c r="AFO141" s="36"/>
    </row>
    <row r="142" spans="59:847" x14ac:dyDescent="0.25">
      <c r="BG142"/>
      <c r="BH142"/>
      <c r="BI142"/>
      <c r="BJ142"/>
      <c r="BK142"/>
      <c r="BL142">
        <f>+Tabla3102[[#This Row],[Longitud de eje]]*BF142</f>
        <v>0</v>
      </c>
      <c r="BM142">
        <f>+Tabla3102[[#This Row],[Longitud de eje]]*BG142</f>
        <v>0</v>
      </c>
      <c r="BO142"/>
      <c r="BP142"/>
      <c r="BQ142"/>
      <c r="BR142"/>
      <c r="BS142"/>
      <c r="BT142"/>
      <c r="BU142"/>
      <c r="BW142"/>
      <c r="BX142"/>
      <c r="BY142"/>
      <c r="BZ142"/>
      <c r="CA142"/>
      <c r="CB142"/>
      <c r="CD142">
        <v>1</v>
      </c>
      <c r="CE142"/>
      <c r="CF142"/>
      <c r="CG142"/>
      <c r="CH142"/>
      <c r="CI142"/>
      <c r="CJ142"/>
      <c r="CK142"/>
      <c r="CM142"/>
      <c r="CN142"/>
      <c r="CO142"/>
      <c r="CP142"/>
      <c r="CQ142"/>
      <c r="CR142"/>
      <c r="CT142">
        <v>1</v>
      </c>
      <c r="CU142"/>
      <c r="CV142"/>
      <c r="CW142"/>
      <c r="CX142"/>
      <c r="CY142"/>
      <c r="CZ142"/>
      <c r="DA142"/>
      <c r="DB142">
        <v>1</v>
      </c>
      <c r="DC142"/>
      <c r="DD142"/>
      <c r="DE142"/>
      <c r="DF142"/>
      <c r="DG142">
        <f>+Tabla31011704[[#This Row],[Longitud de eje]]*DB142</f>
        <v>0</v>
      </c>
      <c r="DH142"/>
      <c r="DI142">
        <v>1</v>
      </c>
      <c r="DJ142"/>
      <c r="DK142"/>
      <c r="DL142"/>
      <c r="DM142"/>
      <c r="DN142">
        <f>+Tabla3101170411[[#This Row],[Longitud de eje]]*DI142</f>
        <v>0</v>
      </c>
      <c r="DO142"/>
      <c r="DP142">
        <v>1</v>
      </c>
      <c r="DQ142"/>
      <c r="DR142"/>
      <c r="DS142"/>
      <c r="DT142"/>
      <c r="DU142">
        <f>+Tabla3101170411120[[#This Row],[Longitud de eje]]*DP142</f>
        <v>0</v>
      </c>
      <c r="DV142"/>
      <c r="DW142">
        <v>1</v>
      </c>
      <c r="DX142"/>
      <c r="DY142"/>
      <c r="DZ142"/>
      <c r="EA142"/>
      <c r="EB142">
        <f>+Tabla3101170411120122[[#This Row],[Longitud de eje]]*DW142</f>
        <v>0</v>
      </c>
      <c r="EC142"/>
      <c r="EE142"/>
      <c r="EF142"/>
      <c r="EG142"/>
      <c r="EH142"/>
      <c r="EI142"/>
      <c r="EJ142"/>
      <c r="EK142"/>
      <c r="EM142"/>
      <c r="EN142"/>
      <c r="EO142"/>
      <c r="EP142"/>
      <c r="EQ142"/>
      <c r="ER142"/>
      <c r="ES142"/>
      <c r="EU142"/>
      <c r="EV142"/>
      <c r="EW142"/>
      <c r="EX142"/>
      <c r="EY142"/>
      <c r="EZ142"/>
      <c r="FA142"/>
      <c r="FC142"/>
      <c r="FD142"/>
      <c r="FE142"/>
      <c r="FF142"/>
      <c r="FG142"/>
      <c r="FH142"/>
      <c r="FI142"/>
      <c r="FK142"/>
      <c r="FL142"/>
      <c r="FM142"/>
      <c r="FN142"/>
      <c r="FO142"/>
      <c r="FP142"/>
      <c r="FQ142"/>
      <c r="FS142"/>
      <c r="FT142"/>
      <c r="FU142"/>
      <c r="FV142"/>
      <c r="FW142"/>
      <c r="FX142"/>
      <c r="FY142"/>
      <c r="GA142"/>
      <c r="GB142"/>
      <c r="GC142"/>
      <c r="GD142"/>
      <c r="GE142"/>
      <c r="GF142"/>
      <c r="GG142"/>
      <c r="GI142"/>
      <c r="GJ142"/>
      <c r="GK142"/>
      <c r="GL142"/>
      <c r="GM142"/>
      <c r="GN142"/>
      <c r="GO142"/>
      <c r="JI142"/>
      <c r="JJ142"/>
      <c r="JK142"/>
      <c r="JL142"/>
      <c r="JM142"/>
      <c r="JN142"/>
      <c r="JO142" s="2">
        <f>+Tabla52021222425[[#This Row],[Recuento]]*Tabla52021222425[[#This Row],[Volúmen bruto]]</f>
        <v>0</v>
      </c>
      <c r="JP142" s="2">
        <f>+Tabla52021222425[[#This Row],[Recuento]]*Tabla52021222425[[#This Row],[Área neta]]</f>
        <v>0</v>
      </c>
      <c r="JQ142" s="26"/>
      <c r="YK142"/>
      <c r="YL142"/>
      <c r="YM142"/>
      <c r="YN142"/>
      <c r="YO142"/>
      <c r="ADJ142"/>
      <c r="ADK142"/>
      <c r="ADL142"/>
      <c r="ADM142"/>
      <c r="ADN142"/>
      <c r="ADP142" s="36"/>
      <c r="AFI142"/>
      <c r="AFJ142"/>
      <c r="AFK142"/>
      <c r="AFL142"/>
      <c r="AFM142"/>
      <c r="AFN142">
        <f>+Tabla578914151634353637383940414243444546474849505152535560626467[[#This Row],[G. Total]]*Tabla578914151634353637383940414243444546474849505152535560626467[[#This Row],[Recuento]]</f>
        <v>0</v>
      </c>
      <c r="AFO142" s="36"/>
    </row>
    <row r="143" spans="59:847" x14ac:dyDescent="0.25">
      <c r="BG143"/>
      <c r="BH143"/>
      <c r="BI143"/>
      <c r="BJ143"/>
      <c r="BK143"/>
      <c r="BL143">
        <f>+Tabla3102[[#This Row],[Longitud de eje]]*BF143</f>
        <v>0</v>
      </c>
      <c r="BM143">
        <f>+Tabla3102[[#This Row],[Longitud de eje]]*BG143</f>
        <v>0</v>
      </c>
      <c r="BO143"/>
      <c r="BP143"/>
      <c r="BQ143"/>
      <c r="BR143"/>
      <c r="BS143"/>
      <c r="BT143"/>
      <c r="BU143"/>
      <c r="BW143"/>
      <c r="BX143"/>
      <c r="BY143"/>
      <c r="BZ143"/>
      <c r="CA143"/>
      <c r="CB143"/>
      <c r="CD143">
        <v>1</v>
      </c>
      <c r="CE143"/>
      <c r="CF143"/>
      <c r="CG143"/>
      <c r="CH143"/>
      <c r="CI143"/>
      <c r="CJ143"/>
      <c r="CK143"/>
      <c r="CM143"/>
      <c r="CN143"/>
      <c r="CO143"/>
      <c r="CP143"/>
      <c r="CQ143"/>
      <c r="CR143"/>
      <c r="CT143">
        <v>1</v>
      </c>
      <c r="CU143"/>
      <c r="CV143"/>
      <c r="CW143"/>
      <c r="CX143"/>
      <c r="CY143"/>
      <c r="CZ143"/>
      <c r="DA143"/>
      <c r="DB143">
        <v>1</v>
      </c>
      <c r="DC143"/>
      <c r="DD143"/>
      <c r="DE143"/>
      <c r="DF143"/>
      <c r="DG143">
        <f>+Tabla31011704[[#This Row],[Longitud de eje]]*DB143</f>
        <v>0</v>
      </c>
      <c r="DH143"/>
      <c r="DI143">
        <v>1</v>
      </c>
      <c r="DJ143"/>
      <c r="DK143"/>
      <c r="DL143"/>
      <c r="DM143"/>
      <c r="DN143">
        <f>+Tabla3101170411[[#This Row],[Longitud de eje]]*DI143</f>
        <v>0</v>
      </c>
      <c r="DO143"/>
      <c r="DP143">
        <v>1</v>
      </c>
      <c r="DQ143"/>
      <c r="DR143"/>
      <c r="DS143"/>
      <c r="DT143"/>
      <c r="DU143">
        <f>+Tabla3101170411120[[#This Row],[Longitud de eje]]*DP143</f>
        <v>0</v>
      </c>
      <c r="DV143"/>
      <c r="DW143">
        <v>1</v>
      </c>
      <c r="DX143"/>
      <c r="DY143"/>
      <c r="DZ143"/>
      <c r="EA143"/>
      <c r="EB143">
        <f>+Tabla3101170411120122[[#This Row],[Longitud de eje]]*DW143</f>
        <v>0</v>
      </c>
      <c r="EC143"/>
      <c r="EE143"/>
      <c r="EF143"/>
      <c r="EG143"/>
      <c r="EH143"/>
      <c r="EI143"/>
      <c r="EJ143"/>
      <c r="EK143"/>
      <c r="EM143"/>
      <c r="EN143"/>
      <c r="EO143"/>
      <c r="EP143"/>
      <c r="EQ143"/>
      <c r="ER143"/>
      <c r="ES143"/>
      <c r="EU143"/>
      <c r="EV143"/>
      <c r="EW143"/>
      <c r="EX143"/>
      <c r="EY143"/>
      <c r="EZ143"/>
      <c r="FA143"/>
      <c r="FC143"/>
      <c r="FD143"/>
      <c r="FE143"/>
      <c r="FF143"/>
      <c r="FG143"/>
      <c r="FH143"/>
      <c r="FI143"/>
      <c r="FK143"/>
      <c r="FL143"/>
      <c r="FM143"/>
      <c r="FN143"/>
      <c r="FO143"/>
      <c r="FP143"/>
      <c r="FQ143"/>
      <c r="FS143"/>
      <c r="FT143"/>
      <c r="FU143"/>
      <c r="FV143"/>
      <c r="FW143"/>
      <c r="FX143"/>
      <c r="FY143"/>
      <c r="GA143"/>
      <c r="GB143"/>
      <c r="GC143"/>
      <c r="GD143"/>
      <c r="GE143"/>
      <c r="GF143"/>
      <c r="GG143"/>
      <c r="GI143"/>
      <c r="GJ143"/>
      <c r="GK143"/>
      <c r="GL143"/>
      <c r="GM143"/>
      <c r="GN143"/>
      <c r="GO143"/>
      <c r="JI143"/>
      <c r="JJ143"/>
      <c r="JK143"/>
      <c r="JL143"/>
      <c r="JM143"/>
      <c r="JN143"/>
      <c r="JO143" s="2">
        <f>+Tabla52021222425[[#This Row],[Recuento]]*Tabla52021222425[[#This Row],[Volúmen bruto]]</f>
        <v>0</v>
      </c>
      <c r="JP143" s="2">
        <f>+Tabla52021222425[[#This Row],[Recuento]]*Tabla52021222425[[#This Row],[Área neta]]</f>
        <v>0</v>
      </c>
      <c r="JQ143" s="26"/>
      <c r="YK143"/>
      <c r="YL143"/>
      <c r="YM143"/>
      <c r="YN143"/>
      <c r="YO143"/>
      <c r="ADJ143"/>
      <c r="ADK143"/>
      <c r="ADL143"/>
      <c r="ADM143"/>
      <c r="ADN143"/>
      <c r="ADP143" s="36"/>
      <c r="AFI143"/>
      <c r="AFJ143"/>
      <c r="AFK143"/>
      <c r="AFL143"/>
      <c r="AFM143"/>
      <c r="AFN143">
        <f>+Tabla578914151634353637383940414243444546474849505152535560626467[[#This Row],[G. Total]]*Tabla578914151634353637383940414243444546474849505152535560626467[[#This Row],[Recuento]]</f>
        <v>0</v>
      </c>
      <c r="AFO143" s="36"/>
    </row>
    <row r="144" spans="59:847" x14ac:dyDescent="0.25">
      <c r="BG144"/>
      <c r="BH144"/>
      <c r="BI144"/>
      <c r="BJ144"/>
      <c r="BK144"/>
      <c r="BL144">
        <f>+Tabla3102[[#This Row],[Longitud de eje]]*BF144</f>
        <v>0</v>
      </c>
      <c r="BM144">
        <f>+Tabla3102[[#This Row],[Longitud de eje]]*BG144</f>
        <v>0</v>
      </c>
      <c r="BO144"/>
      <c r="BP144"/>
      <c r="BQ144"/>
      <c r="BR144"/>
      <c r="BS144"/>
      <c r="BT144"/>
      <c r="BU144"/>
      <c r="BW144"/>
      <c r="BX144"/>
      <c r="BY144"/>
      <c r="BZ144"/>
      <c r="CA144"/>
      <c r="CB144"/>
      <c r="CD144">
        <v>1</v>
      </c>
      <c r="CE144"/>
      <c r="CF144"/>
      <c r="CG144"/>
      <c r="CH144"/>
      <c r="CI144"/>
      <c r="CJ144"/>
      <c r="CK144"/>
      <c r="CM144"/>
      <c r="CN144"/>
      <c r="CO144"/>
      <c r="CP144"/>
      <c r="CQ144"/>
      <c r="CR144"/>
      <c r="CT144">
        <v>1</v>
      </c>
      <c r="CU144"/>
      <c r="CV144"/>
      <c r="CW144"/>
      <c r="CX144"/>
      <c r="CY144"/>
      <c r="CZ144"/>
      <c r="DA144"/>
      <c r="DB144">
        <v>1</v>
      </c>
      <c r="DC144"/>
      <c r="DD144"/>
      <c r="DE144"/>
      <c r="DF144"/>
      <c r="DG144">
        <f>+Tabla31011704[[#This Row],[Longitud de eje]]*DB144</f>
        <v>0</v>
      </c>
      <c r="DH144"/>
      <c r="DI144">
        <v>1</v>
      </c>
      <c r="DJ144"/>
      <c r="DK144"/>
      <c r="DL144"/>
      <c r="DM144"/>
      <c r="DN144">
        <f>+Tabla3101170411[[#This Row],[Longitud de eje]]*DI144</f>
        <v>0</v>
      </c>
      <c r="DO144"/>
      <c r="DP144">
        <v>1</v>
      </c>
      <c r="DQ144"/>
      <c r="DR144"/>
      <c r="DS144"/>
      <c r="DT144"/>
      <c r="DU144">
        <f>+Tabla3101170411120[[#This Row],[Longitud de eje]]*DP144</f>
        <v>0</v>
      </c>
      <c r="DV144"/>
      <c r="DW144">
        <v>1</v>
      </c>
      <c r="DX144"/>
      <c r="DY144"/>
      <c r="DZ144"/>
      <c r="EA144"/>
      <c r="EB144">
        <f>+Tabla3101170411120122[[#This Row],[Longitud de eje]]*DW144</f>
        <v>0</v>
      </c>
      <c r="EC144"/>
      <c r="EE144"/>
      <c r="EF144"/>
      <c r="EG144"/>
      <c r="EH144"/>
      <c r="EI144"/>
      <c r="EJ144"/>
      <c r="EK144"/>
      <c r="EM144"/>
      <c r="EN144"/>
      <c r="EO144"/>
      <c r="EP144"/>
      <c r="EQ144"/>
      <c r="ER144"/>
      <c r="ES144"/>
      <c r="EU144"/>
      <c r="EV144"/>
      <c r="EW144"/>
      <c r="EX144"/>
      <c r="EY144"/>
      <c r="EZ144"/>
      <c r="FA144"/>
      <c r="FC144"/>
      <c r="FD144"/>
      <c r="FE144"/>
      <c r="FF144"/>
      <c r="FG144"/>
      <c r="FH144"/>
      <c r="FI144"/>
      <c r="FK144"/>
      <c r="FL144"/>
      <c r="FM144"/>
      <c r="FN144"/>
      <c r="FO144"/>
      <c r="FP144"/>
      <c r="FQ144"/>
      <c r="FS144"/>
      <c r="FT144"/>
      <c r="FU144"/>
      <c r="FV144"/>
      <c r="FW144"/>
      <c r="FX144"/>
      <c r="FY144"/>
      <c r="GA144"/>
      <c r="GB144"/>
      <c r="GC144"/>
      <c r="GD144"/>
      <c r="GE144"/>
      <c r="GF144"/>
      <c r="GG144"/>
      <c r="GI144"/>
      <c r="GJ144"/>
      <c r="GK144"/>
      <c r="GL144"/>
      <c r="GM144"/>
      <c r="GN144"/>
      <c r="GO144"/>
      <c r="JI144"/>
      <c r="JJ144"/>
      <c r="JK144"/>
      <c r="JL144"/>
      <c r="JM144"/>
      <c r="JN144"/>
      <c r="JO144" s="2">
        <f>+Tabla52021222425[[#This Row],[Recuento]]*Tabla52021222425[[#This Row],[Volúmen bruto]]</f>
        <v>0</v>
      </c>
      <c r="JP144" s="2">
        <f>+Tabla52021222425[[#This Row],[Recuento]]*Tabla52021222425[[#This Row],[Área neta]]</f>
        <v>0</v>
      </c>
      <c r="JQ144" s="26"/>
      <c r="YK144"/>
      <c r="YL144"/>
      <c r="YM144"/>
      <c r="YN144"/>
      <c r="YO144"/>
      <c r="ADJ144"/>
      <c r="ADK144"/>
      <c r="ADL144"/>
      <c r="ADM144"/>
      <c r="ADN144"/>
      <c r="ADP144" s="36"/>
      <c r="AFI144"/>
      <c r="AFJ144"/>
      <c r="AFK144"/>
      <c r="AFL144"/>
      <c r="AFM144"/>
      <c r="AFN144">
        <f>+Tabla578914151634353637383940414243444546474849505152535560626467[[#This Row],[G. Total]]*Tabla578914151634353637383940414243444546474849505152535560626467[[#This Row],[Recuento]]</f>
        <v>0</v>
      </c>
      <c r="AFO144" s="36"/>
    </row>
    <row r="145" spans="59:847" x14ac:dyDescent="0.25">
      <c r="BG145"/>
      <c r="BH145"/>
      <c r="BI145"/>
      <c r="BJ145"/>
      <c r="BK145"/>
      <c r="BL145">
        <f>+Tabla3102[[#This Row],[Longitud de eje]]*BF145</f>
        <v>0</v>
      </c>
      <c r="BM145">
        <f>+Tabla3102[[#This Row],[Longitud de eje]]*BG145</f>
        <v>0</v>
      </c>
      <c r="BO145"/>
      <c r="BP145"/>
      <c r="BQ145"/>
      <c r="BR145"/>
      <c r="BS145"/>
      <c r="BT145"/>
      <c r="BU145"/>
      <c r="BW145"/>
      <c r="BX145"/>
      <c r="BY145"/>
      <c r="BZ145"/>
      <c r="CA145"/>
      <c r="CB145"/>
      <c r="CD145">
        <v>1</v>
      </c>
      <c r="CE145"/>
      <c r="CF145"/>
      <c r="CG145"/>
      <c r="CH145"/>
      <c r="CI145"/>
      <c r="CJ145"/>
      <c r="CK145"/>
      <c r="CM145"/>
      <c r="CN145"/>
      <c r="CO145"/>
      <c r="CP145"/>
      <c r="CQ145"/>
      <c r="CR145"/>
      <c r="CT145">
        <v>1</v>
      </c>
      <c r="CU145"/>
      <c r="CV145"/>
      <c r="CW145"/>
      <c r="CX145"/>
      <c r="CY145"/>
      <c r="CZ145"/>
      <c r="DA145"/>
      <c r="DB145">
        <v>1</v>
      </c>
      <c r="DC145"/>
      <c r="DD145"/>
      <c r="DE145"/>
      <c r="DF145"/>
      <c r="DG145">
        <f>+Tabla31011704[[#This Row],[Longitud de eje]]*DB145</f>
        <v>0</v>
      </c>
      <c r="DH145"/>
      <c r="DI145">
        <v>1</v>
      </c>
      <c r="DJ145"/>
      <c r="DK145"/>
      <c r="DL145"/>
      <c r="DM145"/>
      <c r="DN145">
        <f>+Tabla3101170411[[#This Row],[Longitud de eje]]*DI145</f>
        <v>0</v>
      </c>
      <c r="DO145"/>
      <c r="DP145">
        <v>1</v>
      </c>
      <c r="DQ145"/>
      <c r="DR145"/>
      <c r="DS145"/>
      <c r="DT145"/>
      <c r="DU145">
        <f>+Tabla3101170411120[[#This Row],[Longitud de eje]]*DP145</f>
        <v>0</v>
      </c>
      <c r="DV145"/>
      <c r="DW145">
        <v>1</v>
      </c>
      <c r="DX145"/>
      <c r="DY145"/>
      <c r="DZ145"/>
      <c r="EA145"/>
      <c r="EB145">
        <f>+Tabla3101170411120122[[#This Row],[Longitud de eje]]*DW145</f>
        <v>0</v>
      </c>
      <c r="EC145"/>
      <c r="EE145"/>
      <c r="EF145"/>
      <c r="EG145"/>
      <c r="EH145"/>
      <c r="EI145"/>
      <c r="EJ145"/>
      <c r="EK145"/>
      <c r="EM145"/>
      <c r="EN145"/>
      <c r="EO145"/>
      <c r="EP145"/>
      <c r="EQ145"/>
      <c r="ER145"/>
      <c r="ES145"/>
      <c r="EU145"/>
      <c r="EV145"/>
      <c r="EW145"/>
      <c r="EX145"/>
      <c r="EY145"/>
      <c r="EZ145"/>
      <c r="FA145"/>
      <c r="FC145"/>
      <c r="FD145"/>
      <c r="FE145"/>
      <c r="FF145"/>
      <c r="FG145"/>
      <c r="FH145"/>
      <c r="FI145"/>
      <c r="FK145"/>
      <c r="FL145"/>
      <c r="FM145"/>
      <c r="FN145"/>
      <c r="FO145"/>
      <c r="FP145"/>
      <c r="FQ145"/>
      <c r="FS145"/>
      <c r="FT145"/>
      <c r="FU145"/>
      <c r="FV145"/>
      <c r="FW145"/>
      <c r="FX145"/>
      <c r="FY145"/>
      <c r="GA145"/>
      <c r="GB145"/>
      <c r="GC145"/>
      <c r="GD145"/>
      <c r="GE145"/>
      <c r="GF145"/>
      <c r="GG145"/>
      <c r="GI145"/>
      <c r="GJ145"/>
      <c r="GK145"/>
      <c r="GL145"/>
      <c r="GM145"/>
      <c r="GN145"/>
      <c r="GO145"/>
      <c r="YK145"/>
      <c r="YL145"/>
      <c r="YM145"/>
      <c r="YN145"/>
      <c r="YO145"/>
      <c r="ADJ145"/>
      <c r="ADK145"/>
      <c r="ADL145"/>
      <c r="ADM145"/>
      <c r="ADN145"/>
      <c r="ADP145" s="35">
        <f>+SUM(ADM145)</f>
        <v>0</v>
      </c>
      <c r="AFI145"/>
      <c r="AFJ145"/>
      <c r="AFK145"/>
      <c r="AFL145"/>
      <c r="AFM145"/>
      <c r="AFN145">
        <f>+Tabla578914151634353637383940414243444546474849505152535560626467[[#This Row],[G. Total]]*Tabla578914151634353637383940414243444546474849505152535560626467[[#This Row],[Recuento]]</f>
        <v>0</v>
      </c>
      <c r="AFO145" s="36"/>
    </row>
    <row r="146" spans="59:847" x14ac:dyDescent="0.25">
      <c r="BG146"/>
      <c r="BH146"/>
      <c r="BI146"/>
      <c r="BJ146"/>
      <c r="BK146"/>
      <c r="BL146">
        <f>+Tabla3102[[#This Row],[Longitud de eje]]*BF146</f>
        <v>0</v>
      </c>
      <c r="BM146">
        <f>+Tabla3102[[#This Row],[Longitud de eje]]*BG146</f>
        <v>0</v>
      </c>
      <c r="BO146"/>
      <c r="BP146"/>
      <c r="BQ146"/>
      <c r="BR146"/>
      <c r="BS146"/>
      <c r="BT146"/>
      <c r="BU146"/>
      <c r="BW146"/>
      <c r="BX146"/>
      <c r="BY146"/>
      <c r="BZ146"/>
      <c r="CA146"/>
      <c r="CB146"/>
      <c r="CD146">
        <v>1</v>
      </c>
      <c r="CE146"/>
      <c r="CF146"/>
      <c r="CG146"/>
      <c r="CH146"/>
      <c r="CI146"/>
      <c r="CJ146"/>
      <c r="CK146"/>
      <c r="CM146"/>
      <c r="CN146"/>
      <c r="CO146"/>
      <c r="CP146"/>
      <c r="CQ146"/>
      <c r="CR146"/>
      <c r="CT146">
        <v>1</v>
      </c>
      <c r="CU146"/>
      <c r="CV146"/>
      <c r="CW146"/>
      <c r="CX146"/>
      <c r="CY146"/>
      <c r="CZ146"/>
      <c r="DA146"/>
      <c r="DB146">
        <v>1</v>
      </c>
      <c r="DC146"/>
      <c r="DD146"/>
      <c r="DE146"/>
      <c r="DF146"/>
      <c r="DG146">
        <f>+Tabla31011704[[#This Row],[Longitud de eje]]*DB146</f>
        <v>0</v>
      </c>
      <c r="DH146"/>
      <c r="DI146">
        <v>1</v>
      </c>
      <c r="DJ146"/>
      <c r="DK146"/>
      <c r="DL146"/>
      <c r="DM146"/>
      <c r="DN146">
        <f>+Tabla3101170411[[#This Row],[Longitud de eje]]*DI146</f>
        <v>0</v>
      </c>
      <c r="DO146"/>
      <c r="DP146">
        <v>1</v>
      </c>
      <c r="DQ146"/>
      <c r="DR146"/>
      <c r="DS146"/>
      <c r="DT146"/>
      <c r="DU146">
        <f>+Tabla3101170411120[[#This Row],[Longitud de eje]]*DP146</f>
        <v>0</v>
      </c>
      <c r="DV146"/>
      <c r="DW146">
        <v>1</v>
      </c>
      <c r="DX146"/>
      <c r="DY146"/>
      <c r="DZ146"/>
      <c r="EA146"/>
      <c r="EB146">
        <f>+Tabla3101170411120122[[#This Row],[Longitud de eje]]*DW146</f>
        <v>0</v>
      </c>
      <c r="EC146"/>
      <c r="EE146"/>
      <c r="EF146"/>
      <c r="EG146"/>
      <c r="EH146"/>
      <c r="EI146"/>
      <c r="EJ146"/>
      <c r="EK146"/>
      <c r="EM146"/>
      <c r="EN146"/>
      <c r="EO146"/>
      <c r="EP146"/>
      <c r="EQ146"/>
      <c r="ER146"/>
      <c r="ES146"/>
      <c r="EU146"/>
      <c r="EV146"/>
      <c r="EW146"/>
      <c r="EX146"/>
      <c r="EY146"/>
      <c r="EZ146"/>
      <c r="FA146"/>
      <c r="FC146"/>
      <c r="FD146"/>
      <c r="FE146"/>
      <c r="FF146"/>
      <c r="FG146"/>
      <c r="FH146"/>
      <c r="FI146"/>
      <c r="FK146"/>
      <c r="FL146"/>
      <c r="FM146"/>
      <c r="FN146"/>
      <c r="FO146"/>
      <c r="FP146"/>
      <c r="FQ146"/>
      <c r="FS146"/>
      <c r="FT146"/>
      <c r="FU146"/>
      <c r="FV146"/>
      <c r="FW146"/>
      <c r="FX146"/>
      <c r="FY146"/>
      <c r="GA146"/>
      <c r="GB146"/>
      <c r="GC146"/>
      <c r="GD146"/>
      <c r="GE146"/>
      <c r="GF146"/>
      <c r="GG146"/>
      <c r="GI146"/>
      <c r="GJ146"/>
      <c r="GK146"/>
      <c r="GL146"/>
      <c r="GM146"/>
      <c r="GN146"/>
      <c r="GO146"/>
      <c r="YK146"/>
      <c r="YL146"/>
      <c r="YM146"/>
      <c r="YN146"/>
      <c r="YO146"/>
      <c r="ADJ146"/>
      <c r="ADK146"/>
      <c r="ADL146"/>
      <c r="ADM146"/>
      <c r="ADN146"/>
      <c r="ADP146" s="35"/>
      <c r="AFI146"/>
      <c r="AFJ146"/>
      <c r="AFK146"/>
      <c r="AFL146"/>
      <c r="AFM146"/>
      <c r="AFN146">
        <f>+Tabla578914151634353637383940414243444546474849505152535560626467[[#This Row],[G. Total]]*Tabla578914151634353637383940414243444546474849505152535560626467[[#This Row],[Recuento]]</f>
        <v>0</v>
      </c>
      <c r="AFO146" s="36"/>
    </row>
    <row r="147" spans="59:847" x14ac:dyDescent="0.25">
      <c r="BG147"/>
      <c r="BH147"/>
      <c r="BI147"/>
      <c r="BJ147"/>
      <c r="BK147"/>
      <c r="BL147">
        <f>+Tabla3102[[#This Row],[Longitud de eje]]*BF147</f>
        <v>0</v>
      </c>
      <c r="BM147">
        <f>+Tabla3102[[#This Row],[Longitud de eje]]*BG147</f>
        <v>0</v>
      </c>
      <c r="BO147"/>
      <c r="BP147"/>
      <c r="BQ147"/>
      <c r="BR147"/>
      <c r="BS147"/>
      <c r="BT147"/>
      <c r="BU147"/>
      <c r="BW147"/>
      <c r="BX147"/>
      <c r="BY147"/>
      <c r="BZ147"/>
      <c r="CA147"/>
      <c r="CB147"/>
      <c r="CD147">
        <v>1</v>
      </c>
      <c r="CE147"/>
      <c r="CF147"/>
      <c r="CG147"/>
      <c r="CH147"/>
      <c r="CI147"/>
      <c r="CJ147"/>
      <c r="CK147"/>
      <c r="CM147"/>
      <c r="CN147"/>
      <c r="CO147"/>
      <c r="CP147"/>
      <c r="CQ147"/>
      <c r="CR147"/>
      <c r="CT147">
        <v>1</v>
      </c>
      <c r="CU147"/>
      <c r="CV147"/>
      <c r="CW147"/>
      <c r="CX147"/>
      <c r="CY147"/>
      <c r="CZ147"/>
      <c r="DA147"/>
      <c r="DB147">
        <v>1</v>
      </c>
      <c r="DC147"/>
      <c r="DD147"/>
      <c r="DE147"/>
      <c r="DF147"/>
      <c r="DG147">
        <f>+Tabla31011704[[#This Row],[Longitud de eje]]*DB147</f>
        <v>0</v>
      </c>
      <c r="DH147"/>
      <c r="DI147">
        <v>1</v>
      </c>
      <c r="DJ147"/>
      <c r="DK147"/>
      <c r="DL147"/>
      <c r="DM147"/>
      <c r="DN147">
        <f>+Tabla3101170411[[#This Row],[Longitud de eje]]*DI147</f>
        <v>0</v>
      </c>
      <c r="DO147"/>
      <c r="DP147">
        <v>1</v>
      </c>
      <c r="DQ147"/>
      <c r="DR147"/>
      <c r="DS147"/>
      <c r="DT147"/>
      <c r="DU147">
        <f>+Tabla3101170411120[[#This Row],[Longitud de eje]]*DP147</f>
        <v>0</v>
      </c>
      <c r="DV147"/>
      <c r="DW147">
        <v>1</v>
      </c>
      <c r="DX147"/>
      <c r="DY147"/>
      <c r="DZ147"/>
      <c r="EA147"/>
      <c r="EB147">
        <f>+Tabla3101170411120122[[#This Row],[Longitud de eje]]*DW147</f>
        <v>0</v>
      </c>
      <c r="EC147"/>
      <c r="EE147"/>
      <c r="EF147"/>
      <c r="EG147"/>
      <c r="EH147"/>
      <c r="EI147"/>
      <c r="EJ147"/>
      <c r="EK147"/>
      <c r="EM147"/>
      <c r="EN147"/>
      <c r="EO147"/>
      <c r="EP147"/>
      <c r="EQ147"/>
      <c r="ER147"/>
      <c r="ES147"/>
      <c r="EU147"/>
      <c r="EV147"/>
      <c r="EW147"/>
      <c r="EX147"/>
      <c r="EY147"/>
      <c r="EZ147"/>
      <c r="FA147"/>
      <c r="FC147"/>
      <c r="FD147"/>
      <c r="FE147"/>
      <c r="FF147"/>
      <c r="FG147"/>
      <c r="FH147"/>
      <c r="FI147"/>
      <c r="FK147"/>
      <c r="FL147"/>
      <c r="FM147"/>
      <c r="FN147"/>
      <c r="FO147"/>
      <c r="FP147"/>
      <c r="FQ147"/>
      <c r="FS147"/>
      <c r="FT147"/>
      <c r="FU147"/>
      <c r="FV147"/>
      <c r="FW147"/>
      <c r="FX147"/>
      <c r="FY147"/>
      <c r="GA147"/>
      <c r="GB147"/>
      <c r="GC147"/>
      <c r="GD147"/>
      <c r="GE147"/>
      <c r="GF147"/>
      <c r="GG147"/>
      <c r="GI147"/>
      <c r="GJ147"/>
      <c r="GK147"/>
      <c r="GL147"/>
      <c r="GM147"/>
      <c r="GN147"/>
      <c r="GO147"/>
      <c r="YK147"/>
      <c r="YL147"/>
      <c r="YM147"/>
      <c r="YN147"/>
      <c r="YO147"/>
      <c r="ADJ147"/>
      <c r="ADK147"/>
      <c r="ADL147"/>
      <c r="ADM147"/>
      <c r="ADN147"/>
      <c r="ADP147" s="36"/>
      <c r="AFI147"/>
      <c r="AFJ147"/>
      <c r="AFK147"/>
      <c r="AFL147"/>
      <c r="AFM147"/>
      <c r="AFN147"/>
      <c r="AFO147" s="35"/>
    </row>
    <row r="148" spans="59:847" x14ac:dyDescent="0.25">
      <c r="BG148"/>
      <c r="BH148"/>
      <c r="BI148"/>
      <c r="BJ148"/>
      <c r="BK148"/>
      <c r="BL148">
        <f>+Tabla3102[[#This Row],[Longitud de eje]]*BF148</f>
        <v>0</v>
      </c>
      <c r="BM148">
        <f>+Tabla3102[[#This Row],[Longitud de eje]]*BG148</f>
        <v>0</v>
      </c>
      <c r="BO148"/>
      <c r="BP148"/>
      <c r="BQ148"/>
      <c r="BR148"/>
      <c r="BS148"/>
      <c r="BT148"/>
      <c r="BU148"/>
      <c r="BW148"/>
      <c r="BX148"/>
      <c r="BY148"/>
      <c r="BZ148"/>
      <c r="CA148"/>
      <c r="CB148"/>
      <c r="CD148">
        <v>1</v>
      </c>
      <c r="CE148"/>
      <c r="CF148"/>
      <c r="CG148"/>
      <c r="CH148"/>
      <c r="CI148"/>
      <c r="CJ148"/>
      <c r="CK148"/>
      <c r="CM148"/>
      <c r="CN148"/>
      <c r="CO148"/>
      <c r="CP148"/>
      <c r="CQ148"/>
      <c r="CR148"/>
      <c r="CT148">
        <v>1</v>
      </c>
      <c r="CU148"/>
      <c r="CV148"/>
      <c r="CW148"/>
      <c r="CX148"/>
      <c r="CY148"/>
      <c r="CZ148"/>
      <c r="DA148"/>
      <c r="DB148">
        <v>1</v>
      </c>
      <c r="DC148"/>
      <c r="DD148"/>
      <c r="DE148"/>
      <c r="DF148"/>
      <c r="DG148">
        <f>+Tabla31011704[[#This Row],[Longitud de eje]]*DB148</f>
        <v>0</v>
      </c>
      <c r="DH148"/>
      <c r="DI148">
        <v>1</v>
      </c>
      <c r="DJ148"/>
      <c r="DK148"/>
      <c r="DL148"/>
      <c r="DM148"/>
      <c r="DN148">
        <f>+Tabla3101170411[[#This Row],[Longitud de eje]]*DI148</f>
        <v>0</v>
      </c>
      <c r="DO148"/>
      <c r="DP148">
        <v>1</v>
      </c>
      <c r="DQ148"/>
      <c r="DR148"/>
      <c r="DS148"/>
      <c r="DT148"/>
      <c r="DU148">
        <f>+Tabla3101170411120[[#This Row],[Longitud de eje]]*DP148</f>
        <v>0</v>
      </c>
      <c r="DV148"/>
      <c r="DW148">
        <v>1</v>
      </c>
      <c r="DX148"/>
      <c r="DY148"/>
      <c r="DZ148"/>
      <c r="EA148"/>
      <c r="EB148">
        <f>+Tabla3101170411120122[[#This Row],[Longitud de eje]]*DW148</f>
        <v>0</v>
      </c>
      <c r="EC148"/>
      <c r="EE148"/>
      <c r="EF148"/>
      <c r="EG148"/>
      <c r="EH148"/>
      <c r="EI148"/>
      <c r="EJ148"/>
      <c r="EK148"/>
      <c r="EM148"/>
      <c r="EN148"/>
      <c r="EO148"/>
      <c r="EP148"/>
      <c r="EQ148"/>
      <c r="ER148"/>
      <c r="ES148"/>
      <c r="EU148"/>
      <c r="EV148"/>
      <c r="EW148"/>
      <c r="EX148"/>
      <c r="EY148"/>
      <c r="EZ148"/>
      <c r="FA148"/>
      <c r="FC148"/>
      <c r="FD148"/>
      <c r="FE148"/>
      <c r="FF148"/>
      <c r="FG148"/>
      <c r="FH148"/>
      <c r="FI148"/>
      <c r="FK148"/>
      <c r="FL148"/>
      <c r="FM148"/>
      <c r="FN148"/>
      <c r="FO148"/>
      <c r="FP148"/>
      <c r="FQ148"/>
      <c r="FS148"/>
      <c r="FT148"/>
      <c r="FU148"/>
      <c r="FV148"/>
      <c r="FW148"/>
      <c r="FX148"/>
      <c r="FY148"/>
      <c r="GA148"/>
      <c r="GB148"/>
      <c r="GC148"/>
      <c r="GD148"/>
      <c r="GE148"/>
      <c r="GF148"/>
      <c r="GG148"/>
      <c r="GI148"/>
      <c r="GJ148"/>
      <c r="GK148"/>
      <c r="GL148"/>
      <c r="GM148"/>
      <c r="GN148"/>
      <c r="GO148"/>
      <c r="YK148"/>
      <c r="YL148"/>
      <c r="YM148"/>
      <c r="YN148"/>
      <c r="YO148"/>
      <c r="ADJ148"/>
      <c r="ADK148"/>
      <c r="ADL148"/>
      <c r="ADM148"/>
      <c r="ADN148"/>
      <c r="ADP148" s="36"/>
      <c r="AFI148"/>
      <c r="AFJ148"/>
      <c r="AFK148"/>
      <c r="AFL148"/>
      <c r="AFM148"/>
      <c r="AFN148"/>
      <c r="AFO148" s="35"/>
    </row>
    <row r="149" spans="59:847" x14ac:dyDescent="0.25">
      <c r="BG149"/>
      <c r="BH149"/>
      <c r="BI149"/>
      <c r="BJ149"/>
      <c r="BK149"/>
      <c r="BL149">
        <f>+Tabla3102[[#This Row],[Longitud de eje]]*BF149</f>
        <v>0</v>
      </c>
      <c r="BM149">
        <f>+Tabla3102[[#This Row],[Longitud de eje]]*BG149</f>
        <v>0</v>
      </c>
      <c r="BO149"/>
      <c r="BP149"/>
      <c r="BQ149"/>
      <c r="BR149"/>
      <c r="BS149"/>
      <c r="BT149"/>
      <c r="BU149"/>
      <c r="BW149"/>
      <c r="BX149"/>
      <c r="BY149"/>
      <c r="BZ149"/>
      <c r="CA149"/>
      <c r="CB149"/>
      <c r="CD149">
        <v>1</v>
      </c>
      <c r="CE149"/>
      <c r="CF149"/>
      <c r="CG149"/>
      <c r="CH149"/>
      <c r="CI149"/>
      <c r="CJ149"/>
      <c r="CK149"/>
      <c r="CM149"/>
      <c r="CN149"/>
      <c r="CO149"/>
      <c r="CP149"/>
      <c r="CQ149"/>
      <c r="CR149"/>
      <c r="CT149">
        <v>1</v>
      </c>
      <c r="CU149"/>
      <c r="CV149"/>
      <c r="CW149"/>
      <c r="CX149"/>
      <c r="CY149"/>
      <c r="CZ149"/>
      <c r="DA149"/>
      <c r="DB149">
        <v>1</v>
      </c>
      <c r="DC149"/>
      <c r="DD149"/>
      <c r="DE149"/>
      <c r="DF149"/>
      <c r="DG149">
        <f>+Tabla31011704[[#This Row],[Longitud de eje]]*DB149</f>
        <v>0</v>
      </c>
      <c r="DH149"/>
      <c r="DI149">
        <v>1</v>
      </c>
      <c r="DJ149"/>
      <c r="DK149"/>
      <c r="DL149"/>
      <c r="DM149"/>
      <c r="DN149">
        <f>+Tabla3101170411[[#This Row],[Longitud de eje]]*DI149</f>
        <v>0</v>
      </c>
      <c r="DO149"/>
      <c r="DP149">
        <v>1</v>
      </c>
      <c r="DQ149"/>
      <c r="DR149"/>
      <c r="DS149"/>
      <c r="DT149"/>
      <c r="DU149">
        <f>+Tabla3101170411120[[#This Row],[Longitud de eje]]*DP149</f>
        <v>0</v>
      </c>
      <c r="DV149"/>
      <c r="DW149">
        <v>1</v>
      </c>
      <c r="DX149"/>
      <c r="DY149"/>
      <c r="DZ149"/>
      <c r="EA149"/>
      <c r="EB149">
        <f>+Tabla3101170411120122[[#This Row],[Longitud de eje]]*DW149</f>
        <v>0</v>
      </c>
      <c r="EC149"/>
      <c r="EE149"/>
      <c r="EF149"/>
      <c r="EG149"/>
      <c r="EH149"/>
      <c r="EI149"/>
      <c r="EJ149"/>
      <c r="EK149"/>
      <c r="EM149"/>
      <c r="EN149"/>
      <c r="EO149"/>
      <c r="EP149"/>
      <c r="EQ149"/>
      <c r="ER149"/>
      <c r="ES149"/>
      <c r="EU149"/>
      <c r="EV149"/>
      <c r="EW149"/>
      <c r="EX149"/>
      <c r="EY149"/>
      <c r="EZ149"/>
      <c r="FA149"/>
      <c r="FC149"/>
      <c r="FD149"/>
      <c r="FE149"/>
      <c r="FF149"/>
      <c r="FG149"/>
      <c r="FH149"/>
      <c r="FI149"/>
      <c r="FK149"/>
      <c r="FL149"/>
      <c r="FM149"/>
      <c r="FN149"/>
      <c r="FO149"/>
      <c r="FP149"/>
      <c r="FQ149"/>
      <c r="FS149"/>
      <c r="FT149"/>
      <c r="FU149"/>
      <c r="FV149"/>
      <c r="FW149"/>
      <c r="FX149"/>
      <c r="FY149"/>
      <c r="GA149"/>
      <c r="GB149"/>
      <c r="GC149"/>
      <c r="GD149"/>
      <c r="GE149"/>
      <c r="GF149"/>
      <c r="GG149"/>
      <c r="GI149"/>
      <c r="GJ149"/>
      <c r="GK149"/>
      <c r="GL149"/>
      <c r="GM149"/>
      <c r="GN149"/>
      <c r="GO149"/>
      <c r="YK149"/>
      <c r="YL149"/>
      <c r="YM149"/>
      <c r="YN149"/>
      <c r="YO149"/>
      <c r="ADJ149"/>
      <c r="ADK149"/>
      <c r="ADL149"/>
      <c r="ADM149"/>
      <c r="ADN149"/>
      <c r="ADP149" s="36"/>
      <c r="AFI149"/>
      <c r="AFJ149"/>
      <c r="AFK149"/>
      <c r="AFL149"/>
      <c r="AFM149"/>
      <c r="AFN149"/>
      <c r="AFO149" s="36"/>
    </row>
    <row r="150" spans="59:847" x14ac:dyDescent="0.25">
      <c r="BG150"/>
      <c r="BH150"/>
      <c r="BI150"/>
      <c r="BJ150"/>
      <c r="BK150"/>
      <c r="BL150">
        <f>+Tabla3102[[#This Row],[Longitud de eje]]*BF150</f>
        <v>0</v>
      </c>
      <c r="BM150">
        <f>+Tabla3102[[#This Row],[Longitud de eje]]*BG150</f>
        <v>0</v>
      </c>
      <c r="BO150"/>
      <c r="BP150"/>
      <c r="BQ150"/>
      <c r="BR150"/>
      <c r="BS150"/>
      <c r="BT150"/>
      <c r="BU150"/>
      <c r="BW150"/>
      <c r="BX150"/>
      <c r="BY150"/>
      <c r="BZ150"/>
      <c r="CA150"/>
      <c r="CB150"/>
      <c r="CD150">
        <v>6</v>
      </c>
      <c r="CE150"/>
      <c r="CF150"/>
      <c r="CG150"/>
      <c r="CH150"/>
      <c r="CI150"/>
      <c r="CJ150"/>
      <c r="CK150"/>
      <c r="CM150"/>
      <c r="CN150"/>
      <c r="CO150"/>
      <c r="CP150"/>
      <c r="CQ150"/>
      <c r="CR150"/>
      <c r="CT150">
        <v>6</v>
      </c>
      <c r="CU150"/>
      <c r="CV150"/>
      <c r="CW150"/>
      <c r="CX150"/>
      <c r="CY150"/>
      <c r="CZ150"/>
      <c r="DA150"/>
      <c r="DB150">
        <v>6</v>
      </c>
      <c r="DC150"/>
      <c r="DD150"/>
      <c r="DE150"/>
      <c r="DF150"/>
      <c r="DG150">
        <f>+Tabla31011704[[#This Row],[Longitud de eje]]*DB150</f>
        <v>0</v>
      </c>
      <c r="DH150"/>
      <c r="DI150">
        <v>6</v>
      </c>
      <c r="DJ150"/>
      <c r="DK150"/>
      <c r="DL150"/>
      <c r="DM150"/>
      <c r="DN150">
        <f>+Tabla3101170411[[#This Row],[Longitud de eje]]*DI150</f>
        <v>0</v>
      </c>
      <c r="DO150"/>
      <c r="DP150">
        <v>6</v>
      </c>
      <c r="DQ150"/>
      <c r="DR150"/>
      <c r="DS150"/>
      <c r="DT150"/>
      <c r="DU150">
        <f>+Tabla3101170411120[[#This Row],[Longitud de eje]]*DP150</f>
        <v>0</v>
      </c>
      <c r="DV150"/>
      <c r="DW150">
        <v>6</v>
      </c>
      <c r="DX150"/>
      <c r="DY150"/>
      <c r="DZ150"/>
      <c r="EA150"/>
      <c r="EB150">
        <f>+Tabla3101170411120122[[#This Row],[Longitud de eje]]*DW150</f>
        <v>0</v>
      </c>
      <c r="EC150"/>
      <c r="EE150"/>
      <c r="EF150"/>
      <c r="EG150"/>
      <c r="EH150"/>
      <c r="EI150"/>
      <c r="EJ150"/>
      <c r="EK150"/>
      <c r="EM150"/>
      <c r="EN150"/>
      <c r="EO150"/>
      <c r="EP150"/>
      <c r="EQ150"/>
      <c r="ER150"/>
      <c r="ES150"/>
      <c r="EU150"/>
      <c r="EV150"/>
      <c r="EW150"/>
      <c r="EX150"/>
      <c r="EY150"/>
      <c r="EZ150"/>
      <c r="FA150"/>
      <c r="FC150"/>
      <c r="FD150"/>
      <c r="FE150"/>
      <c r="FF150"/>
      <c r="FG150"/>
      <c r="FH150"/>
      <c r="FI150"/>
      <c r="FK150"/>
      <c r="FL150"/>
      <c r="FM150"/>
      <c r="FN150"/>
      <c r="FO150"/>
      <c r="FP150"/>
      <c r="FQ150"/>
      <c r="FS150"/>
      <c r="FT150"/>
      <c r="FU150"/>
      <c r="FV150"/>
      <c r="FW150"/>
      <c r="FX150"/>
      <c r="FY150"/>
      <c r="GA150"/>
      <c r="GB150"/>
      <c r="GC150"/>
      <c r="GD150"/>
      <c r="GE150"/>
      <c r="GF150"/>
      <c r="GG150"/>
      <c r="GI150"/>
      <c r="GJ150"/>
      <c r="GK150"/>
      <c r="GL150"/>
      <c r="GM150"/>
      <c r="GN150"/>
      <c r="GO150"/>
      <c r="YK150"/>
      <c r="YL150"/>
      <c r="YM150"/>
      <c r="YN150"/>
      <c r="YO150"/>
      <c r="ADJ150"/>
      <c r="ADK150"/>
      <c r="ADL150"/>
      <c r="ADM150"/>
      <c r="ADN150"/>
      <c r="ADP150" s="36"/>
      <c r="AFI150"/>
      <c r="AFJ150"/>
      <c r="AFK150"/>
      <c r="AFL150"/>
      <c r="AFM150"/>
      <c r="AFN150"/>
      <c r="AFO150" s="36"/>
    </row>
    <row r="151" spans="59:847" x14ac:dyDescent="0.25">
      <c r="BG151"/>
      <c r="BH151"/>
      <c r="BI151"/>
      <c r="BJ151" s="34"/>
      <c r="BK151" s="34"/>
      <c r="BL151">
        <f>+Tabla3102[[#This Row],[Longitud de eje]]*BF151</f>
        <v>0</v>
      </c>
      <c r="BM151">
        <f>+Tabla3102[[#This Row],[Longitud de eje]]*BG151</f>
        <v>0</v>
      </c>
      <c r="BO151"/>
      <c r="BP151"/>
      <c r="BQ151"/>
      <c r="BR151" s="34"/>
      <c r="BS151" s="34"/>
      <c r="BT151"/>
      <c r="BU151"/>
      <c r="BW151"/>
      <c r="BX151"/>
      <c r="BY151"/>
      <c r="BZ151"/>
      <c r="CA151"/>
      <c r="CB151"/>
      <c r="CE151"/>
      <c r="CF151"/>
      <c r="CG151"/>
      <c r="CH151"/>
      <c r="CI151"/>
      <c r="CJ151"/>
      <c r="CK151"/>
      <c r="CM151"/>
      <c r="CN151"/>
      <c r="CO151"/>
      <c r="CP151"/>
      <c r="CQ151"/>
      <c r="CR151"/>
      <c r="CU151"/>
      <c r="CV151"/>
      <c r="CW151"/>
      <c r="CX151"/>
      <c r="CY151"/>
      <c r="CZ151"/>
      <c r="DA151"/>
      <c r="DC151"/>
      <c r="DD151"/>
      <c r="DE151"/>
      <c r="DF151"/>
      <c r="DG151">
        <f>+Tabla31011704[[#This Row],[Longitud de eje]]*DB151</f>
        <v>0</v>
      </c>
      <c r="DH151"/>
      <c r="DJ151"/>
      <c r="DK151"/>
      <c r="DL151"/>
      <c r="DM151"/>
      <c r="DN151">
        <f>+Tabla3101170411[[#This Row],[Longitud de eje]]*DI151</f>
        <v>0</v>
      </c>
      <c r="DO151"/>
      <c r="DQ151"/>
      <c r="DR151"/>
      <c r="DS151"/>
      <c r="DT151"/>
      <c r="DU151">
        <f>+Tabla3101170411120[[#This Row],[Longitud de eje]]*DP151</f>
        <v>0</v>
      </c>
      <c r="DV151"/>
      <c r="DX151"/>
      <c r="DY151"/>
      <c r="DZ151"/>
      <c r="EA151"/>
      <c r="EB151">
        <f>+Tabla3101170411120122[[#This Row],[Longitud de eje]]*DW151</f>
        <v>0</v>
      </c>
      <c r="EC151"/>
      <c r="EE151"/>
      <c r="EF151"/>
      <c r="EG151"/>
      <c r="EH151"/>
      <c r="EI151"/>
      <c r="EJ151"/>
      <c r="EK151"/>
      <c r="EM151"/>
      <c r="EN151"/>
      <c r="EO151"/>
      <c r="EP151"/>
      <c r="EQ151"/>
      <c r="ER151"/>
      <c r="ES151"/>
      <c r="EU151"/>
      <c r="EV151"/>
      <c r="EW151"/>
      <c r="EX151"/>
      <c r="EY151"/>
      <c r="EZ151"/>
      <c r="FA151"/>
      <c r="FC151"/>
      <c r="FD151"/>
      <c r="FE151"/>
      <c r="FF151"/>
      <c r="FG151"/>
      <c r="FH151"/>
      <c r="FI151"/>
      <c r="FK151"/>
      <c r="FL151"/>
      <c r="FM151"/>
      <c r="FN151"/>
      <c r="FO151"/>
      <c r="FP151"/>
      <c r="FQ151"/>
      <c r="FS151"/>
      <c r="FT151"/>
      <c r="FU151"/>
      <c r="FV151"/>
      <c r="FW151"/>
      <c r="FX151"/>
      <c r="FY151"/>
      <c r="GA151"/>
      <c r="GB151"/>
      <c r="GC151"/>
      <c r="GD151"/>
      <c r="GE151"/>
      <c r="GF151"/>
      <c r="GG151"/>
      <c r="GI151"/>
      <c r="GJ151"/>
      <c r="GK151"/>
      <c r="GL151"/>
      <c r="GM151"/>
      <c r="GN151"/>
      <c r="GO151"/>
      <c r="YK151"/>
      <c r="YL151"/>
      <c r="YM151"/>
      <c r="YN151"/>
      <c r="YO151"/>
      <c r="ADJ151"/>
      <c r="ADK151"/>
      <c r="ADL151"/>
      <c r="ADM151"/>
      <c r="ADN151"/>
      <c r="ADP151" s="36"/>
      <c r="AFI151"/>
      <c r="AFJ151"/>
      <c r="AFK151"/>
      <c r="AFL151"/>
      <c r="AFM151"/>
      <c r="AFN151"/>
      <c r="AFO151" s="35"/>
    </row>
    <row r="152" spans="59:847" x14ac:dyDescent="0.25">
      <c r="BG152"/>
      <c r="BH152"/>
      <c r="BI152"/>
      <c r="BJ152" s="34"/>
      <c r="BK152" s="34"/>
      <c r="BL152">
        <f>+Tabla3102[[#This Row],[Longitud de eje]]*BF152</f>
        <v>0</v>
      </c>
      <c r="BM152">
        <f>+Tabla3102[[#This Row],[Longitud de eje]]*BG152</f>
        <v>0</v>
      </c>
      <c r="BO152"/>
      <c r="BP152"/>
      <c r="BQ152"/>
      <c r="BR152" s="34"/>
      <c r="BS152" s="34"/>
      <c r="BT152"/>
      <c r="BU152"/>
      <c r="BW152"/>
      <c r="BX152"/>
      <c r="BY152"/>
      <c r="BZ152"/>
      <c r="CA152"/>
      <c r="CB152"/>
      <c r="CE152"/>
      <c r="CF152"/>
      <c r="CG152"/>
      <c r="CH152"/>
      <c r="CI152"/>
      <c r="CJ152"/>
      <c r="CK152"/>
      <c r="CM152"/>
      <c r="CN152"/>
      <c r="CO152"/>
      <c r="CP152"/>
      <c r="CQ152"/>
      <c r="CR152"/>
      <c r="CU152"/>
      <c r="CV152"/>
      <c r="CW152"/>
      <c r="CX152"/>
      <c r="CY152"/>
      <c r="CZ152"/>
      <c r="DA152"/>
      <c r="DC152"/>
      <c r="DD152"/>
      <c r="DE152"/>
      <c r="DF152"/>
      <c r="DG152">
        <f>+Tabla31011704[[#This Row],[Longitud de eje]]*DB152</f>
        <v>0</v>
      </c>
      <c r="DH152"/>
      <c r="DJ152"/>
      <c r="DK152"/>
      <c r="DL152"/>
      <c r="DM152"/>
      <c r="DN152">
        <f>+Tabla3101170411[[#This Row],[Longitud de eje]]*DI152</f>
        <v>0</v>
      </c>
      <c r="DO152"/>
      <c r="DQ152"/>
      <c r="DR152"/>
      <c r="DS152"/>
      <c r="DT152"/>
      <c r="DU152">
        <f>+Tabla3101170411120[[#This Row],[Longitud de eje]]*DP152</f>
        <v>0</v>
      </c>
      <c r="DV152"/>
      <c r="DX152"/>
      <c r="DY152"/>
      <c r="DZ152"/>
      <c r="EA152"/>
      <c r="EB152">
        <f>+Tabla3101170411120122[[#This Row],[Longitud de eje]]*DW152</f>
        <v>0</v>
      </c>
      <c r="EC152"/>
      <c r="EE152"/>
      <c r="EF152"/>
      <c r="EG152"/>
      <c r="EH152"/>
      <c r="EI152"/>
      <c r="EJ152"/>
      <c r="EK152"/>
      <c r="EM152"/>
      <c r="EN152"/>
      <c r="EO152"/>
      <c r="EP152"/>
      <c r="EQ152"/>
      <c r="ER152"/>
      <c r="ES152"/>
      <c r="EU152"/>
      <c r="EV152"/>
      <c r="EW152"/>
      <c r="EX152"/>
      <c r="EY152"/>
      <c r="EZ152"/>
      <c r="FA152"/>
      <c r="FC152"/>
      <c r="FD152"/>
      <c r="FE152"/>
      <c r="FF152"/>
      <c r="FG152"/>
      <c r="FH152"/>
      <c r="FI152"/>
      <c r="FK152"/>
      <c r="FL152"/>
      <c r="FM152"/>
      <c r="FN152"/>
      <c r="FO152"/>
      <c r="FP152"/>
      <c r="FQ152"/>
      <c r="FS152"/>
      <c r="FT152"/>
      <c r="FU152"/>
      <c r="FV152"/>
      <c r="FW152"/>
      <c r="FX152"/>
      <c r="FY152"/>
      <c r="GA152"/>
      <c r="GB152"/>
      <c r="GC152"/>
      <c r="GD152"/>
      <c r="GE152"/>
      <c r="GF152"/>
      <c r="GG152"/>
      <c r="GI152"/>
      <c r="GJ152"/>
      <c r="GK152"/>
      <c r="GL152"/>
      <c r="GM152"/>
      <c r="GN152"/>
      <c r="GO152"/>
      <c r="YK152"/>
      <c r="YL152"/>
      <c r="YM152"/>
      <c r="YN152"/>
      <c r="YO152"/>
      <c r="ADJ152"/>
      <c r="ADK152"/>
      <c r="ADL152"/>
      <c r="ADM152"/>
      <c r="ADN152"/>
      <c r="ADP152" s="36"/>
      <c r="AFI152"/>
      <c r="AFJ152"/>
      <c r="AFK152"/>
      <c r="AFL152"/>
      <c r="AFM152"/>
      <c r="AFN152"/>
      <c r="AFO152" s="36"/>
    </row>
    <row r="153" spans="59:847" x14ac:dyDescent="0.25">
      <c r="BG153"/>
      <c r="BH153"/>
      <c r="BI153"/>
      <c r="BJ153" s="34"/>
      <c r="BK153" s="34"/>
      <c r="BL153">
        <f>+Tabla3102[[#This Row],[Longitud de eje]]*BF153</f>
        <v>0</v>
      </c>
      <c r="BM153">
        <f>+Tabla3102[[#This Row],[Longitud de eje]]*BG153</f>
        <v>0</v>
      </c>
      <c r="BO153"/>
      <c r="BP153"/>
      <c r="BQ153"/>
      <c r="BR153" s="34"/>
      <c r="BS153" s="34"/>
      <c r="BT153"/>
      <c r="BU153"/>
      <c r="BW153"/>
      <c r="BX153"/>
      <c r="BY153"/>
      <c r="BZ153"/>
      <c r="CA153"/>
      <c r="CB153"/>
      <c r="CE153"/>
      <c r="CF153"/>
      <c r="CG153"/>
      <c r="CH153"/>
      <c r="CI153"/>
      <c r="CJ153"/>
      <c r="CK153"/>
      <c r="CM153"/>
      <c r="CN153"/>
      <c r="CO153"/>
      <c r="CP153"/>
      <c r="CQ153"/>
      <c r="CR153"/>
      <c r="CU153"/>
      <c r="CV153"/>
      <c r="CW153"/>
      <c r="CX153"/>
      <c r="CY153"/>
      <c r="CZ153"/>
      <c r="DA153"/>
      <c r="DC153"/>
      <c r="DD153"/>
      <c r="DE153"/>
      <c r="DF153"/>
      <c r="DG153">
        <f>+Tabla31011704[[#This Row],[Longitud de eje]]*DB153</f>
        <v>0</v>
      </c>
      <c r="DH153"/>
      <c r="DJ153"/>
      <c r="DK153"/>
      <c r="DL153"/>
      <c r="DM153"/>
      <c r="DN153">
        <f>+Tabla3101170411[[#This Row],[Longitud de eje]]*DI153</f>
        <v>0</v>
      </c>
      <c r="DO153"/>
      <c r="DQ153"/>
      <c r="DR153"/>
      <c r="DS153"/>
      <c r="DT153"/>
      <c r="DU153">
        <f>+Tabla3101170411120[[#This Row],[Longitud de eje]]*DP153</f>
        <v>0</v>
      </c>
      <c r="DV153"/>
      <c r="DX153"/>
      <c r="DY153"/>
      <c r="DZ153"/>
      <c r="EA153"/>
      <c r="EB153">
        <f>+Tabla3101170411120122[[#This Row],[Longitud de eje]]*DW153</f>
        <v>0</v>
      </c>
      <c r="EC153"/>
      <c r="EE153"/>
      <c r="EF153"/>
      <c r="EG153"/>
      <c r="EH153"/>
      <c r="EI153"/>
      <c r="EJ153"/>
      <c r="EK153"/>
      <c r="EM153"/>
      <c r="EN153"/>
      <c r="EO153"/>
      <c r="EP153"/>
      <c r="EQ153"/>
      <c r="ER153"/>
      <c r="ES153"/>
      <c r="EU153"/>
      <c r="EV153"/>
      <c r="EW153"/>
      <c r="EX153"/>
      <c r="EY153"/>
      <c r="EZ153"/>
      <c r="FA153"/>
      <c r="FC153"/>
      <c r="FD153"/>
      <c r="FE153"/>
      <c r="FF153"/>
      <c r="FG153"/>
      <c r="FH153"/>
      <c r="FI153"/>
      <c r="FK153"/>
      <c r="FL153"/>
      <c r="FM153"/>
      <c r="FN153"/>
      <c r="FO153"/>
      <c r="FP153"/>
      <c r="FQ153"/>
      <c r="FS153"/>
      <c r="FT153"/>
      <c r="FU153"/>
      <c r="FV153"/>
      <c r="FW153"/>
      <c r="FX153"/>
      <c r="FY153"/>
      <c r="GA153"/>
      <c r="GB153"/>
      <c r="GC153"/>
      <c r="GD153"/>
      <c r="GE153"/>
      <c r="GF153"/>
      <c r="GG153"/>
      <c r="GI153"/>
      <c r="GJ153"/>
      <c r="GK153"/>
      <c r="GL153"/>
      <c r="GM153"/>
      <c r="GN153"/>
      <c r="GO153"/>
      <c r="YK153"/>
      <c r="YL153"/>
      <c r="YM153"/>
      <c r="YN153"/>
      <c r="YO153"/>
      <c r="ADJ153"/>
      <c r="ADK153"/>
      <c r="ADL153"/>
      <c r="ADM153"/>
      <c r="ADN153"/>
      <c r="ADP153" s="36"/>
      <c r="AFI153"/>
      <c r="AFJ153"/>
      <c r="AFK153"/>
      <c r="AFL153"/>
      <c r="AFM153"/>
      <c r="AFN153"/>
      <c r="AFO153" s="36"/>
    </row>
    <row r="154" spans="59:847" x14ac:dyDescent="0.25">
      <c r="BG154"/>
      <c r="BH154"/>
      <c r="BI154"/>
      <c r="BJ154" s="34"/>
      <c r="BK154" s="34"/>
      <c r="BL154">
        <f>+Tabla3102[[#This Row],[Longitud de eje]]*BF154</f>
        <v>0</v>
      </c>
      <c r="BM154">
        <f>+Tabla3102[[#This Row],[Longitud de eje]]*BG154</f>
        <v>0</v>
      </c>
      <c r="BO154"/>
      <c r="BP154"/>
      <c r="BQ154"/>
      <c r="BR154" s="34"/>
      <c r="BS154" s="34"/>
      <c r="BT154"/>
      <c r="BU154"/>
      <c r="BW154"/>
      <c r="BX154"/>
      <c r="BY154"/>
      <c r="BZ154"/>
      <c r="CA154"/>
      <c r="CB154"/>
      <c r="CE154"/>
      <c r="CF154"/>
      <c r="CG154"/>
      <c r="CH154"/>
      <c r="CI154"/>
      <c r="CJ154"/>
      <c r="CK154"/>
      <c r="CM154"/>
      <c r="CN154"/>
      <c r="CO154"/>
      <c r="CP154"/>
      <c r="CQ154"/>
      <c r="CR154"/>
      <c r="CU154"/>
      <c r="CV154"/>
      <c r="CW154"/>
      <c r="CX154"/>
      <c r="CY154"/>
      <c r="CZ154"/>
      <c r="DA154"/>
      <c r="DC154"/>
      <c r="DD154"/>
      <c r="DE154"/>
      <c r="DF154"/>
      <c r="DG154">
        <f>+Tabla31011704[[#This Row],[Longitud de eje]]*DB154</f>
        <v>0</v>
      </c>
      <c r="DH154"/>
      <c r="DJ154"/>
      <c r="DK154"/>
      <c r="DL154"/>
      <c r="DM154"/>
      <c r="DN154">
        <f>+Tabla3101170411[[#This Row],[Longitud de eje]]*DI154</f>
        <v>0</v>
      </c>
      <c r="DO154"/>
      <c r="DQ154"/>
      <c r="DR154"/>
      <c r="DS154"/>
      <c r="DT154"/>
      <c r="DU154">
        <f>+Tabla3101170411120[[#This Row],[Longitud de eje]]*DP154</f>
        <v>0</v>
      </c>
      <c r="DV154"/>
      <c r="DX154"/>
      <c r="DY154"/>
      <c r="DZ154"/>
      <c r="EA154"/>
      <c r="EB154">
        <f>+Tabla3101170411120122[[#This Row],[Longitud de eje]]*DW154</f>
        <v>0</v>
      </c>
      <c r="EC154"/>
      <c r="EE154"/>
      <c r="EF154"/>
      <c r="EG154"/>
      <c r="EH154"/>
      <c r="EI154"/>
      <c r="EJ154"/>
      <c r="EK154"/>
      <c r="EM154"/>
      <c r="EN154"/>
      <c r="EO154"/>
      <c r="EP154"/>
      <c r="EQ154"/>
      <c r="ER154"/>
      <c r="ES154"/>
      <c r="EU154"/>
      <c r="EV154"/>
      <c r="EW154"/>
      <c r="EX154"/>
      <c r="EY154"/>
      <c r="EZ154"/>
      <c r="FA154"/>
      <c r="FC154"/>
      <c r="FD154"/>
      <c r="FE154"/>
      <c r="FF154"/>
      <c r="FG154"/>
      <c r="FH154"/>
      <c r="FI154"/>
      <c r="FK154"/>
      <c r="FL154"/>
      <c r="FM154"/>
      <c r="FN154"/>
      <c r="FO154"/>
      <c r="FP154"/>
      <c r="FQ154"/>
      <c r="FS154"/>
      <c r="FT154"/>
      <c r="FU154"/>
      <c r="FV154"/>
      <c r="FW154"/>
      <c r="FX154"/>
      <c r="FY154"/>
      <c r="GA154"/>
      <c r="GB154"/>
      <c r="GC154"/>
      <c r="GD154"/>
      <c r="GE154"/>
      <c r="GF154"/>
      <c r="GG154"/>
      <c r="GI154"/>
      <c r="GJ154"/>
      <c r="GK154"/>
      <c r="GL154"/>
      <c r="GM154"/>
      <c r="GN154"/>
      <c r="GO154"/>
      <c r="YK154"/>
      <c r="YL154"/>
      <c r="YM154"/>
      <c r="YN154"/>
      <c r="YO154"/>
      <c r="ADJ154"/>
      <c r="ADK154"/>
      <c r="ADL154"/>
      <c r="ADM154"/>
      <c r="ADN154"/>
      <c r="ADP154" s="36"/>
      <c r="AFI154"/>
      <c r="AFJ154"/>
      <c r="AFK154"/>
      <c r="AFL154"/>
      <c r="AFM154"/>
      <c r="AFN154"/>
      <c r="AFO154" s="36"/>
    </row>
    <row r="155" spans="59:847" x14ac:dyDescent="0.25">
      <c r="BG155"/>
      <c r="BH155"/>
      <c r="BI155"/>
      <c r="BJ155" s="34"/>
      <c r="BK155" s="34"/>
      <c r="BL155">
        <f>+Tabla3102[[#This Row],[Longitud de eje]]*BF155</f>
        <v>0</v>
      </c>
      <c r="BM155">
        <f>+Tabla3102[[#This Row],[Longitud de eje]]*BG155</f>
        <v>0</v>
      </c>
      <c r="BO155"/>
      <c r="BP155"/>
      <c r="BQ155"/>
      <c r="BR155" s="34"/>
      <c r="BS155" s="34"/>
      <c r="BT155"/>
      <c r="BU155"/>
      <c r="BW155"/>
      <c r="BX155"/>
      <c r="BY155"/>
      <c r="BZ155"/>
      <c r="CA155"/>
      <c r="CB155"/>
      <c r="CE155"/>
      <c r="CF155"/>
      <c r="CG155"/>
      <c r="CH155"/>
      <c r="CI155"/>
      <c r="CJ155"/>
      <c r="CK155"/>
      <c r="CM155"/>
      <c r="CN155"/>
      <c r="CO155"/>
      <c r="CP155"/>
      <c r="CQ155"/>
      <c r="CR155"/>
      <c r="CU155"/>
      <c r="CV155"/>
      <c r="CW155"/>
      <c r="CX155"/>
      <c r="CY155"/>
      <c r="CZ155"/>
      <c r="DA155"/>
      <c r="DC155"/>
      <c r="DD155"/>
      <c r="DE155"/>
      <c r="DF155"/>
      <c r="DG155">
        <f>+Tabla31011704[[#This Row],[Longitud de eje]]*DB155</f>
        <v>0</v>
      </c>
      <c r="DH155"/>
      <c r="DJ155"/>
      <c r="DK155"/>
      <c r="DL155"/>
      <c r="DM155"/>
      <c r="DN155">
        <f>+Tabla3101170411[[#This Row],[Longitud de eje]]*DI155</f>
        <v>0</v>
      </c>
      <c r="DO155"/>
      <c r="DQ155"/>
      <c r="DR155"/>
      <c r="DS155"/>
      <c r="DT155"/>
      <c r="DU155">
        <f>+Tabla3101170411120[[#This Row],[Longitud de eje]]*DP155</f>
        <v>0</v>
      </c>
      <c r="DV155"/>
      <c r="DX155"/>
      <c r="DY155"/>
      <c r="DZ155"/>
      <c r="EA155"/>
      <c r="EB155">
        <f>+Tabla3101170411120122[[#This Row],[Longitud de eje]]*DW155</f>
        <v>0</v>
      </c>
      <c r="EC155"/>
      <c r="EE155"/>
      <c r="EF155"/>
      <c r="EG155"/>
      <c r="EH155"/>
      <c r="EI155"/>
      <c r="EJ155"/>
      <c r="EK155"/>
      <c r="EM155"/>
      <c r="EN155"/>
      <c r="EO155"/>
      <c r="EP155"/>
      <c r="EQ155"/>
      <c r="ER155"/>
      <c r="ES155"/>
      <c r="EU155"/>
      <c r="EV155"/>
      <c r="EW155"/>
      <c r="EX155"/>
      <c r="EY155"/>
      <c r="EZ155"/>
      <c r="FA155"/>
      <c r="FC155"/>
      <c r="FD155"/>
      <c r="FE155"/>
      <c r="FF155"/>
      <c r="FG155"/>
      <c r="FH155"/>
      <c r="FI155"/>
      <c r="FK155"/>
      <c r="FL155"/>
      <c r="FM155"/>
      <c r="FN155"/>
      <c r="FO155"/>
      <c r="FP155"/>
      <c r="FQ155"/>
      <c r="FS155"/>
      <c r="FT155"/>
      <c r="FU155"/>
      <c r="FV155"/>
      <c r="FW155"/>
      <c r="FX155"/>
      <c r="FY155"/>
      <c r="GA155"/>
      <c r="GB155"/>
      <c r="GC155"/>
      <c r="GD155"/>
      <c r="GE155"/>
      <c r="GF155"/>
      <c r="GG155"/>
      <c r="GI155"/>
      <c r="GJ155"/>
      <c r="GK155"/>
      <c r="GL155"/>
      <c r="GM155"/>
      <c r="GN155"/>
      <c r="GO155"/>
      <c r="YK155"/>
      <c r="YL155"/>
      <c r="YM155"/>
      <c r="YN155"/>
      <c r="YO155"/>
      <c r="ADJ155"/>
      <c r="ADK155"/>
      <c r="ADL155"/>
      <c r="ADM155"/>
      <c r="ADN155"/>
      <c r="ADP155" s="35">
        <f>+SUM(ADM155:ADM157)</f>
        <v>0</v>
      </c>
      <c r="AFI155"/>
      <c r="AFJ155"/>
      <c r="AFK155"/>
      <c r="AFL155"/>
      <c r="AFM155"/>
      <c r="AFN155"/>
      <c r="AFO155" s="36"/>
    </row>
    <row r="156" spans="59:847" x14ac:dyDescent="0.25">
      <c r="BG156"/>
      <c r="BH156"/>
      <c r="BI156"/>
      <c r="BJ156" s="34"/>
      <c r="BK156" s="34"/>
      <c r="BL156">
        <f>+Tabla3102[[#This Row],[Longitud de eje]]*BF156</f>
        <v>0</v>
      </c>
      <c r="BM156">
        <f>+Tabla3102[[#This Row],[Longitud de eje]]*BG156</f>
        <v>0</v>
      </c>
      <c r="BO156"/>
      <c r="BP156"/>
      <c r="BQ156"/>
      <c r="BR156" s="34"/>
      <c r="BS156" s="34"/>
      <c r="BT156"/>
      <c r="BU156"/>
      <c r="BW156"/>
      <c r="BX156"/>
      <c r="BY156"/>
      <c r="BZ156"/>
      <c r="CA156"/>
      <c r="CB156"/>
      <c r="CE156"/>
      <c r="CF156"/>
      <c r="CG156"/>
      <c r="CH156"/>
      <c r="CI156"/>
      <c r="CJ156"/>
      <c r="CK156"/>
      <c r="CM156"/>
      <c r="CN156"/>
      <c r="CO156"/>
      <c r="CP156"/>
      <c r="CQ156"/>
      <c r="CR156"/>
      <c r="CU156"/>
      <c r="CV156"/>
      <c r="CW156"/>
      <c r="CX156"/>
      <c r="CY156"/>
      <c r="CZ156"/>
      <c r="DA156"/>
      <c r="DC156"/>
      <c r="DD156"/>
      <c r="DE156"/>
      <c r="DF156"/>
      <c r="DG156">
        <f>+Tabla31011704[[#This Row],[Longitud de eje]]*DB156</f>
        <v>0</v>
      </c>
      <c r="DH156"/>
      <c r="DJ156"/>
      <c r="DK156"/>
      <c r="DL156"/>
      <c r="DM156"/>
      <c r="DN156">
        <f>+Tabla3101170411[[#This Row],[Longitud de eje]]*DI156</f>
        <v>0</v>
      </c>
      <c r="DO156"/>
      <c r="DQ156"/>
      <c r="DR156"/>
      <c r="DS156"/>
      <c r="DT156"/>
      <c r="DU156">
        <f>+Tabla3101170411120[[#This Row],[Longitud de eje]]*DP156</f>
        <v>0</v>
      </c>
      <c r="DV156"/>
      <c r="DX156"/>
      <c r="DY156"/>
      <c r="DZ156"/>
      <c r="EA156"/>
      <c r="EB156">
        <f>+Tabla3101170411120122[[#This Row],[Longitud de eje]]*DW156</f>
        <v>0</v>
      </c>
      <c r="EC156"/>
      <c r="EE156"/>
      <c r="EF156"/>
      <c r="EG156"/>
      <c r="EH156"/>
      <c r="EI156"/>
      <c r="EJ156"/>
      <c r="EK156"/>
      <c r="EM156"/>
      <c r="EN156"/>
      <c r="EO156"/>
      <c r="EP156"/>
      <c r="EQ156"/>
      <c r="ER156"/>
      <c r="ES156"/>
      <c r="EU156"/>
      <c r="EV156"/>
      <c r="EW156"/>
      <c r="EX156"/>
      <c r="EY156"/>
      <c r="EZ156"/>
      <c r="FA156"/>
      <c r="FC156"/>
      <c r="FD156"/>
      <c r="FE156"/>
      <c r="FF156"/>
      <c r="FG156"/>
      <c r="FH156"/>
      <c r="FI156"/>
      <c r="FK156"/>
      <c r="FL156"/>
      <c r="FM156"/>
      <c r="FN156"/>
      <c r="FO156"/>
      <c r="FP156"/>
      <c r="FQ156"/>
      <c r="FS156"/>
      <c r="FT156"/>
      <c r="FU156"/>
      <c r="FV156"/>
      <c r="FW156"/>
      <c r="FX156"/>
      <c r="FY156"/>
      <c r="GA156"/>
      <c r="GB156"/>
      <c r="GC156"/>
      <c r="GD156"/>
      <c r="GE156"/>
      <c r="GF156"/>
      <c r="GG156"/>
      <c r="GI156"/>
      <c r="GJ156"/>
      <c r="GK156"/>
      <c r="GL156"/>
      <c r="GM156"/>
      <c r="GN156"/>
      <c r="GO156"/>
      <c r="YK156"/>
      <c r="YL156"/>
      <c r="YM156"/>
      <c r="YN156"/>
      <c r="YO156"/>
      <c r="ADJ156"/>
      <c r="ADK156"/>
      <c r="ADL156"/>
      <c r="ADM156"/>
      <c r="ADN156"/>
      <c r="ADP156" s="36"/>
      <c r="AFI156"/>
      <c r="AFJ156"/>
      <c r="AFK156"/>
      <c r="AFL156"/>
      <c r="AFM156"/>
      <c r="AFN156"/>
      <c r="AFO156" s="36"/>
    </row>
    <row r="157" spans="59:847" x14ac:dyDescent="0.25">
      <c r="BG157"/>
      <c r="BH157"/>
      <c r="BI157"/>
      <c r="BJ157" s="34"/>
      <c r="BK157" s="34"/>
      <c r="BL157">
        <f>+Tabla3102[[#This Row],[Longitud de eje]]*BF157</f>
        <v>0</v>
      </c>
      <c r="BM157">
        <f>+Tabla3102[[#This Row],[Longitud de eje]]*BG157</f>
        <v>0</v>
      </c>
      <c r="BO157"/>
      <c r="BP157"/>
      <c r="BQ157"/>
      <c r="BR157" s="34"/>
      <c r="BS157" s="34"/>
      <c r="BT157"/>
      <c r="BU157"/>
      <c r="BW157"/>
      <c r="BX157"/>
      <c r="BY157"/>
      <c r="BZ157"/>
      <c r="CA157"/>
      <c r="CB157"/>
      <c r="CE157"/>
      <c r="CF157"/>
      <c r="CG157"/>
      <c r="CH157"/>
      <c r="CI157"/>
      <c r="CJ157"/>
      <c r="CK157"/>
      <c r="CM157"/>
      <c r="CN157"/>
      <c r="CO157"/>
      <c r="CP157"/>
      <c r="CQ157"/>
      <c r="CR157"/>
      <c r="CU157"/>
      <c r="CV157"/>
      <c r="CW157"/>
      <c r="CX157"/>
      <c r="CY157"/>
      <c r="CZ157"/>
      <c r="DA157"/>
      <c r="DC157"/>
      <c r="DD157"/>
      <c r="DE157"/>
      <c r="DF157"/>
      <c r="DG157">
        <f>+Tabla31011704[[#This Row],[Longitud de eje]]*DB157</f>
        <v>0</v>
      </c>
      <c r="DH157"/>
      <c r="DJ157"/>
      <c r="DK157"/>
      <c r="DL157"/>
      <c r="DM157"/>
      <c r="DN157">
        <f>+Tabla3101170411[[#This Row],[Longitud de eje]]*DI157</f>
        <v>0</v>
      </c>
      <c r="DO157"/>
      <c r="DQ157"/>
      <c r="DR157"/>
      <c r="DS157"/>
      <c r="DT157"/>
      <c r="DU157">
        <f>+Tabla3101170411120[[#This Row],[Longitud de eje]]*DP157</f>
        <v>0</v>
      </c>
      <c r="DV157"/>
      <c r="DX157"/>
      <c r="DY157"/>
      <c r="DZ157"/>
      <c r="EA157"/>
      <c r="EB157">
        <f>+Tabla3101170411120122[[#This Row],[Longitud de eje]]*DW157</f>
        <v>0</v>
      </c>
      <c r="EC157"/>
      <c r="EE157"/>
      <c r="EF157"/>
      <c r="EG157"/>
      <c r="EH157"/>
      <c r="EI157"/>
      <c r="EJ157"/>
      <c r="EK157"/>
      <c r="EM157"/>
      <c r="EN157"/>
      <c r="EO157"/>
      <c r="EP157"/>
      <c r="EQ157"/>
      <c r="ER157"/>
      <c r="ES157"/>
      <c r="EU157"/>
      <c r="EV157"/>
      <c r="EW157"/>
      <c r="EX157"/>
      <c r="EY157"/>
      <c r="EZ157"/>
      <c r="FA157"/>
      <c r="FC157"/>
      <c r="FD157"/>
      <c r="FE157"/>
      <c r="FF157"/>
      <c r="FG157"/>
      <c r="FH157"/>
      <c r="FI157"/>
      <c r="FK157"/>
      <c r="FL157"/>
      <c r="FM157"/>
      <c r="FN157"/>
      <c r="FO157"/>
      <c r="FP157"/>
      <c r="FQ157"/>
      <c r="FS157"/>
      <c r="FT157"/>
      <c r="FU157"/>
      <c r="FV157"/>
      <c r="FW157"/>
      <c r="FX157"/>
      <c r="FY157"/>
      <c r="GA157"/>
      <c r="GB157"/>
      <c r="GC157"/>
      <c r="GD157"/>
      <c r="GE157"/>
      <c r="GF157"/>
      <c r="GG157"/>
      <c r="GI157"/>
      <c r="GJ157"/>
      <c r="GK157"/>
      <c r="GL157"/>
      <c r="GM157"/>
      <c r="GN157"/>
      <c r="GO157"/>
      <c r="YK157"/>
      <c r="YL157"/>
      <c r="YM157"/>
      <c r="YN157"/>
      <c r="YO157"/>
      <c r="ADJ157"/>
      <c r="ADK157"/>
      <c r="ADL157"/>
      <c r="ADM157"/>
      <c r="ADN157"/>
      <c r="ADP157" s="36"/>
      <c r="AFI157"/>
      <c r="AFJ157"/>
      <c r="AFK157"/>
      <c r="AFL157"/>
      <c r="AFM157"/>
      <c r="AFN157"/>
      <c r="AFO157" s="36"/>
    </row>
    <row r="158" spans="59:847" x14ac:dyDescent="0.25">
      <c r="BG158"/>
      <c r="BH158"/>
      <c r="BI158"/>
      <c r="BJ158" s="34"/>
      <c r="BK158" s="34"/>
      <c r="BL158">
        <f>+Tabla3102[[#This Row],[Longitud de eje]]*BF158</f>
        <v>0</v>
      </c>
      <c r="BM158">
        <f>+Tabla3102[[#This Row],[Longitud de eje]]*BG158</f>
        <v>0</v>
      </c>
      <c r="BO158"/>
      <c r="BP158"/>
      <c r="BQ158"/>
      <c r="BR158" s="34"/>
      <c r="BS158" s="34"/>
      <c r="BT158"/>
      <c r="BU158"/>
      <c r="BW158"/>
      <c r="BX158"/>
      <c r="BY158"/>
      <c r="BZ158"/>
      <c r="CA158"/>
      <c r="CB158"/>
      <c r="CE158"/>
      <c r="CF158"/>
      <c r="CG158"/>
      <c r="CH158"/>
      <c r="CI158"/>
      <c r="CJ158"/>
      <c r="CK158"/>
      <c r="CM158"/>
      <c r="CN158"/>
      <c r="CO158"/>
      <c r="CP158"/>
      <c r="CQ158"/>
      <c r="CR158"/>
      <c r="CU158"/>
      <c r="CV158"/>
      <c r="CW158"/>
      <c r="CX158"/>
      <c r="CY158"/>
      <c r="CZ158"/>
      <c r="DA158"/>
      <c r="DC158"/>
      <c r="DD158"/>
      <c r="DE158"/>
      <c r="DF158"/>
      <c r="DG158">
        <f>+Tabla31011704[[#This Row],[Longitud de eje]]*DB158</f>
        <v>0</v>
      </c>
      <c r="DH158"/>
      <c r="DJ158"/>
      <c r="DK158"/>
      <c r="DL158"/>
      <c r="DM158"/>
      <c r="DN158">
        <f>+Tabla3101170411[[#This Row],[Longitud de eje]]*DI158</f>
        <v>0</v>
      </c>
      <c r="DO158"/>
      <c r="DQ158"/>
      <c r="DR158"/>
      <c r="DS158"/>
      <c r="DT158"/>
      <c r="DU158">
        <f>+Tabla3101170411120[[#This Row],[Longitud de eje]]*DP158</f>
        <v>0</v>
      </c>
      <c r="DV158"/>
      <c r="DX158"/>
      <c r="DY158"/>
      <c r="DZ158"/>
      <c r="EA158"/>
      <c r="EB158">
        <f>+Tabla3101170411120122[[#This Row],[Longitud de eje]]*DW158</f>
        <v>0</v>
      </c>
      <c r="EC158"/>
      <c r="EE158"/>
      <c r="EF158"/>
      <c r="EG158"/>
      <c r="EH158"/>
      <c r="EI158"/>
      <c r="EJ158"/>
      <c r="EK158"/>
      <c r="EM158"/>
      <c r="EN158"/>
      <c r="EO158"/>
      <c r="EP158"/>
      <c r="EQ158"/>
      <c r="ER158"/>
      <c r="ES158"/>
      <c r="EU158"/>
      <c r="EV158"/>
      <c r="EW158"/>
      <c r="EX158"/>
      <c r="EY158"/>
      <c r="EZ158"/>
      <c r="FA158"/>
      <c r="FC158"/>
      <c r="FD158"/>
      <c r="FE158"/>
      <c r="FF158"/>
      <c r="FG158"/>
      <c r="FH158"/>
      <c r="FI158"/>
      <c r="FK158"/>
      <c r="FL158"/>
      <c r="FM158"/>
      <c r="FN158"/>
      <c r="FO158"/>
      <c r="FP158"/>
      <c r="FQ158"/>
      <c r="FS158"/>
      <c r="FT158"/>
      <c r="FU158"/>
      <c r="FV158"/>
      <c r="FW158"/>
      <c r="FX158"/>
      <c r="FY158"/>
      <c r="GA158"/>
      <c r="GB158"/>
      <c r="GC158"/>
      <c r="GD158"/>
      <c r="GE158"/>
      <c r="GF158"/>
      <c r="GG158"/>
      <c r="GI158"/>
      <c r="GJ158"/>
      <c r="GK158"/>
      <c r="GL158"/>
      <c r="GM158"/>
      <c r="GN158"/>
      <c r="GO158"/>
      <c r="YK158"/>
      <c r="YL158"/>
      <c r="YM158"/>
      <c r="YN158"/>
      <c r="YO158"/>
      <c r="AFI158"/>
      <c r="AFJ158"/>
      <c r="AFK158"/>
      <c r="AFL158"/>
      <c r="AFM158"/>
      <c r="AFN158"/>
      <c r="AFO158" s="36"/>
    </row>
    <row r="159" spans="59:847" x14ac:dyDescent="0.25">
      <c r="BG159"/>
      <c r="BH159"/>
      <c r="BI159"/>
      <c r="BJ159" s="34"/>
      <c r="BK159" s="34"/>
      <c r="BL159">
        <f>+Tabla3102[[#This Row],[Longitud de eje]]*BF159</f>
        <v>0</v>
      </c>
      <c r="BM159">
        <f>+Tabla3102[[#This Row],[Longitud de eje]]*BG159</f>
        <v>0</v>
      </c>
      <c r="BO159"/>
      <c r="BP159"/>
      <c r="BQ159"/>
      <c r="BR159" s="34"/>
      <c r="BS159" s="34"/>
      <c r="BT159"/>
      <c r="BU159"/>
      <c r="BW159"/>
      <c r="BX159"/>
      <c r="BY159"/>
      <c r="BZ159"/>
      <c r="CA159"/>
      <c r="CB159"/>
      <c r="CE159"/>
      <c r="CF159"/>
      <c r="CG159"/>
      <c r="CH159"/>
      <c r="CI159"/>
      <c r="CJ159"/>
      <c r="CK159"/>
      <c r="CM159"/>
      <c r="CN159"/>
      <c r="CO159"/>
      <c r="CP159"/>
      <c r="CQ159"/>
      <c r="CR159"/>
      <c r="CU159"/>
      <c r="CV159"/>
      <c r="CW159"/>
      <c r="CX159"/>
      <c r="CY159"/>
      <c r="CZ159"/>
      <c r="DA159"/>
      <c r="DC159"/>
      <c r="DD159"/>
      <c r="DE159"/>
      <c r="DF159"/>
      <c r="DG159">
        <f>+Tabla31011704[[#This Row],[Longitud de eje]]*DB159</f>
        <v>0</v>
      </c>
      <c r="DH159"/>
      <c r="DJ159"/>
      <c r="DK159"/>
      <c r="DL159"/>
      <c r="DM159"/>
      <c r="DN159">
        <f>+Tabla3101170411[[#This Row],[Longitud de eje]]*DI159</f>
        <v>0</v>
      </c>
      <c r="DO159"/>
      <c r="DQ159"/>
      <c r="DR159"/>
      <c r="DS159"/>
      <c r="DT159"/>
      <c r="DU159">
        <f>+Tabla3101170411120[[#This Row],[Longitud de eje]]*DP159</f>
        <v>0</v>
      </c>
      <c r="DV159"/>
      <c r="DX159"/>
      <c r="DY159"/>
      <c r="DZ159"/>
      <c r="EA159"/>
      <c r="EB159">
        <f>+Tabla3101170411120122[[#This Row],[Longitud de eje]]*DW159</f>
        <v>0</v>
      </c>
      <c r="EC159"/>
      <c r="EE159"/>
      <c r="EF159"/>
      <c r="EG159"/>
      <c r="EH159"/>
      <c r="EI159"/>
      <c r="EJ159"/>
      <c r="EK159"/>
      <c r="EM159"/>
      <c r="EN159"/>
      <c r="EO159"/>
      <c r="EP159"/>
      <c r="EQ159"/>
      <c r="ER159"/>
      <c r="ES159"/>
      <c r="EU159"/>
      <c r="EV159"/>
      <c r="EW159"/>
      <c r="EX159"/>
      <c r="EY159"/>
      <c r="EZ159"/>
      <c r="FA159"/>
      <c r="FC159"/>
      <c r="FD159"/>
      <c r="FE159"/>
      <c r="FF159"/>
      <c r="FG159"/>
      <c r="FH159"/>
      <c r="FI159"/>
      <c r="FK159"/>
      <c r="FL159"/>
      <c r="FM159"/>
      <c r="FN159"/>
      <c r="FO159"/>
      <c r="FP159"/>
      <c r="FQ159"/>
      <c r="FS159"/>
      <c r="FT159"/>
      <c r="FU159"/>
      <c r="FV159"/>
      <c r="FW159"/>
      <c r="FX159"/>
      <c r="FY159"/>
      <c r="GA159"/>
      <c r="GB159"/>
      <c r="GC159"/>
      <c r="GD159"/>
      <c r="GE159"/>
      <c r="GF159"/>
      <c r="GG159"/>
      <c r="GI159"/>
      <c r="GJ159"/>
      <c r="GK159"/>
      <c r="GL159"/>
      <c r="GM159"/>
      <c r="GN159"/>
      <c r="GO159"/>
      <c r="YK159"/>
      <c r="YL159"/>
      <c r="YM159"/>
      <c r="YN159"/>
      <c r="YO159"/>
      <c r="AFI159"/>
      <c r="AFJ159"/>
      <c r="AFK159"/>
      <c r="AFL159"/>
      <c r="AFM159"/>
      <c r="AFN159"/>
      <c r="AFO159" s="36"/>
    </row>
    <row r="160" spans="59:847" x14ac:dyDescent="0.25">
      <c r="BG160"/>
      <c r="BH160"/>
      <c r="BI160"/>
      <c r="BJ160" s="34"/>
      <c r="BK160" s="34"/>
      <c r="BL160">
        <f>+Tabla3102[[#This Row],[Longitud de eje]]*BF160</f>
        <v>0</v>
      </c>
      <c r="BM160">
        <f>+Tabla3102[[#This Row],[Longitud de eje]]*BG160</f>
        <v>0</v>
      </c>
      <c r="BO160"/>
      <c r="BP160"/>
      <c r="BQ160"/>
      <c r="BR160" s="34"/>
      <c r="BS160" s="34"/>
      <c r="BT160"/>
      <c r="BU160"/>
      <c r="BW160"/>
      <c r="BX160"/>
      <c r="BY160"/>
      <c r="BZ160"/>
      <c r="CA160"/>
      <c r="CB160"/>
      <c r="CE160"/>
      <c r="CF160"/>
      <c r="CG160"/>
      <c r="CH160"/>
      <c r="CI160"/>
      <c r="CJ160"/>
      <c r="CK160"/>
      <c r="CM160"/>
      <c r="CN160"/>
      <c r="CO160"/>
      <c r="CP160"/>
      <c r="CQ160"/>
      <c r="CR160"/>
      <c r="CU160"/>
      <c r="CV160"/>
      <c r="CW160"/>
      <c r="CX160"/>
      <c r="CY160"/>
      <c r="CZ160"/>
      <c r="DA160"/>
      <c r="DC160"/>
      <c r="DD160"/>
      <c r="DE160"/>
      <c r="DF160"/>
      <c r="DG160">
        <f>+Tabla31011704[[#This Row],[Longitud de eje]]*DB160</f>
        <v>0</v>
      </c>
      <c r="DH160"/>
      <c r="DJ160"/>
      <c r="DK160"/>
      <c r="DL160"/>
      <c r="DM160"/>
      <c r="DN160">
        <f>+Tabla3101170411[[#This Row],[Longitud de eje]]*DI160</f>
        <v>0</v>
      </c>
      <c r="DO160"/>
      <c r="DQ160"/>
      <c r="DR160"/>
      <c r="DS160"/>
      <c r="DT160"/>
      <c r="DU160">
        <f>+Tabla3101170411120[[#This Row],[Longitud de eje]]*DP160</f>
        <v>0</v>
      </c>
      <c r="DV160"/>
      <c r="DX160"/>
      <c r="DY160"/>
      <c r="DZ160"/>
      <c r="EA160"/>
      <c r="EB160">
        <f>+Tabla3101170411120122[[#This Row],[Longitud de eje]]*DW160</f>
        <v>0</v>
      </c>
      <c r="EC160"/>
      <c r="EE160"/>
      <c r="EF160"/>
      <c r="EG160"/>
      <c r="EH160"/>
      <c r="EI160"/>
      <c r="EJ160"/>
      <c r="EK160"/>
      <c r="EM160"/>
      <c r="EN160"/>
      <c r="EO160"/>
      <c r="EP160"/>
      <c r="EQ160"/>
      <c r="ER160"/>
      <c r="ES160"/>
      <c r="EU160"/>
      <c r="EV160"/>
      <c r="EW160"/>
      <c r="EX160"/>
      <c r="EY160"/>
      <c r="EZ160"/>
      <c r="FA160"/>
      <c r="FC160"/>
      <c r="FD160"/>
      <c r="FE160"/>
      <c r="FF160"/>
      <c r="FG160"/>
      <c r="FH160"/>
      <c r="FI160"/>
      <c r="FK160"/>
      <c r="FL160"/>
      <c r="FM160"/>
      <c r="FN160"/>
      <c r="FO160"/>
      <c r="FP160"/>
      <c r="FQ160"/>
      <c r="FS160"/>
      <c r="FT160"/>
      <c r="FU160"/>
      <c r="FV160"/>
      <c r="FW160"/>
      <c r="FX160"/>
      <c r="FY160"/>
      <c r="GA160"/>
      <c r="GB160"/>
      <c r="GC160"/>
      <c r="GD160"/>
      <c r="GE160"/>
      <c r="GF160"/>
      <c r="GG160"/>
      <c r="GI160"/>
      <c r="GJ160"/>
      <c r="GK160"/>
      <c r="GL160"/>
      <c r="GM160"/>
      <c r="GN160"/>
      <c r="GO160"/>
      <c r="YK160"/>
      <c r="YL160"/>
      <c r="YM160"/>
      <c r="YN160"/>
      <c r="YO160"/>
      <c r="AFI160"/>
      <c r="AFJ160"/>
      <c r="AFK160"/>
      <c r="AFL160"/>
      <c r="AFM160"/>
      <c r="AFN160"/>
      <c r="AFO160" s="36"/>
    </row>
    <row r="161" spans="59:847" x14ac:dyDescent="0.25">
      <c r="BG161"/>
      <c r="BH161"/>
      <c r="BI161"/>
      <c r="BJ161" s="34"/>
      <c r="BK161" s="34"/>
      <c r="BL161">
        <f>+Tabla3102[[#This Row],[Longitud de eje]]*BF161</f>
        <v>0</v>
      </c>
      <c r="BM161">
        <f>+Tabla3102[[#This Row],[Longitud de eje]]*BG161</f>
        <v>0</v>
      </c>
      <c r="BO161"/>
      <c r="BP161"/>
      <c r="BQ161"/>
      <c r="BR161" s="34"/>
      <c r="BS161" s="34"/>
      <c r="BT161"/>
      <c r="BU161"/>
      <c r="BW161"/>
      <c r="BX161"/>
      <c r="BY161"/>
      <c r="BZ161"/>
      <c r="CA161"/>
      <c r="CB161"/>
      <c r="CE161"/>
      <c r="CF161"/>
      <c r="CG161"/>
      <c r="CH161"/>
      <c r="CI161"/>
      <c r="CJ161"/>
      <c r="CK161"/>
      <c r="CM161"/>
      <c r="CN161"/>
      <c r="CO161"/>
      <c r="CP161"/>
      <c r="CQ161"/>
      <c r="CR161"/>
      <c r="CU161"/>
      <c r="CV161"/>
      <c r="CW161"/>
      <c r="CX161"/>
      <c r="CY161"/>
      <c r="CZ161"/>
      <c r="DA161"/>
      <c r="DC161"/>
      <c r="DD161"/>
      <c r="DE161"/>
      <c r="DF161"/>
      <c r="DG161">
        <f>+Tabla31011704[[#This Row],[Longitud de eje]]*DB161</f>
        <v>0</v>
      </c>
      <c r="DH161"/>
      <c r="DJ161"/>
      <c r="DK161"/>
      <c r="DL161"/>
      <c r="DM161"/>
      <c r="DN161">
        <f>+Tabla3101170411[[#This Row],[Longitud de eje]]*DI161</f>
        <v>0</v>
      </c>
      <c r="DO161"/>
      <c r="DQ161"/>
      <c r="DR161"/>
      <c r="DS161"/>
      <c r="DT161"/>
      <c r="DU161">
        <f>+Tabla3101170411120[[#This Row],[Longitud de eje]]*DP161</f>
        <v>0</v>
      </c>
      <c r="DV161"/>
      <c r="DX161"/>
      <c r="DY161"/>
      <c r="DZ161"/>
      <c r="EA161"/>
      <c r="EB161">
        <f>+Tabla3101170411120122[[#This Row],[Longitud de eje]]*DW161</f>
        <v>0</v>
      </c>
      <c r="EC161"/>
      <c r="EE161"/>
      <c r="EF161"/>
      <c r="EG161"/>
      <c r="EH161"/>
      <c r="EI161"/>
      <c r="EJ161"/>
      <c r="EK161"/>
      <c r="EM161"/>
      <c r="EN161"/>
      <c r="EO161"/>
      <c r="EP161"/>
      <c r="EQ161"/>
      <c r="ER161"/>
      <c r="ES161"/>
      <c r="EU161"/>
      <c r="EV161"/>
      <c r="EW161"/>
      <c r="EX161"/>
      <c r="EY161"/>
      <c r="EZ161"/>
      <c r="FA161"/>
      <c r="FC161"/>
      <c r="FD161"/>
      <c r="FE161"/>
      <c r="FF161"/>
      <c r="FG161"/>
      <c r="FH161"/>
      <c r="FI161"/>
      <c r="FK161"/>
      <c r="FL161"/>
      <c r="FM161"/>
      <c r="FN161"/>
      <c r="FO161"/>
      <c r="FP161"/>
      <c r="FQ161"/>
      <c r="FS161"/>
      <c r="FT161"/>
      <c r="FU161"/>
      <c r="FV161"/>
      <c r="FW161"/>
      <c r="FX161"/>
      <c r="FY161"/>
      <c r="GA161"/>
      <c r="GB161"/>
      <c r="GC161"/>
      <c r="GD161"/>
      <c r="GE161"/>
      <c r="GF161"/>
      <c r="GG161"/>
      <c r="GI161"/>
      <c r="GJ161"/>
      <c r="GK161"/>
      <c r="GL161"/>
      <c r="GM161"/>
      <c r="GN161"/>
      <c r="GO161"/>
      <c r="YK161"/>
      <c r="YL161"/>
      <c r="YM161"/>
      <c r="YN161"/>
      <c r="YO161"/>
      <c r="AFI161"/>
      <c r="AFJ161"/>
      <c r="AFK161"/>
      <c r="AFL161"/>
      <c r="AFM161"/>
      <c r="AFN161"/>
      <c r="AFO161" s="36"/>
    </row>
    <row r="162" spans="59:847" x14ac:dyDescent="0.25">
      <c r="BG162"/>
      <c r="BH162"/>
      <c r="BI162"/>
      <c r="BJ162" s="34"/>
      <c r="BK162" s="34"/>
      <c r="BL162">
        <f>+Tabla3102[[#This Row],[Longitud de eje]]*BF162</f>
        <v>0</v>
      </c>
      <c r="BM162">
        <f>+Tabla3102[[#This Row],[Longitud de eje]]*BG162</f>
        <v>0</v>
      </c>
      <c r="BO162"/>
      <c r="BP162"/>
      <c r="BQ162"/>
      <c r="BR162" s="34"/>
      <c r="BS162" s="34"/>
      <c r="BT162"/>
      <c r="BU162"/>
      <c r="BW162"/>
      <c r="BX162"/>
      <c r="BY162"/>
      <c r="BZ162"/>
      <c r="CA162"/>
      <c r="CB162"/>
      <c r="CE162"/>
      <c r="CF162"/>
      <c r="CG162"/>
      <c r="CH162"/>
      <c r="CI162"/>
      <c r="CJ162"/>
      <c r="CK162"/>
      <c r="CM162"/>
      <c r="CN162"/>
      <c r="CO162"/>
      <c r="CP162"/>
      <c r="CQ162"/>
      <c r="CR162"/>
      <c r="CU162"/>
      <c r="CV162"/>
      <c r="CW162"/>
      <c r="CX162"/>
      <c r="CY162"/>
      <c r="CZ162"/>
      <c r="DA162"/>
      <c r="DC162"/>
      <c r="DD162"/>
      <c r="DE162"/>
      <c r="DF162"/>
      <c r="DG162">
        <f>+Tabla31011704[[#This Row],[Longitud de eje]]*DB162</f>
        <v>0</v>
      </c>
      <c r="DH162"/>
      <c r="DJ162"/>
      <c r="DK162"/>
      <c r="DL162"/>
      <c r="DM162"/>
      <c r="DN162">
        <f>+Tabla3101170411[[#This Row],[Longitud de eje]]*DI162</f>
        <v>0</v>
      </c>
      <c r="DO162"/>
      <c r="DQ162"/>
      <c r="DR162"/>
      <c r="DS162"/>
      <c r="DT162"/>
      <c r="DU162">
        <f>+Tabla3101170411120[[#This Row],[Longitud de eje]]*DP162</f>
        <v>0</v>
      </c>
      <c r="DV162"/>
      <c r="DX162"/>
      <c r="DY162"/>
      <c r="DZ162"/>
      <c r="EA162"/>
      <c r="EB162">
        <f>+Tabla3101170411120122[[#This Row],[Longitud de eje]]*DW162</f>
        <v>0</v>
      </c>
      <c r="EC162"/>
      <c r="EE162"/>
      <c r="EF162"/>
      <c r="EG162"/>
      <c r="EH162"/>
      <c r="EI162"/>
      <c r="EJ162"/>
      <c r="EK162"/>
      <c r="EM162"/>
      <c r="EN162"/>
      <c r="EO162"/>
      <c r="EP162"/>
      <c r="EQ162"/>
      <c r="ER162"/>
      <c r="ES162"/>
      <c r="EU162"/>
      <c r="EV162"/>
      <c r="EW162"/>
      <c r="EX162"/>
      <c r="EY162"/>
      <c r="EZ162"/>
      <c r="FA162"/>
      <c r="FC162"/>
      <c r="FD162"/>
      <c r="FE162"/>
      <c r="FF162"/>
      <c r="FG162"/>
      <c r="FH162"/>
      <c r="FI162"/>
      <c r="FK162"/>
      <c r="FL162"/>
      <c r="FM162"/>
      <c r="FN162"/>
      <c r="FO162"/>
      <c r="FP162"/>
      <c r="FQ162"/>
      <c r="FS162"/>
      <c r="FT162"/>
      <c r="FU162"/>
      <c r="FV162"/>
      <c r="FW162"/>
      <c r="FX162"/>
      <c r="FY162"/>
      <c r="GA162"/>
      <c r="GB162"/>
      <c r="GC162"/>
      <c r="GD162"/>
      <c r="GE162"/>
      <c r="GF162"/>
      <c r="GG162"/>
      <c r="GI162"/>
      <c r="GJ162"/>
      <c r="GK162"/>
      <c r="GL162"/>
      <c r="GM162"/>
      <c r="GN162"/>
      <c r="GO162"/>
      <c r="YK162"/>
      <c r="YL162"/>
      <c r="YM162"/>
      <c r="YN162"/>
      <c r="YO162"/>
      <c r="AFI162"/>
      <c r="AFJ162"/>
      <c r="AFK162"/>
      <c r="AFL162"/>
      <c r="AFM162"/>
      <c r="AFN162"/>
      <c r="AFO162" s="36"/>
    </row>
    <row r="163" spans="59:847" x14ac:dyDescent="0.25">
      <c r="BG163"/>
      <c r="BH163"/>
      <c r="BI163"/>
      <c r="BJ163" s="34"/>
      <c r="BK163" s="34"/>
      <c r="BL163">
        <f>+Tabla3102[[#This Row],[Longitud de eje]]*BF163</f>
        <v>0</v>
      </c>
      <c r="BM163">
        <f>+Tabla3102[[#This Row],[Longitud de eje]]*BG163</f>
        <v>0</v>
      </c>
      <c r="BO163"/>
      <c r="BP163"/>
      <c r="BQ163"/>
      <c r="BR163" s="34"/>
      <c r="BS163" s="34"/>
      <c r="BT163"/>
      <c r="BU163"/>
      <c r="BW163"/>
      <c r="BX163"/>
      <c r="BY163"/>
      <c r="BZ163"/>
      <c r="CA163"/>
      <c r="CB163"/>
      <c r="CE163"/>
      <c r="CF163"/>
      <c r="CG163"/>
      <c r="CH163"/>
      <c r="CI163"/>
      <c r="CJ163"/>
      <c r="CK163"/>
      <c r="CM163"/>
      <c r="CN163"/>
      <c r="CO163"/>
      <c r="CP163"/>
      <c r="CQ163"/>
      <c r="CR163"/>
      <c r="CU163"/>
      <c r="CV163"/>
      <c r="CW163"/>
      <c r="CX163"/>
      <c r="CY163"/>
      <c r="CZ163"/>
      <c r="DA163"/>
      <c r="DC163"/>
      <c r="DD163"/>
      <c r="DE163"/>
      <c r="DF163"/>
      <c r="DG163">
        <f>+Tabla31011704[[#This Row],[Longitud de eje]]*DB163</f>
        <v>0</v>
      </c>
      <c r="DH163"/>
      <c r="DJ163"/>
      <c r="DK163"/>
      <c r="DL163"/>
      <c r="DM163"/>
      <c r="DN163">
        <f>+Tabla3101170411[[#This Row],[Longitud de eje]]*DI163</f>
        <v>0</v>
      </c>
      <c r="DO163"/>
      <c r="DQ163"/>
      <c r="DR163"/>
      <c r="DS163"/>
      <c r="DT163"/>
      <c r="DU163">
        <f>+Tabla3101170411120[[#This Row],[Longitud de eje]]*DP163</f>
        <v>0</v>
      </c>
      <c r="DV163"/>
      <c r="DX163"/>
      <c r="DY163"/>
      <c r="DZ163"/>
      <c r="EA163"/>
      <c r="EB163">
        <f>+Tabla3101170411120122[[#This Row],[Longitud de eje]]*DW163</f>
        <v>0</v>
      </c>
      <c r="EC163"/>
      <c r="EE163"/>
      <c r="EF163"/>
      <c r="EG163"/>
      <c r="EH163"/>
      <c r="EI163"/>
      <c r="EJ163"/>
      <c r="EK163"/>
      <c r="EM163"/>
      <c r="EN163"/>
      <c r="EO163"/>
      <c r="EP163"/>
      <c r="EQ163"/>
      <c r="ER163"/>
      <c r="ES163"/>
      <c r="EU163"/>
      <c r="EV163"/>
      <c r="EW163"/>
      <c r="EX163"/>
      <c r="EY163"/>
      <c r="EZ163"/>
      <c r="FA163"/>
      <c r="FC163"/>
      <c r="FD163"/>
      <c r="FE163"/>
      <c r="FF163"/>
      <c r="FG163"/>
      <c r="FH163"/>
      <c r="FI163"/>
      <c r="FK163"/>
      <c r="FL163"/>
      <c r="FM163"/>
      <c r="FN163"/>
      <c r="FO163"/>
      <c r="FP163"/>
      <c r="FQ163"/>
      <c r="FS163"/>
      <c r="FT163"/>
      <c r="FU163"/>
      <c r="FV163"/>
      <c r="FW163"/>
      <c r="FX163"/>
      <c r="FY163"/>
      <c r="GA163"/>
      <c r="GB163"/>
      <c r="GC163"/>
      <c r="GD163"/>
      <c r="GE163"/>
      <c r="GF163"/>
      <c r="GG163"/>
      <c r="GI163"/>
      <c r="GJ163"/>
      <c r="GK163"/>
      <c r="GL163"/>
      <c r="GM163"/>
      <c r="GN163"/>
      <c r="GO163"/>
      <c r="YK163"/>
      <c r="YL163"/>
      <c r="YM163"/>
      <c r="YN163"/>
      <c r="YO163"/>
      <c r="AFI163"/>
      <c r="AFJ163"/>
      <c r="AFK163"/>
      <c r="AFL163"/>
      <c r="AFM163"/>
      <c r="AFN163"/>
      <c r="AFO163" s="36"/>
    </row>
    <row r="164" spans="59:847" x14ac:dyDescent="0.25">
      <c r="BG164"/>
      <c r="BH164"/>
      <c r="BI164"/>
      <c r="BJ164" s="34"/>
      <c r="BK164" s="34"/>
      <c r="BL164">
        <f>+Tabla3102[[#This Row],[Longitud de eje]]*BF164</f>
        <v>0</v>
      </c>
      <c r="BM164">
        <f>+Tabla3102[[#This Row],[Longitud de eje]]*BG164</f>
        <v>0</v>
      </c>
      <c r="BO164"/>
      <c r="BP164"/>
      <c r="BQ164"/>
      <c r="BR164" s="34"/>
      <c r="BS164" s="34"/>
      <c r="BT164"/>
      <c r="BU164"/>
      <c r="BW164"/>
      <c r="BX164"/>
      <c r="BY164"/>
      <c r="BZ164"/>
      <c r="CA164"/>
      <c r="CB164"/>
      <c r="CE164"/>
      <c r="CF164"/>
      <c r="CG164"/>
      <c r="CH164"/>
      <c r="CI164"/>
      <c r="CJ164"/>
      <c r="CK164"/>
      <c r="CM164"/>
      <c r="CN164"/>
      <c r="CO164"/>
      <c r="CP164"/>
      <c r="CQ164"/>
      <c r="CR164"/>
      <c r="CU164"/>
      <c r="CV164"/>
      <c r="CW164"/>
      <c r="CX164"/>
      <c r="CY164"/>
      <c r="CZ164"/>
      <c r="DA164"/>
      <c r="DC164"/>
      <c r="DD164"/>
      <c r="DE164"/>
      <c r="DF164"/>
      <c r="DG164">
        <f>+Tabla31011704[[#This Row],[Longitud de eje]]*DB164</f>
        <v>0</v>
      </c>
      <c r="DH164"/>
      <c r="DJ164"/>
      <c r="DK164"/>
      <c r="DL164"/>
      <c r="DM164"/>
      <c r="DN164">
        <f>+Tabla3101170411[[#This Row],[Longitud de eje]]*DI164</f>
        <v>0</v>
      </c>
      <c r="DO164"/>
      <c r="DQ164"/>
      <c r="DR164"/>
      <c r="DS164"/>
      <c r="DT164"/>
      <c r="DU164">
        <f>+Tabla3101170411120[[#This Row],[Longitud de eje]]*DP164</f>
        <v>0</v>
      </c>
      <c r="DV164"/>
      <c r="DX164"/>
      <c r="DY164"/>
      <c r="DZ164"/>
      <c r="EA164"/>
      <c r="EB164">
        <f>+Tabla3101170411120122[[#This Row],[Longitud de eje]]*DW164</f>
        <v>0</v>
      </c>
      <c r="EC164"/>
      <c r="EE164"/>
      <c r="EF164"/>
      <c r="EG164"/>
      <c r="EH164"/>
      <c r="EI164"/>
      <c r="EJ164"/>
      <c r="EK164"/>
      <c r="EM164"/>
      <c r="EN164"/>
      <c r="EO164"/>
      <c r="EP164"/>
      <c r="EQ164"/>
      <c r="ER164"/>
      <c r="ES164"/>
      <c r="EU164"/>
      <c r="EV164"/>
      <c r="EW164"/>
      <c r="EX164"/>
      <c r="EY164"/>
      <c r="EZ164"/>
      <c r="FA164"/>
      <c r="FC164"/>
      <c r="FD164"/>
      <c r="FE164"/>
      <c r="FF164"/>
      <c r="FG164"/>
      <c r="FH164"/>
      <c r="FI164"/>
      <c r="FK164"/>
      <c r="FL164"/>
      <c r="FM164"/>
      <c r="FN164"/>
      <c r="FO164"/>
      <c r="FP164"/>
      <c r="FQ164"/>
      <c r="FS164"/>
      <c r="FT164"/>
      <c r="FU164"/>
      <c r="FV164"/>
      <c r="FW164"/>
      <c r="FX164"/>
      <c r="FY164"/>
      <c r="GA164"/>
      <c r="GB164"/>
      <c r="GC164"/>
      <c r="GD164"/>
      <c r="GE164"/>
      <c r="GF164"/>
      <c r="GG164"/>
      <c r="GI164"/>
      <c r="GJ164"/>
      <c r="GK164"/>
      <c r="GL164"/>
      <c r="GM164"/>
      <c r="GN164"/>
      <c r="GO164"/>
      <c r="YK164"/>
      <c r="YL164"/>
      <c r="YM164"/>
      <c r="YN164"/>
      <c r="YO164"/>
      <c r="AFI164"/>
      <c r="AFJ164"/>
      <c r="AFK164"/>
      <c r="AFL164"/>
      <c r="AFM164"/>
      <c r="AFN164"/>
      <c r="AFO164" s="35">
        <f>+SUM(AFL164:AFL187)</f>
        <v>0</v>
      </c>
    </row>
    <row r="165" spans="59:847" x14ac:dyDescent="0.25">
      <c r="BG165"/>
      <c r="BH165"/>
      <c r="BI165"/>
      <c r="BJ165" s="34"/>
      <c r="BK165" s="34"/>
      <c r="BL165">
        <f>+Tabla3102[[#This Row],[Longitud de eje]]*BF165</f>
        <v>0</v>
      </c>
      <c r="BM165">
        <f>+Tabla3102[[#This Row],[Longitud de eje]]*BG165</f>
        <v>0</v>
      </c>
      <c r="BO165"/>
      <c r="BP165"/>
      <c r="BQ165"/>
      <c r="BR165" s="34"/>
      <c r="BS165" s="34"/>
      <c r="BT165"/>
      <c r="BU165"/>
      <c r="BW165"/>
      <c r="BX165"/>
      <c r="BY165"/>
      <c r="BZ165"/>
      <c r="CA165"/>
      <c r="CB165"/>
      <c r="CE165"/>
      <c r="CF165"/>
      <c r="CG165"/>
      <c r="CH165"/>
      <c r="CI165"/>
      <c r="CJ165"/>
      <c r="CK165"/>
      <c r="CM165"/>
      <c r="CN165"/>
      <c r="CO165"/>
      <c r="CP165"/>
      <c r="CQ165"/>
      <c r="CR165"/>
      <c r="CU165"/>
      <c r="CV165"/>
      <c r="CW165"/>
      <c r="CX165"/>
      <c r="CY165"/>
      <c r="CZ165"/>
      <c r="DA165"/>
      <c r="DC165"/>
      <c r="DD165"/>
      <c r="DE165"/>
      <c r="DF165"/>
      <c r="DG165">
        <f>+Tabla31011704[[#This Row],[Longitud de eje]]*DB165</f>
        <v>0</v>
      </c>
      <c r="DH165"/>
      <c r="DJ165"/>
      <c r="DK165"/>
      <c r="DL165"/>
      <c r="DM165"/>
      <c r="DN165">
        <f>+Tabla3101170411[[#This Row],[Longitud de eje]]*DI165</f>
        <v>0</v>
      </c>
      <c r="DO165"/>
      <c r="DQ165"/>
      <c r="DR165"/>
      <c r="DS165"/>
      <c r="DT165"/>
      <c r="DU165">
        <f>+Tabla3101170411120[[#This Row],[Longitud de eje]]*DP165</f>
        <v>0</v>
      </c>
      <c r="DV165"/>
      <c r="DX165"/>
      <c r="DY165"/>
      <c r="DZ165"/>
      <c r="EA165"/>
      <c r="EB165">
        <f>+Tabla3101170411120122[[#This Row],[Longitud de eje]]*DW165</f>
        <v>0</v>
      </c>
      <c r="EC165"/>
      <c r="EE165"/>
      <c r="EF165"/>
      <c r="EG165"/>
      <c r="EH165"/>
      <c r="EI165"/>
      <c r="EJ165"/>
      <c r="EK165"/>
      <c r="EM165"/>
      <c r="EN165"/>
      <c r="EO165"/>
      <c r="EP165"/>
      <c r="EQ165"/>
      <c r="ER165"/>
      <c r="ES165"/>
      <c r="EU165"/>
      <c r="EV165"/>
      <c r="EW165"/>
      <c r="EX165"/>
      <c r="EY165"/>
      <c r="EZ165"/>
      <c r="FA165"/>
      <c r="FC165"/>
      <c r="FD165"/>
      <c r="FE165"/>
      <c r="FF165"/>
      <c r="FG165"/>
      <c r="FH165"/>
      <c r="FI165"/>
      <c r="FK165"/>
      <c r="FL165"/>
      <c r="FM165"/>
      <c r="FN165"/>
      <c r="FO165"/>
      <c r="FP165"/>
      <c r="FQ165"/>
      <c r="FS165"/>
      <c r="FT165"/>
      <c r="FU165"/>
      <c r="FV165"/>
      <c r="FW165"/>
      <c r="FX165"/>
      <c r="FY165"/>
      <c r="GA165"/>
      <c r="GB165"/>
      <c r="GC165"/>
      <c r="GD165"/>
      <c r="GE165"/>
      <c r="GF165"/>
      <c r="GG165"/>
      <c r="GI165"/>
      <c r="GJ165"/>
      <c r="GK165"/>
      <c r="GL165"/>
      <c r="GM165"/>
      <c r="GN165"/>
      <c r="GO165"/>
      <c r="YK165"/>
      <c r="YL165"/>
      <c r="YM165"/>
      <c r="YN165"/>
      <c r="YO165"/>
      <c r="AFI165"/>
      <c r="AFJ165"/>
      <c r="AFK165"/>
      <c r="AFL165"/>
      <c r="AFM165"/>
      <c r="AFN165"/>
      <c r="AFO165" s="36"/>
    </row>
    <row r="166" spans="59:847" x14ac:dyDescent="0.25">
      <c r="BG166"/>
      <c r="BH166"/>
      <c r="BI166"/>
      <c r="BJ166" s="34"/>
      <c r="BK166" s="34"/>
      <c r="BL166">
        <f>+Tabla3102[[#This Row],[Longitud de eje]]*BF166</f>
        <v>0</v>
      </c>
      <c r="BM166">
        <f>+Tabla3102[[#This Row],[Longitud de eje]]*BG166</f>
        <v>0</v>
      </c>
      <c r="BO166"/>
      <c r="BP166"/>
      <c r="BQ166"/>
      <c r="BR166" s="34"/>
      <c r="BS166" s="34"/>
      <c r="BT166"/>
      <c r="BU166"/>
      <c r="BW166"/>
      <c r="BX166"/>
      <c r="BY166"/>
      <c r="BZ166"/>
      <c r="CA166"/>
      <c r="CB166"/>
      <c r="CE166"/>
      <c r="CF166"/>
      <c r="CG166"/>
      <c r="CH166"/>
      <c r="CI166"/>
      <c r="CJ166"/>
      <c r="CK166"/>
      <c r="CM166"/>
      <c r="CN166"/>
      <c r="CO166"/>
      <c r="CP166"/>
      <c r="CQ166"/>
      <c r="CR166"/>
      <c r="CU166"/>
      <c r="CV166"/>
      <c r="CW166"/>
      <c r="CX166"/>
      <c r="CY166"/>
      <c r="CZ166"/>
      <c r="DA166"/>
      <c r="DC166"/>
      <c r="DD166"/>
      <c r="DE166"/>
      <c r="DF166"/>
      <c r="DG166">
        <f>+Tabla31011704[[#This Row],[Longitud de eje]]*DB166</f>
        <v>0</v>
      </c>
      <c r="DH166"/>
      <c r="DJ166"/>
      <c r="DK166"/>
      <c r="DL166"/>
      <c r="DM166"/>
      <c r="DN166">
        <f>+Tabla3101170411[[#This Row],[Longitud de eje]]*DI166</f>
        <v>0</v>
      </c>
      <c r="DO166"/>
      <c r="DQ166"/>
      <c r="DR166"/>
      <c r="DS166"/>
      <c r="DT166"/>
      <c r="DU166">
        <f>+Tabla3101170411120[[#This Row],[Longitud de eje]]*DP166</f>
        <v>0</v>
      </c>
      <c r="DV166"/>
      <c r="DX166"/>
      <c r="DY166"/>
      <c r="DZ166"/>
      <c r="EA166"/>
      <c r="EB166">
        <f>+Tabla3101170411120122[[#This Row],[Longitud de eje]]*DW166</f>
        <v>0</v>
      </c>
      <c r="EC166"/>
      <c r="EE166"/>
      <c r="EF166"/>
      <c r="EG166"/>
      <c r="EH166"/>
      <c r="EI166"/>
      <c r="EJ166"/>
      <c r="EK166"/>
      <c r="EM166"/>
      <c r="EN166"/>
      <c r="EO166"/>
      <c r="EP166"/>
      <c r="EQ166"/>
      <c r="ER166"/>
      <c r="ES166"/>
      <c r="EU166"/>
      <c r="EV166"/>
      <c r="EW166"/>
      <c r="EX166"/>
      <c r="EY166"/>
      <c r="EZ166"/>
      <c r="FA166"/>
      <c r="FC166"/>
      <c r="FD166"/>
      <c r="FE166"/>
      <c r="FF166"/>
      <c r="FG166"/>
      <c r="FH166"/>
      <c r="FI166"/>
      <c r="FK166"/>
      <c r="FL166"/>
      <c r="FM166"/>
      <c r="FN166"/>
      <c r="FO166"/>
      <c r="FP166"/>
      <c r="FQ166"/>
      <c r="FS166"/>
      <c r="FT166"/>
      <c r="FU166"/>
      <c r="FV166"/>
      <c r="FW166"/>
      <c r="FX166"/>
      <c r="FY166"/>
      <c r="GA166"/>
      <c r="GB166"/>
      <c r="GC166"/>
      <c r="GD166"/>
      <c r="GE166"/>
      <c r="GF166"/>
      <c r="GG166"/>
      <c r="GI166"/>
      <c r="GJ166"/>
      <c r="GK166"/>
      <c r="GL166"/>
      <c r="GM166"/>
      <c r="GN166"/>
      <c r="GO166"/>
      <c r="YK166"/>
      <c r="YL166"/>
      <c r="YM166"/>
      <c r="YN166"/>
      <c r="YO166"/>
      <c r="AFI166"/>
      <c r="AFJ166"/>
      <c r="AFK166"/>
      <c r="AFL166"/>
      <c r="AFM166"/>
      <c r="AFN166"/>
      <c r="AFO166" s="36"/>
    </row>
    <row r="167" spans="59:847" x14ac:dyDescent="0.25">
      <c r="BG167"/>
      <c r="BH167"/>
      <c r="BI167"/>
      <c r="BJ167" s="34"/>
      <c r="BK167" s="34"/>
      <c r="BL167">
        <f>+Tabla3102[[#This Row],[Longitud de eje]]*BF167</f>
        <v>0</v>
      </c>
      <c r="BM167">
        <f>+Tabla3102[[#This Row],[Longitud de eje]]*BG167</f>
        <v>0</v>
      </c>
      <c r="BO167"/>
      <c r="BP167"/>
      <c r="BQ167"/>
      <c r="BR167" s="34"/>
      <c r="BS167" s="34"/>
      <c r="BT167"/>
      <c r="BU167"/>
      <c r="BW167"/>
      <c r="BX167"/>
      <c r="BY167"/>
      <c r="BZ167"/>
      <c r="CA167"/>
      <c r="CB167"/>
      <c r="CE167"/>
      <c r="CF167"/>
      <c r="CG167"/>
      <c r="CH167"/>
      <c r="CI167"/>
      <c r="CJ167"/>
      <c r="CK167"/>
      <c r="CM167"/>
      <c r="CN167"/>
      <c r="CO167"/>
      <c r="CP167"/>
      <c r="CQ167"/>
      <c r="CR167"/>
      <c r="CU167"/>
      <c r="CV167"/>
      <c r="CW167"/>
      <c r="CX167"/>
      <c r="CY167"/>
      <c r="CZ167"/>
      <c r="DA167"/>
      <c r="DC167"/>
      <c r="DD167"/>
      <c r="DE167"/>
      <c r="DF167"/>
      <c r="DG167">
        <f>+Tabla31011704[[#This Row],[Longitud de eje]]*DB167</f>
        <v>0</v>
      </c>
      <c r="DH167"/>
      <c r="DJ167"/>
      <c r="DK167"/>
      <c r="DL167"/>
      <c r="DM167"/>
      <c r="DN167">
        <f>+Tabla3101170411[[#This Row],[Longitud de eje]]*DI167</f>
        <v>0</v>
      </c>
      <c r="DO167"/>
      <c r="DQ167"/>
      <c r="DR167"/>
      <c r="DS167"/>
      <c r="DT167"/>
      <c r="DU167">
        <f>+Tabla3101170411120[[#This Row],[Longitud de eje]]*DP167</f>
        <v>0</v>
      </c>
      <c r="DV167"/>
      <c r="DX167"/>
      <c r="DY167"/>
      <c r="DZ167"/>
      <c r="EA167"/>
      <c r="EB167">
        <f>+Tabla3101170411120122[[#This Row],[Longitud de eje]]*DW167</f>
        <v>0</v>
      </c>
      <c r="EC167"/>
      <c r="EE167"/>
      <c r="EF167"/>
      <c r="EG167"/>
      <c r="EH167"/>
      <c r="EI167"/>
      <c r="EJ167"/>
      <c r="EK167"/>
      <c r="EM167"/>
      <c r="EN167"/>
      <c r="EO167"/>
      <c r="EP167"/>
      <c r="EQ167"/>
      <c r="ER167"/>
      <c r="ES167"/>
      <c r="EU167"/>
      <c r="EV167"/>
      <c r="EW167"/>
      <c r="EX167"/>
      <c r="EY167"/>
      <c r="EZ167"/>
      <c r="FA167"/>
      <c r="FC167"/>
      <c r="FD167"/>
      <c r="FE167"/>
      <c r="FF167"/>
      <c r="FG167"/>
      <c r="FH167"/>
      <c r="FI167"/>
      <c r="FK167"/>
      <c r="FL167"/>
      <c r="FM167"/>
      <c r="FN167"/>
      <c r="FO167"/>
      <c r="FP167"/>
      <c r="FQ167"/>
      <c r="FS167"/>
      <c r="FT167"/>
      <c r="FU167"/>
      <c r="FV167"/>
      <c r="FW167"/>
      <c r="FX167"/>
      <c r="FY167"/>
      <c r="GA167"/>
      <c r="GB167"/>
      <c r="GC167"/>
      <c r="GD167"/>
      <c r="GE167"/>
      <c r="GF167"/>
      <c r="GG167"/>
      <c r="GI167"/>
      <c r="GJ167"/>
      <c r="GK167"/>
      <c r="GL167"/>
      <c r="GM167"/>
      <c r="GN167"/>
      <c r="GO167"/>
      <c r="YK167"/>
      <c r="YL167"/>
      <c r="YM167"/>
      <c r="YN167"/>
      <c r="YO167"/>
      <c r="AFI167"/>
      <c r="AFJ167"/>
      <c r="AFK167"/>
      <c r="AFL167"/>
      <c r="AFM167"/>
      <c r="AFN167"/>
      <c r="AFO167" s="36"/>
    </row>
    <row r="168" spans="59:847" x14ac:dyDescent="0.25">
      <c r="BG168"/>
      <c r="BH168"/>
      <c r="BI168"/>
      <c r="BJ168" s="34"/>
      <c r="BK168" s="34"/>
      <c r="BL168">
        <f>+Tabla3102[[#This Row],[Longitud de eje]]*BF168</f>
        <v>0</v>
      </c>
      <c r="BM168">
        <f>+Tabla3102[[#This Row],[Longitud de eje]]*BG168</f>
        <v>0</v>
      </c>
      <c r="BO168"/>
      <c r="BP168"/>
      <c r="BQ168"/>
      <c r="BR168" s="34"/>
      <c r="BS168" s="34"/>
      <c r="BT168"/>
      <c r="BU168"/>
      <c r="BW168"/>
      <c r="BX168"/>
      <c r="BY168"/>
      <c r="BZ168"/>
      <c r="CA168"/>
      <c r="CB168"/>
      <c r="CE168"/>
      <c r="CF168"/>
      <c r="CG168"/>
      <c r="CH168"/>
      <c r="CI168"/>
      <c r="CJ168"/>
      <c r="CK168"/>
      <c r="CM168"/>
      <c r="CN168"/>
      <c r="CO168"/>
      <c r="CP168"/>
      <c r="CQ168"/>
      <c r="CR168"/>
      <c r="CU168"/>
      <c r="CV168"/>
      <c r="CW168"/>
      <c r="CX168"/>
      <c r="CY168"/>
      <c r="CZ168"/>
      <c r="DA168"/>
      <c r="DC168"/>
      <c r="DD168"/>
      <c r="DE168"/>
      <c r="DF168"/>
      <c r="DG168">
        <f>+Tabla31011704[[#This Row],[Longitud de eje]]*DB168</f>
        <v>0</v>
      </c>
      <c r="DH168"/>
      <c r="DJ168"/>
      <c r="DK168"/>
      <c r="DL168"/>
      <c r="DM168"/>
      <c r="DN168">
        <f>+Tabla3101170411[[#This Row],[Longitud de eje]]*DI168</f>
        <v>0</v>
      </c>
      <c r="DO168"/>
      <c r="DQ168"/>
      <c r="DR168"/>
      <c r="DS168"/>
      <c r="DT168"/>
      <c r="DU168">
        <f>+Tabla3101170411120[[#This Row],[Longitud de eje]]*DP168</f>
        <v>0</v>
      </c>
      <c r="DV168"/>
      <c r="DX168"/>
      <c r="DY168"/>
      <c r="DZ168"/>
      <c r="EA168"/>
      <c r="EB168">
        <f>+Tabla3101170411120122[[#This Row],[Longitud de eje]]*DW168</f>
        <v>0</v>
      </c>
      <c r="EC168"/>
      <c r="EE168"/>
      <c r="EF168"/>
      <c r="EG168"/>
      <c r="EH168"/>
      <c r="EI168"/>
      <c r="EJ168"/>
      <c r="EK168"/>
      <c r="EM168"/>
      <c r="EN168"/>
      <c r="EO168"/>
      <c r="EP168"/>
      <c r="EQ168"/>
      <c r="ER168"/>
      <c r="ES168"/>
      <c r="EU168"/>
      <c r="EV168"/>
      <c r="EW168"/>
      <c r="EX168"/>
      <c r="EY168"/>
      <c r="EZ168"/>
      <c r="FA168"/>
      <c r="FC168"/>
      <c r="FD168"/>
      <c r="FE168"/>
      <c r="FF168"/>
      <c r="FG168"/>
      <c r="FH168"/>
      <c r="FI168"/>
      <c r="FK168"/>
      <c r="FL168"/>
      <c r="FM168"/>
      <c r="FN168"/>
      <c r="FO168"/>
      <c r="FP168"/>
      <c r="FQ168"/>
      <c r="FS168"/>
      <c r="FT168"/>
      <c r="FU168"/>
      <c r="FV168"/>
      <c r="FW168"/>
      <c r="FX168"/>
      <c r="FY168"/>
      <c r="GA168"/>
      <c r="GB168"/>
      <c r="GC168"/>
      <c r="GD168"/>
      <c r="GE168"/>
      <c r="GF168"/>
      <c r="GG168"/>
      <c r="GI168"/>
      <c r="GJ168"/>
      <c r="GK168"/>
      <c r="GL168"/>
      <c r="GM168"/>
      <c r="GN168"/>
      <c r="GO168"/>
      <c r="YK168"/>
      <c r="YL168"/>
      <c r="YM168"/>
      <c r="YN168"/>
      <c r="YO168"/>
      <c r="AFI168"/>
      <c r="AFJ168"/>
      <c r="AFK168"/>
      <c r="AFL168"/>
      <c r="AFM168"/>
      <c r="AFN168"/>
      <c r="AFO168" s="36"/>
    </row>
    <row r="169" spans="59:847" x14ac:dyDescent="0.25">
      <c r="BG169"/>
      <c r="BH169"/>
      <c r="BI169"/>
      <c r="BJ169" s="34"/>
      <c r="BK169" s="34"/>
      <c r="BL169">
        <f>+Tabla3102[[#This Row],[Longitud de eje]]*BF169</f>
        <v>0</v>
      </c>
      <c r="BM169">
        <f>+Tabla3102[[#This Row],[Longitud de eje]]*BG169</f>
        <v>0</v>
      </c>
      <c r="BO169"/>
      <c r="BP169"/>
      <c r="BQ169"/>
      <c r="BR169" s="34"/>
      <c r="BS169" s="34"/>
      <c r="BT169"/>
      <c r="BU169"/>
      <c r="BW169"/>
      <c r="BX169"/>
      <c r="BY169"/>
      <c r="BZ169"/>
      <c r="CA169"/>
      <c r="CB169"/>
      <c r="CE169"/>
      <c r="CF169"/>
      <c r="CG169"/>
      <c r="CH169"/>
      <c r="CI169"/>
      <c r="CJ169"/>
      <c r="CK169"/>
      <c r="CM169"/>
      <c r="CN169"/>
      <c r="CO169"/>
      <c r="CP169"/>
      <c r="CQ169"/>
      <c r="CR169"/>
      <c r="CU169"/>
      <c r="CV169"/>
      <c r="CW169"/>
      <c r="CX169"/>
      <c r="CY169"/>
      <c r="CZ169"/>
      <c r="DA169"/>
      <c r="DC169"/>
      <c r="DD169"/>
      <c r="DE169"/>
      <c r="DF169"/>
      <c r="DG169">
        <f>+Tabla31011704[[#This Row],[Longitud de eje]]*DB169</f>
        <v>0</v>
      </c>
      <c r="DH169"/>
      <c r="DJ169"/>
      <c r="DK169"/>
      <c r="DL169"/>
      <c r="DM169"/>
      <c r="DN169">
        <f>+Tabla3101170411[[#This Row],[Longitud de eje]]*DI169</f>
        <v>0</v>
      </c>
      <c r="DO169"/>
      <c r="DQ169"/>
      <c r="DR169"/>
      <c r="DS169"/>
      <c r="DT169"/>
      <c r="DU169">
        <f>+Tabla3101170411120[[#This Row],[Longitud de eje]]*DP169</f>
        <v>0</v>
      </c>
      <c r="DV169"/>
      <c r="DX169"/>
      <c r="DY169"/>
      <c r="DZ169"/>
      <c r="EA169"/>
      <c r="EB169">
        <f>+Tabla3101170411120122[[#This Row],[Longitud de eje]]*DW169</f>
        <v>0</v>
      </c>
      <c r="EC169"/>
      <c r="EE169"/>
      <c r="EF169"/>
      <c r="EG169"/>
      <c r="EH169"/>
      <c r="EI169"/>
      <c r="EJ169"/>
      <c r="EK169"/>
      <c r="EM169"/>
      <c r="EN169"/>
      <c r="EO169"/>
      <c r="EP169"/>
      <c r="EQ169"/>
      <c r="ER169"/>
      <c r="ES169"/>
      <c r="EU169"/>
      <c r="EV169"/>
      <c r="EW169"/>
      <c r="EX169"/>
      <c r="EY169"/>
      <c r="EZ169"/>
      <c r="FA169"/>
      <c r="FC169"/>
      <c r="FD169"/>
      <c r="FE169"/>
      <c r="FF169"/>
      <c r="FG169"/>
      <c r="FH169"/>
      <c r="FI169"/>
      <c r="FK169"/>
      <c r="FL169"/>
      <c r="FM169"/>
      <c r="FN169"/>
      <c r="FO169"/>
      <c r="FP169"/>
      <c r="FQ169"/>
      <c r="FS169"/>
      <c r="FT169"/>
      <c r="FU169"/>
      <c r="FV169"/>
      <c r="FW169"/>
      <c r="FX169"/>
      <c r="FY169"/>
      <c r="GA169"/>
      <c r="GB169"/>
      <c r="GC169"/>
      <c r="GD169"/>
      <c r="GE169"/>
      <c r="GF169"/>
      <c r="GG169"/>
      <c r="GI169"/>
      <c r="GJ169"/>
      <c r="GK169"/>
      <c r="GL169"/>
      <c r="GM169"/>
      <c r="GN169"/>
      <c r="GO169"/>
      <c r="YK169"/>
      <c r="YL169"/>
      <c r="YM169"/>
      <c r="YN169"/>
      <c r="YO169"/>
      <c r="AFI169"/>
      <c r="AFJ169"/>
      <c r="AFK169"/>
      <c r="AFL169"/>
      <c r="AFM169"/>
      <c r="AFN169"/>
      <c r="AFO169" s="36"/>
    </row>
    <row r="170" spans="59:847" x14ac:dyDescent="0.25">
      <c r="BG170"/>
      <c r="BH170"/>
      <c r="BI170"/>
      <c r="BJ170" s="34"/>
      <c r="BK170" s="34"/>
      <c r="BL170">
        <f>+Tabla3102[[#This Row],[Longitud de eje]]*BF170</f>
        <v>0</v>
      </c>
      <c r="BM170">
        <f>+Tabla3102[[#This Row],[Longitud de eje]]*BG170</f>
        <v>0</v>
      </c>
      <c r="BO170"/>
      <c r="BP170"/>
      <c r="BQ170"/>
      <c r="BR170" s="34"/>
      <c r="BS170" s="34"/>
      <c r="BT170"/>
      <c r="BU170"/>
      <c r="BW170"/>
      <c r="BX170"/>
      <c r="BY170"/>
      <c r="BZ170"/>
      <c r="CA170"/>
      <c r="CB170"/>
      <c r="CE170"/>
      <c r="CF170"/>
      <c r="CG170"/>
      <c r="CH170"/>
      <c r="CI170"/>
      <c r="CJ170"/>
      <c r="CK170"/>
      <c r="CM170"/>
      <c r="CN170"/>
      <c r="CO170"/>
      <c r="CP170"/>
      <c r="CQ170"/>
      <c r="CR170"/>
      <c r="CU170"/>
      <c r="CV170"/>
      <c r="CW170"/>
      <c r="CX170"/>
      <c r="CY170"/>
      <c r="CZ170"/>
      <c r="DA170"/>
      <c r="DC170"/>
      <c r="DD170"/>
      <c r="DE170"/>
      <c r="DF170"/>
      <c r="DG170">
        <f>+Tabla31011704[[#This Row],[Longitud de eje]]*DB170</f>
        <v>0</v>
      </c>
      <c r="DH170"/>
      <c r="DJ170"/>
      <c r="DK170"/>
      <c r="DL170"/>
      <c r="DM170"/>
      <c r="DN170">
        <f>+Tabla3101170411[[#This Row],[Longitud de eje]]*DI170</f>
        <v>0</v>
      </c>
      <c r="DO170"/>
      <c r="DQ170"/>
      <c r="DR170"/>
      <c r="DS170"/>
      <c r="DT170"/>
      <c r="DU170">
        <f>+Tabla3101170411120[[#This Row],[Longitud de eje]]*DP170</f>
        <v>0</v>
      </c>
      <c r="DV170"/>
      <c r="DX170"/>
      <c r="DY170"/>
      <c r="DZ170"/>
      <c r="EA170"/>
      <c r="EB170">
        <f>+Tabla3101170411120122[[#This Row],[Longitud de eje]]*DW170</f>
        <v>0</v>
      </c>
      <c r="EC170"/>
      <c r="EE170"/>
      <c r="EF170"/>
      <c r="EG170"/>
      <c r="EH170"/>
      <c r="EI170"/>
      <c r="EJ170"/>
      <c r="EK170"/>
      <c r="EM170"/>
      <c r="EN170"/>
      <c r="EO170"/>
      <c r="EP170"/>
      <c r="EQ170"/>
      <c r="ER170"/>
      <c r="ES170"/>
      <c r="EU170"/>
      <c r="EV170"/>
      <c r="EW170"/>
      <c r="EX170"/>
      <c r="EY170"/>
      <c r="EZ170"/>
      <c r="FA170"/>
      <c r="FC170"/>
      <c r="FD170"/>
      <c r="FE170"/>
      <c r="FF170"/>
      <c r="FG170"/>
      <c r="FH170"/>
      <c r="FI170"/>
      <c r="FK170"/>
      <c r="FL170"/>
      <c r="FM170"/>
      <c r="FN170"/>
      <c r="FO170"/>
      <c r="FP170"/>
      <c r="FQ170"/>
      <c r="FS170"/>
      <c r="FT170"/>
      <c r="FU170"/>
      <c r="FV170"/>
      <c r="FW170"/>
      <c r="FX170"/>
      <c r="FY170"/>
      <c r="GA170"/>
      <c r="GB170"/>
      <c r="GC170"/>
      <c r="GD170"/>
      <c r="GE170"/>
      <c r="GF170"/>
      <c r="GG170"/>
      <c r="GI170"/>
      <c r="GJ170"/>
      <c r="GK170"/>
      <c r="GL170"/>
      <c r="GM170"/>
      <c r="GN170"/>
      <c r="GO170"/>
      <c r="YK170"/>
      <c r="YL170"/>
      <c r="YM170"/>
      <c r="YN170"/>
      <c r="YO170"/>
      <c r="AFI170"/>
      <c r="AFJ170"/>
      <c r="AFK170"/>
      <c r="AFL170"/>
      <c r="AFM170"/>
      <c r="AFN170"/>
      <c r="AFO170" s="36"/>
    </row>
    <row r="171" spans="59:847" x14ac:dyDescent="0.25">
      <c r="BG171"/>
      <c r="BH171"/>
      <c r="BI171"/>
      <c r="BJ171" s="34"/>
      <c r="BK171" s="34"/>
      <c r="BL171">
        <f>+Tabla3102[[#This Row],[Longitud de eje]]*BF171</f>
        <v>0</v>
      </c>
      <c r="BM171">
        <f>+Tabla3102[[#This Row],[Longitud de eje]]*BG171</f>
        <v>0</v>
      </c>
      <c r="BO171"/>
      <c r="BP171"/>
      <c r="BQ171"/>
      <c r="BR171" s="34"/>
      <c r="BS171" s="34"/>
      <c r="BT171"/>
      <c r="BU171"/>
      <c r="BW171"/>
      <c r="BX171"/>
      <c r="BY171"/>
      <c r="BZ171"/>
      <c r="CA171"/>
      <c r="CB171"/>
      <c r="CE171"/>
      <c r="CF171"/>
      <c r="CG171"/>
      <c r="CH171"/>
      <c r="CI171"/>
      <c r="CJ171"/>
      <c r="CK171"/>
      <c r="CM171"/>
      <c r="CN171"/>
      <c r="CO171"/>
      <c r="CP171"/>
      <c r="CQ171"/>
      <c r="CR171"/>
      <c r="CU171"/>
      <c r="CV171"/>
      <c r="CW171"/>
      <c r="CX171"/>
      <c r="CY171"/>
      <c r="CZ171"/>
      <c r="DA171"/>
      <c r="DC171"/>
      <c r="DD171"/>
      <c r="DE171"/>
      <c r="DF171"/>
      <c r="DG171">
        <f>+Tabla31011704[[#This Row],[Longitud de eje]]*DB171</f>
        <v>0</v>
      </c>
      <c r="DH171"/>
      <c r="DJ171"/>
      <c r="DK171"/>
      <c r="DL171"/>
      <c r="DM171"/>
      <c r="DN171">
        <f>+Tabla3101170411[[#This Row],[Longitud de eje]]*DI171</f>
        <v>0</v>
      </c>
      <c r="DO171"/>
      <c r="DQ171"/>
      <c r="DR171"/>
      <c r="DS171"/>
      <c r="DT171"/>
      <c r="DU171">
        <f>+Tabla3101170411120[[#This Row],[Longitud de eje]]*DP171</f>
        <v>0</v>
      </c>
      <c r="DV171"/>
      <c r="DX171"/>
      <c r="DY171"/>
      <c r="DZ171"/>
      <c r="EA171"/>
      <c r="EB171">
        <f>+Tabla3101170411120122[[#This Row],[Longitud de eje]]*DW171</f>
        <v>0</v>
      </c>
      <c r="EC171"/>
      <c r="EE171"/>
      <c r="EF171"/>
      <c r="EG171"/>
      <c r="EH171"/>
      <c r="EI171"/>
      <c r="EJ171"/>
      <c r="EK171"/>
      <c r="EM171"/>
      <c r="EN171"/>
      <c r="EO171"/>
      <c r="EP171"/>
      <c r="EQ171"/>
      <c r="ER171"/>
      <c r="ES171"/>
      <c r="EU171"/>
      <c r="EV171"/>
      <c r="EW171"/>
      <c r="EX171"/>
      <c r="EY171"/>
      <c r="EZ171"/>
      <c r="FA171"/>
      <c r="FC171"/>
      <c r="FD171"/>
      <c r="FE171"/>
      <c r="FF171"/>
      <c r="FG171"/>
      <c r="FH171"/>
      <c r="FI171"/>
      <c r="FK171"/>
      <c r="FL171"/>
      <c r="FM171"/>
      <c r="FN171"/>
      <c r="FO171"/>
      <c r="FP171"/>
      <c r="FQ171"/>
      <c r="FS171"/>
      <c r="FT171"/>
      <c r="FU171"/>
      <c r="FV171"/>
      <c r="FW171"/>
      <c r="FX171"/>
      <c r="FY171"/>
      <c r="GA171"/>
      <c r="GB171"/>
      <c r="GC171"/>
      <c r="GD171"/>
      <c r="GE171"/>
      <c r="GF171"/>
      <c r="GG171"/>
      <c r="GI171"/>
      <c r="GJ171"/>
      <c r="GK171"/>
      <c r="GL171"/>
      <c r="GM171"/>
      <c r="GN171"/>
      <c r="GO171"/>
      <c r="YK171"/>
      <c r="YL171"/>
      <c r="YM171"/>
      <c r="YN171"/>
      <c r="YO171"/>
      <c r="AFI171"/>
      <c r="AFJ171"/>
      <c r="AFK171"/>
      <c r="AFL171"/>
      <c r="AFM171"/>
      <c r="AFN171"/>
      <c r="AFO171" s="36"/>
    </row>
    <row r="172" spans="59:847" x14ac:dyDescent="0.25">
      <c r="BG172"/>
      <c r="BH172"/>
      <c r="BI172"/>
      <c r="BJ172" s="34"/>
      <c r="BK172" s="34"/>
      <c r="BL172">
        <f>+Tabla3102[[#This Row],[Longitud de eje]]*BF172</f>
        <v>0</v>
      </c>
      <c r="BM172">
        <f>+Tabla3102[[#This Row],[Longitud de eje]]*BG172</f>
        <v>0</v>
      </c>
      <c r="BO172"/>
      <c r="BP172"/>
      <c r="BQ172"/>
      <c r="BR172" s="34"/>
      <c r="BS172" s="34"/>
      <c r="BT172"/>
      <c r="BU172"/>
      <c r="BW172"/>
      <c r="BX172"/>
      <c r="BY172"/>
      <c r="BZ172"/>
      <c r="CA172"/>
      <c r="CB172"/>
      <c r="CE172"/>
      <c r="CF172"/>
      <c r="CG172"/>
      <c r="CH172"/>
      <c r="CI172"/>
      <c r="CJ172"/>
      <c r="CK172"/>
      <c r="CM172"/>
      <c r="CN172"/>
      <c r="CO172"/>
      <c r="CP172"/>
      <c r="CQ172"/>
      <c r="CR172"/>
      <c r="CU172"/>
      <c r="CV172"/>
      <c r="CW172"/>
      <c r="CX172"/>
      <c r="CY172"/>
      <c r="CZ172"/>
      <c r="DA172"/>
      <c r="DC172"/>
      <c r="DD172"/>
      <c r="DE172"/>
      <c r="DF172"/>
      <c r="DG172">
        <f>+Tabla31011704[[#This Row],[Longitud de eje]]*DB172</f>
        <v>0</v>
      </c>
      <c r="DH172"/>
      <c r="DJ172"/>
      <c r="DK172"/>
      <c r="DL172"/>
      <c r="DM172"/>
      <c r="DN172">
        <f>+Tabla3101170411[[#This Row],[Longitud de eje]]*DI172</f>
        <v>0</v>
      </c>
      <c r="DO172"/>
      <c r="DQ172"/>
      <c r="DR172"/>
      <c r="DS172"/>
      <c r="DT172"/>
      <c r="DU172">
        <f>+Tabla3101170411120[[#This Row],[Longitud de eje]]*DP172</f>
        <v>0</v>
      </c>
      <c r="DV172"/>
      <c r="DX172"/>
      <c r="DY172"/>
      <c r="DZ172"/>
      <c r="EA172"/>
      <c r="EB172">
        <f>+Tabla3101170411120122[[#This Row],[Longitud de eje]]*DW172</f>
        <v>0</v>
      </c>
      <c r="EC172"/>
      <c r="EE172"/>
      <c r="EF172"/>
      <c r="EG172"/>
      <c r="EH172"/>
      <c r="EI172"/>
      <c r="EJ172"/>
      <c r="EK172"/>
      <c r="EM172"/>
      <c r="EN172"/>
      <c r="EO172"/>
      <c r="EP172"/>
      <c r="EQ172"/>
      <c r="ER172"/>
      <c r="ES172"/>
      <c r="EU172"/>
      <c r="EV172"/>
      <c r="EW172"/>
      <c r="EX172"/>
      <c r="EY172"/>
      <c r="EZ172"/>
      <c r="FA172"/>
      <c r="FC172"/>
      <c r="FD172"/>
      <c r="FE172"/>
      <c r="FF172"/>
      <c r="FG172"/>
      <c r="FH172"/>
      <c r="FI172"/>
      <c r="FK172"/>
      <c r="FL172"/>
      <c r="FM172"/>
      <c r="FN172"/>
      <c r="FO172"/>
      <c r="FP172"/>
      <c r="FQ172"/>
      <c r="FS172"/>
      <c r="FT172"/>
      <c r="FU172"/>
      <c r="FV172"/>
      <c r="FW172"/>
      <c r="FX172"/>
      <c r="FY172"/>
      <c r="GA172"/>
      <c r="GB172"/>
      <c r="GC172"/>
      <c r="GD172"/>
      <c r="GE172"/>
      <c r="GF172"/>
      <c r="GG172"/>
      <c r="GI172"/>
      <c r="GJ172"/>
      <c r="GK172"/>
      <c r="GL172"/>
      <c r="GM172"/>
      <c r="GN172"/>
      <c r="GO172"/>
      <c r="YK172"/>
      <c r="YL172"/>
      <c r="YM172"/>
      <c r="YN172"/>
      <c r="YO172"/>
      <c r="AFI172"/>
      <c r="AFJ172"/>
      <c r="AFK172"/>
      <c r="AFL172"/>
      <c r="AFM172"/>
      <c r="AFN172"/>
      <c r="AFO172" s="36"/>
    </row>
    <row r="173" spans="59:847" x14ac:dyDescent="0.25">
      <c r="BG173"/>
      <c r="BH173"/>
      <c r="BI173"/>
      <c r="BJ173" s="34"/>
      <c r="BK173" s="34"/>
      <c r="BL173">
        <f>+Tabla3102[[#This Row],[Longitud de eje]]*BF173</f>
        <v>0</v>
      </c>
      <c r="BM173">
        <f>+Tabla3102[[#This Row],[Longitud de eje]]*BG173</f>
        <v>0</v>
      </c>
      <c r="BO173"/>
      <c r="BP173"/>
      <c r="BQ173"/>
      <c r="BR173" s="34"/>
      <c r="BS173" s="34"/>
      <c r="BT173"/>
      <c r="BU173"/>
      <c r="BW173"/>
      <c r="BX173"/>
      <c r="BY173"/>
      <c r="BZ173"/>
      <c r="CA173"/>
      <c r="CB173"/>
      <c r="CE173"/>
      <c r="CF173"/>
      <c r="CG173"/>
      <c r="CH173"/>
      <c r="CI173"/>
      <c r="CJ173"/>
      <c r="CK173"/>
      <c r="CM173"/>
      <c r="CN173"/>
      <c r="CO173"/>
      <c r="CP173"/>
      <c r="CQ173"/>
      <c r="CR173"/>
      <c r="CU173"/>
      <c r="CV173"/>
      <c r="CW173"/>
      <c r="CX173"/>
      <c r="CY173"/>
      <c r="CZ173"/>
      <c r="DA173"/>
      <c r="DC173"/>
      <c r="DD173"/>
      <c r="DE173"/>
      <c r="DF173"/>
      <c r="DG173">
        <f>+Tabla31011704[[#This Row],[Longitud de eje]]*DB173</f>
        <v>0</v>
      </c>
      <c r="DH173"/>
      <c r="DJ173"/>
      <c r="DK173"/>
      <c r="DL173"/>
      <c r="DM173"/>
      <c r="DN173">
        <f>+Tabla3101170411[[#This Row],[Longitud de eje]]*DI173</f>
        <v>0</v>
      </c>
      <c r="DO173"/>
      <c r="DQ173"/>
      <c r="DR173"/>
      <c r="DS173"/>
      <c r="DT173"/>
      <c r="DU173">
        <f>+Tabla3101170411120[[#This Row],[Longitud de eje]]*DP173</f>
        <v>0</v>
      </c>
      <c r="DV173"/>
      <c r="DX173"/>
      <c r="DY173"/>
      <c r="DZ173"/>
      <c r="EA173"/>
      <c r="EB173">
        <f>+Tabla3101170411120122[[#This Row],[Longitud de eje]]*DW173</f>
        <v>0</v>
      </c>
      <c r="EC173"/>
      <c r="EE173"/>
      <c r="EF173"/>
      <c r="EG173"/>
      <c r="EH173"/>
      <c r="EI173"/>
      <c r="EJ173"/>
      <c r="EK173"/>
      <c r="EM173"/>
      <c r="EN173"/>
      <c r="EO173"/>
      <c r="EP173"/>
      <c r="EQ173"/>
      <c r="ER173"/>
      <c r="ES173"/>
      <c r="EU173"/>
      <c r="EV173"/>
      <c r="EW173"/>
      <c r="EX173"/>
      <c r="EY173"/>
      <c r="EZ173"/>
      <c r="FA173"/>
      <c r="FC173"/>
      <c r="FD173"/>
      <c r="FE173"/>
      <c r="FF173"/>
      <c r="FG173"/>
      <c r="FH173"/>
      <c r="FI173"/>
      <c r="FK173"/>
      <c r="FL173"/>
      <c r="FM173"/>
      <c r="FN173"/>
      <c r="FO173"/>
      <c r="FP173"/>
      <c r="FQ173"/>
      <c r="FS173"/>
      <c r="FT173"/>
      <c r="FU173"/>
      <c r="FV173"/>
      <c r="FW173"/>
      <c r="FX173"/>
      <c r="FY173"/>
      <c r="GA173"/>
      <c r="GB173"/>
      <c r="GC173"/>
      <c r="GD173"/>
      <c r="GE173"/>
      <c r="GF173"/>
      <c r="GG173"/>
      <c r="GI173"/>
      <c r="GJ173"/>
      <c r="GK173"/>
      <c r="GL173"/>
      <c r="GM173"/>
      <c r="GN173"/>
      <c r="GO173"/>
      <c r="YK173"/>
      <c r="YL173"/>
      <c r="YM173"/>
      <c r="YN173"/>
      <c r="YO173"/>
      <c r="AFI173"/>
      <c r="AFJ173"/>
      <c r="AFK173"/>
      <c r="AFL173"/>
      <c r="AFM173"/>
      <c r="AFN173"/>
      <c r="AFO173" s="36"/>
    </row>
    <row r="174" spans="59:847" x14ac:dyDescent="0.25">
      <c r="BG174"/>
      <c r="BH174"/>
      <c r="BI174"/>
      <c r="BJ174" s="34"/>
      <c r="BK174" s="34"/>
      <c r="BL174">
        <f>+Tabla3102[[#This Row],[Longitud de eje]]*BF174</f>
        <v>0</v>
      </c>
      <c r="BM174">
        <f>+Tabla3102[[#This Row],[Longitud de eje]]*BG174</f>
        <v>0</v>
      </c>
      <c r="BO174"/>
      <c r="BP174"/>
      <c r="BQ174"/>
      <c r="BR174" s="34"/>
      <c r="BS174" s="34"/>
      <c r="BT174"/>
      <c r="BU174"/>
      <c r="BW174"/>
      <c r="BX174"/>
      <c r="BY174"/>
      <c r="BZ174"/>
      <c r="CA174"/>
      <c r="CB174"/>
      <c r="CE174"/>
      <c r="CF174"/>
      <c r="CG174"/>
      <c r="CH174"/>
      <c r="CI174"/>
      <c r="CJ174"/>
      <c r="CK174"/>
      <c r="CM174"/>
      <c r="CN174"/>
      <c r="CO174"/>
      <c r="CP174"/>
      <c r="CQ174"/>
      <c r="CR174"/>
      <c r="CU174"/>
      <c r="CV174"/>
      <c r="CW174"/>
      <c r="CX174"/>
      <c r="CY174"/>
      <c r="CZ174"/>
      <c r="DA174"/>
      <c r="DC174"/>
      <c r="DD174"/>
      <c r="DE174"/>
      <c r="DF174"/>
      <c r="DG174">
        <f>+Tabla31011704[[#This Row],[Longitud de eje]]*DB174</f>
        <v>0</v>
      </c>
      <c r="DH174"/>
      <c r="DJ174"/>
      <c r="DK174"/>
      <c r="DL174"/>
      <c r="DM174"/>
      <c r="DN174">
        <f>+Tabla3101170411[[#This Row],[Longitud de eje]]*DI174</f>
        <v>0</v>
      </c>
      <c r="DO174"/>
      <c r="DQ174"/>
      <c r="DR174"/>
      <c r="DS174"/>
      <c r="DT174"/>
      <c r="DU174">
        <f>+Tabla3101170411120[[#This Row],[Longitud de eje]]*DP174</f>
        <v>0</v>
      </c>
      <c r="DV174"/>
      <c r="DX174"/>
      <c r="DY174"/>
      <c r="DZ174"/>
      <c r="EA174"/>
      <c r="EB174">
        <f>+Tabla3101170411120122[[#This Row],[Longitud de eje]]*DW174</f>
        <v>0</v>
      </c>
      <c r="EC174"/>
      <c r="EE174"/>
      <c r="EF174"/>
      <c r="EG174"/>
      <c r="EH174"/>
      <c r="EI174"/>
      <c r="EJ174"/>
      <c r="EK174"/>
      <c r="EM174"/>
      <c r="EN174"/>
      <c r="EO174"/>
      <c r="EP174"/>
      <c r="EQ174"/>
      <c r="ER174"/>
      <c r="ES174"/>
      <c r="EU174"/>
      <c r="EV174"/>
      <c r="EW174"/>
      <c r="EX174"/>
      <c r="EY174"/>
      <c r="EZ174"/>
      <c r="FA174"/>
      <c r="FC174"/>
      <c r="FD174"/>
      <c r="FE174"/>
      <c r="FF174"/>
      <c r="FG174"/>
      <c r="FH174"/>
      <c r="FI174"/>
      <c r="FK174"/>
      <c r="FL174"/>
      <c r="FM174"/>
      <c r="FN174"/>
      <c r="FO174"/>
      <c r="FP174"/>
      <c r="FQ174"/>
      <c r="FS174"/>
      <c r="FT174"/>
      <c r="FU174"/>
      <c r="FV174"/>
      <c r="FW174"/>
      <c r="FX174"/>
      <c r="FY174"/>
      <c r="GA174"/>
      <c r="GB174"/>
      <c r="GC174"/>
      <c r="GD174"/>
      <c r="GE174"/>
      <c r="GF174"/>
      <c r="GG174"/>
      <c r="GI174"/>
      <c r="GJ174"/>
      <c r="GK174"/>
      <c r="GL174"/>
      <c r="GM174"/>
      <c r="GN174"/>
      <c r="GO174"/>
      <c r="YK174"/>
      <c r="YL174"/>
      <c r="YM174"/>
      <c r="YN174"/>
      <c r="YO174"/>
      <c r="AFI174"/>
      <c r="AFJ174"/>
      <c r="AFK174"/>
      <c r="AFL174"/>
      <c r="AFM174"/>
      <c r="AFN174"/>
      <c r="AFO174" s="36"/>
    </row>
    <row r="175" spans="59:847" x14ac:dyDescent="0.25">
      <c r="BG175"/>
      <c r="BH175"/>
      <c r="BI175"/>
      <c r="BJ175" s="34"/>
      <c r="BK175" s="34"/>
      <c r="BL175">
        <f>+Tabla3102[[#This Row],[Longitud de eje]]*BF175</f>
        <v>0</v>
      </c>
      <c r="BM175">
        <f>+Tabla3102[[#This Row],[Longitud de eje]]*BG175</f>
        <v>0</v>
      </c>
      <c r="BO175"/>
      <c r="BP175"/>
      <c r="BQ175"/>
      <c r="BR175" s="34"/>
      <c r="BS175" s="34"/>
      <c r="BT175"/>
      <c r="BU175"/>
      <c r="BW175"/>
      <c r="BX175"/>
      <c r="BY175"/>
      <c r="BZ175"/>
      <c r="CA175"/>
      <c r="CB175"/>
      <c r="CE175"/>
      <c r="CF175"/>
      <c r="CG175"/>
      <c r="CH175"/>
      <c r="CI175"/>
      <c r="CJ175"/>
      <c r="CK175"/>
      <c r="CM175"/>
      <c r="CN175"/>
      <c r="CO175"/>
      <c r="CP175"/>
      <c r="CQ175"/>
      <c r="CR175"/>
      <c r="CU175"/>
      <c r="CV175"/>
      <c r="CW175"/>
      <c r="CX175"/>
      <c r="CY175"/>
      <c r="CZ175"/>
      <c r="DA175"/>
      <c r="DC175"/>
      <c r="DD175"/>
      <c r="DE175"/>
      <c r="DF175"/>
      <c r="DG175">
        <f>+Tabla31011704[[#This Row],[Longitud de eje]]*DB175</f>
        <v>0</v>
      </c>
      <c r="DH175"/>
      <c r="DJ175"/>
      <c r="DK175"/>
      <c r="DL175"/>
      <c r="DM175"/>
      <c r="DN175">
        <f>+Tabla3101170411[[#This Row],[Longitud de eje]]*DI175</f>
        <v>0</v>
      </c>
      <c r="DO175"/>
      <c r="DQ175"/>
      <c r="DR175"/>
      <c r="DS175"/>
      <c r="DT175"/>
      <c r="DU175">
        <f>+Tabla3101170411120[[#This Row],[Longitud de eje]]*DP175</f>
        <v>0</v>
      </c>
      <c r="DV175"/>
      <c r="DX175"/>
      <c r="DY175"/>
      <c r="DZ175"/>
      <c r="EA175"/>
      <c r="EB175">
        <f>+Tabla3101170411120122[[#This Row],[Longitud de eje]]*DW175</f>
        <v>0</v>
      </c>
      <c r="EC175"/>
      <c r="EE175"/>
      <c r="EF175"/>
      <c r="EG175"/>
      <c r="EH175"/>
      <c r="EI175"/>
      <c r="EJ175"/>
      <c r="EK175"/>
      <c r="EM175"/>
      <c r="EN175"/>
      <c r="EO175"/>
      <c r="EP175"/>
      <c r="EQ175"/>
      <c r="ER175"/>
      <c r="ES175"/>
      <c r="EU175"/>
      <c r="EV175"/>
      <c r="EW175"/>
      <c r="EX175"/>
      <c r="EY175"/>
      <c r="EZ175"/>
      <c r="FA175"/>
      <c r="FC175"/>
      <c r="FD175"/>
      <c r="FE175"/>
      <c r="FF175"/>
      <c r="FG175"/>
      <c r="FH175"/>
      <c r="FI175"/>
      <c r="FK175"/>
      <c r="FL175"/>
      <c r="FM175"/>
      <c r="FN175"/>
      <c r="FO175"/>
      <c r="FP175"/>
      <c r="FQ175"/>
      <c r="FS175"/>
      <c r="FT175"/>
      <c r="FU175"/>
      <c r="FV175"/>
      <c r="FW175"/>
      <c r="FX175"/>
      <c r="FY175"/>
      <c r="GA175"/>
      <c r="GB175"/>
      <c r="GC175"/>
      <c r="GD175"/>
      <c r="GE175"/>
      <c r="GF175"/>
      <c r="GG175"/>
      <c r="GI175"/>
      <c r="GJ175"/>
      <c r="GK175"/>
      <c r="GL175"/>
      <c r="GM175"/>
      <c r="GN175"/>
      <c r="GO175"/>
      <c r="YK175"/>
      <c r="YL175"/>
      <c r="YM175"/>
      <c r="YN175"/>
      <c r="YO175"/>
      <c r="AFI175"/>
      <c r="AFJ175"/>
      <c r="AFK175"/>
      <c r="AFL175"/>
      <c r="AFM175"/>
      <c r="AFN175"/>
      <c r="AFO175" s="36"/>
    </row>
    <row r="176" spans="59:847" x14ac:dyDescent="0.25">
      <c r="BG176"/>
      <c r="BH176"/>
      <c r="BI176"/>
      <c r="BJ176" s="34"/>
      <c r="BK176" s="34"/>
      <c r="BL176">
        <f>+Tabla3102[[#This Row],[Longitud de eje]]*BF176</f>
        <v>0</v>
      </c>
      <c r="BM176">
        <f>+Tabla3102[[#This Row],[Longitud de eje]]*BG176</f>
        <v>0</v>
      </c>
      <c r="BO176"/>
      <c r="BP176"/>
      <c r="BQ176"/>
      <c r="BR176" s="34"/>
      <c r="BS176" s="34"/>
      <c r="BT176"/>
      <c r="BU176"/>
      <c r="BW176"/>
      <c r="BX176"/>
      <c r="BY176"/>
      <c r="BZ176"/>
      <c r="CA176"/>
      <c r="CB176"/>
      <c r="CE176"/>
      <c r="CF176"/>
      <c r="CG176"/>
      <c r="CH176"/>
      <c r="CI176"/>
      <c r="CJ176"/>
      <c r="CK176"/>
      <c r="CM176"/>
      <c r="CN176"/>
      <c r="CO176"/>
      <c r="CP176"/>
      <c r="CQ176"/>
      <c r="CR176"/>
      <c r="CU176"/>
      <c r="CV176"/>
      <c r="CW176"/>
      <c r="CX176"/>
      <c r="CY176"/>
      <c r="CZ176"/>
      <c r="DA176"/>
      <c r="DC176"/>
      <c r="DD176"/>
      <c r="DE176"/>
      <c r="DF176"/>
      <c r="DG176">
        <f>+Tabla31011704[[#This Row],[Longitud de eje]]*DB176</f>
        <v>0</v>
      </c>
      <c r="DH176"/>
      <c r="DJ176"/>
      <c r="DK176"/>
      <c r="DL176"/>
      <c r="DM176"/>
      <c r="DN176">
        <f>+Tabla3101170411[[#This Row],[Longitud de eje]]*DI176</f>
        <v>0</v>
      </c>
      <c r="DO176"/>
      <c r="DQ176"/>
      <c r="DR176"/>
      <c r="DS176"/>
      <c r="DT176"/>
      <c r="DU176">
        <f>+Tabla3101170411120[[#This Row],[Longitud de eje]]*DP176</f>
        <v>0</v>
      </c>
      <c r="DV176"/>
      <c r="DX176"/>
      <c r="DY176"/>
      <c r="DZ176"/>
      <c r="EA176"/>
      <c r="EB176">
        <f>+Tabla3101170411120122[[#This Row],[Longitud de eje]]*DW176</f>
        <v>0</v>
      </c>
      <c r="EC176"/>
      <c r="EE176"/>
      <c r="EF176"/>
      <c r="EG176"/>
      <c r="EH176"/>
      <c r="EI176"/>
      <c r="EJ176"/>
      <c r="EK176"/>
      <c r="EM176"/>
      <c r="EN176"/>
      <c r="EO176"/>
      <c r="EP176"/>
      <c r="EQ176"/>
      <c r="ER176"/>
      <c r="ES176"/>
      <c r="EU176"/>
      <c r="EV176"/>
      <c r="EW176"/>
      <c r="EX176"/>
      <c r="EY176"/>
      <c r="EZ176"/>
      <c r="FA176"/>
      <c r="FC176"/>
      <c r="FD176"/>
      <c r="FE176"/>
      <c r="FF176"/>
      <c r="FG176"/>
      <c r="FH176"/>
      <c r="FI176"/>
      <c r="FK176"/>
      <c r="FL176"/>
      <c r="FM176"/>
      <c r="FN176"/>
      <c r="FO176"/>
      <c r="FP176"/>
      <c r="FQ176"/>
      <c r="FS176"/>
      <c r="FT176"/>
      <c r="FU176"/>
      <c r="FV176"/>
      <c r="FW176"/>
      <c r="FX176"/>
      <c r="FY176"/>
      <c r="GA176"/>
      <c r="GB176"/>
      <c r="GC176"/>
      <c r="GD176"/>
      <c r="GE176"/>
      <c r="GF176"/>
      <c r="GG176"/>
      <c r="GI176"/>
      <c r="GJ176"/>
      <c r="GK176"/>
      <c r="GL176"/>
      <c r="GM176"/>
      <c r="GN176"/>
      <c r="GO176"/>
      <c r="YK176"/>
      <c r="YL176"/>
      <c r="YM176"/>
      <c r="YN176"/>
      <c r="YO176"/>
      <c r="AFI176"/>
      <c r="AFJ176"/>
      <c r="AFK176"/>
      <c r="AFL176"/>
      <c r="AFM176"/>
      <c r="AFN176"/>
      <c r="AFO176" s="35"/>
    </row>
    <row r="177" spans="59:847" x14ac:dyDescent="0.25">
      <c r="BG177"/>
      <c r="BH177"/>
      <c r="BI177"/>
      <c r="BJ177" s="34"/>
      <c r="BK177" s="34"/>
      <c r="BL177">
        <f>+Tabla3102[[#This Row],[Longitud de eje]]*BF177</f>
        <v>0</v>
      </c>
      <c r="BM177">
        <f>+Tabla3102[[#This Row],[Longitud de eje]]*BG177</f>
        <v>0</v>
      </c>
      <c r="BO177"/>
      <c r="BP177"/>
      <c r="BQ177"/>
      <c r="BR177" s="34"/>
      <c r="BS177" s="34"/>
      <c r="BT177"/>
      <c r="BU177"/>
      <c r="BW177"/>
      <c r="BX177"/>
      <c r="BY177"/>
      <c r="BZ177"/>
      <c r="CA177"/>
      <c r="CB177"/>
      <c r="CE177"/>
      <c r="CF177"/>
      <c r="CG177"/>
      <c r="CH177"/>
      <c r="CI177"/>
      <c r="CJ177"/>
      <c r="CK177"/>
      <c r="CM177"/>
      <c r="CN177"/>
      <c r="CO177"/>
      <c r="CP177"/>
      <c r="CQ177"/>
      <c r="CR177"/>
      <c r="CU177"/>
      <c r="CV177"/>
      <c r="CW177"/>
      <c r="CX177"/>
      <c r="CY177"/>
      <c r="CZ177"/>
      <c r="DA177"/>
      <c r="DC177"/>
      <c r="DD177"/>
      <c r="DE177"/>
      <c r="DF177"/>
      <c r="DG177">
        <f>+Tabla31011704[[#This Row],[Longitud de eje]]*DB177</f>
        <v>0</v>
      </c>
      <c r="DH177"/>
      <c r="DJ177"/>
      <c r="DK177"/>
      <c r="DL177"/>
      <c r="DM177"/>
      <c r="DN177">
        <f>+Tabla3101170411[[#This Row],[Longitud de eje]]*DI177</f>
        <v>0</v>
      </c>
      <c r="DO177"/>
      <c r="DQ177"/>
      <c r="DR177"/>
      <c r="DS177"/>
      <c r="DT177"/>
      <c r="DU177">
        <f>+Tabla3101170411120[[#This Row],[Longitud de eje]]*DP177</f>
        <v>0</v>
      </c>
      <c r="DV177"/>
      <c r="DX177"/>
      <c r="DY177"/>
      <c r="DZ177"/>
      <c r="EA177"/>
      <c r="EB177">
        <f>+Tabla3101170411120122[[#This Row],[Longitud de eje]]*DW177</f>
        <v>0</v>
      </c>
      <c r="EC177"/>
      <c r="EE177"/>
      <c r="EF177"/>
      <c r="EG177"/>
      <c r="EH177"/>
      <c r="EI177"/>
      <c r="EJ177"/>
      <c r="EK177"/>
      <c r="EM177"/>
      <c r="EN177"/>
      <c r="EO177"/>
      <c r="EP177"/>
      <c r="EQ177"/>
      <c r="ER177"/>
      <c r="ES177"/>
      <c r="EU177"/>
      <c r="EV177"/>
      <c r="EW177"/>
      <c r="EX177"/>
      <c r="EY177"/>
      <c r="EZ177"/>
      <c r="FA177"/>
      <c r="FC177"/>
      <c r="FD177"/>
      <c r="FE177"/>
      <c r="FF177"/>
      <c r="FG177"/>
      <c r="FH177"/>
      <c r="FI177"/>
      <c r="FK177"/>
      <c r="FL177"/>
      <c r="FM177"/>
      <c r="FN177"/>
      <c r="FO177"/>
      <c r="FP177"/>
      <c r="FQ177"/>
      <c r="FS177"/>
      <c r="FT177"/>
      <c r="FU177"/>
      <c r="FV177"/>
      <c r="FW177"/>
      <c r="FX177"/>
      <c r="FY177"/>
      <c r="GA177"/>
      <c r="GB177"/>
      <c r="GC177"/>
      <c r="GD177"/>
      <c r="GE177"/>
      <c r="GF177"/>
      <c r="GG177"/>
      <c r="GI177"/>
      <c r="GJ177"/>
      <c r="GK177"/>
      <c r="GL177"/>
      <c r="GM177"/>
      <c r="GN177"/>
      <c r="GO177"/>
      <c r="YK177"/>
      <c r="YL177"/>
      <c r="YM177"/>
      <c r="YN177"/>
      <c r="YO177"/>
      <c r="AFI177"/>
      <c r="AFJ177"/>
      <c r="AFK177"/>
      <c r="AFL177"/>
      <c r="AFM177"/>
      <c r="AFN177"/>
      <c r="AFO177" s="36"/>
    </row>
    <row r="178" spans="59:847" x14ac:dyDescent="0.25">
      <c r="BG178"/>
      <c r="BH178"/>
      <c r="BI178"/>
      <c r="BJ178" s="34"/>
      <c r="BK178" s="34"/>
      <c r="BL178">
        <f>+Tabla3102[[#This Row],[Longitud de eje]]*BF178</f>
        <v>0</v>
      </c>
      <c r="BM178">
        <f>+Tabla3102[[#This Row],[Longitud de eje]]*BG178</f>
        <v>0</v>
      </c>
      <c r="BO178"/>
      <c r="BP178"/>
      <c r="BQ178"/>
      <c r="BR178" s="34"/>
      <c r="BS178" s="34"/>
      <c r="BT178"/>
      <c r="BU178"/>
      <c r="BW178"/>
      <c r="BX178"/>
      <c r="BY178"/>
      <c r="BZ178"/>
      <c r="CA178"/>
      <c r="CB178"/>
      <c r="CE178"/>
      <c r="CF178"/>
      <c r="CG178"/>
      <c r="CH178"/>
      <c r="CI178"/>
      <c r="CJ178"/>
      <c r="CK178"/>
      <c r="CM178"/>
      <c r="CN178"/>
      <c r="CO178"/>
      <c r="CP178"/>
      <c r="CQ178"/>
      <c r="CR178"/>
      <c r="CU178"/>
      <c r="CV178"/>
      <c r="CW178"/>
      <c r="CX178"/>
      <c r="CY178"/>
      <c r="CZ178"/>
      <c r="DA178"/>
      <c r="DC178"/>
      <c r="DD178"/>
      <c r="DE178"/>
      <c r="DF178"/>
      <c r="DG178">
        <f>+Tabla31011704[[#This Row],[Longitud de eje]]*DB178</f>
        <v>0</v>
      </c>
      <c r="DH178"/>
      <c r="DJ178"/>
      <c r="DK178"/>
      <c r="DL178"/>
      <c r="DM178"/>
      <c r="DN178">
        <f>+Tabla3101170411[[#This Row],[Longitud de eje]]*DI178</f>
        <v>0</v>
      </c>
      <c r="DO178"/>
      <c r="DQ178"/>
      <c r="DR178"/>
      <c r="DS178"/>
      <c r="DT178"/>
      <c r="DU178">
        <f>+Tabla3101170411120[[#This Row],[Longitud de eje]]*DP178</f>
        <v>0</v>
      </c>
      <c r="DV178"/>
      <c r="DX178"/>
      <c r="DY178"/>
      <c r="DZ178"/>
      <c r="EA178"/>
      <c r="EB178">
        <f>+Tabla3101170411120122[[#This Row],[Longitud de eje]]*DW178</f>
        <v>0</v>
      </c>
      <c r="EC178"/>
      <c r="EE178"/>
      <c r="EF178"/>
      <c r="EG178"/>
      <c r="EH178"/>
      <c r="EI178"/>
      <c r="EJ178"/>
      <c r="EK178"/>
      <c r="EM178"/>
      <c r="EN178"/>
      <c r="EO178"/>
      <c r="EP178"/>
      <c r="EQ178"/>
      <c r="ER178"/>
      <c r="ES178"/>
      <c r="EU178"/>
      <c r="EV178"/>
      <c r="EW178"/>
      <c r="EX178"/>
      <c r="EY178"/>
      <c r="EZ178"/>
      <c r="FA178"/>
      <c r="FC178"/>
      <c r="FD178"/>
      <c r="FE178"/>
      <c r="FF178"/>
      <c r="FG178"/>
      <c r="FH178"/>
      <c r="FI178"/>
      <c r="FK178"/>
      <c r="FL178"/>
      <c r="FM178"/>
      <c r="FN178"/>
      <c r="FO178"/>
      <c r="FP178"/>
      <c r="FQ178"/>
      <c r="FS178"/>
      <c r="FT178"/>
      <c r="FU178"/>
      <c r="FV178"/>
      <c r="FW178"/>
      <c r="FX178"/>
      <c r="FY178"/>
      <c r="GA178"/>
      <c r="GB178"/>
      <c r="GC178"/>
      <c r="GD178"/>
      <c r="GE178"/>
      <c r="GF178"/>
      <c r="GG178"/>
      <c r="GI178"/>
      <c r="GJ178"/>
      <c r="GK178"/>
      <c r="GL178"/>
      <c r="GM178"/>
      <c r="GN178"/>
      <c r="GO178"/>
      <c r="YK178"/>
      <c r="YL178"/>
      <c r="YM178"/>
      <c r="YN178"/>
      <c r="YO178"/>
      <c r="AFI178"/>
      <c r="AFJ178"/>
      <c r="AFK178"/>
      <c r="AFL178"/>
      <c r="AFM178"/>
      <c r="AFN178"/>
      <c r="AFO178" s="36"/>
    </row>
    <row r="179" spans="59:847" x14ac:dyDescent="0.25">
      <c r="BG179"/>
      <c r="BH179"/>
      <c r="BI179"/>
      <c r="BJ179" s="34"/>
      <c r="BK179" s="34"/>
      <c r="BL179">
        <f>+Tabla3102[[#This Row],[Longitud de eje]]*BF179</f>
        <v>0</v>
      </c>
      <c r="BM179">
        <f>+Tabla3102[[#This Row],[Longitud de eje]]*BG179</f>
        <v>0</v>
      </c>
      <c r="BO179"/>
      <c r="BP179"/>
      <c r="BQ179"/>
      <c r="BR179" s="34"/>
      <c r="BS179" s="34"/>
      <c r="BT179"/>
      <c r="BU179"/>
      <c r="BW179"/>
      <c r="BX179"/>
      <c r="BY179"/>
      <c r="BZ179"/>
      <c r="CA179"/>
      <c r="CB179"/>
      <c r="CE179"/>
      <c r="CF179"/>
      <c r="CG179"/>
      <c r="CH179"/>
      <c r="CI179"/>
      <c r="CJ179"/>
      <c r="CK179"/>
      <c r="CM179"/>
      <c r="CN179"/>
      <c r="CO179"/>
      <c r="CP179"/>
      <c r="CQ179"/>
      <c r="CR179"/>
      <c r="CU179"/>
      <c r="CV179"/>
      <c r="CW179"/>
      <c r="CX179"/>
      <c r="CY179"/>
      <c r="CZ179"/>
      <c r="DA179"/>
      <c r="DC179"/>
      <c r="DD179"/>
      <c r="DE179"/>
      <c r="DF179"/>
      <c r="DG179">
        <f>+Tabla31011704[[#This Row],[Longitud de eje]]*DB179</f>
        <v>0</v>
      </c>
      <c r="DH179"/>
      <c r="DJ179"/>
      <c r="DK179"/>
      <c r="DL179"/>
      <c r="DM179"/>
      <c r="DN179">
        <f>+Tabla3101170411[[#This Row],[Longitud de eje]]*DI179</f>
        <v>0</v>
      </c>
      <c r="DO179"/>
      <c r="DQ179"/>
      <c r="DR179"/>
      <c r="DS179"/>
      <c r="DT179"/>
      <c r="DU179">
        <f>+Tabla3101170411120[[#This Row],[Longitud de eje]]*DP179</f>
        <v>0</v>
      </c>
      <c r="DV179"/>
      <c r="DX179"/>
      <c r="DY179"/>
      <c r="DZ179"/>
      <c r="EA179"/>
      <c r="EB179">
        <f>+Tabla3101170411120122[[#This Row],[Longitud de eje]]*DW179</f>
        <v>0</v>
      </c>
      <c r="EC179"/>
      <c r="EE179"/>
      <c r="EF179"/>
      <c r="EG179"/>
      <c r="EH179"/>
      <c r="EI179"/>
      <c r="EJ179"/>
      <c r="EK179"/>
      <c r="EM179"/>
      <c r="EN179"/>
      <c r="EO179"/>
      <c r="EP179"/>
      <c r="EQ179"/>
      <c r="ER179"/>
      <c r="ES179"/>
      <c r="EU179"/>
      <c r="EV179"/>
      <c r="EW179"/>
      <c r="EX179"/>
      <c r="EY179"/>
      <c r="EZ179"/>
      <c r="FA179"/>
      <c r="FC179"/>
      <c r="FD179"/>
      <c r="FE179"/>
      <c r="FF179"/>
      <c r="FG179"/>
      <c r="FH179"/>
      <c r="FI179"/>
      <c r="FK179"/>
      <c r="FL179"/>
      <c r="FM179"/>
      <c r="FN179"/>
      <c r="FO179"/>
      <c r="FP179"/>
      <c r="FQ179"/>
      <c r="FS179"/>
      <c r="FT179"/>
      <c r="FU179"/>
      <c r="FV179"/>
      <c r="FW179"/>
      <c r="FX179"/>
      <c r="FY179"/>
      <c r="GA179"/>
      <c r="GB179"/>
      <c r="GC179"/>
      <c r="GD179"/>
      <c r="GE179"/>
      <c r="GF179"/>
      <c r="GG179"/>
      <c r="GI179"/>
      <c r="GJ179"/>
      <c r="GK179"/>
      <c r="GL179"/>
      <c r="GM179"/>
      <c r="GN179"/>
      <c r="GO179"/>
      <c r="YK179"/>
      <c r="YL179"/>
      <c r="YM179"/>
      <c r="YN179"/>
      <c r="YO179"/>
      <c r="AFI179"/>
      <c r="AFJ179"/>
      <c r="AFK179"/>
      <c r="AFL179"/>
      <c r="AFM179"/>
      <c r="AFN179"/>
      <c r="AFO179" s="36"/>
    </row>
    <row r="180" spans="59:847" x14ac:dyDescent="0.25">
      <c r="BG180"/>
      <c r="BH180"/>
      <c r="BI180"/>
      <c r="BJ180" s="34"/>
      <c r="BK180" s="34"/>
      <c r="BL180">
        <f>+Tabla3102[[#This Row],[Longitud de eje]]*BF180</f>
        <v>0</v>
      </c>
      <c r="BM180">
        <f>+Tabla3102[[#This Row],[Longitud de eje]]*BG180</f>
        <v>0</v>
      </c>
      <c r="BO180"/>
      <c r="BP180"/>
      <c r="BQ180"/>
      <c r="BR180" s="34"/>
      <c r="BS180" s="34"/>
      <c r="BT180"/>
      <c r="BU180"/>
      <c r="BW180"/>
      <c r="BX180"/>
      <c r="BY180"/>
      <c r="BZ180"/>
      <c r="CA180"/>
      <c r="CB180"/>
      <c r="CE180"/>
      <c r="CF180"/>
      <c r="CG180"/>
      <c r="CH180"/>
      <c r="CI180"/>
      <c r="CJ180"/>
      <c r="CK180"/>
      <c r="CM180"/>
      <c r="CN180"/>
      <c r="CO180"/>
      <c r="CP180"/>
      <c r="CQ180"/>
      <c r="CR180"/>
      <c r="CU180"/>
      <c r="CV180"/>
      <c r="CW180"/>
      <c r="CX180"/>
      <c r="CY180"/>
      <c r="CZ180"/>
      <c r="DA180"/>
      <c r="DC180"/>
      <c r="DD180"/>
      <c r="DE180"/>
      <c r="DF180"/>
      <c r="DG180">
        <f>+Tabla31011704[[#This Row],[Longitud de eje]]*DB180</f>
        <v>0</v>
      </c>
      <c r="DH180"/>
      <c r="DJ180"/>
      <c r="DK180"/>
      <c r="DL180"/>
      <c r="DM180"/>
      <c r="DN180">
        <f>+Tabla3101170411[[#This Row],[Longitud de eje]]*DI180</f>
        <v>0</v>
      </c>
      <c r="DO180"/>
      <c r="DQ180"/>
      <c r="DR180"/>
      <c r="DS180"/>
      <c r="DT180"/>
      <c r="DU180">
        <f>+Tabla3101170411120[[#This Row],[Longitud de eje]]*DP180</f>
        <v>0</v>
      </c>
      <c r="DV180"/>
      <c r="DX180"/>
      <c r="DY180"/>
      <c r="DZ180"/>
      <c r="EA180"/>
      <c r="EB180">
        <f>+Tabla3101170411120122[[#This Row],[Longitud de eje]]*DW180</f>
        <v>0</v>
      </c>
      <c r="EC180"/>
      <c r="EE180"/>
      <c r="EF180"/>
      <c r="EG180"/>
      <c r="EH180"/>
      <c r="EI180"/>
      <c r="EJ180"/>
      <c r="EK180"/>
      <c r="EM180"/>
      <c r="EN180"/>
      <c r="EO180"/>
      <c r="EP180"/>
      <c r="EQ180"/>
      <c r="ER180"/>
      <c r="ES180"/>
      <c r="EU180"/>
      <c r="EV180"/>
      <c r="EW180"/>
      <c r="EX180"/>
      <c r="EY180"/>
      <c r="EZ180"/>
      <c r="FA180"/>
      <c r="FC180"/>
      <c r="FD180"/>
      <c r="FE180"/>
      <c r="FF180"/>
      <c r="FG180"/>
      <c r="FH180"/>
      <c r="FI180"/>
      <c r="FK180"/>
      <c r="FL180"/>
      <c r="FM180"/>
      <c r="FN180"/>
      <c r="FO180"/>
      <c r="FP180"/>
      <c r="FQ180"/>
      <c r="FS180"/>
      <c r="FT180"/>
      <c r="FU180"/>
      <c r="FV180"/>
      <c r="FW180"/>
      <c r="FX180"/>
      <c r="FY180"/>
      <c r="GA180"/>
      <c r="GB180"/>
      <c r="GC180"/>
      <c r="GD180"/>
      <c r="GE180"/>
      <c r="GF180"/>
      <c r="GG180"/>
      <c r="GI180"/>
      <c r="GJ180"/>
      <c r="GK180"/>
      <c r="GL180"/>
      <c r="GM180"/>
      <c r="GN180"/>
      <c r="GO180"/>
      <c r="YK180"/>
      <c r="YL180"/>
      <c r="YM180"/>
      <c r="YN180"/>
      <c r="YO180"/>
      <c r="AFI180"/>
      <c r="AFJ180"/>
      <c r="AFK180"/>
      <c r="AFL180"/>
      <c r="AFM180"/>
      <c r="AFN180"/>
      <c r="AFO180" s="36"/>
    </row>
    <row r="181" spans="59:847" x14ac:dyDescent="0.25">
      <c r="BG181"/>
      <c r="BH181"/>
      <c r="BI181"/>
      <c r="BJ181" s="34"/>
      <c r="BK181" s="34"/>
      <c r="BL181">
        <f>+Tabla3102[[#This Row],[Longitud de eje]]*BF181</f>
        <v>0</v>
      </c>
      <c r="BM181">
        <f>+Tabla3102[[#This Row],[Longitud de eje]]*BG181</f>
        <v>0</v>
      </c>
      <c r="BO181"/>
      <c r="BP181"/>
      <c r="BQ181"/>
      <c r="BR181" s="34"/>
      <c r="BS181" s="34"/>
      <c r="BT181"/>
      <c r="BU181"/>
      <c r="BW181"/>
      <c r="BX181"/>
      <c r="BY181"/>
      <c r="BZ181"/>
      <c r="CA181"/>
      <c r="CB181"/>
      <c r="CE181"/>
      <c r="CF181"/>
      <c r="CG181"/>
      <c r="CH181"/>
      <c r="CI181"/>
      <c r="CJ181"/>
      <c r="CK181"/>
      <c r="CM181"/>
      <c r="CN181"/>
      <c r="CO181"/>
      <c r="CP181"/>
      <c r="CQ181"/>
      <c r="CR181"/>
      <c r="CU181"/>
      <c r="CV181"/>
      <c r="CW181"/>
      <c r="CX181"/>
      <c r="CY181"/>
      <c r="CZ181"/>
      <c r="DA181"/>
      <c r="DC181"/>
      <c r="DD181"/>
      <c r="DE181"/>
      <c r="DF181"/>
      <c r="DG181">
        <f>+Tabla31011704[[#This Row],[Longitud de eje]]*DB181</f>
        <v>0</v>
      </c>
      <c r="DH181"/>
      <c r="DJ181"/>
      <c r="DK181"/>
      <c r="DL181"/>
      <c r="DM181"/>
      <c r="DN181">
        <f>+Tabla3101170411[[#This Row],[Longitud de eje]]*DI181</f>
        <v>0</v>
      </c>
      <c r="DO181"/>
      <c r="DQ181"/>
      <c r="DR181"/>
      <c r="DS181"/>
      <c r="DT181"/>
      <c r="DU181">
        <f>+Tabla3101170411120[[#This Row],[Longitud de eje]]*DP181</f>
        <v>0</v>
      </c>
      <c r="DV181"/>
      <c r="DX181"/>
      <c r="DY181"/>
      <c r="DZ181"/>
      <c r="EA181"/>
      <c r="EB181">
        <f>+Tabla3101170411120122[[#This Row],[Longitud de eje]]*DW181</f>
        <v>0</v>
      </c>
      <c r="EC181"/>
      <c r="EE181"/>
      <c r="EF181"/>
      <c r="EG181"/>
      <c r="EH181"/>
      <c r="EI181"/>
      <c r="EJ181"/>
      <c r="EK181"/>
      <c r="EM181"/>
      <c r="EN181"/>
      <c r="EO181"/>
      <c r="EP181"/>
      <c r="EQ181"/>
      <c r="ER181"/>
      <c r="ES181"/>
      <c r="EU181"/>
      <c r="EV181"/>
      <c r="EW181"/>
      <c r="EX181"/>
      <c r="EY181"/>
      <c r="EZ181"/>
      <c r="FA181"/>
      <c r="FC181"/>
      <c r="FD181"/>
      <c r="FE181"/>
      <c r="FF181"/>
      <c r="FG181"/>
      <c r="FH181"/>
      <c r="FI181"/>
      <c r="FK181"/>
      <c r="FL181"/>
      <c r="FM181"/>
      <c r="FN181"/>
      <c r="FO181"/>
      <c r="FP181"/>
      <c r="FQ181"/>
      <c r="FS181"/>
      <c r="FT181"/>
      <c r="FU181"/>
      <c r="FV181"/>
      <c r="FW181"/>
      <c r="FX181"/>
      <c r="FY181"/>
      <c r="GA181"/>
      <c r="GB181"/>
      <c r="GC181"/>
      <c r="GD181"/>
      <c r="GE181"/>
      <c r="GF181"/>
      <c r="GG181"/>
      <c r="GI181"/>
      <c r="GJ181"/>
      <c r="GK181"/>
      <c r="GL181"/>
      <c r="GM181"/>
      <c r="GN181"/>
      <c r="GO181"/>
      <c r="YK181"/>
      <c r="YL181"/>
      <c r="YM181"/>
      <c r="YN181"/>
      <c r="YO181"/>
      <c r="AFI181"/>
      <c r="AFJ181"/>
      <c r="AFK181"/>
      <c r="AFL181"/>
      <c r="AFM181"/>
      <c r="AFN181"/>
      <c r="AFO181" s="36"/>
    </row>
    <row r="182" spans="59:847" x14ac:dyDescent="0.25">
      <c r="BG182"/>
      <c r="BH182"/>
      <c r="BI182"/>
      <c r="BJ182" s="34"/>
      <c r="BK182" s="34"/>
      <c r="BL182">
        <f>+Tabla3102[[#This Row],[Longitud de eje]]*BF182</f>
        <v>0</v>
      </c>
      <c r="BM182">
        <f>+Tabla3102[[#This Row],[Longitud de eje]]*BG182</f>
        <v>0</v>
      </c>
      <c r="BO182"/>
      <c r="BP182"/>
      <c r="BQ182"/>
      <c r="BR182" s="34"/>
      <c r="BS182" s="34"/>
      <c r="BT182"/>
      <c r="BU182"/>
      <c r="BW182"/>
      <c r="BX182"/>
      <c r="BY182"/>
      <c r="BZ182"/>
      <c r="CA182"/>
      <c r="CB182"/>
      <c r="CE182"/>
      <c r="CF182"/>
      <c r="CG182"/>
      <c r="CH182"/>
      <c r="CI182"/>
      <c r="CJ182"/>
      <c r="CK182"/>
      <c r="CM182"/>
      <c r="CN182"/>
      <c r="CO182"/>
      <c r="CP182"/>
      <c r="CQ182"/>
      <c r="CR182"/>
      <c r="CU182"/>
      <c r="CV182"/>
      <c r="CW182"/>
      <c r="CX182"/>
      <c r="CY182"/>
      <c r="CZ182"/>
      <c r="DA182"/>
      <c r="DC182"/>
      <c r="DD182"/>
      <c r="DE182"/>
      <c r="DF182"/>
      <c r="DG182">
        <f>+Tabla31011704[[#This Row],[Longitud de eje]]*DB182</f>
        <v>0</v>
      </c>
      <c r="DH182"/>
      <c r="DJ182"/>
      <c r="DK182"/>
      <c r="DL182"/>
      <c r="DM182"/>
      <c r="DN182">
        <f>+Tabla3101170411[[#This Row],[Longitud de eje]]*DI182</f>
        <v>0</v>
      </c>
      <c r="DO182"/>
      <c r="DQ182"/>
      <c r="DR182"/>
      <c r="DS182"/>
      <c r="DT182"/>
      <c r="DU182">
        <f>+Tabla3101170411120[[#This Row],[Longitud de eje]]*DP182</f>
        <v>0</v>
      </c>
      <c r="DV182"/>
      <c r="DX182"/>
      <c r="DY182"/>
      <c r="DZ182"/>
      <c r="EA182"/>
      <c r="EB182">
        <f>+Tabla3101170411120122[[#This Row],[Longitud de eje]]*DW182</f>
        <v>0</v>
      </c>
      <c r="EC182"/>
      <c r="EE182"/>
      <c r="EF182"/>
      <c r="EG182"/>
      <c r="EH182"/>
      <c r="EI182"/>
      <c r="EJ182"/>
      <c r="EK182"/>
      <c r="EM182"/>
      <c r="EN182"/>
      <c r="EO182"/>
      <c r="EP182"/>
      <c r="EQ182"/>
      <c r="ER182"/>
      <c r="ES182"/>
      <c r="EU182"/>
      <c r="EV182"/>
      <c r="EW182"/>
      <c r="EX182"/>
      <c r="EY182"/>
      <c r="EZ182"/>
      <c r="FA182"/>
      <c r="FC182"/>
      <c r="FD182"/>
      <c r="FE182"/>
      <c r="FF182"/>
      <c r="FG182"/>
      <c r="FH182"/>
      <c r="FI182"/>
      <c r="FK182"/>
      <c r="FL182"/>
      <c r="FM182"/>
      <c r="FN182"/>
      <c r="FO182"/>
      <c r="FP182"/>
      <c r="FQ182"/>
      <c r="FS182"/>
      <c r="FT182"/>
      <c r="FU182"/>
      <c r="FV182"/>
      <c r="FW182"/>
      <c r="FX182"/>
      <c r="FY182"/>
      <c r="GA182"/>
      <c r="GB182"/>
      <c r="GC182"/>
      <c r="GD182"/>
      <c r="GE182"/>
      <c r="GF182"/>
      <c r="GG182"/>
      <c r="GI182"/>
      <c r="GJ182"/>
      <c r="GK182"/>
      <c r="GL182"/>
      <c r="GM182"/>
      <c r="GN182"/>
      <c r="GO182"/>
      <c r="YK182"/>
      <c r="YL182"/>
      <c r="YM182"/>
      <c r="YN182"/>
      <c r="YO182"/>
      <c r="AFI182"/>
      <c r="AFJ182"/>
      <c r="AFK182"/>
      <c r="AFL182"/>
      <c r="AFM182"/>
      <c r="AFN182"/>
      <c r="AFO182" s="35"/>
    </row>
    <row r="183" spans="59:847" x14ac:dyDescent="0.25">
      <c r="BG183"/>
      <c r="BH183"/>
      <c r="BI183"/>
      <c r="BJ183" s="34"/>
      <c r="BK183" s="34"/>
      <c r="BL183">
        <f>+Tabla3102[[#This Row],[Longitud de eje]]*BF183</f>
        <v>0</v>
      </c>
      <c r="BM183">
        <f>+Tabla3102[[#This Row],[Longitud de eje]]*BG183</f>
        <v>0</v>
      </c>
      <c r="BO183"/>
      <c r="BP183"/>
      <c r="BQ183"/>
      <c r="BR183" s="34"/>
      <c r="BS183" s="34"/>
      <c r="BT183"/>
      <c r="BU183"/>
      <c r="BW183"/>
      <c r="BX183"/>
      <c r="BY183"/>
      <c r="BZ183"/>
      <c r="CA183"/>
      <c r="CB183"/>
      <c r="CE183"/>
      <c r="CF183"/>
      <c r="CG183"/>
      <c r="CH183"/>
      <c r="CI183"/>
      <c r="CJ183"/>
      <c r="CK183"/>
      <c r="CM183"/>
      <c r="CN183"/>
      <c r="CO183"/>
      <c r="CP183"/>
      <c r="CQ183"/>
      <c r="CR183"/>
      <c r="CU183"/>
      <c r="CV183"/>
      <c r="CW183"/>
      <c r="CX183"/>
      <c r="CY183"/>
      <c r="CZ183"/>
      <c r="DA183"/>
      <c r="DC183"/>
      <c r="DD183"/>
      <c r="DE183"/>
      <c r="DF183"/>
      <c r="DG183">
        <f>+Tabla31011704[[#This Row],[Longitud de eje]]*DB183</f>
        <v>0</v>
      </c>
      <c r="DH183"/>
      <c r="DJ183"/>
      <c r="DK183"/>
      <c r="DL183"/>
      <c r="DM183"/>
      <c r="DN183">
        <f>+Tabla3101170411[[#This Row],[Longitud de eje]]*DI183</f>
        <v>0</v>
      </c>
      <c r="DO183"/>
      <c r="DQ183"/>
      <c r="DR183"/>
      <c r="DS183"/>
      <c r="DT183"/>
      <c r="DU183">
        <f>+Tabla3101170411120[[#This Row],[Longitud de eje]]*DP183</f>
        <v>0</v>
      </c>
      <c r="DV183"/>
      <c r="DX183"/>
      <c r="DY183"/>
      <c r="DZ183"/>
      <c r="EA183"/>
      <c r="EB183">
        <f>+Tabla3101170411120122[[#This Row],[Longitud de eje]]*DW183</f>
        <v>0</v>
      </c>
      <c r="EC183"/>
      <c r="EE183"/>
      <c r="EF183"/>
      <c r="EG183"/>
      <c r="EH183"/>
      <c r="EI183"/>
      <c r="EJ183"/>
      <c r="EK183"/>
      <c r="EM183"/>
      <c r="EN183"/>
      <c r="EO183"/>
      <c r="EP183"/>
      <c r="EQ183"/>
      <c r="ER183"/>
      <c r="ES183"/>
      <c r="EU183"/>
      <c r="EV183"/>
      <c r="EW183"/>
      <c r="EX183"/>
      <c r="EY183"/>
      <c r="EZ183"/>
      <c r="FA183"/>
      <c r="FC183"/>
      <c r="FD183"/>
      <c r="FE183"/>
      <c r="FF183"/>
      <c r="FG183"/>
      <c r="FH183"/>
      <c r="FI183"/>
      <c r="FK183"/>
      <c r="FL183"/>
      <c r="FM183"/>
      <c r="FN183"/>
      <c r="FO183"/>
      <c r="FP183"/>
      <c r="FQ183"/>
      <c r="FS183"/>
      <c r="FT183"/>
      <c r="FU183"/>
      <c r="FV183"/>
      <c r="FW183"/>
      <c r="FX183"/>
      <c r="FY183"/>
      <c r="GA183"/>
      <c r="GB183"/>
      <c r="GC183"/>
      <c r="GD183"/>
      <c r="GE183"/>
      <c r="GF183"/>
      <c r="GG183"/>
      <c r="GI183"/>
      <c r="GJ183"/>
      <c r="GK183"/>
      <c r="GL183"/>
      <c r="GM183"/>
      <c r="GN183"/>
      <c r="GO183"/>
      <c r="YK183"/>
      <c r="YL183"/>
      <c r="YM183"/>
      <c r="YN183"/>
      <c r="YO183"/>
      <c r="AFI183"/>
      <c r="AFJ183"/>
      <c r="AFK183"/>
      <c r="AFL183"/>
      <c r="AFM183"/>
      <c r="AFN183"/>
      <c r="AFO183" s="35"/>
    </row>
    <row r="184" spans="59:847" x14ac:dyDescent="0.25">
      <c r="BG184"/>
      <c r="BH184"/>
      <c r="BI184"/>
      <c r="BJ184" s="34"/>
      <c r="BK184" s="34"/>
      <c r="BL184">
        <f>+Tabla3102[[#This Row],[Longitud de eje]]*BF184</f>
        <v>0</v>
      </c>
      <c r="BM184">
        <f>+Tabla3102[[#This Row],[Longitud de eje]]*BG184</f>
        <v>0</v>
      </c>
      <c r="BO184"/>
      <c r="BP184"/>
      <c r="BQ184"/>
      <c r="BR184" s="34"/>
      <c r="BS184" s="34"/>
      <c r="BT184"/>
      <c r="BU184"/>
      <c r="BW184"/>
      <c r="BX184"/>
      <c r="BY184"/>
      <c r="BZ184"/>
      <c r="CA184"/>
      <c r="CB184"/>
      <c r="CE184"/>
      <c r="CF184"/>
      <c r="CG184"/>
      <c r="CH184"/>
      <c r="CI184"/>
      <c r="CJ184"/>
      <c r="CK184"/>
      <c r="CM184"/>
      <c r="CN184"/>
      <c r="CO184"/>
      <c r="CP184"/>
      <c r="CQ184"/>
      <c r="CR184"/>
      <c r="CU184"/>
      <c r="CV184"/>
      <c r="CW184"/>
      <c r="CX184"/>
      <c r="CY184"/>
      <c r="CZ184"/>
      <c r="DA184"/>
      <c r="DC184"/>
      <c r="DD184"/>
      <c r="DE184"/>
      <c r="DF184"/>
      <c r="DG184">
        <f>+Tabla31011704[[#This Row],[Longitud de eje]]*DB184</f>
        <v>0</v>
      </c>
      <c r="DH184"/>
      <c r="DJ184"/>
      <c r="DK184"/>
      <c r="DL184"/>
      <c r="DM184"/>
      <c r="DN184">
        <f>+Tabla3101170411[[#This Row],[Longitud de eje]]*DI184</f>
        <v>0</v>
      </c>
      <c r="DO184"/>
      <c r="DQ184"/>
      <c r="DR184"/>
      <c r="DS184"/>
      <c r="DT184"/>
      <c r="DU184">
        <f>+Tabla3101170411120[[#This Row],[Longitud de eje]]*DP184</f>
        <v>0</v>
      </c>
      <c r="DV184"/>
      <c r="DX184"/>
      <c r="DY184"/>
      <c r="DZ184"/>
      <c r="EA184"/>
      <c r="EB184">
        <f>+Tabla3101170411120122[[#This Row],[Longitud de eje]]*DW184</f>
        <v>0</v>
      </c>
      <c r="EC184"/>
      <c r="EE184"/>
      <c r="EF184"/>
      <c r="EG184"/>
      <c r="EH184"/>
      <c r="EI184"/>
      <c r="EJ184"/>
      <c r="EK184"/>
      <c r="EM184"/>
      <c r="EN184"/>
      <c r="EO184"/>
      <c r="EP184"/>
      <c r="EQ184"/>
      <c r="ER184"/>
      <c r="ES184"/>
      <c r="EU184"/>
      <c r="EV184"/>
      <c r="EW184"/>
      <c r="EX184"/>
      <c r="EY184"/>
      <c r="EZ184"/>
      <c r="FA184"/>
      <c r="FC184"/>
      <c r="FD184"/>
      <c r="FE184"/>
      <c r="FF184"/>
      <c r="FG184"/>
      <c r="FH184"/>
      <c r="FI184"/>
      <c r="FK184"/>
      <c r="FL184"/>
      <c r="FM184"/>
      <c r="FN184"/>
      <c r="FO184"/>
      <c r="FP184"/>
      <c r="FQ184"/>
      <c r="FS184"/>
      <c r="FT184"/>
      <c r="FU184"/>
      <c r="FV184"/>
      <c r="FW184"/>
      <c r="FX184"/>
      <c r="FY184"/>
      <c r="GA184"/>
      <c r="GB184"/>
      <c r="GC184"/>
      <c r="GD184"/>
      <c r="GE184"/>
      <c r="GF184"/>
      <c r="GG184"/>
      <c r="GI184"/>
      <c r="GJ184"/>
      <c r="GK184"/>
      <c r="GL184"/>
      <c r="GM184"/>
      <c r="GN184"/>
      <c r="GO184"/>
      <c r="YK184"/>
      <c r="YL184"/>
      <c r="YM184"/>
      <c r="YN184"/>
      <c r="YO184"/>
      <c r="AFI184"/>
      <c r="AFJ184"/>
      <c r="AFK184"/>
      <c r="AFL184"/>
      <c r="AFM184"/>
      <c r="AFN184"/>
      <c r="AFO184" s="36"/>
    </row>
    <row r="185" spans="59:847" x14ac:dyDescent="0.25">
      <c r="BG185"/>
      <c r="BH185"/>
      <c r="BI185"/>
      <c r="BJ185" s="34"/>
      <c r="BK185" s="34"/>
      <c r="BL185">
        <f>+Tabla3102[[#This Row],[Longitud de eje]]*BF185</f>
        <v>0</v>
      </c>
      <c r="BM185">
        <f>+Tabla3102[[#This Row],[Longitud de eje]]*BG185</f>
        <v>0</v>
      </c>
      <c r="BO185"/>
      <c r="BP185"/>
      <c r="BQ185"/>
      <c r="BR185" s="34"/>
      <c r="BS185" s="34"/>
      <c r="BT185"/>
      <c r="BU185"/>
      <c r="BW185"/>
      <c r="BX185"/>
      <c r="BY185"/>
      <c r="BZ185"/>
      <c r="CA185"/>
      <c r="CB185"/>
      <c r="CE185"/>
      <c r="CF185"/>
      <c r="CG185"/>
      <c r="CH185"/>
      <c r="CI185"/>
      <c r="CJ185"/>
      <c r="CK185"/>
      <c r="CM185"/>
      <c r="CN185"/>
      <c r="CO185"/>
      <c r="CP185"/>
      <c r="CQ185"/>
      <c r="CR185"/>
      <c r="CU185"/>
      <c r="CV185"/>
      <c r="CW185"/>
      <c r="CX185"/>
      <c r="CY185"/>
      <c r="CZ185"/>
      <c r="DA185"/>
      <c r="DC185"/>
      <c r="DD185"/>
      <c r="DE185"/>
      <c r="DF185"/>
      <c r="DG185">
        <f>+Tabla31011704[[#This Row],[Longitud de eje]]*DB185</f>
        <v>0</v>
      </c>
      <c r="DH185"/>
      <c r="DJ185"/>
      <c r="DK185"/>
      <c r="DL185"/>
      <c r="DM185"/>
      <c r="DN185">
        <f>+Tabla3101170411[[#This Row],[Longitud de eje]]*DI185</f>
        <v>0</v>
      </c>
      <c r="DO185"/>
      <c r="DQ185"/>
      <c r="DR185"/>
      <c r="DS185"/>
      <c r="DT185"/>
      <c r="DU185">
        <f>+Tabla3101170411120[[#This Row],[Longitud de eje]]*DP185</f>
        <v>0</v>
      </c>
      <c r="DV185"/>
      <c r="DX185"/>
      <c r="DY185"/>
      <c r="DZ185"/>
      <c r="EA185"/>
      <c r="EB185">
        <f>+Tabla3101170411120122[[#This Row],[Longitud de eje]]*DW185</f>
        <v>0</v>
      </c>
      <c r="EC185"/>
      <c r="EE185"/>
      <c r="EF185"/>
      <c r="EG185"/>
      <c r="EH185"/>
      <c r="EI185"/>
      <c r="EJ185"/>
      <c r="EK185"/>
      <c r="EM185"/>
      <c r="EN185"/>
      <c r="EO185"/>
      <c r="EP185"/>
      <c r="EQ185"/>
      <c r="ER185"/>
      <c r="ES185"/>
      <c r="EU185"/>
      <c r="EV185"/>
      <c r="EW185"/>
      <c r="EX185"/>
      <c r="EY185"/>
      <c r="EZ185"/>
      <c r="FA185"/>
      <c r="FC185"/>
      <c r="FD185"/>
      <c r="FE185"/>
      <c r="FF185"/>
      <c r="FG185"/>
      <c r="FH185"/>
      <c r="FI185"/>
      <c r="FK185"/>
      <c r="FL185"/>
      <c r="FM185"/>
      <c r="FN185"/>
      <c r="FO185"/>
      <c r="FP185"/>
      <c r="FQ185"/>
      <c r="FS185"/>
      <c r="FT185"/>
      <c r="FU185"/>
      <c r="FV185"/>
      <c r="FW185"/>
      <c r="FX185"/>
      <c r="FY185"/>
      <c r="GA185"/>
      <c r="GB185"/>
      <c r="GC185"/>
      <c r="GD185"/>
      <c r="GE185"/>
      <c r="GF185"/>
      <c r="GG185"/>
      <c r="GI185"/>
      <c r="GJ185"/>
      <c r="GK185"/>
      <c r="GL185"/>
      <c r="GM185"/>
      <c r="GN185"/>
      <c r="GO185"/>
      <c r="YK185"/>
      <c r="YL185"/>
      <c r="YM185"/>
      <c r="YN185"/>
      <c r="YO185"/>
      <c r="AFI185"/>
      <c r="AFJ185"/>
      <c r="AFK185"/>
      <c r="AFL185"/>
      <c r="AFM185"/>
      <c r="AFN185"/>
      <c r="AFO185" s="36"/>
    </row>
    <row r="186" spans="59:847" x14ac:dyDescent="0.25">
      <c r="BG186"/>
      <c r="BH186"/>
      <c r="BI186"/>
      <c r="BJ186" s="33"/>
      <c r="BK186" s="33"/>
      <c r="BL186"/>
      <c r="BM186"/>
      <c r="BO186"/>
      <c r="BP186"/>
      <c r="BQ186"/>
      <c r="BR186" s="33"/>
      <c r="BS186" s="33"/>
      <c r="BT186"/>
      <c r="BU186"/>
      <c r="BW186"/>
      <c r="BX186"/>
      <c r="BY186"/>
      <c r="BZ186"/>
      <c r="CA186"/>
      <c r="CB186"/>
      <c r="CE186"/>
      <c r="CF186"/>
      <c r="CG186"/>
      <c r="CH186"/>
      <c r="CI186"/>
      <c r="CJ186"/>
      <c r="CK186"/>
      <c r="CM186"/>
      <c r="CN186"/>
      <c r="CO186"/>
      <c r="CP186"/>
      <c r="CQ186"/>
      <c r="CR186"/>
      <c r="CU186"/>
      <c r="CV186"/>
      <c r="CW186"/>
      <c r="CX186"/>
      <c r="CY186"/>
      <c r="CZ186"/>
      <c r="DA186"/>
      <c r="DC186"/>
      <c r="DD186"/>
      <c r="DE186"/>
      <c r="DF186"/>
      <c r="DG186">
        <f>+Tabla31011704[[#This Row],[Longitud de eje]]*DB186</f>
        <v>0</v>
      </c>
      <c r="DH186"/>
      <c r="DJ186"/>
      <c r="DK186"/>
      <c r="DL186"/>
      <c r="DM186"/>
      <c r="DN186">
        <f>+Tabla3101170411[[#This Row],[Longitud de eje]]*DI186</f>
        <v>0</v>
      </c>
      <c r="DO186"/>
      <c r="DQ186"/>
      <c r="DR186"/>
      <c r="DS186"/>
      <c r="DT186"/>
      <c r="DU186">
        <f>+Tabla3101170411120[[#This Row],[Longitud de eje]]*DP186</f>
        <v>0</v>
      </c>
      <c r="DV186"/>
      <c r="DX186"/>
      <c r="DY186"/>
      <c r="DZ186"/>
      <c r="EA186"/>
      <c r="EB186">
        <f>+Tabla3101170411120122[[#This Row],[Longitud de eje]]*DW186</f>
        <v>0</v>
      </c>
      <c r="EC186"/>
      <c r="EE186"/>
      <c r="EF186"/>
      <c r="EG186"/>
      <c r="EH186"/>
      <c r="EI186"/>
      <c r="EJ186"/>
      <c r="EK186"/>
      <c r="EM186"/>
      <c r="EN186"/>
      <c r="EO186"/>
      <c r="EP186"/>
      <c r="EQ186"/>
      <c r="ER186"/>
      <c r="ES186"/>
      <c r="EU186"/>
      <c r="EV186"/>
      <c r="EW186"/>
      <c r="EX186"/>
      <c r="EY186"/>
      <c r="EZ186"/>
      <c r="FA186"/>
      <c r="FC186"/>
      <c r="FD186"/>
      <c r="FE186"/>
      <c r="FF186"/>
      <c r="FG186"/>
      <c r="FH186"/>
      <c r="FI186"/>
      <c r="FK186"/>
      <c r="FL186"/>
      <c r="FM186"/>
      <c r="FN186"/>
      <c r="FO186"/>
      <c r="FP186"/>
      <c r="FQ186"/>
      <c r="FS186"/>
      <c r="FT186"/>
      <c r="FU186"/>
      <c r="FV186"/>
      <c r="FW186"/>
      <c r="FX186"/>
      <c r="FY186"/>
      <c r="GA186"/>
      <c r="GB186"/>
      <c r="GC186"/>
      <c r="GD186"/>
      <c r="GE186"/>
      <c r="GF186"/>
      <c r="GG186"/>
      <c r="GI186"/>
      <c r="GJ186"/>
      <c r="GK186"/>
      <c r="GL186"/>
      <c r="GM186"/>
      <c r="GN186"/>
      <c r="GO186"/>
      <c r="YK186"/>
      <c r="YL186"/>
      <c r="YM186"/>
      <c r="YN186"/>
      <c r="YO186"/>
      <c r="AFI186"/>
      <c r="AFJ186"/>
      <c r="AFK186"/>
      <c r="AFL186"/>
      <c r="AFM186"/>
      <c r="AFN186"/>
      <c r="AFO186" s="36"/>
    </row>
    <row r="187" spans="59:847" x14ac:dyDescent="0.25">
      <c r="BW187"/>
      <c r="BX187"/>
      <c r="BY187"/>
      <c r="BZ187"/>
      <c r="CA187"/>
      <c r="CB187"/>
      <c r="CE187"/>
      <c r="CF187"/>
      <c r="CG187"/>
      <c r="CH187"/>
      <c r="CI187"/>
      <c r="CJ187"/>
      <c r="CK187"/>
      <c r="CM187"/>
      <c r="CN187"/>
      <c r="CO187"/>
      <c r="CP187"/>
      <c r="CQ187"/>
      <c r="CR187"/>
      <c r="CU187"/>
      <c r="CV187"/>
      <c r="CW187"/>
      <c r="CX187"/>
      <c r="CY187"/>
      <c r="CZ187"/>
      <c r="DA187"/>
      <c r="DC187"/>
      <c r="DD187"/>
      <c r="DE187"/>
      <c r="DF187"/>
      <c r="DG187">
        <f>+Tabla31011704[[#This Row],[Longitud de eje]]*DB187</f>
        <v>0</v>
      </c>
      <c r="DH187"/>
      <c r="DJ187"/>
      <c r="DK187"/>
      <c r="DL187"/>
      <c r="DM187"/>
      <c r="DN187">
        <f>+Tabla3101170411[[#This Row],[Longitud de eje]]*DI187</f>
        <v>0</v>
      </c>
      <c r="DO187"/>
      <c r="DQ187"/>
      <c r="DR187"/>
      <c r="DS187"/>
      <c r="DT187"/>
      <c r="DU187">
        <f>+Tabla3101170411120[[#This Row],[Longitud de eje]]*DP187</f>
        <v>0</v>
      </c>
      <c r="DV187"/>
      <c r="DX187"/>
      <c r="DY187"/>
      <c r="DZ187"/>
      <c r="EA187"/>
      <c r="EB187">
        <f>+Tabla3101170411120122[[#This Row],[Longitud de eje]]*DW187</f>
        <v>0</v>
      </c>
      <c r="EC187"/>
      <c r="EE187"/>
      <c r="EF187"/>
      <c r="EG187"/>
      <c r="EH187"/>
      <c r="EI187"/>
      <c r="EJ187"/>
      <c r="EK187"/>
      <c r="EM187"/>
      <c r="EN187"/>
      <c r="EO187"/>
      <c r="EP187"/>
      <c r="EQ187"/>
      <c r="ER187"/>
      <c r="ES187"/>
      <c r="EU187"/>
      <c r="EV187"/>
      <c r="EW187"/>
      <c r="EX187"/>
      <c r="EY187"/>
      <c r="EZ187"/>
      <c r="FA187"/>
      <c r="FC187"/>
      <c r="FD187"/>
      <c r="FE187"/>
      <c r="FF187"/>
      <c r="FG187"/>
      <c r="FH187"/>
      <c r="FI187"/>
      <c r="FK187"/>
      <c r="FL187"/>
      <c r="FM187"/>
      <c r="FN187"/>
      <c r="FO187"/>
      <c r="FP187"/>
      <c r="FQ187"/>
      <c r="FS187"/>
      <c r="FT187"/>
      <c r="FU187"/>
      <c r="FV187"/>
      <c r="FW187"/>
      <c r="FX187"/>
      <c r="FY187"/>
      <c r="GA187"/>
      <c r="GB187"/>
      <c r="GC187"/>
      <c r="GD187"/>
      <c r="GE187"/>
      <c r="GF187"/>
      <c r="GG187"/>
      <c r="GI187"/>
      <c r="GJ187"/>
      <c r="GK187"/>
      <c r="GL187"/>
      <c r="GM187"/>
      <c r="GN187"/>
      <c r="GO187"/>
      <c r="YK187"/>
      <c r="YL187"/>
      <c r="YM187"/>
      <c r="YN187"/>
      <c r="YO187"/>
      <c r="AFI187"/>
      <c r="AFJ187"/>
      <c r="AFK187"/>
      <c r="AFL187"/>
      <c r="AFM187"/>
      <c r="AFN187"/>
      <c r="AFO187" s="36"/>
    </row>
    <row r="188" spans="59:847" x14ac:dyDescent="0.25">
      <c r="BW188"/>
      <c r="BX188"/>
      <c r="BY188"/>
      <c r="BZ188"/>
      <c r="CA188"/>
      <c r="CB188"/>
      <c r="CE188"/>
      <c r="CF188"/>
      <c r="CG188"/>
      <c r="CH188"/>
      <c r="CI188"/>
      <c r="CJ188"/>
      <c r="CK188"/>
      <c r="CM188"/>
      <c r="CN188"/>
      <c r="CO188"/>
      <c r="CP188"/>
      <c r="CQ188"/>
      <c r="CR188"/>
      <c r="CU188"/>
      <c r="CV188"/>
      <c r="CW188"/>
      <c r="CX188"/>
      <c r="CY188"/>
      <c r="CZ188"/>
      <c r="DA188"/>
      <c r="DC188"/>
      <c r="DD188"/>
      <c r="DE188"/>
      <c r="DF188"/>
      <c r="DG188">
        <f>+Tabla31011704[[#This Row],[Longitud de eje]]*DB188</f>
        <v>0</v>
      </c>
      <c r="DH188"/>
      <c r="DJ188"/>
      <c r="DK188"/>
      <c r="DL188"/>
      <c r="DM188"/>
      <c r="DN188">
        <f>+Tabla3101170411[[#This Row],[Longitud de eje]]*DI188</f>
        <v>0</v>
      </c>
      <c r="DO188"/>
      <c r="DQ188"/>
      <c r="DR188"/>
      <c r="DS188"/>
      <c r="DT188"/>
      <c r="DU188">
        <f>+Tabla3101170411120[[#This Row],[Longitud de eje]]*DP188</f>
        <v>0</v>
      </c>
      <c r="DV188"/>
      <c r="DX188"/>
      <c r="DY188"/>
      <c r="DZ188"/>
      <c r="EA188"/>
      <c r="EB188">
        <f>+Tabla3101170411120122[[#This Row],[Longitud de eje]]*DW188</f>
        <v>0</v>
      </c>
      <c r="EC188"/>
      <c r="EE188"/>
      <c r="EF188"/>
      <c r="EG188"/>
      <c r="EH188"/>
      <c r="EI188"/>
      <c r="EJ188"/>
      <c r="EK188"/>
      <c r="EM188"/>
      <c r="EN188"/>
      <c r="EO188"/>
      <c r="EP188"/>
      <c r="EQ188"/>
      <c r="ER188"/>
      <c r="ES188"/>
      <c r="EU188"/>
      <c r="EV188"/>
      <c r="EW188"/>
      <c r="EX188"/>
      <c r="EY188"/>
      <c r="EZ188"/>
      <c r="FA188"/>
      <c r="FC188"/>
      <c r="FD188"/>
      <c r="FE188"/>
      <c r="FF188"/>
      <c r="FG188"/>
      <c r="FH188"/>
      <c r="FI188"/>
      <c r="FK188"/>
      <c r="FL188"/>
      <c r="FM188"/>
      <c r="FN188"/>
      <c r="FO188"/>
      <c r="FP188"/>
      <c r="FQ188"/>
      <c r="FS188"/>
      <c r="FT188"/>
      <c r="FU188"/>
      <c r="FV188"/>
      <c r="FW188"/>
      <c r="FX188"/>
      <c r="FY188"/>
      <c r="GA188"/>
      <c r="GB188"/>
      <c r="GC188"/>
      <c r="GD188"/>
      <c r="GE188"/>
      <c r="GF188"/>
      <c r="GG188"/>
      <c r="GI188"/>
      <c r="GJ188"/>
      <c r="GK188"/>
      <c r="GL188"/>
      <c r="GM188"/>
      <c r="GN188"/>
      <c r="GO188"/>
      <c r="YK188"/>
      <c r="YL188"/>
      <c r="YM188"/>
      <c r="YN188"/>
      <c r="YO188"/>
      <c r="AFI188"/>
      <c r="AFJ188"/>
      <c r="AFK188"/>
      <c r="AFL188"/>
      <c r="AFM188"/>
      <c r="AFN188"/>
      <c r="AFO188" s="35">
        <f>+SUM(AFL188:AFL211)</f>
        <v>0</v>
      </c>
    </row>
    <row r="189" spans="59:847" x14ac:dyDescent="0.25">
      <c r="BW189"/>
      <c r="BX189"/>
      <c r="BY189"/>
      <c r="BZ189"/>
      <c r="CA189"/>
      <c r="CB189"/>
      <c r="CE189"/>
      <c r="CF189"/>
      <c r="CG189"/>
      <c r="CH189"/>
      <c r="CI189"/>
      <c r="CJ189"/>
      <c r="CK189"/>
      <c r="CM189"/>
      <c r="CN189"/>
      <c r="CO189"/>
      <c r="CP189"/>
      <c r="CQ189"/>
      <c r="CR189"/>
      <c r="CU189"/>
      <c r="CV189"/>
      <c r="CW189"/>
      <c r="CX189"/>
      <c r="CY189"/>
      <c r="CZ189"/>
      <c r="DA189"/>
      <c r="DC189"/>
      <c r="DD189"/>
      <c r="DE189"/>
      <c r="DF189"/>
      <c r="DG189">
        <f>+Tabla31011704[[#This Row],[Longitud de eje]]*DB189</f>
        <v>0</v>
      </c>
      <c r="DH189"/>
      <c r="DJ189"/>
      <c r="DK189"/>
      <c r="DL189"/>
      <c r="DM189"/>
      <c r="DN189">
        <f>+Tabla3101170411[[#This Row],[Longitud de eje]]*DI189</f>
        <v>0</v>
      </c>
      <c r="DO189"/>
      <c r="DQ189"/>
      <c r="DR189"/>
      <c r="DS189"/>
      <c r="DT189"/>
      <c r="DU189">
        <f>+Tabla3101170411120[[#This Row],[Longitud de eje]]*DP189</f>
        <v>0</v>
      </c>
      <c r="DV189"/>
      <c r="DX189"/>
      <c r="DY189"/>
      <c r="DZ189"/>
      <c r="EA189"/>
      <c r="EB189">
        <f>+Tabla3101170411120122[[#This Row],[Longitud de eje]]*DW189</f>
        <v>0</v>
      </c>
      <c r="EC189"/>
      <c r="EE189"/>
      <c r="EF189"/>
      <c r="EG189"/>
      <c r="EH189"/>
      <c r="EI189"/>
      <c r="EJ189"/>
      <c r="EK189"/>
      <c r="EM189"/>
      <c r="EN189"/>
      <c r="EO189"/>
      <c r="EP189"/>
      <c r="EQ189"/>
      <c r="ER189"/>
      <c r="ES189"/>
      <c r="EU189"/>
      <c r="EV189"/>
      <c r="EW189"/>
      <c r="EX189"/>
      <c r="EY189"/>
      <c r="EZ189"/>
      <c r="FA189"/>
      <c r="FC189"/>
      <c r="FD189"/>
      <c r="FE189"/>
      <c r="FF189"/>
      <c r="FG189"/>
      <c r="FH189"/>
      <c r="FI189"/>
      <c r="FK189"/>
      <c r="FL189"/>
      <c r="FM189"/>
      <c r="FN189"/>
      <c r="FO189"/>
      <c r="FP189"/>
      <c r="FQ189"/>
      <c r="FS189"/>
      <c r="FT189"/>
      <c r="FU189"/>
      <c r="FV189"/>
      <c r="FW189"/>
      <c r="FX189"/>
      <c r="FY189"/>
      <c r="GA189"/>
      <c r="GB189"/>
      <c r="GC189"/>
      <c r="GD189"/>
      <c r="GE189"/>
      <c r="GF189"/>
      <c r="GG189"/>
      <c r="GI189"/>
      <c r="GJ189"/>
      <c r="GK189"/>
      <c r="GL189"/>
      <c r="GM189"/>
      <c r="GN189"/>
      <c r="GO189"/>
      <c r="YK189"/>
      <c r="YL189"/>
      <c r="YM189"/>
      <c r="YN189"/>
      <c r="YO189"/>
      <c r="AFI189"/>
      <c r="AFJ189"/>
      <c r="AFK189"/>
      <c r="AFL189"/>
      <c r="AFM189"/>
      <c r="AFN189"/>
      <c r="AFO189" s="36"/>
    </row>
    <row r="190" spans="59:847" x14ac:dyDescent="0.25">
      <c r="BW190"/>
      <c r="BX190"/>
      <c r="BY190"/>
      <c r="BZ190"/>
      <c r="CA190"/>
      <c r="CB190"/>
      <c r="CE190"/>
      <c r="CF190"/>
      <c r="CG190"/>
      <c r="CH190"/>
      <c r="CI190"/>
      <c r="CJ190"/>
      <c r="CK190"/>
      <c r="CM190"/>
      <c r="CN190"/>
      <c r="CO190"/>
      <c r="CP190"/>
      <c r="CQ190"/>
      <c r="CR190"/>
      <c r="CU190"/>
      <c r="CV190"/>
      <c r="CW190"/>
      <c r="CX190"/>
      <c r="CY190"/>
      <c r="CZ190"/>
      <c r="DA190"/>
      <c r="DC190"/>
      <c r="DD190"/>
      <c r="DE190"/>
      <c r="DF190"/>
      <c r="DG190">
        <f>+Tabla31011704[[#This Row],[Longitud de eje]]*DB190</f>
        <v>0</v>
      </c>
      <c r="DH190"/>
      <c r="DJ190"/>
      <c r="DK190"/>
      <c r="DL190"/>
      <c r="DM190"/>
      <c r="DN190">
        <f>+Tabla3101170411[[#This Row],[Longitud de eje]]*DI190</f>
        <v>0</v>
      </c>
      <c r="DO190"/>
      <c r="DQ190"/>
      <c r="DR190"/>
      <c r="DS190"/>
      <c r="DT190"/>
      <c r="DU190">
        <f>+Tabla3101170411120[[#This Row],[Longitud de eje]]*DP190</f>
        <v>0</v>
      </c>
      <c r="DV190"/>
      <c r="DX190"/>
      <c r="DY190"/>
      <c r="DZ190"/>
      <c r="EA190"/>
      <c r="EB190">
        <f>+Tabla3101170411120122[[#This Row],[Longitud de eje]]*DW190</f>
        <v>0</v>
      </c>
      <c r="EC190"/>
      <c r="EE190"/>
      <c r="EF190"/>
      <c r="EG190"/>
      <c r="EH190"/>
      <c r="EI190"/>
      <c r="EJ190"/>
      <c r="EK190"/>
      <c r="EM190"/>
      <c r="EN190"/>
      <c r="EO190"/>
      <c r="EP190"/>
      <c r="EQ190"/>
      <c r="ER190"/>
      <c r="ES190"/>
      <c r="EU190"/>
      <c r="EV190"/>
      <c r="EW190"/>
      <c r="EX190"/>
      <c r="EY190"/>
      <c r="EZ190"/>
      <c r="FA190"/>
      <c r="FC190"/>
      <c r="FD190"/>
      <c r="FE190"/>
      <c r="FF190"/>
      <c r="FG190"/>
      <c r="FH190"/>
      <c r="FI190"/>
      <c r="FK190"/>
      <c r="FL190"/>
      <c r="FM190"/>
      <c r="FN190"/>
      <c r="FO190"/>
      <c r="FP190"/>
      <c r="FQ190"/>
      <c r="FS190"/>
      <c r="FT190"/>
      <c r="FU190"/>
      <c r="FV190"/>
      <c r="FW190"/>
      <c r="FX190"/>
      <c r="FY190"/>
      <c r="GA190"/>
      <c r="GB190"/>
      <c r="GC190"/>
      <c r="GD190"/>
      <c r="GE190"/>
      <c r="GF190"/>
      <c r="GG190"/>
      <c r="GI190"/>
      <c r="GJ190"/>
      <c r="GK190"/>
      <c r="GL190"/>
      <c r="GM190"/>
      <c r="GN190"/>
      <c r="GO190"/>
      <c r="YK190"/>
      <c r="YL190"/>
      <c r="YM190"/>
      <c r="YN190"/>
      <c r="YO190"/>
      <c r="AFI190"/>
      <c r="AFJ190"/>
      <c r="AFK190"/>
      <c r="AFL190"/>
      <c r="AFM190"/>
      <c r="AFN190" t="e">
        <f>+Tabla578914151634353637383940414243444546474849505152535560626467[[#This Row],[Recuento]]*#REF!</f>
        <v>#REF!</v>
      </c>
      <c r="AFO190" s="36"/>
    </row>
    <row r="191" spans="59:847" x14ac:dyDescent="0.25">
      <c r="BW191"/>
      <c r="BX191"/>
      <c r="BY191"/>
      <c r="BZ191"/>
      <c r="CA191"/>
      <c r="CB191"/>
      <c r="CE191"/>
      <c r="CF191"/>
      <c r="CG191"/>
      <c r="CH191"/>
      <c r="CI191"/>
      <c r="CJ191"/>
      <c r="CK191"/>
      <c r="CM191"/>
      <c r="CN191"/>
      <c r="CO191"/>
      <c r="CP191"/>
      <c r="CQ191"/>
      <c r="CR191"/>
      <c r="CU191"/>
      <c r="CV191"/>
      <c r="CW191"/>
      <c r="CX191"/>
      <c r="CY191"/>
      <c r="CZ191"/>
      <c r="DA191"/>
      <c r="DC191"/>
      <c r="DD191"/>
      <c r="DE191"/>
      <c r="DF191"/>
      <c r="DG191">
        <f>+Tabla31011704[[#This Row],[Longitud de eje]]*DB191</f>
        <v>0</v>
      </c>
      <c r="DH191"/>
      <c r="DJ191"/>
      <c r="DK191"/>
      <c r="DL191"/>
      <c r="DM191"/>
      <c r="DN191">
        <f>+Tabla3101170411[[#This Row],[Longitud de eje]]*DI191</f>
        <v>0</v>
      </c>
      <c r="DO191"/>
      <c r="DQ191"/>
      <c r="DR191"/>
      <c r="DS191"/>
      <c r="DT191"/>
      <c r="DU191">
        <f>+Tabla3101170411120[[#This Row],[Longitud de eje]]*DP191</f>
        <v>0</v>
      </c>
      <c r="DV191"/>
      <c r="DX191"/>
      <c r="DY191"/>
      <c r="DZ191"/>
      <c r="EA191"/>
      <c r="EB191">
        <f>+Tabla3101170411120122[[#This Row],[Longitud de eje]]*DW191</f>
        <v>0</v>
      </c>
      <c r="EC191"/>
      <c r="EE191"/>
      <c r="EF191"/>
      <c r="EG191"/>
      <c r="EH191"/>
      <c r="EI191"/>
      <c r="EJ191"/>
      <c r="EK191"/>
      <c r="EM191"/>
      <c r="EN191"/>
      <c r="EO191"/>
      <c r="EP191"/>
      <c r="EQ191"/>
      <c r="ER191"/>
      <c r="ES191"/>
      <c r="EU191"/>
      <c r="EV191"/>
      <c r="EW191"/>
      <c r="EX191"/>
      <c r="EY191"/>
      <c r="EZ191"/>
      <c r="FA191"/>
      <c r="FC191"/>
      <c r="FD191"/>
      <c r="FE191"/>
      <c r="FF191"/>
      <c r="FG191"/>
      <c r="FH191"/>
      <c r="FI191"/>
      <c r="FK191"/>
      <c r="FL191"/>
      <c r="FM191"/>
      <c r="FN191"/>
      <c r="FO191"/>
      <c r="FP191"/>
      <c r="FQ191"/>
      <c r="FS191"/>
      <c r="FT191"/>
      <c r="FU191"/>
      <c r="FV191"/>
      <c r="FW191"/>
      <c r="FX191"/>
      <c r="FY191"/>
      <c r="GA191"/>
      <c r="GB191"/>
      <c r="GC191"/>
      <c r="GD191"/>
      <c r="GE191"/>
      <c r="GF191"/>
      <c r="GG191"/>
      <c r="GI191"/>
      <c r="GJ191"/>
      <c r="GK191"/>
      <c r="GL191"/>
      <c r="GM191"/>
      <c r="GN191"/>
      <c r="GO191"/>
      <c r="YK191"/>
      <c r="YL191"/>
      <c r="YM191"/>
      <c r="YN191"/>
      <c r="YO191"/>
      <c r="AFI191"/>
      <c r="AFJ191"/>
      <c r="AFK191"/>
      <c r="AFL191"/>
      <c r="AFM191"/>
      <c r="AFN191" t="e">
        <f>+Tabla578914151634353637383940414243444546474849505152535560626467[[#This Row],[Recuento]]*#REF!</f>
        <v>#REF!</v>
      </c>
      <c r="AFO191" s="36"/>
    </row>
    <row r="192" spans="59:847" x14ac:dyDescent="0.25">
      <c r="BW192"/>
      <c r="BX192"/>
      <c r="BY192"/>
      <c r="BZ192"/>
      <c r="CA192"/>
      <c r="CB192"/>
      <c r="CE192"/>
      <c r="CF192"/>
      <c r="CG192"/>
      <c r="CH192"/>
      <c r="CI192"/>
      <c r="CJ192"/>
      <c r="CK192"/>
      <c r="CM192"/>
      <c r="CN192"/>
      <c r="CO192"/>
      <c r="CP192"/>
      <c r="CQ192"/>
      <c r="CR192"/>
      <c r="CU192"/>
      <c r="CV192"/>
      <c r="CW192"/>
      <c r="CX192"/>
      <c r="CY192"/>
      <c r="CZ192"/>
      <c r="DA192"/>
      <c r="DC192"/>
      <c r="DD192"/>
      <c r="DE192"/>
      <c r="DF192"/>
      <c r="DG192">
        <f>+Tabla31011704[[#This Row],[Longitud de eje]]*DB192</f>
        <v>0</v>
      </c>
      <c r="DH192"/>
      <c r="DJ192"/>
      <c r="DK192"/>
      <c r="DL192"/>
      <c r="DM192"/>
      <c r="DN192">
        <f>+Tabla3101170411[[#This Row],[Longitud de eje]]*DI192</f>
        <v>0</v>
      </c>
      <c r="DO192"/>
      <c r="DQ192"/>
      <c r="DR192"/>
      <c r="DS192"/>
      <c r="DT192"/>
      <c r="DU192">
        <f>+Tabla3101170411120[[#This Row],[Longitud de eje]]*DP192</f>
        <v>0</v>
      </c>
      <c r="DV192"/>
      <c r="DX192"/>
      <c r="DY192"/>
      <c r="DZ192"/>
      <c r="EA192"/>
      <c r="EB192">
        <f>+Tabla3101170411120122[[#This Row],[Longitud de eje]]*DW192</f>
        <v>0</v>
      </c>
      <c r="EC192"/>
      <c r="EE192"/>
      <c r="EF192"/>
      <c r="EG192"/>
      <c r="EH192"/>
      <c r="EI192"/>
      <c r="EJ192"/>
      <c r="EK192"/>
      <c r="EM192"/>
      <c r="EN192"/>
      <c r="EO192"/>
      <c r="EP192"/>
      <c r="EQ192"/>
      <c r="ER192"/>
      <c r="ES192"/>
      <c r="EU192"/>
      <c r="EV192"/>
      <c r="EW192"/>
      <c r="EX192"/>
      <c r="EY192"/>
      <c r="EZ192"/>
      <c r="FA192"/>
      <c r="FC192"/>
      <c r="FD192"/>
      <c r="FE192"/>
      <c r="FF192"/>
      <c r="FG192"/>
      <c r="FH192"/>
      <c r="FI192"/>
      <c r="FK192"/>
      <c r="FL192"/>
      <c r="FM192"/>
      <c r="FN192"/>
      <c r="FO192"/>
      <c r="FP192"/>
      <c r="FQ192"/>
      <c r="FS192"/>
      <c r="FT192"/>
      <c r="FU192"/>
      <c r="FV192"/>
      <c r="FW192"/>
      <c r="FX192"/>
      <c r="FY192"/>
      <c r="GA192"/>
      <c r="GB192"/>
      <c r="GC192"/>
      <c r="GD192"/>
      <c r="GE192"/>
      <c r="GF192"/>
      <c r="GG192"/>
      <c r="GI192"/>
      <c r="GJ192"/>
      <c r="GK192"/>
      <c r="GL192"/>
      <c r="GM192"/>
      <c r="GN192"/>
      <c r="GO192"/>
      <c r="YK192"/>
      <c r="YL192"/>
      <c r="YM192"/>
      <c r="YN192"/>
      <c r="YO192"/>
      <c r="AFI192"/>
      <c r="AFJ192"/>
      <c r="AFK192"/>
      <c r="AFL192"/>
      <c r="AFM192"/>
      <c r="AFN192" t="e">
        <f>+Tabla578914151634353637383940414243444546474849505152535560626467[[#This Row],[Recuento]]*#REF!</f>
        <v>#REF!</v>
      </c>
      <c r="AFO192" s="36"/>
    </row>
    <row r="193" spans="75:847" x14ac:dyDescent="0.25">
      <c r="BW193"/>
      <c r="BX193"/>
      <c r="BY193"/>
      <c r="BZ193"/>
      <c r="CA193"/>
      <c r="CB193"/>
      <c r="CE193"/>
      <c r="CF193"/>
      <c r="CG193"/>
      <c r="CH193"/>
      <c r="CI193"/>
      <c r="CJ193"/>
      <c r="CK193"/>
      <c r="CM193"/>
      <c r="CN193"/>
      <c r="CO193"/>
      <c r="CP193"/>
      <c r="CQ193"/>
      <c r="CR193"/>
      <c r="CU193"/>
      <c r="CV193"/>
      <c r="CW193"/>
      <c r="CX193"/>
      <c r="CY193"/>
      <c r="CZ193"/>
      <c r="DA193"/>
      <c r="DC193"/>
      <c r="DD193"/>
      <c r="DE193"/>
      <c r="DF193"/>
      <c r="DG193">
        <f>+Tabla31011704[[#This Row],[Longitud de eje]]*DB193</f>
        <v>0</v>
      </c>
      <c r="DH193"/>
      <c r="DJ193"/>
      <c r="DK193"/>
      <c r="DL193"/>
      <c r="DM193"/>
      <c r="DN193">
        <f>+Tabla3101170411[[#This Row],[Longitud de eje]]*DI193</f>
        <v>0</v>
      </c>
      <c r="DO193"/>
      <c r="DQ193"/>
      <c r="DR193"/>
      <c r="DS193"/>
      <c r="DT193"/>
      <c r="DU193">
        <f>+Tabla3101170411120[[#This Row],[Longitud de eje]]*DP193</f>
        <v>0</v>
      </c>
      <c r="DV193"/>
      <c r="DX193"/>
      <c r="DY193"/>
      <c r="DZ193"/>
      <c r="EA193"/>
      <c r="EB193">
        <f>+Tabla3101170411120122[[#This Row],[Longitud de eje]]*DW193</f>
        <v>0</v>
      </c>
      <c r="EC193"/>
      <c r="EE193"/>
      <c r="EF193"/>
      <c r="EG193"/>
      <c r="EH193"/>
      <c r="EI193"/>
      <c r="EJ193"/>
      <c r="EK193"/>
      <c r="EM193"/>
      <c r="EN193"/>
      <c r="EO193"/>
      <c r="EP193"/>
      <c r="EQ193"/>
      <c r="ER193"/>
      <c r="ES193"/>
      <c r="EU193"/>
      <c r="EV193"/>
      <c r="EW193"/>
      <c r="EX193"/>
      <c r="EY193"/>
      <c r="EZ193"/>
      <c r="FA193"/>
      <c r="FC193"/>
      <c r="FD193"/>
      <c r="FE193"/>
      <c r="FF193"/>
      <c r="FG193"/>
      <c r="FH193"/>
      <c r="FI193"/>
      <c r="FK193"/>
      <c r="FL193"/>
      <c r="FM193"/>
      <c r="FN193"/>
      <c r="FO193"/>
      <c r="FP193"/>
      <c r="FQ193"/>
      <c r="FS193"/>
      <c r="FT193"/>
      <c r="FU193"/>
      <c r="FV193"/>
      <c r="FW193"/>
      <c r="FX193"/>
      <c r="FY193"/>
      <c r="GA193"/>
      <c r="GB193"/>
      <c r="GC193"/>
      <c r="GD193"/>
      <c r="GE193"/>
      <c r="GF193"/>
      <c r="GG193"/>
      <c r="GI193"/>
      <c r="GJ193"/>
      <c r="GK193"/>
      <c r="GL193"/>
      <c r="GM193"/>
      <c r="GN193"/>
      <c r="GO193"/>
      <c r="YK193"/>
      <c r="YL193"/>
      <c r="YM193"/>
      <c r="YN193"/>
      <c r="YO193"/>
      <c r="AFI193"/>
      <c r="AFJ193"/>
      <c r="AFK193"/>
      <c r="AFL193"/>
      <c r="AFM193"/>
      <c r="AFN193" t="e">
        <f>+Tabla578914151634353637383940414243444546474849505152535560626467[[#This Row],[Recuento]]*#REF!</f>
        <v>#REF!</v>
      </c>
      <c r="AFO193" s="36"/>
    </row>
    <row r="194" spans="75:847" x14ac:dyDescent="0.25">
      <c r="BW194"/>
      <c r="BX194"/>
      <c r="BY194"/>
      <c r="BZ194"/>
      <c r="CA194"/>
      <c r="CB194"/>
      <c r="CE194"/>
      <c r="CF194"/>
      <c r="CG194"/>
      <c r="CH194"/>
      <c r="CI194"/>
      <c r="CJ194"/>
      <c r="CK194"/>
      <c r="CM194"/>
      <c r="CN194"/>
      <c r="CO194"/>
      <c r="CP194"/>
      <c r="CQ194"/>
      <c r="CR194"/>
      <c r="CU194"/>
      <c r="CV194"/>
      <c r="CW194"/>
      <c r="CX194"/>
      <c r="CY194"/>
      <c r="CZ194"/>
      <c r="DA194"/>
      <c r="DC194"/>
      <c r="DD194"/>
      <c r="DE194"/>
      <c r="DF194"/>
      <c r="DG194">
        <f>+Tabla31011704[[#This Row],[Longitud de eje]]*DB194</f>
        <v>0</v>
      </c>
      <c r="DH194"/>
      <c r="DJ194"/>
      <c r="DK194"/>
      <c r="DL194"/>
      <c r="DM194"/>
      <c r="DN194">
        <f>+Tabla3101170411[[#This Row],[Longitud de eje]]*DI194</f>
        <v>0</v>
      </c>
      <c r="DO194"/>
      <c r="DQ194"/>
      <c r="DR194"/>
      <c r="DS194"/>
      <c r="DT194"/>
      <c r="DU194">
        <f>+Tabla3101170411120[[#This Row],[Longitud de eje]]*DP194</f>
        <v>0</v>
      </c>
      <c r="DV194"/>
      <c r="DX194"/>
      <c r="DY194"/>
      <c r="DZ194"/>
      <c r="EA194"/>
      <c r="EB194">
        <f>+Tabla3101170411120122[[#This Row],[Longitud de eje]]*DW194</f>
        <v>0</v>
      </c>
      <c r="EC194"/>
      <c r="EE194"/>
      <c r="EF194"/>
      <c r="EG194"/>
      <c r="EH194"/>
      <c r="EI194"/>
      <c r="EJ194"/>
      <c r="EK194"/>
      <c r="EM194"/>
      <c r="EN194"/>
      <c r="EO194"/>
      <c r="EP194"/>
      <c r="EQ194"/>
      <c r="ER194"/>
      <c r="ES194"/>
      <c r="EU194"/>
      <c r="EV194"/>
      <c r="EW194"/>
      <c r="EX194"/>
      <c r="EY194"/>
      <c r="EZ194"/>
      <c r="FA194"/>
      <c r="FC194"/>
      <c r="FD194"/>
      <c r="FE194"/>
      <c r="FF194"/>
      <c r="FG194"/>
      <c r="FH194"/>
      <c r="FI194"/>
      <c r="FK194"/>
      <c r="FL194"/>
      <c r="FM194"/>
      <c r="FN194"/>
      <c r="FO194"/>
      <c r="FP194"/>
      <c r="FQ194"/>
      <c r="FS194"/>
      <c r="FT194"/>
      <c r="FU194"/>
      <c r="FV194"/>
      <c r="FW194"/>
      <c r="FX194"/>
      <c r="FY194"/>
      <c r="GA194"/>
      <c r="GB194"/>
      <c r="GC194"/>
      <c r="GD194"/>
      <c r="GE194"/>
      <c r="GF194"/>
      <c r="GG194"/>
      <c r="GI194"/>
      <c r="GJ194"/>
      <c r="GK194"/>
      <c r="GL194"/>
      <c r="GM194"/>
      <c r="GN194"/>
      <c r="GO194"/>
      <c r="YK194"/>
      <c r="YL194"/>
      <c r="YM194"/>
      <c r="YN194"/>
      <c r="YO194"/>
      <c r="AFI194"/>
      <c r="AFJ194"/>
      <c r="AFK194"/>
      <c r="AFL194"/>
      <c r="AFM194"/>
      <c r="AFN194" t="e">
        <f>+Tabla578914151634353637383940414243444546474849505152535560626467[[#This Row],[Recuento]]*#REF!</f>
        <v>#REF!</v>
      </c>
      <c r="AFO194" s="36"/>
    </row>
    <row r="195" spans="75:847" x14ac:dyDescent="0.25">
      <c r="BW195"/>
      <c r="BX195"/>
      <c r="BY195"/>
      <c r="BZ195"/>
      <c r="CA195"/>
      <c r="CB195"/>
      <c r="CE195"/>
      <c r="CF195"/>
      <c r="CG195"/>
      <c r="CH195"/>
      <c r="CI195"/>
      <c r="CJ195"/>
      <c r="CK195"/>
      <c r="CM195"/>
      <c r="CN195"/>
      <c r="CO195"/>
      <c r="CP195"/>
      <c r="CQ195"/>
      <c r="CR195"/>
      <c r="CU195"/>
      <c r="CV195"/>
      <c r="CW195"/>
      <c r="CX195"/>
      <c r="CY195"/>
      <c r="CZ195"/>
      <c r="DA195"/>
      <c r="DC195"/>
      <c r="DD195"/>
      <c r="DE195"/>
      <c r="DF195"/>
      <c r="DG195">
        <f>+Tabla31011704[[#This Row],[Longitud de eje]]*DB195</f>
        <v>0</v>
      </c>
      <c r="DH195"/>
      <c r="DJ195"/>
      <c r="DK195"/>
      <c r="DL195"/>
      <c r="DM195"/>
      <c r="DN195">
        <f>+Tabla3101170411[[#This Row],[Longitud de eje]]*DI195</f>
        <v>0</v>
      </c>
      <c r="DO195"/>
      <c r="DQ195"/>
      <c r="DR195"/>
      <c r="DS195"/>
      <c r="DT195"/>
      <c r="DU195">
        <f>+Tabla3101170411120[[#This Row],[Longitud de eje]]*DP195</f>
        <v>0</v>
      </c>
      <c r="DV195"/>
      <c r="DX195"/>
      <c r="DY195"/>
      <c r="DZ195"/>
      <c r="EA195"/>
      <c r="EB195">
        <f>+Tabla3101170411120122[[#This Row],[Longitud de eje]]*DW195</f>
        <v>0</v>
      </c>
      <c r="EC195"/>
      <c r="EE195"/>
      <c r="EF195"/>
      <c r="EG195"/>
      <c r="EH195"/>
      <c r="EI195"/>
      <c r="EJ195"/>
      <c r="EK195"/>
      <c r="EM195"/>
      <c r="EN195"/>
      <c r="EO195"/>
      <c r="EP195"/>
      <c r="EQ195"/>
      <c r="ER195"/>
      <c r="ES195"/>
      <c r="EU195"/>
      <c r="EV195"/>
      <c r="EW195"/>
      <c r="EX195"/>
      <c r="EY195"/>
      <c r="EZ195"/>
      <c r="FA195"/>
      <c r="FC195"/>
      <c r="FD195"/>
      <c r="FE195"/>
      <c r="FF195"/>
      <c r="FG195"/>
      <c r="FH195"/>
      <c r="FI195"/>
      <c r="FK195"/>
      <c r="FL195"/>
      <c r="FM195"/>
      <c r="FN195"/>
      <c r="FO195"/>
      <c r="FP195"/>
      <c r="FQ195"/>
      <c r="FS195"/>
      <c r="FT195"/>
      <c r="FU195"/>
      <c r="FV195"/>
      <c r="FW195"/>
      <c r="FX195"/>
      <c r="FY195"/>
      <c r="GA195"/>
      <c r="GB195"/>
      <c r="GC195"/>
      <c r="GD195"/>
      <c r="GE195"/>
      <c r="GF195"/>
      <c r="GG195"/>
      <c r="GI195"/>
      <c r="GJ195"/>
      <c r="GK195"/>
      <c r="GL195"/>
      <c r="GM195"/>
      <c r="GN195"/>
      <c r="GO195"/>
      <c r="YK195"/>
      <c r="YL195"/>
      <c r="YM195"/>
      <c r="YN195"/>
      <c r="YO195"/>
      <c r="AFI195"/>
      <c r="AFJ195"/>
      <c r="AFK195"/>
      <c r="AFL195"/>
      <c r="AFM195"/>
      <c r="AFN195" t="e">
        <f>+Tabla578914151634353637383940414243444546474849505152535560626467[[#This Row],[Recuento]]*#REF!</f>
        <v>#REF!</v>
      </c>
      <c r="AFO195" s="36"/>
    </row>
    <row r="196" spans="75:847" x14ac:dyDescent="0.25">
      <c r="BW196"/>
      <c r="BX196"/>
      <c r="BY196"/>
      <c r="BZ196"/>
      <c r="CA196"/>
      <c r="CB196"/>
      <c r="CE196"/>
      <c r="CF196"/>
      <c r="CG196"/>
      <c r="CH196"/>
      <c r="CI196"/>
      <c r="CJ196"/>
      <c r="CK196"/>
      <c r="CM196"/>
      <c r="CN196"/>
      <c r="CO196"/>
      <c r="CP196"/>
      <c r="CQ196"/>
      <c r="CR196"/>
      <c r="CU196"/>
      <c r="CV196"/>
      <c r="CW196"/>
      <c r="CX196"/>
      <c r="CY196"/>
      <c r="CZ196"/>
      <c r="DA196"/>
      <c r="DC196"/>
      <c r="DD196"/>
      <c r="DE196"/>
      <c r="DF196"/>
      <c r="DG196">
        <f>+Tabla31011704[[#This Row],[Longitud de eje]]*DB196</f>
        <v>0</v>
      </c>
      <c r="DH196"/>
      <c r="DJ196"/>
      <c r="DK196"/>
      <c r="DL196"/>
      <c r="DM196"/>
      <c r="DN196">
        <f>+Tabla3101170411[[#This Row],[Longitud de eje]]*DI196</f>
        <v>0</v>
      </c>
      <c r="DO196"/>
      <c r="DQ196"/>
      <c r="DR196"/>
      <c r="DS196"/>
      <c r="DT196"/>
      <c r="DU196">
        <f>+Tabla3101170411120[[#This Row],[Longitud de eje]]*DP196</f>
        <v>0</v>
      </c>
      <c r="DV196"/>
      <c r="DX196"/>
      <c r="DY196"/>
      <c r="DZ196"/>
      <c r="EA196"/>
      <c r="EB196">
        <f>+Tabla3101170411120122[[#This Row],[Longitud de eje]]*DW196</f>
        <v>0</v>
      </c>
      <c r="EC196"/>
      <c r="EE196"/>
      <c r="EF196"/>
      <c r="EG196"/>
      <c r="EH196"/>
      <c r="EI196"/>
      <c r="EJ196"/>
      <c r="EK196"/>
      <c r="EM196"/>
      <c r="EN196"/>
      <c r="EO196"/>
      <c r="EP196"/>
      <c r="EQ196"/>
      <c r="ER196"/>
      <c r="ES196"/>
      <c r="EU196"/>
      <c r="EV196"/>
      <c r="EW196"/>
      <c r="EX196"/>
      <c r="EY196"/>
      <c r="EZ196"/>
      <c r="FA196"/>
      <c r="FC196"/>
      <c r="FD196"/>
      <c r="FE196"/>
      <c r="FF196"/>
      <c r="FG196"/>
      <c r="FH196"/>
      <c r="FI196"/>
      <c r="FK196"/>
      <c r="FL196"/>
      <c r="FM196"/>
      <c r="FN196"/>
      <c r="FO196"/>
      <c r="FP196"/>
      <c r="FQ196"/>
      <c r="FS196"/>
      <c r="FT196"/>
      <c r="FU196"/>
      <c r="FV196"/>
      <c r="FW196"/>
      <c r="FX196"/>
      <c r="FY196"/>
      <c r="GA196"/>
      <c r="GB196"/>
      <c r="GC196"/>
      <c r="GD196"/>
      <c r="GE196"/>
      <c r="GF196"/>
      <c r="GG196"/>
      <c r="GI196"/>
      <c r="GJ196"/>
      <c r="GK196"/>
      <c r="GL196"/>
      <c r="GM196"/>
      <c r="GN196"/>
      <c r="GO196"/>
      <c r="YK196"/>
      <c r="YL196"/>
      <c r="YM196"/>
      <c r="YN196"/>
      <c r="YO196"/>
      <c r="AFI196"/>
      <c r="AFJ196"/>
      <c r="AFK196"/>
      <c r="AFL196"/>
      <c r="AFM196"/>
      <c r="AFN196" t="e">
        <f>+Tabla578914151634353637383940414243444546474849505152535560626467[[#This Row],[Recuento]]*#REF!</f>
        <v>#REF!</v>
      </c>
      <c r="AFO196" s="36"/>
    </row>
    <row r="197" spans="75:847" x14ac:dyDescent="0.25">
      <c r="BW197"/>
      <c r="BX197"/>
      <c r="BY197"/>
      <c r="BZ197"/>
      <c r="CA197"/>
      <c r="CB197"/>
      <c r="CE197"/>
      <c r="CF197"/>
      <c r="CG197"/>
      <c r="CH197"/>
      <c r="CI197"/>
      <c r="CJ197"/>
      <c r="CK197"/>
      <c r="CM197"/>
      <c r="CN197"/>
      <c r="CO197"/>
      <c r="CP197"/>
      <c r="CQ197"/>
      <c r="CR197"/>
      <c r="CU197"/>
      <c r="CV197"/>
      <c r="CW197"/>
      <c r="CX197"/>
      <c r="CY197"/>
      <c r="CZ197"/>
      <c r="DA197"/>
      <c r="DC197"/>
      <c r="DD197"/>
      <c r="DE197"/>
      <c r="DF197"/>
      <c r="DG197">
        <f>+Tabla31011704[[#This Row],[Longitud de eje]]*DB197</f>
        <v>0</v>
      </c>
      <c r="DH197"/>
      <c r="DJ197"/>
      <c r="DK197"/>
      <c r="DL197"/>
      <c r="DM197"/>
      <c r="DN197">
        <f>+Tabla3101170411[[#This Row],[Longitud de eje]]*DI197</f>
        <v>0</v>
      </c>
      <c r="DO197"/>
      <c r="DQ197"/>
      <c r="DR197"/>
      <c r="DS197"/>
      <c r="DT197"/>
      <c r="DU197">
        <f>+Tabla3101170411120[[#This Row],[Longitud de eje]]*DP197</f>
        <v>0</v>
      </c>
      <c r="DV197"/>
      <c r="DX197"/>
      <c r="DY197"/>
      <c r="DZ197"/>
      <c r="EA197"/>
      <c r="EB197">
        <f>+Tabla3101170411120122[[#This Row],[Longitud de eje]]*DW197</f>
        <v>0</v>
      </c>
      <c r="EC197"/>
      <c r="EE197"/>
      <c r="EF197"/>
      <c r="EG197"/>
      <c r="EH197"/>
      <c r="EI197"/>
      <c r="EJ197"/>
      <c r="EK197"/>
      <c r="EM197"/>
      <c r="EN197"/>
      <c r="EO197"/>
      <c r="EP197"/>
      <c r="EQ197"/>
      <c r="ER197"/>
      <c r="ES197"/>
      <c r="EU197"/>
      <c r="EV197"/>
      <c r="EW197"/>
      <c r="EX197"/>
      <c r="EY197"/>
      <c r="EZ197"/>
      <c r="FA197"/>
      <c r="FC197"/>
      <c r="FD197"/>
      <c r="FE197"/>
      <c r="FF197"/>
      <c r="FG197"/>
      <c r="FH197"/>
      <c r="FI197"/>
      <c r="FK197"/>
      <c r="FL197"/>
      <c r="FM197"/>
      <c r="FN197"/>
      <c r="FO197"/>
      <c r="FP197"/>
      <c r="FQ197"/>
      <c r="FS197"/>
      <c r="FT197"/>
      <c r="FU197"/>
      <c r="FV197"/>
      <c r="FW197"/>
      <c r="FX197"/>
      <c r="FY197"/>
      <c r="GA197"/>
      <c r="GB197"/>
      <c r="GC197"/>
      <c r="GD197"/>
      <c r="GE197"/>
      <c r="GF197"/>
      <c r="GG197"/>
      <c r="GI197"/>
      <c r="GJ197"/>
      <c r="GK197"/>
      <c r="GL197"/>
      <c r="GM197"/>
      <c r="GN197"/>
      <c r="GO197"/>
      <c r="YK197"/>
      <c r="YL197"/>
      <c r="YM197"/>
      <c r="YN197"/>
      <c r="YO197"/>
      <c r="AFI197"/>
      <c r="AFJ197"/>
      <c r="AFK197"/>
      <c r="AFL197"/>
      <c r="AFM197"/>
      <c r="AFN197" t="e">
        <f>+Tabla578914151634353637383940414243444546474849505152535560626467[[#This Row],[Recuento]]*#REF!</f>
        <v>#REF!</v>
      </c>
      <c r="AFO197" s="36"/>
    </row>
    <row r="198" spans="75:847" x14ac:dyDescent="0.25">
      <c r="BW198"/>
      <c r="BX198"/>
      <c r="BY198"/>
      <c r="BZ198"/>
      <c r="CA198"/>
      <c r="CB198"/>
      <c r="CE198"/>
      <c r="CF198"/>
      <c r="CG198"/>
      <c r="CH198"/>
      <c r="CI198"/>
      <c r="CJ198"/>
      <c r="CK198"/>
      <c r="CM198"/>
      <c r="CN198"/>
      <c r="CO198"/>
      <c r="CP198"/>
      <c r="CQ198"/>
      <c r="CR198"/>
      <c r="CU198"/>
      <c r="CV198"/>
      <c r="CW198"/>
      <c r="CX198"/>
      <c r="CY198"/>
      <c r="CZ198"/>
      <c r="DA198"/>
      <c r="DC198"/>
      <c r="DD198"/>
      <c r="DE198"/>
      <c r="DF198"/>
      <c r="DG198">
        <f>+Tabla31011704[[#This Row],[Longitud de eje]]*DB198</f>
        <v>0</v>
      </c>
      <c r="DH198"/>
      <c r="DJ198"/>
      <c r="DK198"/>
      <c r="DL198"/>
      <c r="DM198"/>
      <c r="DN198">
        <f>+Tabla3101170411[[#This Row],[Longitud de eje]]*DI198</f>
        <v>0</v>
      </c>
      <c r="DO198"/>
      <c r="DQ198"/>
      <c r="DR198"/>
      <c r="DS198"/>
      <c r="DT198"/>
      <c r="DU198">
        <f>+Tabla3101170411120[[#This Row],[Longitud de eje]]*DP198</f>
        <v>0</v>
      </c>
      <c r="DV198"/>
      <c r="DX198"/>
      <c r="DY198"/>
      <c r="DZ198"/>
      <c r="EA198"/>
      <c r="EB198">
        <f>+Tabla3101170411120122[[#This Row],[Longitud de eje]]*DW198</f>
        <v>0</v>
      </c>
      <c r="EC198"/>
      <c r="EE198"/>
      <c r="EF198"/>
      <c r="EG198"/>
      <c r="EH198"/>
      <c r="EI198"/>
      <c r="EJ198"/>
      <c r="EK198"/>
      <c r="EM198"/>
      <c r="EN198"/>
      <c r="EO198"/>
      <c r="EP198"/>
      <c r="EQ198"/>
      <c r="ER198"/>
      <c r="ES198"/>
      <c r="EU198"/>
      <c r="EV198"/>
      <c r="EW198"/>
      <c r="EX198"/>
      <c r="EY198"/>
      <c r="EZ198"/>
      <c r="FA198"/>
      <c r="FC198"/>
      <c r="FD198"/>
      <c r="FE198"/>
      <c r="FF198"/>
      <c r="FG198"/>
      <c r="FH198"/>
      <c r="FI198"/>
      <c r="FK198"/>
      <c r="FL198"/>
      <c r="FM198"/>
      <c r="FN198"/>
      <c r="FO198"/>
      <c r="FP198"/>
      <c r="FQ198"/>
      <c r="FS198"/>
      <c r="FT198"/>
      <c r="FU198"/>
      <c r="FV198"/>
      <c r="FW198"/>
      <c r="FX198"/>
      <c r="FY198"/>
      <c r="GA198"/>
      <c r="GB198"/>
      <c r="GC198"/>
      <c r="GD198"/>
      <c r="GE198"/>
      <c r="GF198"/>
      <c r="GG198"/>
      <c r="GI198"/>
      <c r="GJ198"/>
      <c r="GK198"/>
      <c r="GL198"/>
      <c r="GM198"/>
      <c r="GN198"/>
      <c r="GO198"/>
      <c r="YK198"/>
      <c r="YL198"/>
      <c r="YM198"/>
      <c r="YN198"/>
      <c r="YO198"/>
      <c r="AFI198"/>
      <c r="AFJ198"/>
      <c r="AFK198"/>
      <c r="AFL198"/>
      <c r="AFM198"/>
      <c r="AFN198" t="e">
        <f>+Tabla578914151634353637383940414243444546474849505152535560626467[[#This Row],[Recuento]]*#REF!</f>
        <v>#REF!</v>
      </c>
      <c r="AFO198" s="36"/>
    </row>
    <row r="199" spans="75:847" x14ac:dyDescent="0.25">
      <c r="BW199"/>
      <c r="BX199"/>
      <c r="BY199"/>
      <c r="BZ199"/>
      <c r="CA199"/>
      <c r="CB199"/>
      <c r="CE199"/>
      <c r="CF199"/>
      <c r="CG199"/>
      <c r="CH199"/>
      <c r="CI199"/>
      <c r="CJ199"/>
      <c r="CK199"/>
      <c r="CM199"/>
      <c r="CN199"/>
      <c r="CO199"/>
      <c r="CP199"/>
      <c r="CQ199"/>
      <c r="CR199"/>
      <c r="CU199"/>
      <c r="CV199"/>
      <c r="CW199"/>
      <c r="CX199"/>
      <c r="CY199"/>
      <c r="CZ199"/>
      <c r="DA199"/>
      <c r="DC199"/>
      <c r="DD199"/>
      <c r="DE199"/>
      <c r="DF199"/>
      <c r="DG199">
        <f>+Tabla31011704[[#This Row],[Longitud de eje]]*DB199</f>
        <v>0</v>
      </c>
      <c r="DH199"/>
      <c r="DJ199"/>
      <c r="DK199"/>
      <c r="DL199"/>
      <c r="DM199"/>
      <c r="DN199">
        <f>+Tabla3101170411[[#This Row],[Longitud de eje]]*DI199</f>
        <v>0</v>
      </c>
      <c r="DO199"/>
      <c r="DQ199"/>
      <c r="DR199"/>
      <c r="DS199"/>
      <c r="DT199"/>
      <c r="DU199">
        <f>+Tabla3101170411120[[#This Row],[Longitud de eje]]*DP199</f>
        <v>0</v>
      </c>
      <c r="DV199"/>
      <c r="DX199"/>
      <c r="DY199"/>
      <c r="DZ199"/>
      <c r="EA199"/>
      <c r="EB199">
        <f>+Tabla3101170411120122[[#This Row],[Longitud de eje]]*DW199</f>
        <v>0</v>
      </c>
      <c r="EC199"/>
      <c r="EE199"/>
      <c r="EF199"/>
      <c r="EG199"/>
      <c r="EH199"/>
      <c r="EI199"/>
      <c r="EJ199"/>
      <c r="EK199"/>
      <c r="EM199"/>
      <c r="EN199"/>
      <c r="EO199"/>
      <c r="EP199"/>
      <c r="EQ199"/>
      <c r="ER199"/>
      <c r="ES199"/>
      <c r="EU199"/>
      <c r="EV199"/>
      <c r="EW199"/>
      <c r="EX199"/>
      <c r="EY199"/>
      <c r="EZ199"/>
      <c r="FA199"/>
      <c r="FC199"/>
      <c r="FD199"/>
      <c r="FE199"/>
      <c r="FF199"/>
      <c r="FG199"/>
      <c r="FH199"/>
      <c r="FI199"/>
      <c r="FK199"/>
      <c r="FL199"/>
      <c r="FM199"/>
      <c r="FN199"/>
      <c r="FO199"/>
      <c r="FP199"/>
      <c r="FQ199"/>
      <c r="FS199"/>
      <c r="FT199"/>
      <c r="FU199"/>
      <c r="FV199"/>
      <c r="FW199"/>
      <c r="FX199"/>
      <c r="FY199"/>
      <c r="GA199"/>
      <c r="GB199"/>
      <c r="GC199"/>
      <c r="GD199"/>
      <c r="GE199"/>
      <c r="GF199"/>
      <c r="GG199"/>
      <c r="GI199"/>
      <c r="GJ199"/>
      <c r="GK199"/>
      <c r="GL199"/>
      <c r="GM199"/>
      <c r="GN199"/>
      <c r="GO199"/>
      <c r="YK199"/>
      <c r="YL199"/>
      <c r="YM199"/>
      <c r="YN199"/>
      <c r="YO199"/>
      <c r="AFI199"/>
      <c r="AFJ199"/>
      <c r="AFK199"/>
      <c r="AFL199"/>
      <c r="AFM199"/>
      <c r="AFN199" t="e">
        <f>+Tabla578914151634353637383940414243444546474849505152535560626467[[#This Row],[Recuento]]*#REF!</f>
        <v>#REF!</v>
      </c>
      <c r="AFO199" s="36"/>
    </row>
    <row r="200" spans="75:847" x14ac:dyDescent="0.25">
      <c r="BW200"/>
      <c r="BX200"/>
      <c r="BY200"/>
      <c r="BZ200"/>
      <c r="CA200"/>
      <c r="CB200"/>
      <c r="CE200"/>
      <c r="CF200"/>
      <c r="CG200"/>
      <c r="CH200"/>
      <c r="CI200"/>
      <c r="CJ200"/>
      <c r="CK200"/>
      <c r="CM200"/>
      <c r="CN200"/>
      <c r="CO200"/>
      <c r="CP200"/>
      <c r="CQ200"/>
      <c r="CR200"/>
      <c r="CU200"/>
      <c r="CV200"/>
      <c r="CW200"/>
      <c r="CX200"/>
      <c r="CY200"/>
      <c r="CZ200"/>
      <c r="DA200"/>
      <c r="DC200"/>
      <c r="DD200"/>
      <c r="DE200"/>
      <c r="DF200"/>
      <c r="DG200">
        <f>+Tabla31011704[[#This Row],[Longitud de eje]]*DB200</f>
        <v>0</v>
      </c>
      <c r="DH200"/>
      <c r="DJ200"/>
      <c r="DK200"/>
      <c r="DL200"/>
      <c r="DM200"/>
      <c r="DN200">
        <f>+Tabla3101170411[[#This Row],[Longitud de eje]]*DI200</f>
        <v>0</v>
      </c>
      <c r="DO200"/>
      <c r="DQ200"/>
      <c r="DR200"/>
      <c r="DS200"/>
      <c r="DT200"/>
      <c r="DU200">
        <f>+Tabla3101170411120[[#This Row],[Longitud de eje]]*DP200</f>
        <v>0</v>
      </c>
      <c r="DV200"/>
      <c r="DX200"/>
      <c r="DY200"/>
      <c r="DZ200"/>
      <c r="EA200"/>
      <c r="EB200">
        <f>+Tabla3101170411120122[[#This Row],[Longitud de eje]]*DW200</f>
        <v>0</v>
      </c>
      <c r="EC200"/>
      <c r="EE200"/>
      <c r="EF200"/>
      <c r="EG200"/>
      <c r="EH200"/>
      <c r="EI200"/>
      <c r="EJ200"/>
      <c r="EK200"/>
      <c r="EM200"/>
      <c r="EN200"/>
      <c r="EO200"/>
      <c r="EP200"/>
      <c r="EQ200"/>
      <c r="ER200"/>
      <c r="ES200"/>
      <c r="EU200"/>
      <c r="EV200"/>
      <c r="EW200"/>
      <c r="EX200"/>
      <c r="EY200"/>
      <c r="EZ200"/>
      <c r="FA200"/>
      <c r="FC200"/>
      <c r="FD200"/>
      <c r="FE200"/>
      <c r="FF200"/>
      <c r="FG200"/>
      <c r="FH200"/>
      <c r="FI200"/>
      <c r="FK200"/>
      <c r="FL200"/>
      <c r="FM200"/>
      <c r="FN200"/>
      <c r="FO200"/>
      <c r="FP200"/>
      <c r="FQ200"/>
      <c r="FS200"/>
      <c r="FT200"/>
      <c r="FU200"/>
      <c r="FV200"/>
      <c r="FW200"/>
      <c r="FX200"/>
      <c r="FY200"/>
      <c r="GA200"/>
      <c r="GB200"/>
      <c r="GC200"/>
      <c r="GD200"/>
      <c r="GE200"/>
      <c r="GF200"/>
      <c r="GG200"/>
      <c r="GI200"/>
      <c r="GJ200"/>
      <c r="GK200"/>
      <c r="GL200"/>
      <c r="GM200"/>
      <c r="GN200"/>
      <c r="GO200"/>
      <c r="YK200"/>
      <c r="YL200"/>
      <c r="YM200"/>
      <c r="YN200"/>
      <c r="YO200"/>
      <c r="AFI200"/>
      <c r="AFJ200"/>
      <c r="AFK200"/>
      <c r="AFL200"/>
      <c r="AFM200"/>
      <c r="AFN200" t="e">
        <f>+Tabla578914151634353637383940414243444546474849505152535560626467[[#This Row],[Recuento]]*#REF!</f>
        <v>#REF!</v>
      </c>
      <c r="AFO200" s="36"/>
    </row>
    <row r="201" spans="75:847" x14ac:dyDescent="0.25">
      <c r="BW201"/>
      <c r="BX201"/>
      <c r="BY201"/>
      <c r="BZ201"/>
      <c r="CA201"/>
      <c r="CB201"/>
      <c r="CE201"/>
      <c r="CF201"/>
      <c r="CG201"/>
      <c r="CH201"/>
      <c r="CI201"/>
      <c r="CJ201"/>
      <c r="CK201"/>
      <c r="CM201"/>
      <c r="CN201"/>
      <c r="CO201"/>
      <c r="CP201"/>
      <c r="CQ201"/>
      <c r="CR201"/>
      <c r="CU201"/>
      <c r="CV201"/>
      <c r="CW201"/>
      <c r="CX201"/>
      <c r="CY201"/>
      <c r="CZ201"/>
      <c r="DA201"/>
      <c r="DC201"/>
      <c r="DD201"/>
      <c r="DE201"/>
      <c r="DF201"/>
      <c r="DG201">
        <f>+Tabla31011704[[#This Row],[Longitud de eje]]*DB201</f>
        <v>0</v>
      </c>
      <c r="DH201"/>
      <c r="DJ201"/>
      <c r="DK201"/>
      <c r="DL201"/>
      <c r="DM201"/>
      <c r="DN201">
        <f>+Tabla3101170411[[#This Row],[Longitud de eje]]*DI201</f>
        <v>0</v>
      </c>
      <c r="DO201"/>
      <c r="DQ201"/>
      <c r="DR201"/>
      <c r="DS201"/>
      <c r="DT201"/>
      <c r="DU201">
        <f>+Tabla3101170411120[[#This Row],[Longitud de eje]]*DP201</f>
        <v>0</v>
      </c>
      <c r="DV201"/>
      <c r="DX201"/>
      <c r="DY201"/>
      <c r="DZ201"/>
      <c r="EA201"/>
      <c r="EB201">
        <f>+Tabla3101170411120122[[#This Row],[Longitud de eje]]*DW201</f>
        <v>0</v>
      </c>
      <c r="EC201"/>
      <c r="EE201"/>
      <c r="EF201"/>
      <c r="EG201"/>
      <c r="EH201"/>
      <c r="EI201"/>
      <c r="EJ201"/>
      <c r="EK201"/>
      <c r="EM201"/>
      <c r="EN201"/>
      <c r="EO201"/>
      <c r="EP201"/>
      <c r="EQ201"/>
      <c r="ER201"/>
      <c r="ES201"/>
      <c r="EU201"/>
      <c r="EV201"/>
      <c r="EW201"/>
      <c r="EX201"/>
      <c r="EY201"/>
      <c r="EZ201"/>
      <c r="FA201"/>
      <c r="FC201"/>
      <c r="FD201"/>
      <c r="FE201"/>
      <c r="FF201"/>
      <c r="FG201"/>
      <c r="FH201"/>
      <c r="FI201"/>
      <c r="FK201"/>
      <c r="FL201"/>
      <c r="FM201"/>
      <c r="FN201"/>
      <c r="FO201"/>
      <c r="FP201"/>
      <c r="FQ201"/>
      <c r="FS201"/>
      <c r="FT201"/>
      <c r="FU201"/>
      <c r="FV201"/>
      <c r="FW201"/>
      <c r="FX201"/>
      <c r="FY201"/>
      <c r="GA201"/>
      <c r="GB201"/>
      <c r="GC201"/>
      <c r="GD201"/>
      <c r="GE201"/>
      <c r="GF201"/>
      <c r="GG201"/>
      <c r="GI201"/>
      <c r="GJ201"/>
      <c r="GK201"/>
      <c r="GL201"/>
      <c r="GM201"/>
      <c r="GN201"/>
      <c r="GO201"/>
      <c r="YK201"/>
      <c r="YL201"/>
      <c r="YM201"/>
      <c r="YN201"/>
      <c r="YO201"/>
      <c r="AFI201"/>
      <c r="AFJ201"/>
      <c r="AFK201"/>
      <c r="AFL201"/>
      <c r="AFM201"/>
      <c r="AFN201" t="e">
        <f>+Tabla578914151634353637383940414243444546474849505152535560626467[[#This Row],[Recuento]]*#REF!</f>
        <v>#REF!</v>
      </c>
      <c r="AFO201" s="36"/>
    </row>
    <row r="202" spans="75:847" x14ac:dyDescent="0.25">
      <c r="BW202"/>
      <c r="BX202"/>
      <c r="BY202"/>
      <c r="BZ202"/>
      <c r="CA202"/>
      <c r="CB202"/>
      <c r="CE202"/>
      <c r="CF202"/>
      <c r="CG202"/>
      <c r="CH202"/>
      <c r="CI202"/>
      <c r="CJ202"/>
      <c r="CK202"/>
      <c r="CM202"/>
      <c r="CN202"/>
      <c r="CO202"/>
      <c r="CP202"/>
      <c r="CQ202"/>
      <c r="CR202"/>
      <c r="CU202"/>
      <c r="CV202"/>
      <c r="CW202"/>
      <c r="CX202"/>
      <c r="CY202"/>
      <c r="CZ202"/>
      <c r="DA202"/>
      <c r="DC202"/>
      <c r="DD202"/>
      <c r="DE202"/>
      <c r="DF202"/>
      <c r="DG202">
        <f>+Tabla31011704[[#This Row],[Longitud de eje]]*DB202</f>
        <v>0</v>
      </c>
      <c r="DH202"/>
      <c r="DJ202"/>
      <c r="DK202"/>
      <c r="DL202"/>
      <c r="DM202"/>
      <c r="DN202">
        <f>+Tabla3101170411[[#This Row],[Longitud de eje]]*DI202</f>
        <v>0</v>
      </c>
      <c r="DO202"/>
      <c r="DQ202"/>
      <c r="DR202"/>
      <c r="DS202"/>
      <c r="DT202"/>
      <c r="DU202">
        <f>+Tabla3101170411120[[#This Row],[Longitud de eje]]*DP202</f>
        <v>0</v>
      </c>
      <c r="DV202"/>
      <c r="DX202"/>
      <c r="DY202"/>
      <c r="DZ202"/>
      <c r="EA202"/>
      <c r="EB202">
        <f>+Tabla3101170411120122[[#This Row],[Longitud de eje]]*DW202</f>
        <v>0</v>
      </c>
      <c r="EC202"/>
      <c r="EE202"/>
      <c r="EF202"/>
      <c r="EG202"/>
      <c r="EH202"/>
      <c r="EI202"/>
      <c r="EJ202"/>
      <c r="EK202"/>
      <c r="EM202"/>
      <c r="EN202"/>
      <c r="EO202"/>
      <c r="EP202"/>
      <c r="EQ202"/>
      <c r="ER202"/>
      <c r="ES202"/>
      <c r="EU202"/>
      <c r="EV202"/>
      <c r="EW202"/>
      <c r="EX202"/>
      <c r="EY202"/>
      <c r="EZ202"/>
      <c r="FA202"/>
      <c r="FC202"/>
      <c r="FD202"/>
      <c r="FE202"/>
      <c r="FF202"/>
      <c r="FG202"/>
      <c r="FH202"/>
      <c r="FI202"/>
      <c r="FK202"/>
      <c r="FL202"/>
      <c r="FM202"/>
      <c r="FN202"/>
      <c r="FO202"/>
      <c r="FP202"/>
      <c r="FQ202"/>
      <c r="FS202"/>
      <c r="FT202"/>
      <c r="FU202"/>
      <c r="FV202"/>
      <c r="FW202"/>
      <c r="FX202"/>
      <c r="FY202"/>
      <c r="GA202"/>
      <c r="GB202"/>
      <c r="GC202"/>
      <c r="GD202"/>
      <c r="GE202"/>
      <c r="GF202"/>
      <c r="GG202"/>
      <c r="GI202"/>
      <c r="GJ202"/>
      <c r="GK202"/>
      <c r="GL202"/>
      <c r="GM202"/>
      <c r="GN202"/>
      <c r="GO202"/>
      <c r="YK202"/>
      <c r="YL202"/>
      <c r="YM202"/>
      <c r="YN202"/>
      <c r="YO202"/>
      <c r="AFI202"/>
      <c r="AFJ202"/>
      <c r="AFK202"/>
      <c r="AFL202"/>
      <c r="AFM202"/>
      <c r="AFN202" t="e">
        <f>+Tabla578914151634353637383940414243444546474849505152535560626467[[#This Row],[Recuento]]*#REF!</f>
        <v>#REF!</v>
      </c>
      <c r="AFO202" s="36"/>
    </row>
    <row r="203" spans="75:847" x14ac:dyDescent="0.25">
      <c r="BW203"/>
      <c r="BX203"/>
      <c r="BY203"/>
      <c r="BZ203"/>
      <c r="CA203"/>
      <c r="CB203"/>
      <c r="CE203"/>
      <c r="CF203"/>
      <c r="CG203"/>
      <c r="CH203"/>
      <c r="CI203"/>
      <c r="CJ203"/>
      <c r="CK203"/>
      <c r="CM203"/>
      <c r="CN203"/>
      <c r="CO203"/>
      <c r="CP203"/>
      <c r="CQ203"/>
      <c r="CR203"/>
      <c r="CU203"/>
      <c r="CV203"/>
      <c r="CW203"/>
      <c r="CX203"/>
      <c r="CY203"/>
      <c r="CZ203"/>
      <c r="DA203"/>
      <c r="DC203"/>
      <c r="DD203"/>
      <c r="DE203"/>
      <c r="DF203"/>
      <c r="DG203">
        <f>+Tabla31011704[[#This Row],[Longitud de eje]]*DB203</f>
        <v>0</v>
      </c>
      <c r="DH203"/>
      <c r="DJ203"/>
      <c r="DK203"/>
      <c r="DL203"/>
      <c r="DM203"/>
      <c r="DN203">
        <f>+Tabla3101170411[[#This Row],[Longitud de eje]]*DI203</f>
        <v>0</v>
      </c>
      <c r="DO203"/>
      <c r="DQ203"/>
      <c r="DR203"/>
      <c r="DS203"/>
      <c r="DT203"/>
      <c r="DU203">
        <f>+Tabla3101170411120[[#This Row],[Longitud de eje]]*DP203</f>
        <v>0</v>
      </c>
      <c r="DV203"/>
      <c r="DX203"/>
      <c r="DY203"/>
      <c r="DZ203"/>
      <c r="EA203"/>
      <c r="EB203">
        <f>+Tabla3101170411120122[[#This Row],[Longitud de eje]]*DW203</f>
        <v>0</v>
      </c>
      <c r="EC203"/>
      <c r="EE203"/>
      <c r="EF203"/>
      <c r="EG203"/>
      <c r="EH203"/>
      <c r="EI203"/>
      <c r="EJ203"/>
      <c r="EK203"/>
      <c r="EM203"/>
      <c r="EN203"/>
      <c r="EO203"/>
      <c r="EP203"/>
      <c r="EQ203"/>
      <c r="ER203"/>
      <c r="ES203"/>
      <c r="EU203"/>
      <c r="EV203"/>
      <c r="EW203"/>
      <c r="EX203"/>
      <c r="EY203"/>
      <c r="EZ203"/>
      <c r="FA203"/>
      <c r="FC203"/>
      <c r="FD203"/>
      <c r="FE203"/>
      <c r="FF203"/>
      <c r="FG203"/>
      <c r="FH203"/>
      <c r="FI203"/>
      <c r="FK203"/>
      <c r="FL203"/>
      <c r="FM203"/>
      <c r="FN203"/>
      <c r="FO203"/>
      <c r="FP203"/>
      <c r="FQ203"/>
      <c r="FS203"/>
      <c r="FT203"/>
      <c r="FU203"/>
      <c r="FV203"/>
      <c r="FW203"/>
      <c r="FX203"/>
      <c r="FY203"/>
      <c r="GA203"/>
      <c r="GB203"/>
      <c r="GC203"/>
      <c r="GD203"/>
      <c r="GE203"/>
      <c r="GF203"/>
      <c r="GG203"/>
      <c r="GI203"/>
      <c r="GJ203"/>
      <c r="GK203"/>
      <c r="GL203"/>
      <c r="GM203"/>
      <c r="GN203"/>
      <c r="GO203"/>
      <c r="YK203"/>
      <c r="YL203"/>
      <c r="YM203"/>
      <c r="YN203"/>
      <c r="YO203"/>
      <c r="AFI203"/>
      <c r="AFJ203"/>
      <c r="AFK203"/>
      <c r="AFL203"/>
      <c r="AFM203"/>
      <c r="AFN203" t="e">
        <f>+Tabla578914151634353637383940414243444546474849505152535560626467[[#This Row],[Recuento]]*#REF!</f>
        <v>#REF!</v>
      </c>
      <c r="AFO203" s="36"/>
    </row>
    <row r="204" spans="75:847" x14ac:dyDescent="0.25">
      <c r="BW204"/>
      <c r="BX204"/>
      <c r="BY204"/>
      <c r="BZ204"/>
      <c r="CA204"/>
      <c r="CB204"/>
      <c r="CE204"/>
      <c r="CF204"/>
      <c r="CG204"/>
      <c r="CH204"/>
      <c r="CI204"/>
      <c r="CJ204"/>
      <c r="CK204"/>
      <c r="CM204"/>
      <c r="CN204"/>
      <c r="CO204"/>
      <c r="CP204"/>
      <c r="CQ204"/>
      <c r="CR204"/>
      <c r="CU204"/>
      <c r="CV204"/>
      <c r="CW204"/>
      <c r="CX204"/>
      <c r="CY204"/>
      <c r="CZ204"/>
      <c r="DA204"/>
      <c r="DC204"/>
      <c r="DD204"/>
      <c r="DE204"/>
      <c r="DF204"/>
      <c r="DG204">
        <f>+Tabla31011704[[#This Row],[Longitud de eje]]*DB204</f>
        <v>0</v>
      </c>
      <c r="DH204"/>
      <c r="DJ204"/>
      <c r="DK204"/>
      <c r="DL204"/>
      <c r="DM204"/>
      <c r="DN204">
        <f>+Tabla3101170411[[#This Row],[Longitud de eje]]*DI204</f>
        <v>0</v>
      </c>
      <c r="DO204"/>
      <c r="DQ204"/>
      <c r="DR204"/>
      <c r="DS204"/>
      <c r="DT204"/>
      <c r="DU204">
        <f>+Tabla3101170411120[[#This Row],[Longitud de eje]]*DP204</f>
        <v>0</v>
      </c>
      <c r="DV204"/>
      <c r="DX204"/>
      <c r="DY204"/>
      <c r="DZ204"/>
      <c r="EA204"/>
      <c r="EB204">
        <f>+Tabla3101170411120122[[#This Row],[Longitud de eje]]*DW204</f>
        <v>0</v>
      </c>
      <c r="EC204"/>
      <c r="EE204"/>
      <c r="EF204"/>
      <c r="EG204"/>
      <c r="EH204"/>
      <c r="EI204"/>
      <c r="EJ204"/>
      <c r="EK204"/>
      <c r="EM204"/>
      <c r="EN204"/>
      <c r="EO204"/>
      <c r="EP204"/>
      <c r="EQ204"/>
      <c r="ER204"/>
      <c r="ES204"/>
      <c r="EU204"/>
      <c r="EV204"/>
      <c r="EW204"/>
      <c r="EX204"/>
      <c r="EY204"/>
      <c r="EZ204"/>
      <c r="FA204"/>
      <c r="FC204"/>
      <c r="FD204"/>
      <c r="FE204"/>
      <c r="FF204"/>
      <c r="FG204"/>
      <c r="FH204"/>
      <c r="FI204"/>
      <c r="FK204"/>
      <c r="FL204"/>
      <c r="FM204"/>
      <c r="FN204"/>
      <c r="FO204"/>
      <c r="FP204"/>
      <c r="FQ204"/>
      <c r="FS204"/>
      <c r="FT204"/>
      <c r="FU204"/>
      <c r="FV204"/>
      <c r="FW204"/>
      <c r="FX204"/>
      <c r="FY204"/>
      <c r="GA204"/>
      <c r="GB204"/>
      <c r="GC204"/>
      <c r="GD204"/>
      <c r="GE204"/>
      <c r="GF204"/>
      <c r="GG204"/>
      <c r="GI204"/>
      <c r="GJ204"/>
      <c r="GK204"/>
      <c r="GL204"/>
      <c r="GM204"/>
      <c r="GN204"/>
      <c r="GO204"/>
      <c r="YK204"/>
      <c r="YL204"/>
      <c r="YM204"/>
      <c r="YN204"/>
      <c r="YO204"/>
      <c r="AFI204"/>
      <c r="AFJ204"/>
      <c r="AFK204"/>
      <c r="AFL204"/>
      <c r="AFM204"/>
      <c r="AFN204" t="e">
        <f>+Tabla578914151634353637383940414243444546474849505152535560626467[[#This Row],[Recuento]]*#REF!</f>
        <v>#REF!</v>
      </c>
      <c r="AFO204" s="36"/>
    </row>
    <row r="205" spans="75:847" x14ac:dyDescent="0.25">
      <c r="BW205"/>
      <c r="BX205"/>
      <c r="BY205"/>
      <c r="BZ205"/>
      <c r="CA205"/>
      <c r="CB205"/>
      <c r="CE205"/>
      <c r="CF205"/>
      <c r="CG205"/>
      <c r="CH205"/>
      <c r="CI205"/>
      <c r="CJ205"/>
      <c r="CK205"/>
      <c r="CM205"/>
      <c r="CN205"/>
      <c r="CO205"/>
      <c r="CP205"/>
      <c r="CQ205"/>
      <c r="CR205"/>
      <c r="CU205"/>
      <c r="CV205"/>
      <c r="CW205"/>
      <c r="CX205"/>
      <c r="CY205"/>
      <c r="CZ205"/>
      <c r="DA205"/>
      <c r="DC205"/>
      <c r="DD205"/>
      <c r="DE205"/>
      <c r="DF205"/>
      <c r="DG205">
        <f>+Tabla31011704[[#This Row],[Longitud de eje]]*DB205</f>
        <v>0</v>
      </c>
      <c r="DH205"/>
      <c r="DJ205"/>
      <c r="DK205"/>
      <c r="DL205"/>
      <c r="DM205"/>
      <c r="DN205">
        <f>+Tabla3101170411[[#This Row],[Longitud de eje]]*DI205</f>
        <v>0</v>
      </c>
      <c r="DO205"/>
      <c r="DQ205"/>
      <c r="DR205"/>
      <c r="DS205"/>
      <c r="DT205"/>
      <c r="DU205">
        <f>+Tabla3101170411120[[#This Row],[Longitud de eje]]*DP205</f>
        <v>0</v>
      </c>
      <c r="DV205"/>
      <c r="DX205"/>
      <c r="DY205"/>
      <c r="DZ205"/>
      <c r="EA205"/>
      <c r="EB205">
        <f>+Tabla3101170411120122[[#This Row],[Longitud de eje]]*DW205</f>
        <v>0</v>
      </c>
      <c r="EC205"/>
      <c r="EE205"/>
      <c r="EF205"/>
      <c r="EG205"/>
      <c r="EH205"/>
      <c r="EI205"/>
      <c r="EJ205"/>
      <c r="EK205"/>
      <c r="EM205"/>
      <c r="EN205"/>
      <c r="EO205"/>
      <c r="EP205"/>
      <c r="EQ205"/>
      <c r="ER205"/>
      <c r="ES205"/>
      <c r="EU205"/>
      <c r="EV205"/>
      <c r="EW205"/>
      <c r="EX205"/>
      <c r="EY205"/>
      <c r="EZ205"/>
      <c r="FA205"/>
      <c r="FC205"/>
      <c r="FD205"/>
      <c r="FE205"/>
      <c r="FF205"/>
      <c r="FG205"/>
      <c r="FH205"/>
      <c r="FI205"/>
      <c r="FK205"/>
      <c r="FL205"/>
      <c r="FM205"/>
      <c r="FN205"/>
      <c r="FO205"/>
      <c r="FP205"/>
      <c r="FQ205"/>
      <c r="FS205"/>
      <c r="FT205"/>
      <c r="FU205"/>
      <c r="FV205"/>
      <c r="FW205"/>
      <c r="FX205"/>
      <c r="FY205"/>
      <c r="GA205"/>
      <c r="GB205"/>
      <c r="GC205"/>
      <c r="GD205"/>
      <c r="GE205"/>
      <c r="GF205"/>
      <c r="GG205"/>
      <c r="GI205"/>
      <c r="GJ205"/>
      <c r="GK205"/>
      <c r="GL205"/>
      <c r="GM205"/>
      <c r="GN205"/>
      <c r="GO205"/>
      <c r="YK205"/>
      <c r="YL205"/>
      <c r="YM205"/>
      <c r="YN205"/>
      <c r="YO205"/>
      <c r="AFI205"/>
      <c r="AFJ205"/>
      <c r="AFK205"/>
      <c r="AFL205"/>
      <c r="AFM205"/>
      <c r="AFN205" t="e">
        <f>+Tabla578914151634353637383940414243444546474849505152535560626467[[#This Row],[Recuento]]*#REF!</f>
        <v>#REF!</v>
      </c>
      <c r="AFO205" s="36"/>
    </row>
    <row r="206" spans="75:847" x14ac:dyDescent="0.25">
      <c r="BW206"/>
      <c r="BX206"/>
      <c r="BY206"/>
      <c r="BZ206"/>
      <c r="CA206"/>
      <c r="CB206"/>
      <c r="CE206"/>
      <c r="CF206"/>
      <c r="CG206"/>
      <c r="CH206"/>
      <c r="CI206"/>
      <c r="CJ206"/>
      <c r="CK206"/>
      <c r="CM206"/>
      <c r="CN206"/>
      <c r="CO206"/>
      <c r="CP206"/>
      <c r="CQ206"/>
      <c r="CR206"/>
      <c r="CU206"/>
      <c r="CV206"/>
      <c r="CW206"/>
      <c r="CX206"/>
      <c r="CY206"/>
      <c r="CZ206"/>
      <c r="DA206"/>
      <c r="DC206"/>
      <c r="DD206"/>
      <c r="DE206"/>
      <c r="DF206"/>
      <c r="DG206">
        <f>+Tabla31011704[[#This Row],[Longitud de eje]]*DB206</f>
        <v>0</v>
      </c>
      <c r="DH206"/>
      <c r="DJ206"/>
      <c r="DK206"/>
      <c r="DL206"/>
      <c r="DM206"/>
      <c r="DN206">
        <f>+Tabla3101170411[[#This Row],[Longitud de eje]]*DI206</f>
        <v>0</v>
      </c>
      <c r="DO206"/>
      <c r="DQ206"/>
      <c r="DR206"/>
      <c r="DS206"/>
      <c r="DT206"/>
      <c r="DU206">
        <f>+Tabla3101170411120[[#This Row],[Longitud de eje]]*DP206</f>
        <v>0</v>
      </c>
      <c r="DV206"/>
      <c r="DX206"/>
      <c r="DY206"/>
      <c r="DZ206"/>
      <c r="EA206"/>
      <c r="EB206">
        <f>+Tabla3101170411120122[[#This Row],[Longitud de eje]]*DW206</f>
        <v>0</v>
      </c>
      <c r="EC206"/>
      <c r="EE206"/>
      <c r="EF206"/>
      <c r="EG206"/>
      <c r="EH206"/>
      <c r="EI206"/>
      <c r="EJ206"/>
      <c r="EK206"/>
      <c r="EM206"/>
      <c r="EN206"/>
      <c r="EO206"/>
      <c r="EP206"/>
      <c r="EQ206"/>
      <c r="ER206"/>
      <c r="ES206"/>
      <c r="EU206"/>
      <c r="EV206"/>
      <c r="EW206"/>
      <c r="EX206"/>
      <c r="EY206"/>
      <c r="EZ206"/>
      <c r="FA206"/>
      <c r="FC206"/>
      <c r="FD206"/>
      <c r="FE206"/>
      <c r="FF206"/>
      <c r="FG206"/>
      <c r="FH206"/>
      <c r="FI206"/>
      <c r="FK206"/>
      <c r="FL206"/>
      <c r="FM206"/>
      <c r="FN206"/>
      <c r="FO206"/>
      <c r="FP206"/>
      <c r="FQ206"/>
      <c r="FS206"/>
      <c r="FT206"/>
      <c r="FU206"/>
      <c r="FV206"/>
      <c r="FW206"/>
      <c r="FX206"/>
      <c r="FY206"/>
      <c r="GA206"/>
      <c r="GB206"/>
      <c r="GC206"/>
      <c r="GD206"/>
      <c r="GE206"/>
      <c r="GF206"/>
      <c r="GG206"/>
      <c r="GI206"/>
      <c r="GJ206"/>
      <c r="GK206"/>
      <c r="GL206"/>
      <c r="GM206"/>
      <c r="GN206"/>
      <c r="GO206"/>
      <c r="YK206"/>
      <c r="YL206"/>
      <c r="YM206"/>
      <c r="YN206"/>
      <c r="YO206"/>
      <c r="AFI206"/>
      <c r="AFJ206"/>
      <c r="AFK206"/>
      <c r="AFL206"/>
      <c r="AFM206"/>
      <c r="AFN206" t="e">
        <f>+Tabla578914151634353637383940414243444546474849505152535560626467[[#This Row],[Recuento]]*#REF!</f>
        <v>#REF!</v>
      </c>
      <c r="AFO206" s="36"/>
    </row>
    <row r="207" spans="75:847" x14ac:dyDescent="0.25">
      <c r="BW207"/>
      <c r="BX207"/>
      <c r="BY207"/>
      <c r="BZ207"/>
      <c r="CA207"/>
      <c r="CB207"/>
      <c r="CE207"/>
      <c r="CF207"/>
      <c r="CG207"/>
      <c r="CH207"/>
      <c r="CI207"/>
      <c r="CJ207"/>
      <c r="CK207"/>
      <c r="CM207"/>
      <c r="CN207"/>
      <c r="CO207"/>
      <c r="CP207"/>
      <c r="CQ207"/>
      <c r="CR207"/>
      <c r="CU207"/>
      <c r="CV207"/>
      <c r="CW207"/>
      <c r="CX207"/>
      <c r="CY207"/>
      <c r="CZ207"/>
      <c r="DA207"/>
      <c r="DC207"/>
      <c r="DD207"/>
      <c r="DE207"/>
      <c r="DF207"/>
      <c r="DG207">
        <f>+Tabla31011704[[#This Row],[Longitud de eje]]*DB207</f>
        <v>0</v>
      </c>
      <c r="DH207"/>
      <c r="DJ207"/>
      <c r="DK207"/>
      <c r="DL207"/>
      <c r="DM207"/>
      <c r="DN207">
        <f>+Tabla3101170411[[#This Row],[Longitud de eje]]*DI207</f>
        <v>0</v>
      </c>
      <c r="DO207"/>
      <c r="DQ207"/>
      <c r="DR207"/>
      <c r="DS207"/>
      <c r="DT207"/>
      <c r="DU207">
        <f>+Tabla3101170411120[[#This Row],[Longitud de eje]]*DP207</f>
        <v>0</v>
      </c>
      <c r="DV207"/>
      <c r="DX207"/>
      <c r="DY207"/>
      <c r="DZ207"/>
      <c r="EA207"/>
      <c r="EB207">
        <f>+Tabla3101170411120122[[#This Row],[Longitud de eje]]*DW207</f>
        <v>0</v>
      </c>
      <c r="EC207"/>
      <c r="EE207"/>
      <c r="EF207"/>
      <c r="EG207"/>
      <c r="EH207"/>
      <c r="EI207"/>
      <c r="EJ207"/>
      <c r="EK207"/>
      <c r="EM207"/>
      <c r="EN207"/>
      <c r="EO207"/>
      <c r="EP207"/>
      <c r="EQ207"/>
      <c r="ER207"/>
      <c r="ES207"/>
      <c r="EU207"/>
      <c r="EV207"/>
      <c r="EW207"/>
      <c r="EX207"/>
      <c r="EY207"/>
      <c r="EZ207"/>
      <c r="FA207"/>
      <c r="FC207"/>
      <c r="FD207"/>
      <c r="FE207"/>
      <c r="FF207"/>
      <c r="FG207"/>
      <c r="FH207"/>
      <c r="FI207"/>
      <c r="FK207"/>
      <c r="FL207"/>
      <c r="FM207"/>
      <c r="FN207"/>
      <c r="FO207"/>
      <c r="FP207"/>
      <c r="FQ207"/>
      <c r="FS207"/>
      <c r="FT207"/>
      <c r="FU207"/>
      <c r="FV207"/>
      <c r="FW207"/>
      <c r="FX207"/>
      <c r="FY207"/>
      <c r="GA207"/>
      <c r="GB207"/>
      <c r="GC207"/>
      <c r="GD207"/>
      <c r="GE207"/>
      <c r="GF207"/>
      <c r="GG207"/>
      <c r="GI207"/>
      <c r="GJ207"/>
      <c r="GK207"/>
      <c r="GL207"/>
      <c r="GM207"/>
      <c r="GN207"/>
      <c r="GO207"/>
      <c r="YK207"/>
      <c r="YL207"/>
      <c r="YM207"/>
      <c r="YN207"/>
      <c r="YO207"/>
      <c r="AFI207"/>
      <c r="AFJ207"/>
      <c r="AFK207"/>
      <c r="AFL207"/>
      <c r="AFM207"/>
      <c r="AFN207" t="e">
        <f>+Tabla578914151634353637383940414243444546474849505152535560626467[[#This Row],[Recuento]]*#REF!</f>
        <v>#REF!</v>
      </c>
      <c r="AFO207" s="36"/>
    </row>
    <row r="208" spans="75:847" x14ac:dyDescent="0.25">
      <c r="BW208"/>
      <c r="BX208"/>
      <c r="BY208"/>
      <c r="BZ208"/>
      <c r="CA208"/>
      <c r="CB208"/>
      <c r="CE208"/>
      <c r="CF208"/>
      <c r="CG208"/>
      <c r="CH208"/>
      <c r="CI208"/>
      <c r="CJ208"/>
      <c r="CK208"/>
      <c r="CM208"/>
      <c r="CN208"/>
      <c r="CO208"/>
      <c r="CP208"/>
      <c r="CQ208"/>
      <c r="CR208"/>
      <c r="CU208"/>
      <c r="CV208"/>
      <c r="CW208"/>
      <c r="CX208"/>
      <c r="CY208"/>
      <c r="CZ208"/>
      <c r="DA208"/>
      <c r="DC208"/>
      <c r="DD208"/>
      <c r="DE208"/>
      <c r="DF208"/>
      <c r="DG208">
        <f>+Tabla31011704[[#This Row],[Longitud de eje]]*DB208</f>
        <v>0</v>
      </c>
      <c r="DH208"/>
      <c r="DJ208"/>
      <c r="DK208"/>
      <c r="DL208"/>
      <c r="DM208"/>
      <c r="DN208">
        <f>+Tabla3101170411[[#This Row],[Longitud de eje]]*DI208</f>
        <v>0</v>
      </c>
      <c r="DO208"/>
      <c r="DQ208"/>
      <c r="DR208"/>
      <c r="DS208"/>
      <c r="DT208"/>
      <c r="DU208">
        <f>+Tabla3101170411120[[#This Row],[Longitud de eje]]*DP208</f>
        <v>0</v>
      </c>
      <c r="DV208"/>
      <c r="DX208"/>
      <c r="DY208"/>
      <c r="DZ208"/>
      <c r="EA208"/>
      <c r="EB208">
        <f>+Tabla3101170411120122[[#This Row],[Longitud de eje]]*DW208</f>
        <v>0</v>
      </c>
      <c r="EC208"/>
      <c r="EE208"/>
      <c r="EF208"/>
      <c r="EG208"/>
      <c r="EH208"/>
      <c r="EI208"/>
      <c r="EJ208"/>
      <c r="EK208"/>
      <c r="EM208"/>
      <c r="EN208"/>
      <c r="EO208"/>
      <c r="EP208"/>
      <c r="EQ208"/>
      <c r="ER208"/>
      <c r="ES208"/>
      <c r="EU208"/>
      <c r="EV208"/>
      <c r="EW208"/>
      <c r="EX208"/>
      <c r="EY208"/>
      <c r="EZ208"/>
      <c r="FA208"/>
      <c r="FC208"/>
      <c r="FD208"/>
      <c r="FE208"/>
      <c r="FF208"/>
      <c r="FG208"/>
      <c r="FH208"/>
      <c r="FI208"/>
      <c r="FK208"/>
      <c r="FL208"/>
      <c r="FM208"/>
      <c r="FN208"/>
      <c r="FO208"/>
      <c r="FP208"/>
      <c r="FQ208"/>
      <c r="FS208"/>
      <c r="FT208"/>
      <c r="FU208"/>
      <c r="FV208"/>
      <c r="FW208"/>
      <c r="FX208"/>
      <c r="FY208"/>
      <c r="GA208"/>
      <c r="GB208"/>
      <c r="GC208"/>
      <c r="GD208"/>
      <c r="GE208"/>
      <c r="GF208"/>
      <c r="GG208"/>
      <c r="GI208"/>
      <c r="GJ208"/>
      <c r="GK208"/>
      <c r="GL208"/>
      <c r="GM208"/>
      <c r="GN208"/>
      <c r="GO208"/>
      <c r="YK208"/>
      <c r="YL208"/>
      <c r="YM208"/>
      <c r="YN208"/>
      <c r="YO208"/>
      <c r="AFI208"/>
      <c r="AFJ208"/>
      <c r="AFK208"/>
      <c r="AFL208"/>
      <c r="AFM208"/>
      <c r="AFN208" t="e">
        <f>+Tabla578914151634353637383940414243444546474849505152535560626467[[#This Row],[Recuento]]*#REF!</f>
        <v>#REF!</v>
      </c>
      <c r="AFO208" s="36"/>
    </row>
    <row r="209" spans="75:847" x14ac:dyDescent="0.25">
      <c r="BW209"/>
      <c r="BX209"/>
      <c r="BY209"/>
      <c r="BZ209"/>
      <c r="CA209"/>
      <c r="CB209"/>
      <c r="CE209"/>
      <c r="CF209"/>
      <c r="CG209"/>
      <c r="CH209"/>
      <c r="CI209"/>
      <c r="CJ209"/>
      <c r="CK209"/>
      <c r="CM209"/>
      <c r="CN209"/>
      <c r="CO209"/>
      <c r="CP209"/>
      <c r="CQ209"/>
      <c r="CR209"/>
      <c r="CU209"/>
      <c r="CV209"/>
      <c r="CW209"/>
      <c r="CX209"/>
      <c r="CY209"/>
      <c r="CZ209"/>
      <c r="DA209"/>
      <c r="DC209"/>
      <c r="DD209"/>
      <c r="DE209"/>
      <c r="DF209"/>
      <c r="DG209">
        <f>+Tabla31011704[[#This Row],[Longitud de eje]]*DB209</f>
        <v>0</v>
      </c>
      <c r="DH209"/>
      <c r="DJ209"/>
      <c r="DK209"/>
      <c r="DL209"/>
      <c r="DM209"/>
      <c r="DN209">
        <f>+Tabla3101170411[[#This Row],[Longitud de eje]]*DI209</f>
        <v>0</v>
      </c>
      <c r="DO209"/>
      <c r="DQ209"/>
      <c r="DR209"/>
      <c r="DS209"/>
      <c r="DT209"/>
      <c r="DU209">
        <f>+Tabla3101170411120[[#This Row],[Longitud de eje]]*DP209</f>
        <v>0</v>
      </c>
      <c r="DV209"/>
      <c r="DX209"/>
      <c r="DY209"/>
      <c r="DZ209"/>
      <c r="EA209"/>
      <c r="EB209">
        <f>+Tabla3101170411120122[[#This Row],[Longitud de eje]]*DW209</f>
        <v>0</v>
      </c>
      <c r="EC209"/>
      <c r="EE209"/>
      <c r="EF209"/>
      <c r="EG209"/>
      <c r="EH209"/>
      <c r="EI209"/>
      <c r="EJ209"/>
      <c r="EK209"/>
      <c r="EM209"/>
      <c r="EN209"/>
      <c r="EO209"/>
      <c r="EP209"/>
      <c r="EQ209"/>
      <c r="ER209"/>
      <c r="ES209"/>
      <c r="EU209"/>
      <c r="EV209"/>
      <c r="EW209"/>
      <c r="EX209"/>
      <c r="EY209"/>
      <c r="EZ209"/>
      <c r="FA209"/>
      <c r="FC209"/>
      <c r="FD209"/>
      <c r="FE209"/>
      <c r="FF209"/>
      <c r="FG209"/>
      <c r="FH209"/>
      <c r="FI209"/>
      <c r="FK209"/>
      <c r="FL209"/>
      <c r="FM209"/>
      <c r="FN209"/>
      <c r="FO209"/>
      <c r="FP209"/>
      <c r="FQ209"/>
      <c r="FS209"/>
      <c r="FT209"/>
      <c r="FU209"/>
      <c r="FV209"/>
      <c r="FW209"/>
      <c r="FX209"/>
      <c r="FY209"/>
      <c r="GA209"/>
      <c r="GB209"/>
      <c r="GC209"/>
      <c r="GD209"/>
      <c r="GE209"/>
      <c r="GF209"/>
      <c r="GG209"/>
      <c r="GI209"/>
      <c r="GJ209"/>
      <c r="GK209"/>
      <c r="GL209"/>
      <c r="GM209"/>
      <c r="GN209"/>
      <c r="GO209"/>
      <c r="YK209"/>
      <c r="YL209"/>
      <c r="YM209"/>
      <c r="YN209"/>
      <c r="YO209"/>
      <c r="AFI209"/>
      <c r="AFJ209"/>
      <c r="AFK209"/>
      <c r="AFL209"/>
      <c r="AFM209"/>
      <c r="AFN209" t="e">
        <f>+Tabla578914151634353637383940414243444546474849505152535560626467[[#This Row],[Recuento]]*#REF!</f>
        <v>#REF!</v>
      </c>
      <c r="AFO209" s="36"/>
    </row>
    <row r="210" spans="75:847" x14ac:dyDescent="0.25">
      <c r="BW210"/>
      <c r="BX210"/>
      <c r="BY210"/>
      <c r="BZ210"/>
      <c r="CA210"/>
      <c r="CB210"/>
      <c r="CE210"/>
      <c r="CF210"/>
      <c r="CG210"/>
      <c r="CH210"/>
      <c r="CI210"/>
      <c r="CJ210"/>
      <c r="CK210"/>
      <c r="CM210"/>
      <c r="CN210"/>
      <c r="CO210"/>
      <c r="CP210"/>
      <c r="CQ210"/>
      <c r="CR210"/>
      <c r="CU210"/>
      <c r="CV210"/>
      <c r="CW210"/>
      <c r="CX210"/>
      <c r="CY210"/>
      <c r="CZ210"/>
      <c r="DA210"/>
      <c r="DC210"/>
      <c r="DD210"/>
      <c r="DE210"/>
      <c r="DF210"/>
      <c r="DG210">
        <f>+Tabla31011704[[#This Row],[Longitud de eje]]*DB210</f>
        <v>0</v>
      </c>
      <c r="DH210"/>
      <c r="DJ210"/>
      <c r="DK210"/>
      <c r="DL210"/>
      <c r="DM210"/>
      <c r="DN210">
        <f>+Tabla3101170411[[#This Row],[Longitud de eje]]*DI210</f>
        <v>0</v>
      </c>
      <c r="DO210"/>
      <c r="DQ210"/>
      <c r="DR210"/>
      <c r="DS210"/>
      <c r="DT210"/>
      <c r="DU210">
        <f>+Tabla3101170411120[[#This Row],[Longitud de eje]]*DP210</f>
        <v>0</v>
      </c>
      <c r="DV210"/>
      <c r="DX210"/>
      <c r="DY210"/>
      <c r="DZ210"/>
      <c r="EA210"/>
      <c r="EB210">
        <f>+Tabla3101170411120122[[#This Row],[Longitud de eje]]*DW210</f>
        <v>0</v>
      </c>
      <c r="EC210"/>
      <c r="EE210"/>
      <c r="EF210"/>
      <c r="EG210"/>
      <c r="EH210"/>
      <c r="EI210"/>
      <c r="EJ210"/>
      <c r="EK210"/>
      <c r="EM210"/>
      <c r="EN210"/>
      <c r="EO210"/>
      <c r="EP210"/>
      <c r="EQ210"/>
      <c r="ER210"/>
      <c r="ES210"/>
      <c r="EU210"/>
      <c r="EV210"/>
      <c r="EW210"/>
      <c r="EX210"/>
      <c r="EY210"/>
      <c r="EZ210"/>
      <c r="FA210"/>
      <c r="FC210"/>
      <c r="FD210"/>
      <c r="FE210"/>
      <c r="FF210"/>
      <c r="FG210"/>
      <c r="FH210"/>
      <c r="FI210"/>
      <c r="FK210"/>
      <c r="FL210"/>
      <c r="FM210"/>
      <c r="FN210"/>
      <c r="FO210"/>
      <c r="FP210"/>
      <c r="FQ210"/>
      <c r="FS210"/>
      <c r="FT210"/>
      <c r="FU210"/>
      <c r="FV210"/>
      <c r="FW210"/>
      <c r="FX210"/>
      <c r="FY210"/>
      <c r="GA210"/>
      <c r="GB210"/>
      <c r="GC210"/>
      <c r="GD210"/>
      <c r="GE210"/>
      <c r="GF210"/>
      <c r="GG210"/>
      <c r="GI210"/>
      <c r="GJ210"/>
      <c r="GK210"/>
      <c r="GL210"/>
      <c r="GM210"/>
      <c r="GN210"/>
      <c r="GO210"/>
      <c r="YK210"/>
      <c r="YL210"/>
      <c r="YM210"/>
      <c r="YN210"/>
      <c r="YO210"/>
      <c r="AFI210"/>
      <c r="AFJ210"/>
      <c r="AFK210"/>
      <c r="AFL210"/>
      <c r="AFM210"/>
      <c r="AFN210" t="e">
        <f>+Tabla578914151634353637383940414243444546474849505152535560626467[[#This Row],[Recuento]]*#REF!</f>
        <v>#REF!</v>
      </c>
      <c r="AFO210" s="36"/>
    </row>
    <row r="211" spans="75:847" x14ac:dyDescent="0.25">
      <c r="BW211"/>
      <c r="BX211"/>
      <c r="BY211"/>
      <c r="BZ211"/>
      <c r="CA211"/>
      <c r="CB211"/>
      <c r="CE211"/>
      <c r="CF211"/>
      <c r="CG211"/>
      <c r="CH211"/>
      <c r="CI211"/>
      <c r="CJ211"/>
      <c r="CK211"/>
      <c r="CM211"/>
      <c r="CN211"/>
      <c r="CO211"/>
      <c r="CP211"/>
      <c r="CQ211"/>
      <c r="CR211"/>
      <c r="CU211"/>
      <c r="CV211"/>
      <c r="CW211"/>
      <c r="CX211"/>
      <c r="CY211"/>
      <c r="CZ211"/>
      <c r="DA211"/>
      <c r="DC211"/>
      <c r="DD211"/>
      <c r="DE211"/>
      <c r="DF211"/>
      <c r="DG211">
        <f>+Tabla31011704[[#This Row],[Longitud de eje]]*DB211</f>
        <v>0</v>
      </c>
      <c r="DH211"/>
      <c r="DJ211"/>
      <c r="DK211"/>
      <c r="DL211"/>
      <c r="DM211"/>
      <c r="DN211">
        <f>+Tabla3101170411[[#This Row],[Longitud de eje]]*DI211</f>
        <v>0</v>
      </c>
      <c r="DO211"/>
      <c r="DQ211"/>
      <c r="DR211"/>
      <c r="DS211"/>
      <c r="DT211"/>
      <c r="DU211">
        <f>+Tabla3101170411120[[#This Row],[Longitud de eje]]*DP211</f>
        <v>0</v>
      </c>
      <c r="DV211"/>
      <c r="DX211"/>
      <c r="DY211"/>
      <c r="DZ211"/>
      <c r="EA211"/>
      <c r="EB211">
        <f>+Tabla3101170411120122[[#This Row],[Longitud de eje]]*DW211</f>
        <v>0</v>
      </c>
      <c r="EC211"/>
      <c r="EE211"/>
      <c r="EF211"/>
      <c r="EG211"/>
      <c r="EH211"/>
      <c r="EI211"/>
      <c r="EJ211"/>
      <c r="EK211"/>
      <c r="EM211"/>
      <c r="EN211"/>
      <c r="EO211"/>
      <c r="EP211"/>
      <c r="EQ211"/>
      <c r="ER211"/>
      <c r="ES211"/>
      <c r="EU211"/>
      <c r="EV211"/>
      <c r="EW211"/>
      <c r="EX211"/>
      <c r="EY211"/>
      <c r="EZ211"/>
      <c r="FA211"/>
      <c r="FC211"/>
      <c r="FD211"/>
      <c r="FE211"/>
      <c r="FF211"/>
      <c r="FG211"/>
      <c r="FH211"/>
      <c r="FI211"/>
      <c r="FK211"/>
      <c r="FL211"/>
      <c r="FM211"/>
      <c r="FN211"/>
      <c r="FO211"/>
      <c r="FP211"/>
      <c r="FQ211"/>
      <c r="FS211"/>
      <c r="FT211"/>
      <c r="FU211"/>
      <c r="FV211"/>
      <c r="FW211"/>
      <c r="FX211"/>
      <c r="FY211"/>
      <c r="GA211"/>
      <c r="GB211"/>
      <c r="GC211"/>
      <c r="GD211"/>
      <c r="GE211"/>
      <c r="GF211"/>
      <c r="GG211"/>
      <c r="GI211"/>
      <c r="GJ211"/>
      <c r="GK211"/>
      <c r="GL211"/>
      <c r="GM211"/>
      <c r="GN211"/>
      <c r="GO211"/>
      <c r="YK211"/>
      <c r="YL211"/>
      <c r="YM211"/>
      <c r="YN211"/>
      <c r="YO211"/>
      <c r="AFI211"/>
      <c r="AFJ211"/>
      <c r="AFK211"/>
      <c r="AFL211"/>
      <c r="AFM211"/>
      <c r="AFN211" t="e">
        <f>+Tabla578914151634353637383940414243444546474849505152535560626467[[#This Row],[Recuento]]*#REF!</f>
        <v>#REF!</v>
      </c>
      <c r="AFO211" s="36"/>
    </row>
    <row r="212" spans="75:847" x14ac:dyDescent="0.25">
      <c r="BW212"/>
      <c r="BX212"/>
      <c r="BY212"/>
      <c r="BZ212"/>
      <c r="CA212"/>
      <c r="CB212"/>
      <c r="CE212"/>
      <c r="CF212"/>
      <c r="CG212"/>
      <c r="CH212"/>
      <c r="CI212"/>
      <c r="CJ212"/>
      <c r="CK212"/>
      <c r="CM212"/>
      <c r="CN212"/>
      <c r="CO212"/>
      <c r="CP212"/>
      <c r="CQ212"/>
      <c r="CR212"/>
      <c r="CU212"/>
      <c r="CV212"/>
      <c r="CW212"/>
      <c r="CX212"/>
      <c r="CY212"/>
      <c r="CZ212"/>
      <c r="DA212"/>
      <c r="DC212"/>
      <c r="DD212"/>
      <c r="DE212"/>
      <c r="DF212"/>
      <c r="DG212">
        <f>+Tabla31011704[[#This Row],[Longitud de eje]]*DB212</f>
        <v>0</v>
      </c>
      <c r="DH212"/>
      <c r="DJ212"/>
      <c r="DK212"/>
      <c r="DL212"/>
      <c r="DM212"/>
      <c r="DN212">
        <f>+Tabla3101170411[[#This Row],[Longitud de eje]]*DI212</f>
        <v>0</v>
      </c>
      <c r="DO212"/>
      <c r="DQ212"/>
      <c r="DR212"/>
      <c r="DS212"/>
      <c r="DT212"/>
      <c r="DU212">
        <f>+Tabla3101170411120[[#This Row],[Longitud de eje]]*DP212</f>
        <v>0</v>
      </c>
      <c r="DV212"/>
      <c r="DX212"/>
      <c r="DY212"/>
      <c r="DZ212"/>
      <c r="EA212"/>
      <c r="EB212">
        <f>+Tabla3101170411120122[[#This Row],[Longitud de eje]]*DW212</f>
        <v>0</v>
      </c>
      <c r="EC212"/>
      <c r="EE212"/>
      <c r="EF212"/>
      <c r="EG212"/>
      <c r="EH212"/>
      <c r="EI212"/>
      <c r="EJ212"/>
      <c r="EK212"/>
      <c r="EM212"/>
      <c r="EN212"/>
      <c r="EO212"/>
      <c r="EP212"/>
      <c r="EQ212"/>
      <c r="ER212"/>
      <c r="ES212"/>
      <c r="EU212"/>
      <c r="EV212"/>
      <c r="EW212"/>
      <c r="EX212"/>
      <c r="EY212"/>
      <c r="EZ212"/>
      <c r="FA212"/>
      <c r="FC212"/>
      <c r="FD212"/>
      <c r="FE212"/>
      <c r="FF212"/>
      <c r="FG212"/>
      <c r="FH212"/>
      <c r="FI212"/>
      <c r="FK212"/>
      <c r="FL212"/>
      <c r="FM212"/>
      <c r="FN212"/>
      <c r="FO212"/>
      <c r="FP212"/>
      <c r="FQ212"/>
      <c r="FS212"/>
      <c r="FT212"/>
      <c r="FU212"/>
      <c r="FV212"/>
      <c r="FW212"/>
      <c r="FX212"/>
      <c r="FY212"/>
      <c r="GA212"/>
      <c r="GB212"/>
      <c r="GC212"/>
      <c r="GD212"/>
      <c r="GE212"/>
      <c r="GF212"/>
      <c r="GG212"/>
      <c r="GI212"/>
      <c r="GJ212"/>
      <c r="GK212"/>
      <c r="GL212"/>
      <c r="GM212"/>
      <c r="GN212"/>
      <c r="GO212"/>
      <c r="YK212"/>
      <c r="YL212"/>
      <c r="YM212"/>
      <c r="YN212"/>
      <c r="YO212"/>
      <c r="AFI212"/>
      <c r="AFJ212"/>
      <c r="AFK212"/>
      <c r="AFL212"/>
      <c r="AFM212"/>
      <c r="AFN212" t="e">
        <f>+Tabla578914151634353637383940414243444546474849505152535560626467[[#This Row],[Recuento]]*#REF!</f>
        <v>#REF!</v>
      </c>
      <c r="AFO212" s="36"/>
    </row>
    <row r="213" spans="75:847" x14ac:dyDescent="0.25">
      <c r="BW213"/>
      <c r="BX213"/>
      <c r="BY213"/>
      <c r="BZ213"/>
      <c r="CA213"/>
      <c r="CB213"/>
      <c r="CE213"/>
      <c r="CF213"/>
      <c r="CG213"/>
      <c r="CH213"/>
      <c r="CI213"/>
      <c r="CJ213"/>
      <c r="CK213"/>
      <c r="CM213"/>
      <c r="CN213"/>
      <c r="CO213"/>
      <c r="CP213"/>
      <c r="CQ213"/>
      <c r="CR213"/>
      <c r="CU213"/>
      <c r="CV213"/>
      <c r="CW213"/>
      <c r="CX213"/>
      <c r="CY213"/>
      <c r="CZ213"/>
      <c r="DA213"/>
      <c r="DC213"/>
      <c r="DD213"/>
      <c r="DE213"/>
      <c r="DF213"/>
      <c r="DG213">
        <f>+Tabla31011704[[#This Row],[Longitud de eje]]*DB213</f>
        <v>0</v>
      </c>
      <c r="DH213"/>
      <c r="DJ213"/>
      <c r="DK213"/>
      <c r="DL213"/>
      <c r="DM213"/>
      <c r="DN213">
        <f>+Tabla3101170411[[#This Row],[Longitud de eje]]*DI213</f>
        <v>0</v>
      </c>
      <c r="DO213"/>
      <c r="DQ213"/>
      <c r="DR213"/>
      <c r="DS213"/>
      <c r="DT213"/>
      <c r="DU213">
        <f>+Tabla3101170411120[[#This Row],[Longitud de eje]]*DP213</f>
        <v>0</v>
      </c>
      <c r="DV213"/>
      <c r="DX213"/>
      <c r="DY213"/>
      <c r="DZ213"/>
      <c r="EA213"/>
      <c r="EB213">
        <f>+Tabla3101170411120122[[#This Row],[Longitud de eje]]*DW213</f>
        <v>0</v>
      </c>
      <c r="EC213"/>
      <c r="EE213"/>
      <c r="EF213"/>
      <c r="EG213"/>
      <c r="EH213"/>
      <c r="EI213"/>
      <c r="EJ213"/>
      <c r="EK213"/>
      <c r="EM213"/>
      <c r="EN213"/>
      <c r="EO213"/>
      <c r="EP213"/>
      <c r="EQ213"/>
      <c r="ER213"/>
      <c r="ES213"/>
      <c r="EU213"/>
      <c r="EV213"/>
      <c r="EW213"/>
      <c r="EX213"/>
      <c r="EY213"/>
      <c r="EZ213"/>
      <c r="FA213"/>
      <c r="FC213"/>
      <c r="FD213"/>
      <c r="FE213"/>
      <c r="FF213"/>
      <c r="FG213"/>
      <c r="FH213"/>
      <c r="FI213"/>
      <c r="FK213"/>
      <c r="FL213"/>
      <c r="FM213"/>
      <c r="FN213"/>
      <c r="FO213"/>
      <c r="FP213"/>
      <c r="FQ213"/>
      <c r="FS213"/>
      <c r="FT213"/>
      <c r="FU213"/>
      <c r="FV213"/>
      <c r="FW213"/>
      <c r="FX213"/>
      <c r="FY213"/>
      <c r="GA213"/>
      <c r="GB213"/>
      <c r="GC213"/>
      <c r="GD213"/>
      <c r="GE213"/>
      <c r="GF213"/>
      <c r="GG213"/>
      <c r="GI213"/>
      <c r="GJ213"/>
      <c r="GK213"/>
      <c r="GL213"/>
      <c r="GM213"/>
      <c r="GN213"/>
      <c r="GO213"/>
      <c r="YK213"/>
      <c r="YL213"/>
      <c r="YM213"/>
      <c r="YN213"/>
      <c r="YO213"/>
      <c r="AFI213"/>
      <c r="AFJ213"/>
      <c r="AFK213"/>
      <c r="AFL213"/>
      <c r="AFM213"/>
      <c r="AFN213" t="e">
        <f>+Tabla578914151634353637383940414243444546474849505152535560626467[[#This Row],[Recuento]]*#REF!</f>
        <v>#REF!</v>
      </c>
      <c r="AFO213" s="36"/>
    </row>
    <row r="214" spans="75:847" x14ac:dyDescent="0.25">
      <c r="BW214"/>
      <c r="BX214"/>
      <c r="BY214"/>
      <c r="BZ214"/>
      <c r="CA214"/>
      <c r="CB214"/>
      <c r="CE214"/>
      <c r="CF214"/>
      <c r="CG214"/>
      <c r="CH214"/>
      <c r="CI214"/>
      <c r="CJ214"/>
      <c r="CK214"/>
      <c r="CM214"/>
      <c r="CN214"/>
      <c r="CO214"/>
      <c r="CP214"/>
      <c r="CQ214"/>
      <c r="CR214"/>
      <c r="CU214"/>
      <c r="CV214"/>
      <c r="CW214"/>
      <c r="CX214"/>
      <c r="CY214"/>
      <c r="CZ214"/>
      <c r="DA214"/>
      <c r="DC214"/>
      <c r="DD214"/>
      <c r="DE214"/>
      <c r="DF214"/>
      <c r="DG214">
        <f>+Tabla31011704[[#This Row],[Longitud de eje]]*DB214</f>
        <v>0</v>
      </c>
      <c r="DH214"/>
      <c r="DJ214"/>
      <c r="DK214"/>
      <c r="DL214"/>
      <c r="DM214"/>
      <c r="DN214">
        <f>+Tabla3101170411[[#This Row],[Longitud de eje]]*DI214</f>
        <v>0</v>
      </c>
      <c r="DO214"/>
      <c r="DQ214"/>
      <c r="DR214"/>
      <c r="DS214"/>
      <c r="DT214"/>
      <c r="DU214">
        <f>+Tabla3101170411120[[#This Row],[Longitud de eje]]*DP214</f>
        <v>0</v>
      </c>
      <c r="DV214"/>
      <c r="DX214"/>
      <c r="DY214"/>
      <c r="DZ214"/>
      <c r="EA214"/>
      <c r="EB214">
        <f>+Tabla3101170411120122[[#This Row],[Longitud de eje]]*DW214</f>
        <v>0</v>
      </c>
      <c r="EC214"/>
      <c r="EE214"/>
      <c r="EF214"/>
      <c r="EG214"/>
      <c r="EH214"/>
      <c r="EI214"/>
      <c r="EJ214"/>
      <c r="EK214"/>
      <c r="EM214"/>
      <c r="EN214"/>
      <c r="EO214"/>
      <c r="EP214"/>
      <c r="EQ214"/>
      <c r="ER214"/>
      <c r="ES214"/>
      <c r="EU214"/>
      <c r="EV214"/>
      <c r="EW214"/>
      <c r="EX214"/>
      <c r="EY214"/>
      <c r="EZ214"/>
      <c r="FA214"/>
      <c r="FC214"/>
      <c r="FD214"/>
      <c r="FE214"/>
      <c r="FF214"/>
      <c r="FG214"/>
      <c r="FH214"/>
      <c r="FI214"/>
      <c r="FK214"/>
      <c r="FL214"/>
      <c r="FM214"/>
      <c r="FN214"/>
      <c r="FO214"/>
      <c r="FP214"/>
      <c r="FQ214"/>
      <c r="FS214"/>
      <c r="FT214"/>
      <c r="FU214"/>
      <c r="FV214"/>
      <c r="FW214"/>
      <c r="FX214"/>
      <c r="FY214"/>
      <c r="GA214"/>
      <c r="GB214"/>
      <c r="GC214"/>
      <c r="GD214"/>
      <c r="GE214"/>
      <c r="GF214"/>
      <c r="GG214"/>
      <c r="GI214"/>
      <c r="GJ214"/>
      <c r="GK214"/>
      <c r="GL214"/>
      <c r="GM214"/>
      <c r="GN214"/>
      <c r="GO214"/>
      <c r="YK214"/>
      <c r="YL214"/>
      <c r="YM214"/>
      <c r="YN214"/>
      <c r="YO214"/>
      <c r="AFI214"/>
      <c r="AFJ214"/>
      <c r="AFK214"/>
      <c r="AFL214"/>
      <c r="AFM214"/>
      <c r="AFN214" t="e">
        <f>+Tabla578914151634353637383940414243444546474849505152535560626467[[#This Row],[Recuento]]*#REF!</f>
        <v>#REF!</v>
      </c>
      <c r="AFO214" s="36"/>
    </row>
    <row r="215" spans="75:847" x14ac:dyDescent="0.25">
      <c r="BW215"/>
      <c r="BX215"/>
      <c r="BY215"/>
      <c r="BZ215"/>
      <c r="CA215"/>
      <c r="CB215"/>
      <c r="CE215"/>
      <c r="CF215"/>
      <c r="CG215"/>
      <c r="CH215"/>
      <c r="CI215"/>
      <c r="CJ215"/>
      <c r="CK215"/>
      <c r="CM215"/>
      <c r="CN215"/>
      <c r="CO215"/>
      <c r="CP215"/>
      <c r="CQ215"/>
      <c r="CR215"/>
      <c r="CU215"/>
      <c r="CV215"/>
      <c r="CW215"/>
      <c r="CX215"/>
      <c r="CY215"/>
      <c r="CZ215"/>
      <c r="DA215"/>
      <c r="DC215"/>
      <c r="DD215"/>
      <c r="DE215"/>
      <c r="DF215"/>
      <c r="DG215">
        <f>+Tabla31011704[[#This Row],[Longitud de eje]]*DB215</f>
        <v>0</v>
      </c>
      <c r="DH215"/>
      <c r="DJ215"/>
      <c r="DK215"/>
      <c r="DL215"/>
      <c r="DM215"/>
      <c r="DN215">
        <f>+Tabla3101170411[[#This Row],[Longitud de eje]]*DI215</f>
        <v>0</v>
      </c>
      <c r="DO215"/>
      <c r="DQ215"/>
      <c r="DR215"/>
      <c r="DS215"/>
      <c r="DT215"/>
      <c r="DU215">
        <f>+Tabla3101170411120[[#This Row],[Longitud de eje]]*DP215</f>
        <v>0</v>
      </c>
      <c r="DV215"/>
      <c r="DX215"/>
      <c r="DY215"/>
      <c r="DZ215"/>
      <c r="EA215"/>
      <c r="EB215">
        <f>+Tabla3101170411120122[[#This Row],[Longitud de eje]]*DW215</f>
        <v>0</v>
      </c>
      <c r="EC215"/>
      <c r="EE215"/>
      <c r="EF215"/>
      <c r="EG215"/>
      <c r="EH215"/>
      <c r="EI215"/>
      <c r="EJ215"/>
      <c r="EK215"/>
      <c r="EM215"/>
      <c r="EN215"/>
      <c r="EO215"/>
      <c r="EP215"/>
      <c r="EQ215"/>
      <c r="ER215"/>
      <c r="ES215"/>
      <c r="EU215"/>
      <c r="EV215"/>
      <c r="EW215"/>
      <c r="EX215"/>
      <c r="EY215"/>
      <c r="EZ215"/>
      <c r="FA215"/>
      <c r="FC215"/>
      <c r="FD215"/>
      <c r="FE215"/>
      <c r="FF215"/>
      <c r="FG215"/>
      <c r="FH215"/>
      <c r="FI215"/>
      <c r="FK215"/>
      <c r="FL215"/>
      <c r="FM215"/>
      <c r="FN215"/>
      <c r="FO215"/>
      <c r="FP215"/>
      <c r="FQ215"/>
      <c r="FS215"/>
      <c r="FT215"/>
      <c r="FU215"/>
      <c r="FV215"/>
      <c r="FW215"/>
      <c r="FX215"/>
      <c r="FY215"/>
      <c r="GA215"/>
      <c r="GB215"/>
      <c r="GC215"/>
      <c r="GD215"/>
      <c r="GE215"/>
      <c r="GF215"/>
      <c r="GG215"/>
      <c r="GI215"/>
      <c r="GJ215"/>
      <c r="GK215"/>
      <c r="GL215"/>
      <c r="GM215"/>
      <c r="GN215"/>
      <c r="GO215"/>
      <c r="YK215"/>
      <c r="YL215"/>
      <c r="YM215"/>
      <c r="YN215"/>
      <c r="YO215"/>
      <c r="AFI215"/>
      <c r="AFJ215"/>
      <c r="AFK215"/>
      <c r="AFL215"/>
      <c r="AFM215"/>
      <c r="AFN215" t="e">
        <f>+Tabla578914151634353637383940414243444546474849505152535560626467[[#This Row],[Recuento]]*#REF!</f>
        <v>#REF!</v>
      </c>
      <c r="AFO215" s="36"/>
    </row>
    <row r="216" spans="75:847" x14ac:dyDescent="0.25">
      <c r="BW216"/>
      <c r="BX216"/>
      <c r="BY216"/>
      <c r="BZ216"/>
      <c r="CA216"/>
      <c r="CB216"/>
      <c r="CE216"/>
      <c r="CF216"/>
      <c r="CG216"/>
      <c r="CH216"/>
      <c r="CI216"/>
      <c r="CJ216"/>
      <c r="CK216"/>
      <c r="CM216"/>
      <c r="CN216"/>
      <c r="CO216"/>
      <c r="CP216"/>
      <c r="CQ216"/>
      <c r="CR216"/>
      <c r="CU216"/>
      <c r="CV216"/>
      <c r="CW216"/>
      <c r="CX216"/>
      <c r="CY216"/>
      <c r="CZ216"/>
      <c r="DA216"/>
      <c r="DC216"/>
      <c r="DD216"/>
      <c r="DE216"/>
      <c r="DF216"/>
      <c r="DG216">
        <f>+Tabla31011704[[#This Row],[Longitud de eje]]*DB216</f>
        <v>0</v>
      </c>
      <c r="DH216"/>
      <c r="DJ216"/>
      <c r="DK216"/>
      <c r="DL216"/>
      <c r="DM216"/>
      <c r="DN216">
        <f>+Tabla3101170411[[#This Row],[Longitud de eje]]*DI216</f>
        <v>0</v>
      </c>
      <c r="DO216"/>
      <c r="DQ216"/>
      <c r="DR216"/>
      <c r="DS216"/>
      <c r="DT216"/>
      <c r="DU216">
        <f>+Tabla3101170411120[[#This Row],[Longitud de eje]]*DP216</f>
        <v>0</v>
      </c>
      <c r="DV216"/>
      <c r="DX216"/>
      <c r="DY216"/>
      <c r="DZ216"/>
      <c r="EA216"/>
      <c r="EB216">
        <f>+Tabla3101170411120122[[#This Row],[Longitud de eje]]*DW216</f>
        <v>0</v>
      </c>
      <c r="EC216"/>
      <c r="EE216"/>
      <c r="EF216"/>
      <c r="EG216"/>
      <c r="EH216"/>
      <c r="EI216"/>
      <c r="EJ216"/>
      <c r="EK216"/>
      <c r="EM216"/>
      <c r="EN216"/>
      <c r="EO216"/>
      <c r="EP216"/>
      <c r="EQ216"/>
      <c r="ER216"/>
      <c r="ES216"/>
      <c r="EU216"/>
      <c r="EV216"/>
      <c r="EW216"/>
      <c r="EX216"/>
      <c r="EY216"/>
      <c r="EZ216"/>
      <c r="FA216"/>
      <c r="FC216"/>
      <c r="FD216"/>
      <c r="FE216"/>
      <c r="FF216"/>
      <c r="FG216"/>
      <c r="FH216"/>
      <c r="FI216"/>
      <c r="FK216"/>
      <c r="FL216"/>
      <c r="FM216"/>
      <c r="FN216"/>
      <c r="FO216"/>
      <c r="FP216"/>
      <c r="FQ216"/>
      <c r="FS216"/>
      <c r="FT216"/>
      <c r="FU216"/>
      <c r="FV216"/>
      <c r="FW216"/>
      <c r="FX216"/>
      <c r="FY216"/>
      <c r="GA216"/>
      <c r="GB216"/>
      <c r="GC216"/>
      <c r="GD216"/>
      <c r="GE216"/>
      <c r="GF216"/>
      <c r="GG216"/>
      <c r="GI216"/>
      <c r="GJ216"/>
      <c r="GK216"/>
      <c r="GL216"/>
      <c r="GM216"/>
      <c r="GN216"/>
      <c r="GO216"/>
      <c r="YK216"/>
      <c r="YL216"/>
      <c r="YM216"/>
      <c r="YN216"/>
      <c r="YO216"/>
      <c r="AFI216"/>
      <c r="AFJ216"/>
      <c r="AFK216"/>
      <c r="AFL216"/>
      <c r="AFM216"/>
      <c r="AFN216" t="e">
        <f>+Tabla578914151634353637383940414243444546474849505152535560626467[[#This Row],[Recuento]]*#REF!</f>
        <v>#REF!</v>
      </c>
      <c r="AFO216" s="36"/>
    </row>
    <row r="217" spans="75:847" x14ac:dyDescent="0.25">
      <c r="BW217"/>
      <c r="BX217"/>
      <c r="BY217"/>
      <c r="BZ217"/>
      <c r="CA217"/>
      <c r="CB217"/>
      <c r="CE217"/>
      <c r="CF217"/>
      <c r="CG217"/>
      <c r="CH217"/>
      <c r="CI217"/>
      <c r="CJ217"/>
      <c r="CK217"/>
      <c r="CM217"/>
      <c r="CN217"/>
      <c r="CO217"/>
      <c r="CP217"/>
      <c r="CQ217"/>
      <c r="CR217"/>
      <c r="CU217"/>
      <c r="CV217"/>
      <c r="CW217"/>
      <c r="CX217"/>
      <c r="CY217"/>
      <c r="CZ217"/>
      <c r="DA217"/>
      <c r="DC217"/>
      <c r="DD217"/>
      <c r="DE217"/>
      <c r="DF217"/>
      <c r="DG217">
        <f>+Tabla31011704[[#This Row],[Longitud de eje]]*DB217</f>
        <v>0</v>
      </c>
      <c r="DH217"/>
      <c r="DJ217"/>
      <c r="DK217"/>
      <c r="DL217"/>
      <c r="DM217"/>
      <c r="DN217">
        <f>+Tabla3101170411[[#This Row],[Longitud de eje]]*DI217</f>
        <v>0</v>
      </c>
      <c r="DO217"/>
      <c r="DQ217"/>
      <c r="DR217"/>
      <c r="DS217"/>
      <c r="DT217"/>
      <c r="DU217">
        <f>+Tabla3101170411120[[#This Row],[Longitud de eje]]*DP217</f>
        <v>0</v>
      </c>
      <c r="DV217"/>
      <c r="DX217"/>
      <c r="DY217"/>
      <c r="DZ217"/>
      <c r="EA217"/>
      <c r="EB217">
        <f>+Tabla3101170411120122[[#This Row],[Longitud de eje]]*DW217</f>
        <v>0</v>
      </c>
      <c r="EC217"/>
      <c r="EE217"/>
      <c r="EF217"/>
      <c r="EG217"/>
      <c r="EH217"/>
      <c r="EI217"/>
      <c r="EJ217"/>
      <c r="EK217"/>
      <c r="EM217"/>
      <c r="EN217"/>
      <c r="EO217"/>
      <c r="EP217"/>
      <c r="EQ217"/>
      <c r="ER217"/>
      <c r="ES217"/>
      <c r="EU217"/>
      <c r="EV217"/>
      <c r="EW217"/>
      <c r="EX217"/>
      <c r="EY217"/>
      <c r="EZ217"/>
      <c r="FA217"/>
      <c r="FC217"/>
      <c r="FD217"/>
      <c r="FE217"/>
      <c r="FF217"/>
      <c r="FG217"/>
      <c r="FH217"/>
      <c r="FI217"/>
      <c r="FK217"/>
      <c r="FL217"/>
      <c r="FM217"/>
      <c r="FN217"/>
      <c r="FO217"/>
      <c r="FP217"/>
      <c r="FQ217"/>
      <c r="FS217"/>
      <c r="FT217"/>
      <c r="FU217"/>
      <c r="FV217"/>
      <c r="FW217"/>
      <c r="FX217"/>
      <c r="FY217"/>
      <c r="GA217"/>
      <c r="GB217"/>
      <c r="GC217"/>
      <c r="GD217"/>
      <c r="GE217"/>
      <c r="GF217"/>
      <c r="GG217"/>
      <c r="GI217"/>
      <c r="GJ217"/>
      <c r="GK217"/>
      <c r="GL217"/>
      <c r="GM217"/>
      <c r="GN217"/>
      <c r="GO217"/>
      <c r="YK217"/>
      <c r="YL217"/>
      <c r="YM217"/>
      <c r="YN217"/>
      <c r="YO217"/>
      <c r="AFI217"/>
      <c r="AFJ217"/>
      <c r="AFK217"/>
      <c r="AFL217"/>
      <c r="AFM217"/>
      <c r="AFN217" t="e">
        <f>+Tabla578914151634353637383940414243444546474849505152535560626467[[#This Row],[Recuento]]*#REF!</f>
        <v>#REF!</v>
      </c>
      <c r="AFO217" s="35">
        <f>+SUM(AFL217:AFL223)</f>
        <v>0</v>
      </c>
    </row>
    <row r="218" spans="75:847" x14ac:dyDescent="0.25">
      <c r="BW218"/>
      <c r="BX218"/>
      <c r="BY218"/>
      <c r="BZ218"/>
      <c r="CA218"/>
      <c r="CB218"/>
      <c r="CE218"/>
      <c r="CF218"/>
      <c r="CG218"/>
      <c r="CH218"/>
      <c r="CI218"/>
      <c r="CJ218"/>
      <c r="CK218"/>
      <c r="CM218"/>
      <c r="CN218"/>
      <c r="CO218"/>
      <c r="CP218"/>
      <c r="CQ218"/>
      <c r="CR218"/>
      <c r="CU218"/>
      <c r="CV218"/>
      <c r="CW218"/>
      <c r="CX218"/>
      <c r="CY218"/>
      <c r="CZ218"/>
      <c r="DA218"/>
      <c r="DC218"/>
      <c r="DD218"/>
      <c r="DE218"/>
      <c r="DF218"/>
      <c r="DG218">
        <f>+Tabla31011704[[#This Row],[Longitud de eje]]*DB218</f>
        <v>0</v>
      </c>
      <c r="DH218"/>
      <c r="DJ218"/>
      <c r="DK218"/>
      <c r="DL218"/>
      <c r="DM218"/>
      <c r="DN218">
        <f>+Tabla3101170411[[#This Row],[Longitud de eje]]*DI218</f>
        <v>0</v>
      </c>
      <c r="DO218"/>
      <c r="DQ218"/>
      <c r="DR218"/>
      <c r="DS218"/>
      <c r="DT218"/>
      <c r="DU218">
        <f>+Tabla3101170411120[[#This Row],[Longitud de eje]]*DP218</f>
        <v>0</v>
      </c>
      <c r="DV218"/>
      <c r="DX218"/>
      <c r="DY218"/>
      <c r="DZ218"/>
      <c r="EA218"/>
      <c r="EB218">
        <f>+Tabla3101170411120122[[#This Row],[Longitud de eje]]*DW218</f>
        <v>0</v>
      </c>
      <c r="EC218"/>
      <c r="EE218"/>
      <c r="EF218"/>
      <c r="EG218"/>
      <c r="EH218"/>
      <c r="EI218"/>
      <c r="EJ218"/>
      <c r="EK218"/>
      <c r="EM218"/>
      <c r="EN218"/>
      <c r="EO218"/>
      <c r="EP218"/>
      <c r="EQ218"/>
      <c r="ER218"/>
      <c r="ES218"/>
      <c r="EU218"/>
      <c r="EV218"/>
      <c r="EW218"/>
      <c r="EX218"/>
      <c r="EY218"/>
      <c r="EZ218"/>
      <c r="FA218"/>
      <c r="FC218"/>
      <c r="FD218"/>
      <c r="FE218"/>
      <c r="FF218"/>
      <c r="FG218"/>
      <c r="FH218"/>
      <c r="FI218"/>
      <c r="FK218"/>
      <c r="FL218"/>
      <c r="FM218"/>
      <c r="FN218"/>
      <c r="FO218"/>
      <c r="FP218"/>
      <c r="FQ218"/>
      <c r="FS218"/>
      <c r="FT218"/>
      <c r="FU218"/>
      <c r="FV218"/>
      <c r="FW218"/>
      <c r="FX218"/>
      <c r="FY218"/>
      <c r="GA218"/>
      <c r="GB218"/>
      <c r="GC218"/>
      <c r="GD218"/>
      <c r="GE218"/>
      <c r="GF218"/>
      <c r="GG218"/>
      <c r="GI218"/>
      <c r="GJ218"/>
      <c r="GK218"/>
      <c r="GL218"/>
      <c r="GM218"/>
      <c r="GN218"/>
      <c r="GO218"/>
      <c r="YK218"/>
      <c r="YL218"/>
      <c r="YM218"/>
      <c r="YN218"/>
      <c r="YO218"/>
      <c r="AFI218"/>
      <c r="AFJ218"/>
      <c r="AFK218"/>
      <c r="AFL218"/>
      <c r="AFM218"/>
      <c r="AFN218" t="e">
        <f>+Tabla578914151634353637383940414243444546474849505152535560626467[[#This Row],[Recuento]]*#REF!</f>
        <v>#REF!</v>
      </c>
      <c r="AFO218" s="36"/>
    </row>
    <row r="219" spans="75:847" x14ac:dyDescent="0.25">
      <c r="BW219"/>
      <c r="BX219"/>
      <c r="BY219"/>
      <c r="BZ219"/>
      <c r="CA219"/>
      <c r="CB219"/>
      <c r="CE219"/>
      <c r="CF219"/>
      <c r="CG219"/>
      <c r="CH219"/>
      <c r="CI219"/>
      <c r="CJ219"/>
      <c r="CK219"/>
      <c r="CM219"/>
      <c r="CN219"/>
      <c r="CO219"/>
      <c r="CP219"/>
      <c r="CQ219"/>
      <c r="CR219"/>
      <c r="CU219"/>
      <c r="CV219"/>
      <c r="CW219"/>
      <c r="CX219"/>
      <c r="CY219"/>
      <c r="CZ219"/>
      <c r="DA219"/>
      <c r="DC219"/>
      <c r="DD219"/>
      <c r="DE219"/>
      <c r="DF219"/>
      <c r="DG219">
        <f>+Tabla31011704[[#This Row],[Longitud de eje]]*DB219</f>
        <v>0</v>
      </c>
      <c r="DH219"/>
      <c r="DJ219"/>
      <c r="DK219"/>
      <c r="DL219"/>
      <c r="DM219"/>
      <c r="DN219">
        <f>+Tabla3101170411[[#This Row],[Longitud de eje]]*DI219</f>
        <v>0</v>
      </c>
      <c r="DO219"/>
      <c r="DQ219"/>
      <c r="DR219"/>
      <c r="DS219"/>
      <c r="DT219"/>
      <c r="DU219">
        <f>+Tabla3101170411120[[#This Row],[Longitud de eje]]*DP219</f>
        <v>0</v>
      </c>
      <c r="DV219"/>
      <c r="DX219"/>
      <c r="DY219"/>
      <c r="DZ219"/>
      <c r="EA219"/>
      <c r="EB219">
        <f>+Tabla3101170411120122[[#This Row],[Longitud de eje]]*DW219</f>
        <v>0</v>
      </c>
      <c r="EC219"/>
      <c r="EE219"/>
      <c r="EF219"/>
      <c r="EG219"/>
      <c r="EH219"/>
      <c r="EI219"/>
      <c r="EJ219"/>
      <c r="EK219"/>
      <c r="EM219"/>
      <c r="EN219"/>
      <c r="EO219"/>
      <c r="EP219"/>
      <c r="EQ219"/>
      <c r="ER219"/>
      <c r="ES219"/>
      <c r="EU219"/>
      <c r="EV219"/>
      <c r="EW219"/>
      <c r="EX219"/>
      <c r="EY219"/>
      <c r="EZ219"/>
      <c r="FA219"/>
      <c r="FC219"/>
      <c r="FD219"/>
      <c r="FE219"/>
      <c r="FF219"/>
      <c r="FG219"/>
      <c r="FH219"/>
      <c r="FI219"/>
      <c r="FK219"/>
      <c r="FL219"/>
      <c r="FM219"/>
      <c r="FN219"/>
      <c r="FO219"/>
      <c r="FP219"/>
      <c r="FQ219"/>
      <c r="FS219"/>
      <c r="FT219"/>
      <c r="FU219"/>
      <c r="FV219"/>
      <c r="FW219"/>
      <c r="FX219"/>
      <c r="FY219"/>
      <c r="GA219"/>
      <c r="GB219"/>
      <c r="GC219"/>
      <c r="GD219"/>
      <c r="GE219"/>
      <c r="GF219"/>
      <c r="GG219"/>
      <c r="GI219"/>
      <c r="GJ219"/>
      <c r="GK219"/>
      <c r="GL219"/>
      <c r="GM219"/>
      <c r="GN219"/>
      <c r="GO219"/>
      <c r="YK219"/>
      <c r="YL219"/>
      <c r="YM219"/>
      <c r="YN219"/>
      <c r="YO219"/>
      <c r="AFI219"/>
      <c r="AFJ219"/>
      <c r="AFK219"/>
      <c r="AFL219"/>
      <c r="AFM219"/>
      <c r="AFN219" t="e">
        <f>+Tabla578914151634353637383940414243444546474849505152535560626467[[#This Row],[Recuento]]*#REF!</f>
        <v>#REF!</v>
      </c>
      <c r="AFO219" s="36"/>
    </row>
    <row r="220" spans="75:847" x14ac:dyDescent="0.25">
      <c r="BW220"/>
      <c r="BX220"/>
      <c r="BY220"/>
      <c r="BZ220"/>
      <c r="CA220"/>
      <c r="CB220"/>
      <c r="CE220"/>
      <c r="CF220"/>
      <c r="CG220"/>
      <c r="CH220"/>
      <c r="CI220"/>
      <c r="CJ220"/>
      <c r="CK220"/>
      <c r="CM220"/>
      <c r="CN220"/>
      <c r="CO220"/>
      <c r="CP220"/>
      <c r="CQ220"/>
      <c r="CR220"/>
      <c r="CU220"/>
      <c r="CV220"/>
      <c r="CW220"/>
      <c r="CX220"/>
      <c r="CY220"/>
      <c r="CZ220"/>
      <c r="DA220"/>
      <c r="DC220"/>
      <c r="DD220"/>
      <c r="DE220"/>
      <c r="DF220"/>
      <c r="DG220">
        <f>+Tabla31011704[[#This Row],[Longitud de eje]]*DB220</f>
        <v>0</v>
      </c>
      <c r="DH220"/>
      <c r="DJ220"/>
      <c r="DK220"/>
      <c r="DL220"/>
      <c r="DM220"/>
      <c r="DN220">
        <f>+Tabla3101170411[[#This Row],[Longitud de eje]]*DI220</f>
        <v>0</v>
      </c>
      <c r="DO220"/>
      <c r="DQ220"/>
      <c r="DR220"/>
      <c r="DS220"/>
      <c r="DT220"/>
      <c r="DU220">
        <f>+Tabla3101170411120[[#This Row],[Longitud de eje]]*DP220</f>
        <v>0</v>
      </c>
      <c r="DV220"/>
      <c r="DX220"/>
      <c r="DY220"/>
      <c r="DZ220"/>
      <c r="EA220"/>
      <c r="EB220">
        <f>+Tabla3101170411120122[[#This Row],[Longitud de eje]]*DW220</f>
        <v>0</v>
      </c>
      <c r="EC220"/>
      <c r="EE220"/>
      <c r="EF220"/>
      <c r="EG220"/>
      <c r="EH220"/>
      <c r="EI220"/>
      <c r="EJ220"/>
      <c r="EK220"/>
      <c r="EM220"/>
      <c r="EN220"/>
      <c r="EO220"/>
      <c r="EP220"/>
      <c r="EQ220"/>
      <c r="ER220"/>
      <c r="ES220"/>
      <c r="EU220"/>
      <c r="EV220"/>
      <c r="EW220"/>
      <c r="EX220"/>
      <c r="EY220"/>
      <c r="EZ220"/>
      <c r="FA220"/>
      <c r="FC220"/>
      <c r="FD220"/>
      <c r="FE220"/>
      <c r="FF220"/>
      <c r="FG220"/>
      <c r="FH220"/>
      <c r="FI220"/>
      <c r="FK220"/>
      <c r="FL220"/>
      <c r="FM220"/>
      <c r="FN220"/>
      <c r="FO220"/>
      <c r="FP220"/>
      <c r="FQ220"/>
      <c r="FS220"/>
      <c r="FT220"/>
      <c r="FU220"/>
      <c r="FV220"/>
      <c r="FW220"/>
      <c r="FX220"/>
      <c r="FY220"/>
      <c r="GA220"/>
      <c r="GB220"/>
      <c r="GC220"/>
      <c r="GD220"/>
      <c r="GE220"/>
      <c r="GF220"/>
      <c r="GG220"/>
      <c r="GI220"/>
      <c r="GJ220"/>
      <c r="GK220"/>
      <c r="GL220"/>
      <c r="GM220"/>
      <c r="GN220"/>
      <c r="GO220"/>
      <c r="YK220"/>
      <c r="YL220"/>
      <c r="YM220"/>
      <c r="YN220"/>
      <c r="YO220"/>
      <c r="AFI220"/>
      <c r="AFJ220"/>
      <c r="AFK220"/>
      <c r="AFL220"/>
      <c r="AFM220"/>
      <c r="AFN220" t="e">
        <f>+Tabla578914151634353637383940414243444546474849505152535560626467[[#This Row],[Recuento]]*#REF!</f>
        <v>#REF!</v>
      </c>
      <c r="AFO220" s="36"/>
    </row>
    <row r="221" spans="75:847" x14ac:dyDescent="0.25">
      <c r="BW221"/>
      <c r="BX221"/>
      <c r="BY221"/>
      <c r="BZ221"/>
      <c r="CA221"/>
      <c r="CB221"/>
      <c r="CE221"/>
      <c r="CF221"/>
      <c r="CG221"/>
      <c r="CH221"/>
      <c r="CI221"/>
      <c r="CJ221"/>
      <c r="CK221"/>
      <c r="CM221"/>
      <c r="CN221"/>
      <c r="CO221"/>
      <c r="CP221"/>
      <c r="CQ221"/>
      <c r="CR221"/>
      <c r="CU221"/>
      <c r="CV221"/>
      <c r="CW221"/>
      <c r="CX221"/>
      <c r="CY221"/>
      <c r="CZ221"/>
      <c r="DA221"/>
      <c r="DC221"/>
      <c r="DD221"/>
      <c r="DE221"/>
      <c r="DF221"/>
      <c r="DG221">
        <f>+Tabla31011704[[#This Row],[Longitud de eje]]*DB221</f>
        <v>0</v>
      </c>
      <c r="DH221"/>
      <c r="DJ221"/>
      <c r="DK221"/>
      <c r="DL221"/>
      <c r="DM221"/>
      <c r="DN221">
        <f>+Tabla3101170411[[#This Row],[Longitud de eje]]*DI221</f>
        <v>0</v>
      </c>
      <c r="DO221"/>
      <c r="DQ221"/>
      <c r="DR221"/>
      <c r="DS221"/>
      <c r="DT221"/>
      <c r="DU221">
        <f>+Tabla3101170411120[[#This Row],[Longitud de eje]]*DP221</f>
        <v>0</v>
      </c>
      <c r="DV221"/>
      <c r="DX221"/>
      <c r="DY221"/>
      <c r="DZ221"/>
      <c r="EA221"/>
      <c r="EB221">
        <f>+Tabla3101170411120122[[#This Row],[Longitud de eje]]*DW221</f>
        <v>0</v>
      </c>
      <c r="EC221"/>
      <c r="EE221"/>
      <c r="EF221"/>
      <c r="EG221"/>
      <c r="EH221"/>
      <c r="EI221"/>
      <c r="EJ221"/>
      <c r="EK221"/>
      <c r="EM221"/>
      <c r="EN221"/>
      <c r="EO221"/>
      <c r="EP221"/>
      <c r="EQ221"/>
      <c r="ER221"/>
      <c r="ES221"/>
      <c r="EU221"/>
      <c r="EV221"/>
      <c r="EW221"/>
      <c r="EX221"/>
      <c r="EY221"/>
      <c r="EZ221"/>
      <c r="FA221"/>
      <c r="FC221"/>
      <c r="FD221"/>
      <c r="FE221"/>
      <c r="FF221"/>
      <c r="FG221"/>
      <c r="FH221"/>
      <c r="FI221"/>
      <c r="FK221"/>
      <c r="FL221"/>
      <c r="FM221"/>
      <c r="FN221"/>
      <c r="FO221"/>
      <c r="FP221"/>
      <c r="FQ221"/>
      <c r="FS221"/>
      <c r="FT221"/>
      <c r="FU221"/>
      <c r="FV221"/>
      <c r="FW221"/>
      <c r="FX221"/>
      <c r="FY221"/>
      <c r="GA221"/>
      <c r="GB221"/>
      <c r="GC221"/>
      <c r="GD221"/>
      <c r="GE221"/>
      <c r="GF221"/>
      <c r="GG221"/>
      <c r="GI221"/>
      <c r="GJ221"/>
      <c r="GK221"/>
      <c r="GL221"/>
      <c r="GM221"/>
      <c r="GN221"/>
      <c r="GO221"/>
      <c r="YK221"/>
      <c r="YL221"/>
      <c r="YM221"/>
      <c r="YN221"/>
      <c r="YO221"/>
      <c r="AFI221"/>
      <c r="AFJ221"/>
      <c r="AFK221"/>
      <c r="AFL221"/>
      <c r="AFM221"/>
      <c r="AFN221" t="e">
        <f>+Tabla578914151634353637383940414243444546474849505152535560626467[[#This Row],[Recuento]]*#REF!</f>
        <v>#REF!</v>
      </c>
      <c r="AFO221" s="36"/>
    </row>
    <row r="222" spans="75:847" x14ac:dyDescent="0.25">
      <c r="BW222"/>
      <c r="BX222"/>
      <c r="BY222"/>
      <c r="BZ222"/>
      <c r="CA222"/>
      <c r="CB222"/>
      <c r="CE222"/>
      <c r="CF222"/>
      <c r="CG222"/>
      <c r="CH222"/>
      <c r="CI222"/>
      <c r="CJ222"/>
      <c r="CK222"/>
      <c r="CM222"/>
      <c r="CN222"/>
      <c r="CO222"/>
      <c r="CP222"/>
      <c r="CQ222"/>
      <c r="CR222"/>
      <c r="CU222"/>
      <c r="CV222"/>
      <c r="CW222"/>
      <c r="CX222"/>
      <c r="CY222"/>
      <c r="CZ222"/>
      <c r="DA222"/>
      <c r="DC222"/>
      <c r="DD222"/>
      <c r="DE222"/>
      <c r="DF222"/>
      <c r="DG222">
        <f>+Tabla31011704[[#This Row],[Longitud de eje]]*DB222</f>
        <v>0</v>
      </c>
      <c r="DH222"/>
      <c r="DJ222"/>
      <c r="DK222"/>
      <c r="DL222"/>
      <c r="DM222"/>
      <c r="DN222">
        <f>+Tabla3101170411[[#This Row],[Longitud de eje]]*DI222</f>
        <v>0</v>
      </c>
      <c r="DO222"/>
      <c r="DQ222"/>
      <c r="DR222"/>
      <c r="DS222"/>
      <c r="DT222"/>
      <c r="DU222">
        <f>+Tabla3101170411120[[#This Row],[Longitud de eje]]*DP222</f>
        <v>0</v>
      </c>
      <c r="DV222"/>
      <c r="DX222"/>
      <c r="DY222"/>
      <c r="DZ222"/>
      <c r="EA222"/>
      <c r="EB222">
        <f>+Tabla3101170411120122[[#This Row],[Longitud de eje]]*DW222</f>
        <v>0</v>
      </c>
      <c r="EC222"/>
      <c r="EE222"/>
      <c r="EF222"/>
      <c r="EG222"/>
      <c r="EH222"/>
      <c r="EI222"/>
      <c r="EJ222"/>
      <c r="EK222"/>
      <c r="EM222"/>
      <c r="EN222"/>
      <c r="EO222"/>
      <c r="EP222"/>
      <c r="EQ222"/>
      <c r="ER222"/>
      <c r="ES222"/>
      <c r="EU222"/>
      <c r="EV222"/>
      <c r="EW222"/>
      <c r="EX222"/>
      <c r="EY222"/>
      <c r="EZ222"/>
      <c r="FA222"/>
      <c r="FC222"/>
      <c r="FD222"/>
      <c r="FE222"/>
      <c r="FF222"/>
      <c r="FG222"/>
      <c r="FH222"/>
      <c r="FI222"/>
      <c r="FK222"/>
      <c r="FL222"/>
      <c r="FM222"/>
      <c r="FN222"/>
      <c r="FO222"/>
      <c r="FP222"/>
      <c r="FQ222"/>
      <c r="FS222"/>
      <c r="FT222"/>
      <c r="FU222"/>
      <c r="FV222"/>
      <c r="FW222"/>
      <c r="FX222"/>
      <c r="FY222"/>
      <c r="GA222"/>
      <c r="GB222"/>
      <c r="GC222"/>
      <c r="GD222"/>
      <c r="GE222"/>
      <c r="GF222"/>
      <c r="GG222"/>
      <c r="GI222"/>
      <c r="GJ222"/>
      <c r="GK222"/>
      <c r="GL222"/>
      <c r="GM222"/>
      <c r="GN222"/>
      <c r="GO222"/>
      <c r="YK222"/>
      <c r="YL222"/>
      <c r="YM222"/>
      <c r="YN222"/>
      <c r="YO222"/>
      <c r="AFI222"/>
      <c r="AFJ222"/>
      <c r="AFK222"/>
      <c r="AFL222"/>
      <c r="AFM222"/>
      <c r="AFN222" t="e">
        <f>+Tabla578914151634353637383940414243444546474849505152535560626467[[#This Row],[Recuento]]*#REF!</f>
        <v>#REF!</v>
      </c>
      <c r="AFO222" s="36"/>
    </row>
    <row r="223" spans="75:847" x14ac:dyDescent="0.25">
      <c r="BW223"/>
      <c r="BX223"/>
      <c r="BY223"/>
      <c r="BZ223"/>
      <c r="CA223"/>
      <c r="CB223"/>
      <c r="CE223"/>
      <c r="CF223"/>
      <c r="CG223"/>
      <c r="CH223"/>
      <c r="CI223"/>
      <c r="CJ223"/>
      <c r="CK223"/>
      <c r="CM223"/>
      <c r="CN223"/>
      <c r="CO223"/>
      <c r="CP223"/>
      <c r="CQ223"/>
      <c r="CR223"/>
      <c r="CU223"/>
      <c r="CV223"/>
      <c r="CW223"/>
      <c r="CX223"/>
      <c r="CY223"/>
      <c r="CZ223"/>
      <c r="DA223"/>
      <c r="DC223"/>
      <c r="DD223"/>
      <c r="DE223"/>
      <c r="DF223"/>
      <c r="DG223">
        <f>+Tabla31011704[[#This Row],[Longitud de eje]]*DB223</f>
        <v>0</v>
      </c>
      <c r="DH223"/>
      <c r="DJ223"/>
      <c r="DK223"/>
      <c r="DL223"/>
      <c r="DM223"/>
      <c r="DN223">
        <f>+Tabla3101170411[[#This Row],[Longitud de eje]]*DI223</f>
        <v>0</v>
      </c>
      <c r="DO223"/>
      <c r="DQ223"/>
      <c r="DR223"/>
      <c r="DS223"/>
      <c r="DT223"/>
      <c r="DU223">
        <f>+Tabla3101170411120[[#This Row],[Longitud de eje]]*DP223</f>
        <v>0</v>
      </c>
      <c r="DV223"/>
      <c r="DX223"/>
      <c r="DY223"/>
      <c r="DZ223"/>
      <c r="EA223"/>
      <c r="EB223">
        <f>+Tabla3101170411120122[[#This Row],[Longitud de eje]]*DW223</f>
        <v>0</v>
      </c>
      <c r="EC223"/>
      <c r="EE223"/>
      <c r="EF223"/>
      <c r="EG223"/>
      <c r="EH223"/>
      <c r="EI223"/>
      <c r="EJ223"/>
      <c r="EK223"/>
      <c r="EM223"/>
      <c r="EN223"/>
      <c r="EO223"/>
      <c r="EP223"/>
      <c r="EQ223"/>
      <c r="ER223"/>
      <c r="ES223"/>
      <c r="EU223"/>
      <c r="EV223"/>
      <c r="EW223"/>
      <c r="EX223"/>
      <c r="EY223"/>
      <c r="EZ223"/>
      <c r="FA223"/>
      <c r="FC223"/>
      <c r="FD223"/>
      <c r="FE223"/>
      <c r="FF223"/>
      <c r="FG223"/>
      <c r="FH223"/>
      <c r="FI223"/>
      <c r="FK223"/>
      <c r="FL223"/>
      <c r="FM223"/>
      <c r="FN223"/>
      <c r="FO223"/>
      <c r="FP223"/>
      <c r="FQ223"/>
      <c r="FS223"/>
      <c r="FT223"/>
      <c r="FU223"/>
      <c r="FV223"/>
      <c r="FW223"/>
      <c r="FX223"/>
      <c r="FY223"/>
      <c r="GA223"/>
      <c r="GB223"/>
      <c r="GC223"/>
      <c r="GD223"/>
      <c r="GE223"/>
      <c r="GF223"/>
      <c r="GG223"/>
      <c r="GI223"/>
      <c r="GJ223"/>
      <c r="GK223"/>
      <c r="GL223"/>
      <c r="GM223"/>
      <c r="GN223"/>
      <c r="GO223"/>
      <c r="YK223"/>
      <c r="YL223"/>
      <c r="YM223"/>
      <c r="YN223"/>
      <c r="YO223"/>
      <c r="AFI223"/>
      <c r="AFJ223"/>
      <c r="AFK223"/>
      <c r="AFL223"/>
      <c r="AFM223"/>
      <c r="AFN223" t="e">
        <f>+Tabla578914151634353637383940414243444546474849505152535560626467[[#This Row],[Recuento]]*#REF!</f>
        <v>#REF!</v>
      </c>
      <c r="AFO223" s="36"/>
    </row>
    <row r="224" spans="75:847" x14ac:dyDescent="0.25">
      <c r="BW224"/>
      <c r="BX224"/>
      <c r="BY224"/>
      <c r="BZ224"/>
      <c r="CA224"/>
      <c r="CB224"/>
      <c r="CE224"/>
      <c r="CF224"/>
      <c r="CG224"/>
      <c r="CH224"/>
      <c r="CI224"/>
      <c r="CJ224"/>
      <c r="CK224"/>
      <c r="CM224"/>
      <c r="CN224"/>
      <c r="CO224"/>
      <c r="CP224"/>
      <c r="CQ224"/>
      <c r="CR224"/>
      <c r="CU224"/>
      <c r="CV224"/>
      <c r="CW224"/>
      <c r="CX224"/>
      <c r="CY224"/>
      <c r="CZ224"/>
      <c r="DA224"/>
      <c r="DC224"/>
      <c r="DD224"/>
      <c r="DE224"/>
      <c r="DF224"/>
      <c r="DG224">
        <f>+Tabla31011704[[#This Row],[Longitud de eje]]*DB224</f>
        <v>0</v>
      </c>
      <c r="DH224"/>
      <c r="DJ224"/>
      <c r="DK224"/>
      <c r="DL224"/>
      <c r="DM224"/>
      <c r="DN224">
        <f>+Tabla3101170411[[#This Row],[Longitud de eje]]*DI224</f>
        <v>0</v>
      </c>
      <c r="DO224"/>
      <c r="DQ224"/>
      <c r="DR224"/>
      <c r="DS224"/>
      <c r="DT224"/>
      <c r="DU224">
        <f>+Tabla3101170411120[[#This Row],[Longitud de eje]]*DP224</f>
        <v>0</v>
      </c>
      <c r="DV224"/>
      <c r="DX224"/>
      <c r="DY224"/>
      <c r="DZ224"/>
      <c r="EA224"/>
      <c r="EB224">
        <f>+Tabla3101170411120122[[#This Row],[Longitud de eje]]*DW224</f>
        <v>0</v>
      </c>
      <c r="EC224"/>
      <c r="EE224"/>
      <c r="EF224"/>
      <c r="EG224"/>
      <c r="EH224"/>
      <c r="EI224"/>
      <c r="EJ224"/>
      <c r="EK224"/>
      <c r="EM224"/>
      <c r="EN224"/>
      <c r="EO224"/>
      <c r="EP224"/>
      <c r="EQ224"/>
      <c r="ER224"/>
      <c r="ES224"/>
      <c r="EU224"/>
      <c r="EV224"/>
      <c r="EW224"/>
      <c r="EX224"/>
      <c r="EY224"/>
      <c r="EZ224"/>
      <c r="FA224"/>
      <c r="FC224"/>
      <c r="FD224"/>
      <c r="FE224"/>
      <c r="FF224"/>
      <c r="FG224"/>
      <c r="FH224"/>
      <c r="FI224"/>
      <c r="FK224"/>
      <c r="FL224"/>
      <c r="FM224"/>
      <c r="FN224"/>
      <c r="FO224"/>
      <c r="FP224"/>
      <c r="FQ224"/>
      <c r="FS224"/>
      <c r="FT224"/>
      <c r="FU224"/>
      <c r="FV224"/>
      <c r="FW224"/>
      <c r="FX224"/>
      <c r="FY224"/>
      <c r="GA224"/>
      <c r="GB224"/>
      <c r="GC224"/>
      <c r="GD224"/>
      <c r="GE224"/>
      <c r="GF224"/>
      <c r="GG224"/>
      <c r="GI224"/>
      <c r="GJ224"/>
      <c r="GK224"/>
      <c r="GL224"/>
      <c r="GM224"/>
      <c r="GN224"/>
      <c r="GO224"/>
      <c r="YK224"/>
      <c r="YL224"/>
      <c r="YM224"/>
      <c r="YN224"/>
      <c r="YO224"/>
      <c r="AFI224"/>
      <c r="AFJ224"/>
      <c r="AFK224"/>
      <c r="AFL224"/>
      <c r="AFM224"/>
      <c r="AFN224" t="e">
        <f>+Tabla578914151634353637383940414243444546474849505152535560626467[[#This Row],[Recuento]]*#REF!</f>
        <v>#REF!</v>
      </c>
      <c r="AFO224" s="35">
        <f>+SUM(AFL224:AFL228)</f>
        <v>0</v>
      </c>
    </row>
    <row r="225" spans="75:847" x14ac:dyDescent="0.25">
      <c r="BW225"/>
      <c r="BX225"/>
      <c r="BY225"/>
      <c r="BZ225"/>
      <c r="CA225"/>
      <c r="CB225"/>
      <c r="CE225"/>
      <c r="CF225"/>
      <c r="CG225"/>
      <c r="CH225"/>
      <c r="CI225"/>
      <c r="CJ225"/>
      <c r="CK225"/>
      <c r="CM225"/>
      <c r="CN225"/>
      <c r="CO225"/>
      <c r="CP225"/>
      <c r="CQ225"/>
      <c r="CR225"/>
      <c r="CU225"/>
      <c r="CV225"/>
      <c r="CW225"/>
      <c r="CX225"/>
      <c r="CY225"/>
      <c r="CZ225"/>
      <c r="DA225"/>
      <c r="DC225"/>
      <c r="DD225"/>
      <c r="DE225"/>
      <c r="DF225"/>
      <c r="DG225">
        <f>+Tabla31011704[[#This Row],[Longitud de eje]]*DB225</f>
        <v>0</v>
      </c>
      <c r="DH225"/>
      <c r="DJ225"/>
      <c r="DK225"/>
      <c r="DL225"/>
      <c r="DM225"/>
      <c r="DN225">
        <f>+Tabla3101170411[[#This Row],[Longitud de eje]]*DI225</f>
        <v>0</v>
      </c>
      <c r="DO225"/>
      <c r="DQ225"/>
      <c r="DR225"/>
      <c r="DS225"/>
      <c r="DT225"/>
      <c r="DU225">
        <f>+Tabla3101170411120[[#This Row],[Longitud de eje]]*DP225</f>
        <v>0</v>
      </c>
      <c r="DV225"/>
      <c r="DX225"/>
      <c r="DY225"/>
      <c r="DZ225"/>
      <c r="EA225"/>
      <c r="EB225">
        <f>+Tabla3101170411120122[[#This Row],[Longitud de eje]]*DW225</f>
        <v>0</v>
      </c>
      <c r="EC225"/>
      <c r="EE225"/>
      <c r="EF225"/>
      <c r="EG225"/>
      <c r="EH225"/>
      <c r="EI225"/>
      <c r="EJ225"/>
      <c r="EK225"/>
      <c r="EM225"/>
      <c r="EN225"/>
      <c r="EO225"/>
      <c r="EP225"/>
      <c r="EQ225"/>
      <c r="ER225"/>
      <c r="ES225"/>
      <c r="EU225"/>
      <c r="EV225"/>
      <c r="EW225"/>
      <c r="EX225"/>
      <c r="EY225"/>
      <c r="EZ225"/>
      <c r="FA225"/>
      <c r="FC225"/>
      <c r="FD225"/>
      <c r="FE225"/>
      <c r="FF225"/>
      <c r="FG225"/>
      <c r="FH225"/>
      <c r="FI225"/>
      <c r="FK225"/>
      <c r="FL225"/>
      <c r="FM225"/>
      <c r="FN225"/>
      <c r="FO225"/>
      <c r="FP225"/>
      <c r="FQ225"/>
      <c r="FS225"/>
      <c r="FT225"/>
      <c r="FU225"/>
      <c r="FV225"/>
      <c r="FW225"/>
      <c r="FX225"/>
      <c r="FY225"/>
      <c r="GA225"/>
      <c r="GB225"/>
      <c r="GC225"/>
      <c r="GD225"/>
      <c r="GE225"/>
      <c r="GF225"/>
      <c r="GG225"/>
      <c r="GI225"/>
      <c r="GJ225"/>
      <c r="GK225"/>
      <c r="GL225"/>
      <c r="GM225"/>
      <c r="GN225"/>
      <c r="GO225"/>
      <c r="YK225"/>
      <c r="YL225"/>
      <c r="YM225"/>
      <c r="YN225"/>
      <c r="YO225"/>
      <c r="AFI225"/>
      <c r="AFJ225"/>
      <c r="AFK225"/>
      <c r="AFL225"/>
      <c r="AFM225"/>
      <c r="AFN225" t="e">
        <f>+Tabla578914151634353637383940414243444546474849505152535560626467[[#This Row],[Recuento]]*#REF!</f>
        <v>#REF!</v>
      </c>
      <c r="AFO225" s="36"/>
    </row>
    <row r="226" spans="75:847" x14ac:dyDescent="0.25">
      <c r="BW226"/>
      <c r="BX226"/>
      <c r="BY226"/>
      <c r="BZ226"/>
      <c r="CA226"/>
      <c r="CB226"/>
      <c r="CE226"/>
      <c r="CF226"/>
      <c r="CG226"/>
      <c r="CH226"/>
      <c r="CI226"/>
      <c r="CJ226"/>
      <c r="CK226"/>
      <c r="CM226"/>
      <c r="CN226"/>
      <c r="CO226"/>
      <c r="CP226"/>
      <c r="CQ226"/>
      <c r="CR226"/>
      <c r="CU226"/>
      <c r="CV226"/>
      <c r="CW226"/>
      <c r="CX226"/>
      <c r="CY226"/>
      <c r="CZ226"/>
      <c r="DA226"/>
      <c r="DC226"/>
      <c r="DD226"/>
      <c r="DE226"/>
      <c r="DF226"/>
      <c r="DG226">
        <f>+Tabla31011704[[#This Row],[Longitud de eje]]*DB226</f>
        <v>0</v>
      </c>
      <c r="DH226"/>
      <c r="DJ226"/>
      <c r="DK226"/>
      <c r="DL226"/>
      <c r="DM226"/>
      <c r="DN226">
        <f>+Tabla3101170411[[#This Row],[Longitud de eje]]*DI226</f>
        <v>0</v>
      </c>
      <c r="DO226"/>
      <c r="DQ226"/>
      <c r="DR226"/>
      <c r="DS226"/>
      <c r="DT226"/>
      <c r="DU226">
        <f>+Tabla3101170411120[[#This Row],[Longitud de eje]]*DP226</f>
        <v>0</v>
      </c>
      <c r="DV226"/>
      <c r="DX226"/>
      <c r="DY226"/>
      <c r="DZ226"/>
      <c r="EA226"/>
      <c r="EB226">
        <f>+Tabla3101170411120122[[#This Row],[Longitud de eje]]*DW226</f>
        <v>0</v>
      </c>
      <c r="EC226"/>
      <c r="EE226"/>
      <c r="EF226"/>
      <c r="EG226"/>
      <c r="EH226"/>
      <c r="EI226"/>
      <c r="EJ226"/>
      <c r="EK226"/>
      <c r="EM226"/>
      <c r="EN226"/>
      <c r="EO226"/>
      <c r="EP226"/>
      <c r="EQ226"/>
      <c r="ER226"/>
      <c r="ES226"/>
      <c r="EU226"/>
      <c r="EV226"/>
      <c r="EW226"/>
      <c r="EX226"/>
      <c r="EY226"/>
      <c r="EZ226"/>
      <c r="FA226"/>
      <c r="FC226"/>
      <c r="FD226"/>
      <c r="FE226"/>
      <c r="FF226"/>
      <c r="FG226"/>
      <c r="FH226"/>
      <c r="FI226"/>
      <c r="FK226"/>
      <c r="FL226"/>
      <c r="FM226"/>
      <c r="FN226"/>
      <c r="FO226"/>
      <c r="FP226"/>
      <c r="FQ226"/>
      <c r="FS226"/>
      <c r="FT226"/>
      <c r="FU226"/>
      <c r="FV226"/>
      <c r="FW226"/>
      <c r="FX226"/>
      <c r="FY226"/>
      <c r="GA226"/>
      <c r="GB226"/>
      <c r="GC226"/>
      <c r="GD226"/>
      <c r="GE226"/>
      <c r="GF226"/>
      <c r="GG226"/>
      <c r="GI226"/>
      <c r="GJ226"/>
      <c r="GK226"/>
      <c r="GL226"/>
      <c r="GM226"/>
      <c r="GN226"/>
      <c r="GO226"/>
      <c r="YK226"/>
      <c r="YL226"/>
      <c r="YM226"/>
      <c r="YN226"/>
      <c r="YO226"/>
      <c r="AFI226"/>
      <c r="AFJ226"/>
      <c r="AFK226"/>
      <c r="AFL226"/>
      <c r="AFM226"/>
      <c r="AFN226" t="e">
        <f>+Tabla578914151634353637383940414243444546474849505152535560626467[[#This Row],[Recuento]]*#REF!</f>
        <v>#REF!</v>
      </c>
      <c r="AFO226" s="36"/>
    </row>
    <row r="227" spans="75:847" x14ac:dyDescent="0.25">
      <c r="BW227"/>
      <c r="BX227"/>
      <c r="BY227"/>
      <c r="BZ227"/>
      <c r="CA227"/>
      <c r="CB227"/>
      <c r="CE227"/>
      <c r="CF227"/>
      <c r="CG227"/>
      <c r="CH227"/>
      <c r="CI227"/>
      <c r="CJ227"/>
      <c r="CK227"/>
      <c r="CM227"/>
      <c r="CN227"/>
      <c r="CO227"/>
      <c r="CP227"/>
      <c r="CQ227"/>
      <c r="CR227"/>
      <c r="CU227"/>
      <c r="CV227"/>
      <c r="CW227"/>
      <c r="CX227"/>
      <c r="CY227"/>
      <c r="CZ227"/>
      <c r="DA227"/>
      <c r="DC227"/>
      <c r="DD227"/>
      <c r="DE227"/>
      <c r="DF227"/>
      <c r="DG227">
        <f>+Tabla31011704[[#This Row],[Longitud de eje]]*DB227</f>
        <v>0</v>
      </c>
      <c r="DH227"/>
      <c r="DJ227"/>
      <c r="DK227"/>
      <c r="DL227"/>
      <c r="DM227"/>
      <c r="DN227">
        <f>+Tabla3101170411[[#This Row],[Longitud de eje]]*DI227</f>
        <v>0</v>
      </c>
      <c r="DO227"/>
      <c r="DQ227"/>
      <c r="DR227"/>
      <c r="DS227"/>
      <c r="DT227"/>
      <c r="DU227">
        <f>+Tabla3101170411120[[#This Row],[Longitud de eje]]*DP227</f>
        <v>0</v>
      </c>
      <c r="DV227"/>
      <c r="DX227"/>
      <c r="DY227"/>
      <c r="DZ227"/>
      <c r="EA227"/>
      <c r="EB227">
        <f>+Tabla3101170411120122[[#This Row],[Longitud de eje]]*DW227</f>
        <v>0</v>
      </c>
      <c r="EC227"/>
      <c r="EE227"/>
      <c r="EF227"/>
      <c r="EG227"/>
      <c r="EH227"/>
      <c r="EI227"/>
      <c r="EJ227"/>
      <c r="EK227"/>
      <c r="EM227"/>
      <c r="EN227"/>
      <c r="EO227"/>
      <c r="EP227"/>
      <c r="EQ227"/>
      <c r="ER227"/>
      <c r="ES227"/>
      <c r="EU227"/>
      <c r="EV227"/>
      <c r="EW227"/>
      <c r="EX227"/>
      <c r="EY227"/>
      <c r="EZ227"/>
      <c r="FA227"/>
      <c r="FC227"/>
      <c r="FD227"/>
      <c r="FE227"/>
      <c r="FF227"/>
      <c r="FG227"/>
      <c r="FH227"/>
      <c r="FI227"/>
      <c r="FK227"/>
      <c r="FL227"/>
      <c r="FM227"/>
      <c r="FN227"/>
      <c r="FO227"/>
      <c r="FP227"/>
      <c r="FQ227"/>
      <c r="FS227"/>
      <c r="FT227"/>
      <c r="FU227"/>
      <c r="FV227"/>
      <c r="FW227"/>
      <c r="FX227"/>
      <c r="FY227"/>
      <c r="GA227"/>
      <c r="GB227"/>
      <c r="GC227"/>
      <c r="GD227"/>
      <c r="GE227"/>
      <c r="GF227"/>
      <c r="GG227"/>
      <c r="GI227"/>
      <c r="GJ227"/>
      <c r="GK227"/>
      <c r="GL227"/>
      <c r="GM227"/>
      <c r="GN227"/>
      <c r="GO227"/>
      <c r="YK227"/>
      <c r="YL227"/>
      <c r="YM227"/>
      <c r="YN227"/>
      <c r="YO227"/>
      <c r="AFI227"/>
      <c r="AFJ227"/>
      <c r="AFK227"/>
      <c r="AFL227"/>
      <c r="AFM227"/>
      <c r="AFN227" t="e">
        <f>+Tabla578914151634353637383940414243444546474849505152535560626467[[#This Row],[Recuento]]*#REF!</f>
        <v>#REF!</v>
      </c>
      <c r="AFO227" s="36"/>
    </row>
    <row r="228" spans="75:847" x14ac:dyDescent="0.25">
      <c r="BW228"/>
      <c r="BX228"/>
      <c r="BY228"/>
      <c r="BZ228"/>
      <c r="CA228"/>
      <c r="CB228"/>
      <c r="CE228"/>
      <c r="CF228"/>
      <c r="CG228"/>
      <c r="CH228"/>
      <c r="CI228"/>
      <c r="CJ228"/>
      <c r="CK228"/>
      <c r="CM228"/>
      <c r="CN228"/>
      <c r="CO228"/>
      <c r="CP228"/>
      <c r="CQ228"/>
      <c r="CR228"/>
      <c r="CU228"/>
      <c r="CV228"/>
      <c r="CW228"/>
      <c r="CX228"/>
      <c r="CY228"/>
      <c r="CZ228"/>
      <c r="DA228"/>
      <c r="DC228"/>
      <c r="DD228"/>
      <c r="DE228"/>
      <c r="DF228"/>
      <c r="DG228">
        <f>+Tabla31011704[[#This Row],[Longitud de eje]]*DB228</f>
        <v>0</v>
      </c>
      <c r="DH228"/>
      <c r="DJ228"/>
      <c r="DK228"/>
      <c r="DL228"/>
      <c r="DM228"/>
      <c r="DN228">
        <f>+Tabla3101170411[[#This Row],[Longitud de eje]]*DI228</f>
        <v>0</v>
      </c>
      <c r="DO228"/>
      <c r="DQ228"/>
      <c r="DR228"/>
      <c r="DS228"/>
      <c r="DT228"/>
      <c r="DU228">
        <f>+Tabla3101170411120[[#This Row],[Longitud de eje]]*DP228</f>
        <v>0</v>
      </c>
      <c r="DV228"/>
      <c r="DX228"/>
      <c r="DY228"/>
      <c r="DZ228"/>
      <c r="EA228"/>
      <c r="EB228">
        <f>+Tabla3101170411120122[[#This Row],[Longitud de eje]]*DW228</f>
        <v>0</v>
      </c>
      <c r="EC228"/>
      <c r="EE228"/>
      <c r="EF228"/>
      <c r="EG228"/>
      <c r="EH228"/>
      <c r="EI228"/>
      <c r="EJ228"/>
      <c r="EK228"/>
      <c r="EM228"/>
      <c r="EN228"/>
      <c r="EO228"/>
      <c r="EP228"/>
      <c r="EQ228"/>
      <c r="ER228"/>
      <c r="ES228"/>
      <c r="EU228"/>
      <c r="EV228"/>
      <c r="EW228"/>
      <c r="EX228"/>
      <c r="EY228"/>
      <c r="EZ228"/>
      <c r="FA228"/>
      <c r="FC228"/>
      <c r="FD228"/>
      <c r="FE228"/>
      <c r="FF228"/>
      <c r="FG228"/>
      <c r="FH228"/>
      <c r="FI228"/>
      <c r="FK228"/>
      <c r="FL228"/>
      <c r="FM228"/>
      <c r="FN228"/>
      <c r="FO228"/>
      <c r="FP228"/>
      <c r="FQ228"/>
      <c r="FS228"/>
      <c r="FT228"/>
      <c r="FU228"/>
      <c r="FV228"/>
      <c r="FW228"/>
      <c r="FX228"/>
      <c r="FY228"/>
      <c r="GA228"/>
      <c r="GB228"/>
      <c r="GC228"/>
      <c r="GD228"/>
      <c r="GE228"/>
      <c r="GF228"/>
      <c r="GG228"/>
      <c r="GI228"/>
      <c r="GJ228"/>
      <c r="GK228"/>
      <c r="GL228"/>
      <c r="GM228"/>
      <c r="GN228"/>
      <c r="GO228"/>
      <c r="YK228"/>
      <c r="YL228"/>
      <c r="YM228"/>
      <c r="YN228"/>
      <c r="YO228"/>
      <c r="AFI228"/>
      <c r="AFJ228"/>
      <c r="AFK228"/>
      <c r="AFL228"/>
      <c r="AFM228"/>
      <c r="AFN228" t="e">
        <f>+Tabla578914151634353637383940414243444546474849505152535560626467[[#This Row],[Recuento]]*#REF!</f>
        <v>#REF!</v>
      </c>
      <c r="AFO228" s="36"/>
    </row>
    <row r="229" spans="75:847" x14ac:dyDescent="0.25">
      <c r="BW229"/>
      <c r="BX229"/>
      <c r="BY229"/>
      <c r="BZ229"/>
      <c r="CA229"/>
      <c r="CB229"/>
      <c r="CE229"/>
      <c r="CF229"/>
      <c r="CG229"/>
      <c r="CH229"/>
      <c r="CI229"/>
      <c r="CJ229"/>
      <c r="CK229"/>
      <c r="CM229"/>
      <c r="CN229"/>
      <c r="CO229"/>
      <c r="CP229"/>
      <c r="CQ229"/>
      <c r="CR229"/>
      <c r="CU229"/>
      <c r="CV229"/>
      <c r="CW229"/>
      <c r="CX229"/>
      <c r="CY229"/>
      <c r="CZ229"/>
      <c r="DA229"/>
      <c r="DC229"/>
      <c r="DD229"/>
      <c r="DE229"/>
      <c r="DF229"/>
      <c r="DG229">
        <f>+Tabla31011704[[#This Row],[Longitud de eje]]*DB229</f>
        <v>0</v>
      </c>
      <c r="DH229"/>
      <c r="DJ229"/>
      <c r="DK229"/>
      <c r="DL229"/>
      <c r="DM229"/>
      <c r="DN229">
        <f>+Tabla3101170411[[#This Row],[Longitud de eje]]*DI229</f>
        <v>0</v>
      </c>
      <c r="DO229"/>
      <c r="DQ229"/>
      <c r="DR229"/>
      <c r="DS229"/>
      <c r="DT229"/>
      <c r="DU229">
        <f>+Tabla3101170411120[[#This Row],[Longitud de eje]]*DP229</f>
        <v>0</v>
      </c>
      <c r="DV229"/>
      <c r="DX229"/>
      <c r="DY229"/>
      <c r="DZ229"/>
      <c r="EA229"/>
      <c r="EB229">
        <f>+Tabla3101170411120122[[#This Row],[Longitud de eje]]*DW229</f>
        <v>0</v>
      </c>
      <c r="EC229"/>
      <c r="EE229"/>
      <c r="EF229"/>
      <c r="EG229"/>
      <c r="EH229"/>
      <c r="EI229"/>
      <c r="EJ229"/>
      <c r="EK229"/>
      <c r="EM229"/>
      <c r="EN229"/>
      <c r="EO229"/>
      <c r="EP229"/>
      <c r="EQ229"/>
      <c r="ER229"/>
      <c r="ES229"/>
      <c r="EU229"/>
      <c r="EV229"/>
      <c r="EW229"/>
      <c r="EX229"/>
      <c r="EY229"/>
      <c r="EZ229"/>
      <c r="FA229"/>
      <c r="FC229"/>
      <c r="FD229"/>
      <c r="FE229"/>
      <c r="FF229"/>
      <c r="FG229"/>
      <c r="FH229"/>
      <c r="FI229"/>
      <c r="FK229"/>
      <c r="FL229"/>
      <c r="FM229"/>
      <c r="FN229"/>
      <c r="FO229"/>
      <c r="FP229"/>
      <c r="FQ229"/>
      <c r="FS229"/>
      <c r="FT229"/>
      <c r="FU229"/>
      <c r="FV229"/>
      <c r="FW229"/>
      <c r="FX229"/>
      <c r="FY229"/>
      <c r="GA229"/>
      <c r="GB229"/>
      <c r="GC229"/>
      <c r="GD229"/>
      <c r="GE229"/>
      <c r="GF229"/>
      <c r="GG229"/>
      <c r="GI229"/>
      <c r="GJ229"/>
      <c r="GK229"/>
      <c r="GL229"/>
      <c r="GM229"/>
      <c r="GN229"/>
      <c r="GO229"/>
      <c r="YK229"/>
      <c r="YL229"/>
      <c r="YM229"/>
      <c r="YN229"/>
      <c r="YO229"/>
      <c r="AFI229"/>
      <c r="AFJ229"/>
      <c r="AFK229"/>
      <c r="AFL229"/>
      <c r="AFM229"/>
      <c r="AFN229" t="e">
        <f>+Tabla578914151634353637383940414243444546474849505152535560626467[[#This Row],[Recuento]]*#REF!</f>
        <v>#REF!</v>
      </c>
      <c r="AFO229" s="35">
        <f>+SUM(AFL229)</f>
        <v>0</v>
      </c>
    </row>
    <row r="230" spans="75:847" x14ac:dyDescent="0.25">
      <c r="BW230"/>
      <c r="BX230"/>
      <c r="BY230"/>
      <c r="BZ230"/>
      <c r="CA230"/>
      <c r="CB230"/>
      <c r="CE230"/>
      <c r="CF230"/>
      <c r="CG230"/>
      <c r="CH230"/>
      <c r="CI230"/>
      <c r="CJ230"/>
      <c r="CK230"/>
      <c r="CM230"/>
      <c r="CN230"/>
      <c r="CO230"/>
      <c r="CP230"/>
      <c r="CQ230"/>
      <c r="CR230"/>
      <c r="CU230"/>
      <c r="CV230"/>
      <c r="CW230"/>
      <c r="CX230"/>
      <c r="CY230"/>
      <c r="CZ230"/>
      <c r="DA230"/>
      <c r="DC230"/>
      <c r="DD230"/>
      <c r="DE230"/>
      <c r="DF230"/>
      <c r="DG230">
        <f>+Tabla31011704[[#This Row],[Longitud de eje]]*DB230</f>
        <v>0</v>
      </c>
      <c r="DH230"/>
      <c r="DJ230"/>
      <c r="DK230"/>
      <c r="DL230"/>
      <c r="DM230"/>
      <c r="DN230">
        <f>+Tabla3101170411[[#This Row],[Longitud de eje]]*DI230</f>
        <v>0</v>
      </c>
      <c r="DO230"/>
      <c r="DQ230"/>
      <c r="DR230"/>
      <c r="DS230"/>
      <c r="DT230"/>
      <c r="DU230">
        <f>+Tabla3101170411120[[#This Row],[Longitud de eje]]*DP230</f>
        <v>0</v>
      </c>
      <c r="DV230"/>
      <c r="DX230"/>
      <c r="DY230"/>
      <c r="DZ230"/>
      <c r="EA230"/>
      <c r="EB230">
        <f>+Tabla3101170411120122[[#This Row],[Longitud de eje]]*DW230</f>
        <v>0</v>
      </c>
      <c r="EC230"/>
      <c r="EE230"/>
      <c r="EF230"/>
      <c r="EG230"/>
      <c r="EH230"/>
      <c r="EI230"/>
      <c r="EJ230"/>
      <c r="EK230"/>
      <c r="EM230"/>
      <c r="EN230"/>
      <c r="EO230"/>
      <c r="EP230"/>
      <c r="EQ230"/>
      <c r="ER230"/>
      <c r="ES230"/>
      <c r="EU230"/>
      <c r="EV230"/>
      <c r="EW230"/>
      <c r="EX230"/>
      <c r="EY230"/>
      <c r="EZ230"/>
      <c r="FA230"/>
      <c r="FC230"/>
      <c r="FD230"/>
      <c r="FE230"/>
      <c r="FF230"/>
      <c r="FG230"/>
      <c r="FH230"/>
      <c r="FI230"/>
      <c r="FK230"/>
      <c r="FL230"/>
      <c r="FM230"/>
      <c r="FN230"/>
      <c r="FO230"/>
      <c r="FP230"/>
      <c r="FQ230"/>
      <c r="FS230"/>
      <c r="FT230"/>
      <c r="FU230"/>
      <c r="FV230"/>
      <c r="FW230"/>
      <c r="FX230"/>
      <c r="FY230"/>
      <c r="GA230"/>
      <c r="GB230"/>
      <c r="GC230"/>
      <c r="GD230"/>
      <c r="GE230"/>
      <c r="GF230"/>
      <c r="GG230"/>
      <c r="GI230"/>
      <c r="GJ230"/>
      <c r="GK230"/>
      <c r="GL230"/>
      <c r="GM230"/>
      <c r="GN230"/>
      <c r="GO230"/>
      <c r="YK230"/>
      <c r="YL230"/>
      <c r="YM230"/>
      <c r="YN230"/>
      <c r="YO230"/>
      <c r="AFI230"/>
      <c r="AFJ230"/>
      <c r="AFK230"/>
      <c r="AFL230"/>
      <c r="AFM230"/>
      <c r="AFN230" t="e">
        <f>+Tabla578914151634353637383940414243444546474849505152535560626467[[#This Row],[Recuento]]*#REF!</f>
        <v>#REF!</v>
      </c>
      <c r="AFO230" s="35">
        <f>+SUM(AFL230:AFL277)</f>
        <v>0</v>
      </c>
    </row>
    <row r="231" spans="75:847" x14ac:dyDescent="0.25">
      <c r="BW231"/>
      <c r="BX231"/>
      <c r="BY231"/>
      <c r="BZ231"/>
      <c r="CA231"/>
      <c r="CB231"/>
      <c r="CE231"/>
      <c r="CF231"/>
      <c r="CG231"/>
      <c r="CH231"/>
      <c r="CI231"/>
      <c r="CJ231"/>
      <c r="CK231"/>
      <c r="CM231"/>
      <c r="CN231"/>
      <c r="CO231"/>
      <c r="CP231"/>
      <c r="CQ231"/>
      <c r="CR231"/>
      <c r="CU231"/>
      <c r="CV231"/>
      <c r="CW231"/>
      <c r="CX231"/>
      <c r="CY231"/>
      <c r="CZ231"/>
      <c r="DA231"/>
      <c r="DC231"/>
      <c r="DD231"/>
      <c r="DE231"/>
      <c r="DF231"/>
      <c r="DG231">
        <f>+Tabla31011704[[#This Row],[Longitud de eje]]*DB231</f>
        <v>0</v>
      </c>
      <c r="DH231"/>
      <c r="DJ231"/>
      <c r="DK231"/>
      <c r="DL231"/>
      <c r="DM231"/>
      <c r="DN231">
        <f>+Tabla3101170411[[#This Row],[Longitud de eje]]*DI231</f>
        <v>0</v>
      </c>
      <c r="DO231"/>
      <c r="DQ231"/>
      <c r="DR231"/>
      <c r="DS231"/>
      <c r="DT231"/>
      <c r="DU231">
        <f>+Tabla3101170411120[[#This Row],[Longitud de eje]]*DP231</f>
        <v>0</v>
      </c>
      <c r="DV231"/>
      <c r="DX231"/>
      <c r="DY231"/>
      <c r="DZ231"/>
      <c r="EA231"/>
      <c r="EB231">
        <f>+Tabla3101170411120122[[#This Row],[Longitud de eje]]*DW231</f>
        <v>0</v>
      </c>
      <c r="EC231"/>
      <c r="EE231"/>
      <c r="EF231"/>
      <c r="EG231"/>
      <c r="EH231"/>
      <c r="EI231"/>
      <c r="EJ231"/>
      <c r="EK231"/>
      <c r="EM231"/>
      <c r="EN231"/>
      <c r="EO231"/>
      <c r="EP231"/>
      <c r="EQ231"/>
      <c r="ER231"/>
      <c r="ES231"/>
      <c r="EU231"/>
      <c r="EV231"/>
      <c r="EW231"/>
      <c r="EX231"/>
      <c r="EY231"/>
      <c r="EZ231"/>
      <c r="FA231"/>
      <c r="FC231"/>
      <c r="FD231"/>
      <c r="FE231"/>
      <c r="FF231"/>
      <c r="FG231"/>
      <c r="FH231"/>
      <c r="FI231"/>
      <c r="FK231"/>
      <c r="FL231"/>
      <c r="FM231"/>
      <c r="FN231"/>
      <c r="FO231"/>
      <c r="FP231"/>
      <c r="FQ231"/>
      <c r="FS231"/>
      <c r="FT231"/>
      <c r="FU231"/>
      <c r="FV231"/>
      <c r="FW231"/>
      <c r="FX231"/>
      <c r="FY231"/>
      <c r="GA231"/>
      <c r="GB231"/>
      <c r="GC231"/>
      <c r="GD231"/>
      <c r="GE231"/>
      <c r="GF231"/>
      <c r="GG231"/>
      <c r="GI231"/>
      <c r="GJ231"/>
      <c r="GK231"/>
      <c r="GL231"/>
      <c r="GM231"/>
      <c r="GN231"/>
      <c r="GO231"/>
      <c r="YK231"/>
      <c r="YL231"/>
      <c r="YM231"/>
      <c r="YN231"/>
      <c r="YO231"/>
      <c r="AFI231"/>
      <c r="AFJ231"/>
      <c r="AFK231"/>
      <c r="AFL231"/>
      <c r="AFM231"/>
      <c r="AFN231" t="e">
        <f>+Tabla578914151634353637383940414243444546474849505152535560626467[[#This Row],[Recuento]]*#REF!</f>
        <v>#REF!</v>
      </c>
      <c r="AFO231" s="36"/>
    </row>
    <row r="232" spans="75:847" x14ac:dyDescent="0.25">
      <c r="BW232"/>
      <c r="BX232"/>
      <c r="BY232"/>
      <c r="BZ232"/>
      <c r="CA232"/>
      <c r="CB232"/>
      <c r="CE232"/>
      <c r="CF232"/>
      <c r="CG232"/>
      <c r="CH232"/>
      <c r="CI232"/>
      <c r="CJ232"/>
      <c r="CK232"/>
      <c r="CM232"/>
      <c r="CN232"/>
      <c r="CO232"/>
      <c r="CP232"/>
      <c r="CQ232"/>
      <c r="CR232"/>
      <c r="CU232"/>
      <c r="CV232"/>
      <c r="CW232"/>
      <c r="CX232"/>
      <c r="CY232"/>
      <c r="CZ232"/>
      <c r="DA232"/>
      <c r="DC232"/>
      <c r="DD232"/>
      <c r="DE232"/>
      <c r="DF232"/>
      <c r="DG232">
        <f>+Tabla31011704[[#This Row],[Longitud de eje]]*DB232</f>
        <v>0</v>
      </c>
      <c r="DH232"/>
      <c r="DJ232"/>
      <c r="DK232"/>
      <c r="DL232"/>
      <c r="DM232"/>
      <c r="DN232">
        <f>+Tabla3101170411[[#This Row],[Longitud de eje]]*DI232</f>
        <v>0</v>
      </c>
      <c r="DO232"/>
      <c r="DQ232"/>
      <c r="DR232"/>
      <c r="DS232"/>
      <c r="DT232"/>
      <c r="DU232">
        <f>+Tabla3101170411120[[#This Row],[Longitud de eje]]*DP232</f>
        <v>0</v>
      </c>
      <c r="DV232"/>
      <c r="DX232"/>
      <c r="DY232"/>
      <c r="DZ232"/>
      <c r="EA232"/>
      <c r="EB232">
        <f>+Tabla3101170411120122[[#This Row],[Longitud de eje]]*DW232</f>
        <v>0</v>
      </c>
      <c r="EC232"/>
      <c r="EE232"/>
      <c r="EF232"/>
      <c r="EG232"/>
      <c r="EH232"/>
      <c r="EI232"/>
      <c r="EJ232"/>
      <c r="EK232"/>
      <c r="EM232"/>
      <c r="EN232"/>
      <c r="EO232"/>
      <c r="EP232"/>
      <c r="EQ232"/>
      <c r="ER232"/>
      <c r="ES232"/>
      <c r="EU232"/>
      <c r="EV232"/>
      <c r="EW232"/>
      <c r="EX232"/>
      <c r="EY232"/>
      <c r="EZ232"/>
      <c r="FA232"/>
      <c r="FC232"/>
      <c r="FD232"/>
      <c r="FE232"/>
      <c r="FF232"/>
      <c r="FG232"/>
      <c r="FH232"/>
      <c r="FI232"/>
      <c r="FK232"/>
      <c r="FL232"/>
      <c r="FM232"/>
      <c r="FN232"/>
      <c r="FO232"/>
      <c r="FP232"/>
      <c r="FQ232"/>
      <c r="FS232"/>
      <c r="FT232"/>
      <c r="FU232"/>
      <c r="FV232"/>
      <c r="FW232"/>
      <c r="FX232"/>
      <c r="FY232"/>
      <c r="GA232"/>
      <c r="GB232"/>
      <c r="GC232"/>
      <c r="GD232"/>
      <c r="GE232"/>
      <c r="GF232"/>
      <c r="GG232"/>
      <c r="GI232"/>
      <c r="GJ232"/>
      <c r="GK232"/>
      <c r="GL232"/>
      <c r="GM232"/>
      <c r="GN232"/>
      <c r="GO232"/>
      <c r="YK232"/>
      <c r="YL232"/>
      <c r="YM232"/>
      <c r="YN232"/>
      <c r="YO232"/>
      <c r="AFI232"/>
      <c r="AFJ232"/>
      <c r="AFK232"/>
      <c r="AFL232"/>
      <c r="AFM232"/>
      <c r="AFN232" t="e">
        <f>+Tabla578914151634353637383940414243444546474849505152535560626467[[#This Row],[Recuento]]*#REF!</f>
        <v>#REF!</v>
      </c>
      <c r="AFO232" s="36"/>
    </row>
    <row r="233" spans="75:847" x14ac:dyDescent="0.25">
      <c r="BW233"/>
      <c r="BX233"/>
      <c r="BY233"/>
      <c r="BZ233"/>
      <c r="CA233"/>
      <c r="CB233"/>
      <c r="CE233"/>
      <c r="CF233"/>
      <c r="CG233"/>
      <c r="CH233"/>
      <c r="CI233"/>
      <c r="CJ233"/>
      <c r="CK233"/>
      <c r="CM233"/>
      <c r="CN233"/>
      <c r="CO233"/>
      <c r="CP233"/>
      <c r="CQ233"/>
      <c r="CR233"/>
      <c r="CU233"/>
      <c r="CV233"/>
      <c r="CW233"/>
      <c r="CX233"/>
      <c r="CY233"/>
      <c r="CZ233"/>
      <c r="DA233"/>
      <c r="DC233"/>
      <c r="DD233"/>
      <c r="DE233"/>
      <c r="DF233"/>
      <c r="DG233">
        <f>+Tabla31011704[[#This Row],[Longitud de eje]]*DB233</f>
        <v>0</v>
      </c>
      <c r="DH233"/>
      <c r="DJ233"/>
      <c r="DK233"/>
      <c r="DL233"/>
      <c r="DM233"/>
      <c r="DN233">
        <f>+Tabla3101170411[[#This Row],[Longitud de eje]]*DI233</f>
        <v>0</v>
      </c>
      <c r="DO233"/>
      <c r="DQ233"/>
      <c r="DR233"/>
      <c r="DS233"/>
      <c r="DT233"/>
      <c r="DU233">
        <f>+Tabla3101170411120[[#This Row],[Longitud de eje]]*DP233</f>
        <v>0</v>
      </c>
      <c r="DV233"/>
      <c r="DX233"/>
      <c r="DY233"/>
      <c r="DZ233"/>
      <c r="EA233"/>
      <c r="EB233">
        <f>+Tabla3101170411120122[[#This Row],[Longitud de eje]]*DW233</f>
        <v>0</v>
      </c>
      <c r="EC233"/>
      <c r="EE233"/>
      <c r="EF233"/>
      <c r="EG233"/>
      <c r="EH233"/>
      <c r="EI233"/>
      <c r="EJ233"/>
      <c r="EK233"/>
      <c r="EM233"/>
      <c r="EN233"/>
      <c r="EO233"/>
      <c r="EP233"/>
      <c r="EQ233"/>
      <c r="ER233"/>
      <c r="ES233"/>
      <c r="EU233"/>
      <c r="EV233"/>
      <c r="EW233"/>
      <c r="EX233"/>
      <c r="EY233"/>
      <c r="EZ233"/>
      <c r="FA233"/>
      <c r="FC233"/>
      <c r="FD233"/>
      <c r="FE233"/>
      <c r="FF233"/>
      <c r="FG233"/>
      <c r="FH233"/>
      <c r="FI233"/>
      <c r="FK233"/>
      <c r="FL233"/>
      <c r="FM233"/>
      <c r="FN233"/>
      <c r="FO233"/>
      <c r="FP233"/>
      <c r="FQ233"/>
      <c r="FS233"/>
      <c r="FT233"/>
      <c r="FU233"/>
      <c r="FV233"/>
      <c r="FW233"/>
      <c r="FX233"/>
      <c r="FY233"/>
      <c r="GA233"/>
      <c r="GB233"/>
      <c r="GC233"/>
      <c r="GD233"/>
      <c r="GE233"/>
      <c r="GF233"/>
      <c r="GG233"/>
      <c r="GI233"/>
      <c r="GJ233"/>
      <c r="GK233"/>
      <c r="GL233"/>
      <c r="GM233"/>
      <c r="GN233"/>
      <c r="GO233"/>
      <c r="YK233"/>
      <c r="YL233"/>
      <c r="YM233"/>
      <c r="YN233"/>
      <c r="YO233"/>
      <c r="AFI233"/>
      <c r="AFJ233"/>
      <c r="AFK233"/>
      <c r="AFL233"/>
      <c r="AFM233"/>
      <c r="AFN233" t="e">
        <f>+Tabla578914151634353637383940414243444546474849505152535560626467[[#This Row],[Recuento]]*#REF!</f>
        <v>#REF!</v>
      </c>
      <c r="AFO233" s="36"/>
    </row>
    <row r="234" spans="75:847" x14ac:dyDescent="0.25">
      <c r="BW234"/>
      <c r="BX234"/>
      <c r="BY234"/>
      <c r="BZ234"/>
      <c r="CA234"/>
      <c r="CB234"/>
      <c r="CE234"/>
      <c r="CF234"/>
      <c r="CG234"/>
      <c r="CH234"/>
      <c r="CI234"/>
      <c r="CJ234"/>
      <c r="CK234"/>
      <c r="CM234"/>
      <c r="CN234"/>
      <c r="CO234"/>
      <c r="CP234"/>
      <c r="CQ234"/>
      <c r="CR234"/>
      <c r="CU234"/>
      <c r="CV234"/>
      <c r="CW234"/>
      <c r="CX234"/>
      <c r="CY234"/>
      <c r="CZ234"/>
      <c r="DA234"/>
      <c r="DC234"/>
      <c r="DD234"/>
      <c r="DE234"/>
      <c r="DF234"/>
      <c r="DG234">
        <f>+Tabla31011704[[#This Row],[Longitud de eje]]*DB234</f>
        <v>0</v>
      </c>
      <c r="DH234"/>
      <c r="DJ234"/>
      <c r="DK234"/>
      <c r="DL234"/>
      <c r="DM234"/>
      <c r="DN234">
        <f>+Tabla3101170411[[#This Row],[Longitud de eje]]*DI234</f>
        <v>0</v>
      </c>
      <c r="DO234"/>
      <c r="DQ234"/>
      <c r="DR234"/>
      <c r="DS234"/>
      <c r="DT234"/>
      <c r="DU234">
        <f>+Tabla3101170411120[[#This Row],[Longitud de eje]]*DP234</f>
        <v>0</v>
      </c>
      <c r="DV234"/>
      <c r="DX234"/>
      <c r="DY234"/>
      <c r="DZ234"/>
      <c r="EA234"/>
      <c r="EB234">
        <f>+Tabla3101170411120122[[#This Row],[Longitud de eje]]*DW234</f>
        <v>0</v>
      </c>
      <c r="EC234"/>
      <c r="EE234"/>
      <c r="EF234"/>
      <c r="EG234"/>
      <c r="EH234"/>
      <c r="EI234"/>
      <c r="EJ234"/>
      <c r="EK234"/>
      <c r="EM234"/>
      <c r="EN234"/>
      <c r="EO234"/>
      <c r="EP234"/>
      <c r="EQ234"/>
      <c r="ER234"/>
      <c r="ES234"/>
      <c r="EU234"/>
      <c r="EV234"/>
      <c r="EW234"/>
      <c r="EX234"/>
      <c r="EY234"/>
      <c r="EZ234"/>
      <c r="FA234"/>
      <c r="FC234"/>
      <c r="FD234"/>
      <c r="FE234"/>
      <c r="FF234"/>
      <c r="FG234"/>
      <c r="FH234"/>
      <c r="FI234"/>
      <c r="FK234"/>
      <c r="FL234"/>
      <c r="FM234"/>
      <c r="FN234"/>
      <c r="FO234"/>
      <c r="FP234"/>
      <c r="FQ234"/>
      <c r="FS234"/>
      <c r="FT234"/>
      <c r="FU234"/>
      <c r="FV234"/>
      <c r="FW234"/>
      <c r="FX234"/>
      <c r="FY234"/>
      <c r="GA234"/>
      <c r="GB234"/>
      <c r="GC234"/>
      <c r="GD234"/>
      <c r="GE234"/>
      <c r="GF234"/>
      <c r="GG234"/>
      <c r="GI234"/>
      <c r="GJ234"/>
      <c r="GK234"/>
      <c r="GL234"/>
      <c r="GM234"/>
      <c r="GN234"/>
      <c r="GO234"/>
      <c r="YK234"/>
      <c r="YL234"/>
      <c r="YM234"/>
      <c r="YN234"/>
      <c r="YO234"/>
      <c r="AFI234"/>
      <c r="AFJ234"/>
      <c r="AFK234"/>
      <c r="AFL234"/>
      <c r="AFM234"/>
      <c r="AFN234" t="e">
        <f>+Tabla578914151634353637383940414243444546474849505152535560626467[[#This Row],[Recuento]]*#REF!</f>
        <v>#REF!</v>
      </c>
      <c r="AFO234" s="36"/>
    </row>
    <row r="235" spans="75:847" x14ac:dyDescent="0.25">
      <c r="BW235"/>
      <c r="BX235"/>
      <c r="BY235"/>
      <c r="BZ235"/>
      <c r="CA235"/>
      <c r="CB235"/>
      <c r="CE235"/>
      <c r="CF235"/>
      <c r="CG235"/>
      <c r="CH235"/>
      <c r="CI235"/>
      <c r="CJ235"/>
      <c r="CK235"/>
      <c r="CM235"/>
      <c r="CN235"/>
      <c r="CO235"/>
      <c r="CP235"/>
      <c r="CQ235"/>
      <c r="CR235"/>
      <c r="CU235"/>
      <c r="CV235"/>
      <c r="CW235"/>
      <c r="CX235"/>
      <c r="CY235"/>
      <c r="CZ235"/>
      <c r="DA235"/>
      <c r="DC235"/>
      <c r="DD235"/>
      <c r="DE235"/>
      <c r="DF235"/>
      <c r="DG235">
        <f>+Tabla31011704[[#This Row],[Longitud de eje]]*DB235</f>
        <v>0</v>
      </c>
      <c r="DH235"/>
      <c r="DJ235"/>
      <c r="DK235"/>
      <c r="DL235"/>
      <c r="DM235"/>
      <c r="DN235">
        <f>+Tabla3101170411[[#This Row],[Longitud de eje]]*DI235</f>
        <v>0</v>
      </c>
      <c r="DO235"/>
      <c r="DQ235"/>
      <c r="DR235"/>
      <c r="DS235"/>
      <c r="DT235"/>
      <c r="DU235">
        <f>+Tabla3101170411120[[#This Row],[Longitud de eje]]*DP235</f>
        <v>0</v>
      </c>
      <c r="DV235"/>
      <c r="DX235"/>
      <c r="DY235"/>
      <c r="DZ235"/>
      <c r="EA235"/>
      <c r="EB235">
        <f>+Tabla3101170411120122[[#This Row],[Longitud de eje]]*DW235</f>
        <v>0</v>
      </c>
      <c r="EC235"/>
      <c r="EE235"/>
      <c r="EF235"/>
      <c r="EG235"/>
      <c r="EH235"/>
      <c r="EI235"/>
      <c r="EJ235"/>
      <c r="EK235"/>
      <c r="EM235"/>
      <c r="EN235"/>
      <c r="EO235"/>
      <c r="EP235"/>
      <c r="EQ235"/>
      <c r="ER235"/>
      <c r="ES235"/>
      <c r="EU235"/>
      <c r="EV235"/>
      <c r="EW235"/>
      <c r="EX235"/>
      <c r="EY235"/>
      <c r="EZ235"/>
      <c r="FA235"/>
      <c r="FC235"/>
      <c r="FD235"/>
      <c r="FE235"/>
      <c r="FF235"/>
      <c r="FG235"/>
      <c r="FH235"/>
      <c r="FI235"/>
      <c r="FK235"/>
      <c r="FL235"/>
      <c r="FM235"/>
      <c r="FN235"/>
      <c r="FO235"/>
      <c r="FP235"/>
      <c r="FQ235"/>
      <c r="FS235"/>
      <c r="FT235"/>
      <c r="FU235"/>
      <c r="FV235"/>
      <c r="FW235"/>
      <c r="FX235"/>
      <c r="FY235"/>
      <c r="GA235"/>
      <c r="GB235"/>
      <c r="GC235"/>
      <c r="GD235"/>
      <c r="GE235"/>
      <c r="GF235"/>
      <c r="GG235"/>
      <c r="GI235"/>
      <c r="GJ235"/>
      <c r="GK235"/>
      <c r="GL235"/>
      <c r="GM235"/>
      <c r="GN235"/>
      <c r="GO235"/>
      <c r="YK235"/>
      <c r="YL235"/>
      <c r="YM235"/>
      <c r="YN235"/>
      <c r="YO235"/>
      <c r="AFI235"/>
      <c r="AFJ235"/>
      <c r="AFK235"/>
      <c r="AFL235"/>
      <c r="AFM235"/>
      <c r="AFN235" t="e">
        <f>+Tabla578914151634353637383940414243444546474849505152535560626467[[#This Row],[Recuento]]*#REF!</f>
        <v>#REF!</v>
      </c>
      <c r="AFO235" s="36"/>
    </row>
    <row r="236" spans="75:847" x14ac:dyDescent="0.25">
      <c r="BW236"/>
      <c r="BX236"/>
      <c r="BY236"/>
      <c r="BZ236"/>
      <c r="CA236"/>
      <c r="CB236"/>
      <c r="CE236"/>
      <c r="CF236"/>
      <c r="CG236"/>
      <c r="CH236"/>
      <c r="CI236"/>
      <c r="CJ236"/>
      <c r="CK236"/>
      <c r="CM236"/>
      <c r="CN236"/>
      <c r="CO236"/>
      <c r="CP236"/>
      <c r="CQ236"/>
      <c r="CR236"/>
      <c r="CU236"/>
      <c r="CV236"/>
      <c r="CW236"/>
      <c r="CX236"/>
      <c r="CY236"/>
      <c r="CZ236"/>
      <c r="DA236"/>
      <c r="DC236"/>
      <c r="DD236"/>
      <c r="DE236"/>
      <c r="DF236"/>
      <c r="DG236">
        <f>+Tabla31011704[[#This Row],[Longitud de eje]]*DB236</f>
        <v>0</v>
      </c>
      <c r="DH236"/>
      <c r="DJ236"/>
      <c r="DK236"/>
      <c r="DL236"/>
      <c r="DM236"/>
      <c r="DN236">
        <f>+Tabla3101170411[[#This Row],[Longitud de eje]]*DI236</f>
        <v>0</v>
      </c>
      <c r="DO236"/>
      <c r="DQ236"/>
      <c r="DR236"/>
      <c r="DS236"/>
      <c r="DT236"/>
      <c r="DU236">
        <f>+Tabla3101170411120[[#This Row],[Longitud de eje]]*DP236</f>
        <v>0</v>
      </c>
      <c r="DV236"/>
      <c r="DX236"/>
      <c r="DY236"/>
      <c r="DZ236"/>
      <c r="EA236"/>
      <c r="EB236">
        <f>+Tabla3101170411120122[[#This Row],[Longitud de eje]]*DW236</f>
        <v>0</v>
      </c>
      <c r="EC236"/>
      <c r="EE236"/>
      <c r="EF236"/>
      <c r="EG236"/>
      <c r="EH236"/>
      <c r="EI236"/>
      <c r="EJ236"/>
      <c r="EK236"/>
      <c r="EM236"/>
      <c r="EN236"/>
      <c r="EO236"/>
      <c r="EP236"/>
      <c r="EQ236"/>
      <c r="ER236"/>
      <c r="ES236"/>
      <c r="EU236"/>
      <c r="EV236"/>
      <c r="EW236"/>
      <c r="EX236"/>
      <c r="EY236"/>
      <c r="EZ236"/>
      <c r="FA236"/>
      <c r="FC236"/>
      <c r="FD236"/>
      <c r="FE236"/>
      <c r="FF236"/>
      <c r="FG236"/>
      <c r="FH236"/>
      <c r="FI236"/>
      <c r="FK236"/>
      <c r="FL236"/>
      <c r="FM236"/>
      <c r="FN236"/>
      <c r="FO236"/>
      <c r="FP236"/>
      <c r="FQ236"/>
      <c r="FS236"/>
      <c r="FT236"/>
      <c r="FU236"/>
      <c r="FV236"/>
      <c r="FW236"/>
      <c r="FX236"/>
      <c r="FY236"/>
      <c r="GA236"/>
      <c r="GB236"/>
      <c r="GC236"/>
      <c r="GD236"/>
      <c r="GE236"/>
      <c r="GF236"/>
      <c r="GG236"/>
      <c r="GI236"/>
      <c r="GJ236"/>
      <c r="GK236"/>
      <c r="GL236"/>
      <c r="GM236"/>
      <c r="GN236"/>
      <c r="GO236"/>
      <c r="YK236"/>
      <c r="YL236"/>
      <c r="YM236"/>
      <c r="YN236"/>
      <c r="YO236"/>
      <c r="AFI236"/>
      <c r="AFJ236"/>
      <c r="AFK236"/>
      <c r="AFL236"/>
      <c r="AFM236"/>
      <c r="AFN236" t="e">
        <f>+Tabla578914151634353637383940414243444546474849505152535560626467[[#This Row],[Recuento]]*#REF!</f>
        <v>#REF!</v>
      </c>
      <c r="AFO236" s="36"/>
    </row>
    <row r="237" spans="75:847" x14ac:dyDescent="0.25">
      <c r="BW237"/>
      <c r="BX237"/>
      <c r="BY237"/>
      <c r="BZ237"/>
      <c r="CA237"/>
      <c r="CB237"/>
      <c r="CE237"/>
      <c r="CF237"/>
      <c r="CG237"/>
      <c r="CH237"/>
      <c r="CI237"/>
      <c r="CJ237"/>
      <c r="CK237"/>
      <c r="CM237"/>
      <c r="CN237"/>
      <c r="CO237"/>
      <c r="CP237"/>
      <c r="CQ237"/>
      <c r="CR237"/>
      <c r="CU237"/>
      <c r="CV237"/>
      <c r="CW237"/>
      <c r="CX237"/>
      <c r="CY237"/>
      <c r="CZ237"/>
      <c r="DA237"/>
      <c r="DC237"/>
      <c r="DD237"/>
      <c r="DE237"/>
      <c r="DF237"/>
      <c r="DG237">
        <f>+Tabla31011704[[#This Row],[Longitud de eje]]*DB237</f>
        <v>0</v>
      </c>
      <c r="DH237"/>
      <c r="DJ237"/>
      <c r="DK237"/>
      <c r="DL237"/>
      <c r="DM237"/>
      <c r="DN237">
        <f>+Tabla3101170411[[#This Row],[Longitud de eje]]*DI237</f>
        <v>0</v>
      </c>
      <c r="DO237"/>
      <c r="DQ237"/>
      <c r="DR237"/>
      <c r="DS237"/>
      <c r="DT237"/>
      <c r="DU237">
        <f>+Tabla3101170411120[[#This Row],[Longitud de eje]]*DP237</f>
        <v>0</v>
      </c>
      <c r="DV237"/>
      <c r="DX237"/>
      <c r="DY237"/>
      <c r="DZ237"/>
      <c r="EA237"/>
      <c r="EB237">
        <f>+Tabla3101170411120122[[#This Row],[Longitud de eje]]*DW237</f>
        <v>0</v>
      </c>
      <c r="EC237"/>
      <c r="EE237"/>
      <c r="EF237"/>
      <c r="EG237"/>
      <c r="EH237"/>
      <c r="EI237"/>
      <c r="EJ237"/>
      <c r="EK237"/>
      <c r="EM237"/>
      <c r="EN237"/>
      <c r="EO237"/>
      <c r="EP237"/>
      <c r="EQ237"/>
      <c r="ER237"/>
      <c r="ES237"/>
      <c r="EU237"/>
      <c r="EV237"/>
      <c r="EW237"/>
      <c r="EX237"/>
      <c r="EY237"/>
      <c r="EZ237"/>
      <c r="FA237"/>
      <c r="FC237"/>
      <c r="FD237"/>
      <c r="FE237"/>
      <c r="FF237"/>
      <c r="FG237"/>
      <c r="FH237"/>
      <c r="FI237"/>
      <c r="FK237"/>
      <c r="FL237"/>
      <c r="FM237"/>
      <c r="FN237"/>
      <c r="FO237"/>
      <c r="FP237"/>
      <c r="FQ237"/>
      <c r="FS237"/>
      <c r="FT237"/>
      <c r="FU237"/>
      <c r="FV237"/>
      <c r="FW237"/>
      <c r="FX237"/>
      <c r="FY237"/>
      <c r="GA237"/>
      <c r="GB237"/>
      <c r="GC237"/>
      <c r="GD237"/>
      <c r="GE237"/>
      <c r="GF237"/>
      <c r="GG237"/>
      <c r="GI237"/>
      <c r="GJ237"/>
      <c r="GK237"/>
      <c r="GL237"/>
      <c r="GM237"/>
      <c r="GN237"/>
      <c r="GO237"/>
      <c r="YK237"/>
      <c r="YL237"/>
      <c r="YM237"/>
      <c r="YN237"/>
      <c r="YO237"/>
      <c r="AFI237"/>
      <c r="AFJ237"/>
      <c r="AFK237"/>
      <c r="AFL237"/>
      <c r="AFM237"/>
      <c r="AFN237" t="e">
        <f>+Tabla578914151634353637383940414243444546474849505152535560626467[[#This Row],[Recuento]]*#REF!</f>
        <v>#REF!</v>
      </c>
      <c r="AFO237" s="36"/>
    </row>
    <row r="238" spans="75:847" x14ac:dyDescent="0.25">
      <c r="BW238"/>
      <c r="BX238"/>
      <c r="BY238"/>
      <c r="BZ238"/>
      <c r="CA238"/>
      <c r="CB238"/>
      <c r="CE238"/>
      <c r="CF238"/>
      <c r="CG238"/>
      <c r="CH238"/>
      <c r="CI238"/>
      <c r="CJ238"/>
      <c r="CK238"/>
      <c r="CM238"/>
      <c r="CN238"/>
      <c r="CO238"/>
      <c r="CP238"/>
      <c r="CQ238"/>
      <c r="CR238"/>
      <c r="CU238"/>
      <c r="CV238"/>
      <c r="CW238"/>
      <c r="CX238"/>
      <c r="CY238"/>
      <c r="CZ238"/>
      <c r="DA238"/>
      <c r="DC238"/>
      <c r="DD238"/>
      <c r="DE238"/>
      <c r="DF238"/>
      <c r="DG238">
        <f>+Tabla31011704[[#This Row],[Longitud de eje]]*DB238</f>
        <v>0</v>
      </c>
      <c r="DH238"/>
      <c r="DJ238"/>
      <c r="DK238"/>
      <c r="DL238"/>
      <c r="DM238"/>
      <c r="DN238">
        <f>+Tabla3101170411[[#This Row],[Longitud de eje]]*DI238</f>
        <v>0</v>
      </c>
      <c r="DO238"/>
      <c r="DQ238"/>
      <c r="DR238"/>
      <c r="DS238"/>
      <c r="DT238"/>
      <c r="DU238">
        <f>+Tabla3101170411120[[#This Row],[Longitud de eje]]*DP238</f>
        <v>0</v>
      </c>
      <c r="DV238"/>
      <c r="DX238"/>
      <c r="DY238"/>
      <c r="DZ238"/>
      <c r="EA238"/>
      <c r="EB238">
        <f>+Tabla3101170411120122[[#This Row],[Longitud de eje]]*DW238</f>
        <v>0</v>
      </c>
      <c r="EC238"/>
      <c r="EE238"/>
      <c r="EF238"/>
      <c r="EG238"/>
      <c r="EH238"/>
      <c r="EI238"/>
      <c r="EJ238"/>
      <c r="EK238"/>
      <c r="EM238"/>
      <c r="EN238"/>
      <c r="EO238"/>
      <c r="EP238"/>
      <c r="EQ238"/>
      <c r="ER238"/>
      <c r="ES238"/>
      <c r="EU238"/>
      <c r="EV238"/>
      <c r="EW238"/>
      <c r="EX238"/>
      <c r="EY238"/>
      <c r="EZ238"/>
      <c r="FA238"/>
      <c r="FC238"/>
      <c r="FD238"/>
      <c r="FE238"/>
      <c r="FF238"/>
      <c r="FG238"/>
      <c r="FH238"/>
      <c r="FI238"/>
      <c r="FK238"/>
      <c r="FL238"/>
      <c r="FM238"/>
      <c r="FN238"/>
      <c r="FO238"/>
      <c r="FP238"/>
      <c r="FQ238"/>
      <c r="FS238"/>
      <c r="FT238"/>
      <c r="FU238"/>
      <c r="FV238"/>
      <c r="FW238"/>
      <c r="FX238"/>
      <c r="FY238"/>
      <c r="GA238"/>
      <c r="GB238"/>
      <c r="GC238"/>
      <c r="GD238"/>
      <c r="GE238"/>
      <c r="GF238"/>
      <c r="GG238"/>
      <c r="GI238"/>
      <c r="GJ238"/>
      <c r="GK238"/>
      <c r="GL238"/>
      <c r="GM238"/>
      <c r="GN238"/>
      <c r="GO238"/>
      <c r="YK238"/>
      <c r="YL238"/>
      <c r="YM238"/>
      <c r="YN238"/>
      <c r="YO238"/>
      <c r="AFI238"/>
      <c r="AFJ238"/>
      <c r="AFK238"/>
      <c r="AFL238"/>
      <c r="AFM238"/>
      <c r="AFN238" t="e">
        <f>+Tabla578914151634353637383940414243444546474849505152535560626467[[#This Row],[Recuento]]*#REF!</f>
        <v>#REF!</v>
      </c>
      <c r="AFO238" s="36"/>
    </row>
    <row r="239" spans="75:847" x14ac:dyDescent="0.25">
      <c r="BW239"/>
      <c r="BX239"/>
      <c r="BY239"/>
      <c r="BZ239"/>
      <c r="CA239"/>
      <c r="CB239"/>
      <c r="CE239"/>
      <c r="CF239"/>
      <c r="CG239"/>
      <c r="CH239"/>
      <c r="CI239"/>
      <c r="CJ239"/>
      <c r="CK239"/>
      <c r="CM239"/>
      <c r="CN239"/>
      <c r="CO239"/>
      <c r="CP239"/>
      <c r="CQ239"/>
      <c r="CR239"/>
      <c r="CU239"/>
      <c r="CV239"/>
      <c r="CW239"/>
      <c r="CX239"/>
      <c r="CY239"/>
      <c r="CZ239"/>
      <c r="DA239"/>
      <c r="DC239"/>
      <c r="DD239"/>
      <c r="DE239"/>
      <c r="DF239"/>
      <c r="DG239">
        <f>+Tabla31011704[[#This Row],[Longitud de eje]]*DB239</f>
        <v>0</v>
      </c>
      <c r="DH239"/>
      <c r="DJ239"/>
      <c r="DK239"/>
      <c r="DL239"/>
      <c r="DM239"/>
      <c r="DN239">
        <f>+Tabla3101170411[[#This Row],[Longitud de eje]]*DI239</f>
        <v>0</v>
      </c>
      <c r="DO239"/>
      <c r="DQ239"/>
      <c r="DR239"/>
      <c r="DS239"/>
      <c r="DT239"/>
      <c r="DU239">
        <f>+Tabla3101170411120[[#This Row],[Longitud de eje]]*DP239</f>
        <v>0</v>
      </c>
      <c r="DV239"/>
      <c r="DX239"/>
      <c r="DY239"/>
      <c r="DZ239"/>
      <c r="EA239"/>
      <c r="EB239">
        <f>+Tabla3101170411120122[[#This Row],[Longitud de eje]]*DW239</f>
        <v>0</v>
      </c>
      <c r="EC239"/>
      <c r="EE239"/>
      <c r="EF239"/>
      <c r="EG239"/>
      <c r="EH239"/>
      <c r="EI239"/>
      <c r="EJ239"/>
      <c r="EK239"/>
      <c r="EM239"/>
      <c r="EN239"/>
      <c r="EO239"/>
      <c r="EP239"/>
      <c r="EQ239"/>
      <c r="ER239"/>
      <c r="ES239"/>
      <c r="EU239"/>
      <c r="EV239"/>
      <c r="EW239"/>
      <c r="EX239"/>
      <c r="EY239"/>
      <c r="EZ239"/>
      <c r="FA239"/>
      <c r="FC239"/>
      <c r="FD239"/>
      <c r="FE239"/>
      <c r="FF239"/>
      <c r="FG239"/>
      <c r="FH239"/>
      <c r="FI239"/>
      <c r="FK239"/>
      <c r="FL239"/>
      <c r="FM239"/>
      <c r="FN239"/>
      <c r="FO239"/>
      <c r="FP239"/>
      <c r="FQ239"/>
      <c r="FS239"/>
      <c r="FT239"/>
      <c r="FU239"/>
      <c r="FV239"/>
      <c r="FW239"/>
      <c r="FX239"/>
      <c r="FY239"/>
      <c r="GA239"/>
      <c r="GB239"/>
      <c r="GC239"/>
      <c r="GD239"/>
      <c r="GE239"/>
      <c r="GF239"/>
      <c r="GG239"/>
      <c r="GI239"/>
      <c r="GJ239"/>
      <c r="GK239"/>
      <c r="GL239"/>
      <c r="GM239"/>
      <c r="GN239"/>
      <c r="GO239"/>
      <c r="YK239"/>
      <c r="YL239"/>
      <c r="YM239"/>
      <c r="YN239"/>
      <c r="YO239"/>
      <c r="AFI239"/>
      <c r="AFJ239"/>
      <c r="AFK239"/>
      <c r="AFL239"/>
      <c r="AFM239"/>
      <c r="AFN239" t="e">
        <f>+Tabla578914151634353637383940414243444546474849505152535560626467[[#This Row],[Recuento]]*#REF!</f>
        <v>#REF!</v>
      </c>
      <c r="AFO239" s="36"/>
    </row>
    <row r="240" spans="75:847" x14ac:dyDescent="0.25">
      <c r="BW240"/>
      <c r="BX240"/>
      <c r="BY240"/>
      <c r="BZ240"/>
      <c r="CA240"/>
      <c r="CB240"/>
      <c r="CE240"/>
      <c r="CF240"/>
      <c r="CG240"/>
      <c r="CH240"/>
      <c r="CI240"/>
      <c r="CJ240"/>
      <c r="CK240"/>
      <c r="CM240"/>
      <c r="CN240"/>
      <c r="CO240"/>
      <c r="CP240"/>
      <c r="CQ240"/>
      <c r="CR240"/>
      <c r="CU240"/>
      <c r="CV240"/>
      <c r="CW240"/>
      <c r="CX240"/>
      <c r="CY240"/>
      <c r="CZ240"/>
      <c r="DA240"/>
      <c r="DC240"/>
      <c r="DD240"/>
      <c r="DE240"/>
      <c r="DF240"/>
      <c r="DG240">
        <f>+Tabla31011704[[#This Row],[Longitud de eje]]*DB240</f>
        <v>0</v>
      </c>
      <c r="DH240"/>
      <c r="DJ240"/>
      <c r="DK240"/>
      <c r="DL240"/>
      <c r="DM240"/>
      <c r="DN240">
        <f>+Tabla3101170411[[#This Row],[Longitud de eje]]*DI240</f>
        <v>0</v>
      </c>
      <c r="DO240"/>
      <c r="DQ240"/>
      <c r="DR240"/>
      <c r="DS240"/>
      <c r="DT240"/>
      <c r="DU240">
        <f>+Tabla3101170411120[[#This Row],[Longitud de eje]]*DP240</f>
        <v>0</v>
      </c>
      <c r="DV240"/>
      <c r="DX240"/>
      <c r="DY240"/>
      <c r="DZ240"/>
      <c r="EA240"/>
      <c r="EB240">
        <f>+Tabla3101170411120122[[#This Row],[Longitud de eje]]*DW240</f>
        <v>0</v>
      </c>
      <c r="EC240"/>
      <c r="EE240"/>
      <c r="EF240"/>
      <c r="EG240"/>
      <c r="EH240"/>
      <c r="EI240"/>
      <c r="EJ240"/>
      <c r="EK240"/>
      <c r="EM240"/>
      <c r="EN240"/>
      <c r="EO240"/>
      <c r="EP240"/>
      <c r="EQ240"/>
      <c r="ER240"/>
      <c r="ES240"/>
      <c r="EU240"/>
      <c r="EV240"/>
      <c r="EW240"/>
      <c r="EX240"/>
      <c r="EY240"/>
      <c r="EZ240"/>
      <c r="FA240"/>
      <c r="FC240"/>
      <c r="FD240"/>
      <c r="FE240"/>
      <c r="FF240"/>
      <c r="FG240"/>
      <c r="FH240"/>
      <c r="FI240"/>
      <c r="FK240"/>
      <c r="FL240"/>
      <c r="FM240"/>
      <c r="FN240"/>
      <c r="FO240"/>
      <c r="FP240"/>
      <c r="FQ240"/>
      <c r="FS240"/>
      <c r="FT240"/>
      <c r="FU240"/>
      <c r="FV240"/>
      <c r="FW240"/>
      <c r="FX240"/>
      <c r="FY240"/>
      <c r="GA240"/>
      <c r="GB240"/>
      <c r="GC240"/>
      <c r="GD240"/>
      <c r="GE240"/>
      <c r="GF240"/>
      <c r="GG240"/>
      <c r="GI240"/>
      <c r="GJ240"/>
      <c r="GK240"/>
      <c r="GL240"/>
      <c r="GM240"/>
      <c r="GN240"/>
      <c r="GO240"/>
      <c r="YK240"/>
      <c r="YL240"/>
      <c r="YM240"/>
      <c r="YN240"/>
      <c r="YO240"/>
      <c r="AFI240"/>
      <c r="AFJ240"/>
      <c r="AFK240"/>
      <c r="AFL240"/>
      <c r="AFM240"/>
      <c r="AFN240" t="e">
        <f>+Tabla578914151634353637383940414243444546474849505152535560626467[[#This Row],[Recuento]]*#REF!</f>
        <v>#REF!</v>
      </c>
      <c r="AFO240" s="36"/>
    </row>
    <row r="241" spans="75:847" x14ac:dyDescent="0.25">
      <c r="BW241"/>
      <c r="BX241"/>
      <c r="BY241"/>
      <c r="BZ241"/>
      <c r="CA241"/>
      <c r="CB241"/>
      <c r="CE241"/>
      <c r="CF241"/>
      <c r="CG241"/>
      <c r="CH241"/>
      <c r="CI241"/>
      <c r="CJ241"/>
      <c r="CK241"/>
      <c r="CM241"/>
      <c r="CN241"/>
      <c r="CO241"/>
      <c r="CP241"/>
      <c r="CQ241"/>
      <c r="CR241"/>
      <c r="CU241"/>
      <c r="CV241"/>
      <c r="CW241"/>
      <c r="CX241"/>
      <c r="CY241"/>
      <c r="CZ241"/>
      <c r="DA241"/>
      <c r="DC241"/>
      <c r="DD241"/>
      <c r="DE241"/>
      <c r="DF241"/>
      <c r="DG241">
        <f>+Tabla31011704[[#This Row],[Longitud de eje]]*DB241</f>
        <v>0</v>
      </c>
      <c r="DH241"/>
      <c r="DJ241"/>
      <c r="DK241"/>
      <c r="DL241"/>
      <c r="DM241"/>
      <c r="DN241">
        <f>+Tabla3101170411[[#This Row],[Longitud de eje]]*DI241</f>
        <v>0</v>
      </c>
      <c r="DO241"/>
      <c r="DQ241"/>
      <c r="DR241"/>
      <c r="DS241"/>
      <c r="DT241"/>
      <c r="DU241">
        <f>+Tabla3101170411120[[#This Row],[Longitud de eje]]*DP241</f>
        <v>0</v>
      </c>
      <c r="DV241"/>
      <c r="DX241"/>
      <c r="DY241"/>
      <c r="DZ241"/>
      <c r="EA241"/>
      <c r="EB241">
        <f>+Tabla3101170411120122[[#This Row],[Longitud de eje]]*DW241</f>
        <v>0</v>
      </c>
      <c r="EC241"/>
      <c r="EE241"/>
      <c r="EF241"/>
      <c r="EG241"/>
      <c r="EH241"/>
      <c r="EI241"/>
      <c r="EJ241"/>
      <c r="EK241"/>
      <c r="EM241"/>
      <c r="EN241"/>
      <c r="EO241"/>
      <c r="EP241"/>
      <c r="EQ241"/>
      <c r="ER241"/>
      <c r="ES241"/>
      <c r="EU241"/>
      <c r="EV241"/>
      <c r="EW241"/>
      <c r="EX241"/>
      <c r="EY241"/>
      <c r="EZ241"/>
      <c r="FA241"/>
      <c r="FC241"/>
      <c r="FD241"/>
      <c r="FE241"/>
      <c r="FF241"/>
      <c r="FG241"/>
      <c r="FH241"/>
      <c r="FI241"/>
      <c r="FK241"/>
      <c r="FL241"/>
      <c r="FM241"/>
      <c r="FN241"/>
      <c r="FO241"/>
      <c r="FP241"/>
      <c r="FQ241"/>
      <c r="FS241"/>
      <c r="FT241"/>
      <c r="FU241"/>
      <c r="FV241"/>
      <c r="FW241"/>
      <c r="FX241"/>
      <c r="FY241"/>
      <c r="GA241"/>
      <c r="GB241"/>
      <c r="GC241"/>
      <c r="GD241"/>
      <c r="GE241"/>
      <c r="GF241"/>
      <c r="GG241"/>
      <c r="GI241"/>
      <c r="GJ241"/>
      <c r="GK241"/>
      <c r="GL241"/>
      <c r="GM241"/>
      <c r="GN241"/>
      <c r="GO241"/>
      <c r="YK241"/>
      <c r="YL241"/>
      <c r="YM241"/>
      <c r="YN241"/>
      <c r="YO241"/>
      <c r="AFI241"/>
      <c r="AFJ241"/>
      <c r="AFK241"/>
      <c r="AFL241"/>
      <c r="AFM241"/>
      <c r="AFN241" t="e">
        <f>+Tabla578914151634353637383940414243444546474849505152535560626467[[#This Row],[Recuento]]*#REF!</f>
        <v>#REF!</v>
      </c>
      <c r="AFO241" s="36"/>
    </row>
    <row r="242" spans="75:847" x14ac:dyDescent="0.25">
      <c r="BW242"/>
      <c r="BX242"/>
      <c r="BY242"/>
      <c r="BZ242"/>
      <c r="CA242"/>
      <c r="CB242"/>
      <c r="CE242"/>
      <c r="CF242"/>
      <c r="CG242"/>
      <c r="CH242"/>
      <c r="CI242"/>
      <c r="CJ242"/>
      <c r="CK242"/>
      <c r="CM242"/>
      <c r="CN242"/>
      <c r="CO242"/>
      <c r="CP242"/>
      <c r="CQ242"/>
      <c r="CR242"/>
      <c r="CU242"/>
      <c r="CV242"/>
      <c r="CW242"/>
      <c r="CX242"/>
      <c r="CY242"/>
      <c r="CZ242"/>
      <c r="DA242"/>
      <c r="DC242"/>
      <c r="DD242"/>
      <c r="DE242"/>
      <c r="DF242"/>
      <c r="DG242">
        <f>+Tabla31011704[[#This Row],[Longitud de eje]]*DB242</f>
        <v>0</v>
      </c>
      <c r="DH242"/>
      <c r="DJ242"/>
      <c r="DK242"/>
      <c r="DL242"/>
      <c r="DM242"/>
      <c r="DN242">
        <f>+Tabla3101170411[[#This Row],[Longitud de eje]]*DI242</f>
        <v>0</v>
      </c>
      <c r="DO242"/>
      <c r="DQ242"/>
      <c r="DR242"/>
      <c r="DS242"/>
      <c r="DT242"/>
      <c r="DU242">
        <f>+Tabla3101170411120[[#This Row],[Longitud de eje]]*DP242</f>
        <v>0</v>
      </c>
      <c r="DV242"/>
      <c r="DX242"/>
      <c r="DY242"/>
      <c r="DZ242"/>
      <c r="EA242"/>
      <c r="EB242">
        <f>+Tabla3101170411120122[[#This Row],[Longitud de eje]]*DW242</f>
        <v>0</v>
      </c>
      <c r="EC242"/>
      <c r="EE242"/>
      <c r="EF242"/>
      <c r="EG242"/>
      <c r="EH242"/>
      <c r="EI242"/>
      <c r="EJ242"/>
      <c r="EK242"/>
      <c r="EM242"/>
      <c r="EN242"/>
      <c r="EO242"/>
      <c r="EP242"/>
      <c r="EQ242"/>
      <c r="ER242"/>
      <c r="ES242"/>
      <c r="EU242"/>
      <c r="EV242"/>
      <c r="EW242"/>
      <c r="EX242"/>
      <c r="EY242"/>
      <c r="EZ242"/>
      <c r="FA242"/>
      <c r="FC242"/>
      <c r="FD242"/>
      <c r="FE242"/>
      <c r="FF242"/>
      <c r="FG242"/>
      <c r="FH242"/>
      <c r="FI242"/>
      <c r="FK242"/>
      <c r="FL242"/>
      <c r="FM242"/>
      <c r="FN242"/>
      <c r="FO242"/>
      <c r="FP242"/>
      <c r="FQ242"/>
      <c r="FS242"/>
      <c r="FT242"/>
      <c r="FU242"/>
      <c r="FV242"/>
      <c r="FW242"/>
      <c r="FX242"/>
      <c r="FY242"/>
      <c r="GA242"/>
      <c r="GB242"/>
      <c r="GC242"/>
      <c r="GD242"/>
      <c r="GE242"/>
      <c r="GF242"/>
      <c r="GG242"/>
      <c r="GI242"/>
      <c r="GJ242"/>
      <c r="GK242"/>
      <c r="GL242"/>
      <c r="GM242"/>
      <c r="GN242"/>
      <c r="GO242"/>
      <c r="YK242"/>
      <c r="YL242"/>
      <c r="YM242"/>
      <c r="YN242"/>
      <c r="YO242"/>
      <c r="AFI242"/>
      <c r="AFJ242"/>
      <c r="AFK242"/>
      <c r="AFL242"/>
      <c r="AFM242"/>
      <c r="AFN242" t="e">
        <f>+Tabla578914151634353637383940414243444546474849505152535560626467[[#This Row],[Recuento]]*#REF!</f>
        <v>#REF!</v>
      </c>
      <c r="AFO242" s="36"/>
    </row>
    <row r="243" spans="75:847" x14ac:dyDescent="0.25">
      <c r="BW243"/>
      <c r="BX243"/>
      <c r="BY243"/>
      <c r="BZ243"/>
      <c r="CA243"/>
      <c r="CB243"/>
      <c r="CE243"/>
      <c r="CF243"/>
      <c r="CG243"/>
      <c r="CH243"/>
      <c r="CI243"/>
      <c r="CJ243"/>
      <c r="CK243"/>
      <c r="CM243"/>
      <c r="CN243"/>
      <c r="CO243"/>
      <c r="CP243"/>
      <c r="CQ243"/>
      <c r="CR243"/>
      <c r="CU243"/>
      <c r="CV243"/>
      <c r="CW243"/>
      <c r="CX243"/>
      <c r="CY243"/>
      <c r="CZ243"/>
      <c r="DA243"/>
      <c r="DC243"/>
      <c r="DD243"/>
      <c r="DE243"/>
      <c r="DF243"/>
      <c r="DG243">
        <f>+Tabla31011704[[#This Row],[Longitud de eje]]*DB243</f>
        <v>0</v>
      </c>
      <c r="DH243"/>
      <c r="DJ243"/>
      <c r="DK243"/>
      <c r="DL243"/>
      <c r="DM243"/>
      <c r="DN243">
        <f>+Tabla3101170411[[#This Row],[Longitud de eje]]*DI243</f>
        <v>0</v>
      </c>
      <c r="DO243"/>
      <c r="DQ243"/>
      <c r="DR243"/>
      <c r="DS243"/>
      <c r="DT243"/>
      <c r="DU243">
        <f>+Tabla3101170411120[[#This Row],[Longitud de eje]]*DP243</f>
        <v>0</v>
      </c>
      <c r="DV243"/>
      <c r="DX243"/>
      <c r="DY243"/>
      <c r="DZ243"/>
      <c r="EA243"/>
      <c r="EB243">
        <f>+Tabla3101170411120122[[#This Row],[Longitud de eje]]*DW243</f>
        <v>0</v>
      </c>
      <c r="EC243"/>
      <c r="EE243"/>
      <c r="EF243"/>
      <c r="EG243"/>
      <c r="EH243"/>
      <c r="EI243"/>
      <c r="EJ243"/>
      <c r="EK243"/>
      <c r="EM243"/>
      <c r="EN243"/>
      <c r="EO243"/>
      <c r="EP243"/>
      <c r="EQ243"/>
      <c r="ER243"/>
      <c r="ES243"/>
      <c r="EU243"/>
      <c r="EV243"/>
      <c r="EW243"/>
      <c r="EX243"/>
      <c r="EY243"/>
      <c r="EZ243"/>
      <c r="FA243"/>
      <c r="FC243"/>
      <c r="FD243"/>
      <c r="FE243"/>
      <c r="FF243"/>
      <c r="FG243"/>
      <c r="FH243"/>
      <c r="FI243"/>
      <c r="FK243"/>
      <c r="FL243"/>
      <c r="FM243"/>
      <c r="FN243"/>
      <c r="FO243"/>
      <c r="FP243"/>
      <c r="FQ243"/>
      <c r="FS243"/>
      <c r="FT243"/>
      <c r="FU243"/>
      <c r="FV243"/>
      <c r="FW243"/>
      <c r="FX243"/>
      <c r="FY243"/>
      <c r="GA243"/>
      <c r="GB243"/>
      <c r="GC243"/>
      <c r="GD243"/>
      <c r="GE243"/>
      <c r="GF243"/>
      <c r="GG243"/>
      <c r="GI243"/>
      <c r="GJ243"/>
      <c r="GK243"/>
      <c r="GL243"/>
      <c r="GM243"/>
      <c r="GN243"/>
      <c r="GO243"/>
      <c r="YK243"/>
      <c r="YL243"/>
      <c r="YM243"/>
      <c r="YN243"/>
      <c r="YO243"/>
      <c r="AFI243"/>
      <c r="AFJ243"/>
      <c r="AFK243"/>
      <c r="AFL243"/>
      <c r="AFM243"/>
      <c r="AFN243" t="e">
        <f>+Tabla578914151634353637383940414243444546474849505152535560626467[[#This Row],[Recuento]]*#REF!</f>
        <v>#REF!</v>
      </c>
      <c r="AFO243" s="36"/>
    </row>
    <row r="244" spans="75:847" x14ac:dyDescent="0.25">
      <c r="BW244"/>
      <c r="BX244"/>
      <c r="BY244"/>
      <c r="BZ244"/>
      <c r="CA244"/>
      <c r="CB244"/>
      <c r="CE244"/>
      <c r="CF244"/>
      <c r="CG244"/>
      <c r="CH244"/>
      <c r="CI244"/>
      <c r="CJ244"/>
      <c r="CK244"/>
      <c r="CM244"/>
      <c r="CN244"/>
      <c r="CO244"/>
      <c r="CP244"/>
      <c r="CQ244"/>
      <c r="CR244"/>
      <c r="CU244"/>
      <c r="CV244"/>
      <c r="CW244"/>
      <c r="CX244"/>
      <c r="CY244"/>
      <c r="CZ244"/>
      <c r="DA244"/>
      <c r="DC244"/>
      <c r="DD244"/>
      <c r="DE244"/>
      <c r="DF244"/>
      <c r="DG244">
        <f>+Tabla31011704[[#This Row],[Longitud de eje]]*DB244</f>
        <v>0</v>
      </c>
      <c r="DH244"/>
      <c r="DJ244"/>
      <c r="DK244"/>
      <c r="DL244"/>
      <c r="DM244"/>
      <c r="DN244">
        <f>+Tabla3101170411[[#This Row],[Longitud de eje]]*DI244</f>
        <v>0</v>
      </c>
      <c r="DO244"/>
      <c r="DQ244"/>
      <c r="DR244"/>
      <c r="DS244"/>
      <c r="DT244"/>
      <c r="DU244">
        <f>+Tabla3101170411120[[#This Row],[Longitud de eje]]*DP244</f>
        <v>0</v>
      </c>
      <c r="DV244"/>
      <c r="DX244"/>
      <c r="DY244"/>
      <c r="DZ244"/>
      <c r="EA244"/>
      <c r="EB244">
        <f>+Tabla3101170411120122[[#This Row],[Longitud de eje]]*DW244</f>
        <v>0</v>
      </c>
      <c r="EC244"/>
      <c r="EE244"/>
      <c r="EF244"/>
      <c r="EG244"/>
      <c r="EH244"/>
      <c r="EI244"/>
      <c r="EJ244"/>
      <c r="EK244"/>
      <c r="EM244"/>
      <c r="EN244"/>
      <c r="EO244"/>
      <c r="EP244"/>
      <c r="EQ244"/>
      <c r="ER244"/>
      <c r="ES244"/>
      <c r="EU244"/>
      <c r="EV244"/>
      <c r="EW244"/>
      <c r="EX244"/>
      <c r="EY244"/>
      <c r="EZ244"/>
      <c r="FA244"/>
      <c r="FC244"/>
      <c r="FD244"/>
      <c r="FE244"/>
      <c r="FF244"/>
      <c r="FG244"/>
      <c r="FH244"/>
      <c r="FI244"/>
      <c r="FK244"/>
      <c r="FL244"/>
      <c r="FM244"/>
      <c r="FN244"/>
      <c r="FO244"/>
      <c r="FP244"/>
      <c r="FQ244"/>
      <c r="FS244"/>
      <c r="FT244"/>
      <c r="FU244"/>
      <c r="FV244"/>
      <c r="FW244"/>
      <c r="FX244"/>
      <c r="FY244"/>
      <c r="GA244"/>
      <c r="GB244"/>
      <c r="GC244"/>
      <c r="GD244"/>
      <c r="GE244"/>
      <c r="GF244"/>
      <c r="GG244"/>
      <c r="GI244"/>
      <c r="GJ244"/>
      <c r="GK244"/>
      <c r="GL244"/>
      <c r="GM244"/>
      <c r="GN244"/>
      <c r="GO244"/>
      <c r="YK244"/>
      <c r="YL244"/>
      <c r="YM244"/>
      <c r="YN244"/>
      <c r="YO244"/>
      <c r="AFI244"/>
      <c r="AFJ244"/>
      <c r="AFK244"/>
      <c r="AFL244"/>
      <c r="AFM244"/>
      <c r="AFN244" t="e">
        <f>+Tabla578914151634353637383940414243444546474849505152535560626467[[#This Row],[Recuento]]*#REF!</f>
        <v>#REF!</v>
      </c>
      <c r="AFO244" s="36"/>
    </row>
    <row r="245" spans="75:847" x14ac:dyDescent="0.25">
      <c r="BW245"/>
      <c r="BX245"/>
      <c r="BY245"/>
      <c r="BZ245"/>
      <c r="CA245"/>
      <c r="CB245"/>
      <c r="CE245"/>
      <c r="CF245"/>
      <c r="CG245"/>
      <c r="CH245"/>
      <c r="CI245"/>
      <c r="CJ245"/>
      <c r="CK245"/>
      <c r="CM245"/>
      <c r="CN245"/>
      <c r="CO245"/>
      <c r="CP245"/>
      <c r="CQ245"/>
      <c r="CR245"/>
      <c r="CU245"/>
      <c r="CV245"/>
      <c r="CW245"/>
      <c r="CX245"/>
      <c r="CY245"/>
      <c r="CZ245"/>
      <c r="DA245"/>
      <c r="DC245"/>
      <c r="DD245"/>
      <c r="DE245"/>
      <c r="DF245"/>
      <c r="DG245">
        <f>+Tabla31011704[[#This Row],[Longitud de eje]]*DB245</f>
        <v>0</v>
      </c>
      <c r="DH245"/>
      <c r="DJ245"/>
      <c r="DK245"/>
      <c r="DL245"/>
      <c r="DM245"/>
      <c r="DN245">
        <f>+Tabla3101170411[[#This Row],[Longitud de eje]]*DI245</f>
        <v>0</v>
      </c>
      <c r="DO245"/>
      <c r="DQ245"/>
      <c r="DR245"/>
      <c r="DS245"/>
      <c r="DT245"/>
      <c r="DU245">
        <f>+Tabla3101170411120[[#This Row],[Longitud de eje]]*DP245</f>
        <v>0</v>
      </c>
      <c r="DV245"/>
      <c r="DX245"/>
      <c r="DY245"/>
      <c r="DZ245"/>
      <c r="EA245"/>
      <c r="EB245">
        <f>+Tabla3101170411120122[[#This Row],[Longitud de eje]]*DW245</f>
        <v>0</v>
      </c>
      <c r="EC245"/>
      <c r="EE245"/>
      <c r="EF245"/>
      <c r="EG245"/>
      <c r="EH245"/>
      <c r="EI245"/>
      <c r="EJ245"/>
      <c r="EK245"/>
      <c r="EM245"/>
      <c r="EN245"/>
      <c r="EO245"/>
      <c r="EP245"/>
      <c r="EQ245"/>
      <c r="ER245"/>
      <c r="ES245"/>
      <c r="EU245"/>
      <c r="EV245"/>
      <c r="EW245"/>
      <c r="EX245"/>
      <c r="EY245"/>
      <c r="EZ245"/>
      <c r="FA245"/>
      <c r="FC245"/>
      <c r="FD245"/>
      <c r="FE245"/>
      <c r="FF245"/>
      <c r="FG245"/>
      <c r="FH245"/>
      <c r="FI245"/>
      <c r="FK245"/>
      <c r="FL245"/>
      <c r="FM245"/>
      <c r="FN245"/>
      <c r="FO245"/>
      <c r="FP245"/>
      <c r="FQ245"/>
      <c r="FS245"/>
      <c r="FT245"/>
      <c r="FU245"/>
      <c r="FV245"/>
      <c r="FW245"/>
      <c r="FX245"/>
      <c r="FY245"/>
      <c r="GA245"/>
      <c r="GB245"/>
      <c r="GC245"/>
      <c r="GD245"/>
      <c r="GE245"/>
      <c r="GF245"/>
      <c r="GG245"/>
      <c r="GI245"/>
      <c r="GJ245"/>
      <c r="GK245"/>
      <c r="GL245"/>
      <c r="GM245"/>
      <c r="GN245"/>
      <c r="GO245"/>
      <c r="YK245"/>
      <c r="YL245"/>
      <c r="YM245"/>
      <c r="YN245"/>
      <c r="YO245"/>
      <c r="AFI245"/>
      <c r="AFJ245"/>
      <c r="AFK245"/>
      <c r="AFL245"/>
      <c r="AFM245"/>
      <c r="AFN245" t="e">
        <f>+Tabla578914151634353637383940414243444546474849505152535560626467[[#This Row],[Recuento]]*#REF!</f>
        <v>#REF!</v>
      </c>
      <c r="AFO245" s="36"/>
    </row>
    <row r="246" spans="75:847" x14ac:dyDescent="0.25">
      <c r="BW246"/>
      <c r="BX246"/>
      <c r="BY246"/>
      <c r="BZ246"/>
      <c r="CA246"/>
      <c r="CB246"/>
      <c r="CE246"/>
      <c r="CF246"/>
      <c r="CG246"/>
      <c r="CH246"/>
      <c r="CI246"/>
      <c r="CJ246"/>
      <c r="CK246"/>
      <c r="CM246"/>
      <c r="CN246"/>
      <c r="CO246"/>
      <c r="CP246"/>
      <c r="CQ246"/>
      <c r="CR246"/>
      <c r="CU246"/>
      <c r="CV246"/>
      <c r="CW246"/>
      <c r="CX246"/>
      <c r="CY246"/>
      <c r="CZ246"/>
      <c r="DA246"/>
      <c r="DC246"/>
      <c r="DD246"/>
      <c r="DE246"/>
      <c r="DF246"/>
      <c r="DG246">
        <f>+Tabla31011704[[#This Row],[Longitud de eje]]*DB246</f>
        <v>0</v>
      </c>
      <c r="DH246"/>
      <c r="DJ246"/>
      <c r="DK246"/>
      <c r="DL246"/>
      <c r="DM246"/>
      <c r="DN246">
        <f>+Tabla3101170411[[#This Row],[Longitud de eje]]*DI246</f>
        <v>0</v>
      </c>
      <c r="DO246"/>
      <c r="DQ246"/>
      <c r="DR246"/>
      <c r="DS246"/>
      <c r="DT246"/>
      <c r="DU246">
        <f>+Tabla3101170411120[[#This Row],[Longitud de eje]]*DP246</f>
        <v>0</v>
      </c>
      <c r="DV246"/>
      <c r="DX246"/>
      <c r="DY246"/>
      <c r="DZ246"/>
      <c r="EA246"/>
      <c r="EB246">
        <f>+Tabla3101170411120122[[#This Row],[Longitud de eje]]*DW246</f>
        <v>0</v>
      </c>
      <c r="EC246"/>
      <c r="EE246"/>
      <c r="EF246"/>
      <c r="EG246"/>
      <c r="EH246"/>
      <c r="EI246"/>
      <c r="EJ246"/>
      <c r="EK246"/>
      <c r="EM246"/>
      <c r="EN246"/>
      <c r="EO246"/>
      <c r="EP246"/>
      <c r="EQ246"/>
      <c r="ER246"/>
      <c r="ES246"/>
      <c r="EU246"/>
      <c r="EV246"/>
      <c r="EW246"/>
      <c r="EX246"/>
      <c r="EY246"/>
      <c r="EZ246"/>
      <c r="FA246"/>
      <c r="FC246"/>
      <c r="FD246"/>
      <c r="FE246"/>
      <c r="FF246"/>
      <c r="FG246"/>
      <c r="FH246"/>
      <c r="FI246"/>
      <c r="FK246"/>
      <c r="FL246"/>
      <c r="FM246"/>
      <c r="FN246"/>
      <c r="FO246"/>
      <c r="FP246"/>
      <c r="FQ246"/>
      <c r="FS246"/>
      <c r="FT246"/>
      <c r="FU246"/>
      <c r="FV246"/>
      <c r="FW246"/>
      <c r="FX246"/>
      <c r="FY246"/>
      <c r="GA246"/>
      <c r="GB246"/>
      <c r="GC246"/>
      <c r="GD246"/>
      <c r="GE246"/>
      <c r="GF246"/>
      <c r="GG246"/>
      <c r="GI246"/>
      <c r="GJ246"/>
      <c r="GK246"/>
      <c r="GL246"/>
      <c r="GM246"/>
      <c r="GN246"/>
      <c r="GO246"/>
      <c r="YK246"/>
      <c r="YL246"/>
      <c r="YM246"/>
      <c r="YN246"/>
      <c r="YO246"/>
      <c r="AFI246"/>
      <c r="AFJ246"/>
      <c r="AFK246"/>
      <c r="AFL246"/>
      <c r="AFM246"/>
      <c r="AFN246" t="e">
        <f>+Tabla578914151634353637383940414243444546474849505152535560626467[[#This Row],[Recuento]]*#REF!</f>
        <v>#REF!</v>
      </c>
      <c r="AFO246" s="36"/>
    </row>
    <row r="247" spans="75:847" x14ac:dyDescent="0.25">
      <c r="BW247"/>
      <c r="BX247"/>
      <c r="BY247"/>
      <c r="BZ247"/>
      <c r="CA247"/>
      <c r="CB247"/>
      <c r="CE247"/>
      <c r="CF247"/>
      <c r="CG247"/>
      <c r="CH247"/>
      <c r="CI247"/>
      <c r="CJ247"/>
      <c r="CK247"/>
      <c r="CM247"/>
      <c r="CN247"/>
      <c r="CO247"/>
      <c r="CP247"/>
      <c r="CQ247"/>
      <c r="CR247"/>
      <c r="CU247"/>
      <c r="CV247"/>
      <c r="CW247"/>
      <c r="CX247"/>
      <c r="CY247"/>
      <c r="CZ247"/>
      <c r="DA247"/>
      <c r="DC247"/>
      <c r="DD247"/>
      <c r="DE247"/>
      <c r="DF247"/>
      <c r="DG247">
        <f>+Tabla31011704[[#This Row],[Longitud de eje]]*DB247</f>
        <v>0</v>
      </c>
      <c r="DH247"/>
      <c r="DJ247"/>
      <c r="DK247"/>
      <c r="DL247"/>
      <c r="DM247"/>
      <c r="DN247">
        <f>+Tabla3101170411[[#This Row],[Longitud de eje]]*DI247</f>
        <v>0</v>
      </c>
      <c r="DO247"/>
      <c r="DQ247"/>
      <c r="DR247"/>
      <c r="DS247"/>
      <c r="DT247"/>
      <c r="DU247">
        <f>+Tabla3101170411120[[#This Row],[Longitud de eje]]*DP247</f>
        <v>0</v>
      </c>
      <c r="DV247"/>
      <c r="DX247"/>
      <c r="DY247"/>
      <c r="DZ247"/>
      <c r="EA247"/>
      <c r="EB247">
        <f>+Tabla3101170411120122[[#This Row],[Longitud de eje]]*DW247</f>
        <v>0</v>
      </c>
      <c r="EC247"/>
      <c r="EE247"/>
      <c r="EF247"/>
      <c r="EG247"/>
      <c r="EH247"/>
      <c r="EI247"/>
      <c r="EJ247"/>
      <c r="EK247"/>
      <c r="EM247"/>
      <c r="EN247"/>
      <c r="EO247"/>
      <c r="EP247"/>
      <c r="EQ247"/>
      <c r="ER247"/>
      <c r="ES247"/>
      <c r="EU247"/>
      <c r="EV247"/>
      <c r="EW247"/>
      <c r="EX247"/>
      <c r="EY247"/>
      <c r="EZ247"/>
      <c r="FA247"/>
      <c r="FC247"/>
      <c r="FD247"/>
      <c r="FE247"/>
      <c r="FF247"/>
      <c r="FG247"/>
      <c r="FH247"/>
      <c r="FI247"/>
      <c r="FK247"/>
      <c r="FL247"/>
      <c r="FM247"/>
      <c r="FN247"/>
      <c r="FO247"/>
      <c r="FP247"/>
      <c r="FQ247"/>
      <c r="FS247"/>
      <c r="FT247"/>
      <c r="FU247"/>
      <c r="FV247"/>
      <c r="FW247"/>
      <c r="FX247"/>
      <c r="FY247"/>
      <c r="GA247"/>
      <c r="GB247"/>
      <c r="GC247"/>
      <c r="GD247"/>
      <c r="GE247"/>
      <c r="GF247"/>
      <c r="GG247"/>
      <c r="GI247"/>
      <c r="GJ247"/>
      <c r="GK247"/>
      <c r="GL247"/>
      <c r="GM247"/>
      <c r="GN247"/>
      <c r="GO247"/>
      <c r="YK247"/>
      <c r="YL247"/>
      <c r="YM247"/>
      <c r="YN247"/>
      <c r="YO247"/>
      <c r="AFI247"/>
      <c r="AFJ247"/>
      <c r="AFK247"/>
      <c r="AFL247"/>
      <c r="AFM247"/>
      <c r="AFN247" t="e">
        <f>+Tabla578914151634353637383940414243444546474849505152535560626467[[#This Row],[Recuento]]*#REF!</f>
        <v>#REF!</v>
      </c>
      <c r="AFO247" s="35"/>
    </row>
    <row r="248" spans="75:847" x14ac:dyDescent="0.25">
      <c r="BW248"/>
      <c r="BX248"/>
      <c r="BY248"/>
      <c r="BZ248"/>
      <c r="CA248"/>
      <c r="CB248"/>
      <c r="CE248"/>
      <c r="CF248"/>
      <c r="CG248"/>
      <c r="CH248"/>
      <c r="CI248"/>
      <c r="CJ248"/>
      <c r="CK248"/>
      <c r="CM248"/>
      <c r="CN248"/>
      <c r="CO248"/>
      <c r="CP248"/>
      <c r="CQ248"/>
      <c r="CR248"/>
      <c r="CU248"/>
      <c r="CV248"/>
      <c r="CW248"/>
      <c r="CX248"/>
      <c r="CY248"/>
      <c r="CZ248"/>
      <c r="DA248"/>
      <c r="DC248"/>
      <c r="DD248"/>
      <c r="DE248"/>
      <c r="DF248"/>
      <c r="DG248">
        <f>+Tabla31011704[[#This Row],[Longitud de eje]]*DB248</f>
        <v>0</v>
      </c>
      <c r="DH248"/>
      <c r="DJ248"/>
      <c r="DK248"/>
      <c r="DL248"/>
      <c r="DM248"/>
      <c r="DN248">
        <f>+Tabla3101170411[[#This Row],[Longitud de eje]]*DI248</f>
        <v>0</v>
      </c>
      <c r="DO248"/>
      <c r="DQ248"/>
      <c r="DR248"/>
      <c r="DS248"/>
      <c r="DT248"/>
      <c r="DU248">
        <f>+Tabla3101170411120[[#This Row],[Longitud de eje]]*DP248</f>
        <v>0</v>
      </c>
      <c r="DV248"/>
      <c r="DX248"/>
      <c r="DY248"/>
      <c r="DZ248"/>
      <c r="EA248"/>
      <c r="EB248">
        <f>+Tabla3101170411120122[[#This Row],[Longitud de eje]]*DW248</f>
        <v>0</v>
      </c>
      <c r="EC248"/>
      <c r="EE248"/>
      <c r="EF248"/>
      <c r="EG248"/>
      <c r="EH248"/>
      <c r="EI248"/>
      <c r="EJ248"/>
      <c r="EK248"/>
      <c r="EM248"/>
      <c r="EN248"/>
      <c r="EO248"/>
      <c r="EP248"/>
      <c r="EQ248"/>
      <c r="ER248"/>
      <c r="ES248"/>
      <c r="EU248"/>
      <c r="EV248"/>
      <c r="EW248"/>
      <c r="EX248"/>
      <c r="EY248"/>
      <c r="EZ248"/>
      <c r="FA248"/>
      <c r="FC248"/>
      <c r="FD248"/>
      <c r="FE248"/>
      <c r="FF248"/>
      <c r="FG248"/>
      <c r="FH248"/>
      <c r="FI248"/>
      <c r="FK248"/>
      <c r="FL248"/>
      <c r="FM248"/>
      <c r="FN248"/>
      <c r="FO248"/>
      <c r="FP248"/>
      <c r="FQ248"/>
      <c r="FS248"/>
      <c r="FT248"/>
      <c r="FU248"/>
      <c r="FV248"/>
      <c r="FW248"/>
      <c r="FX248"/>
      <c r="FY248"/>
      <c r="GA248"/>
      <c r="GB248"/>
      <c r="GC248"/>
      <c r="GD248"/>
      <c r="GE248"/>
      <c r="GF248"/>
      <c r="GG248"/>
      <c r="GI248"/>
      <c r="GJ248"/>
      <c r="GK248"/>
      <c r="GL248"/>
      <c r="GM248"/>
      <c r="GN248"/>
      <c r="GO248"/>
      <c r="YK248"/>
      <c r="YL248"/>
      <c r="YM248"/>
      <c r="YN248"/>
      <c r="YO248"/>
      <c r="AFI248"/>
      <c r="AFJ248"/>
      <c r="AFK248"/>
      <c r="AFL248"/>
      <c r="AFM248"/>
      <c r="AFN248" t="e">
        <f>+Tabla578914151634353637383940414243444546474849505152535560626467[[#This Row],[Recuento]]*#REF!</f>
        <v>#REF!</v>
      </c>
      <c r="AFO248" s="36"/>
    </row>
    <row r="249" spans="75:847" x14ac:dyDescent="0.25">
      <c r="BW249"/>
      <c r="BX249"/>
      <c r="BY249"/>
      <c r="BZ249"/>
      <c r="CA249"/>
      <c r="CB249"/>
      <c r="CE249"/>
      <c r="CF249"/>
      <c r="CG249"/>
      <c r="CH249"/>
      <c r="CI249"/>
      <c r="CJ249"/>
      <c r="CK249"/>
      <c r="CM249"/>
      <c r="CN249"/>
      <c r="CO249"/>
      <c r="CP249"/>
      <c r="CQ249"/>
      <c r="CR249"/>
      <c r="CU249"/>
      <c r="CV249"/>
      <c r="CW249"/>
      <c r="CX249"/>
      <c r="CY249"/>
      <c r="CZ249"/>
      <c r="DA249"/>
      <c r="DC249"/>
      <c r="DD249"/>
      <c r="DE249"/>
      <c r="DF249"/>
      <c r="DG249">
        <f>+Tabla31011704[[#This Row],[Longitud de eje]]*DB249</f>
        <v>0</v>
      </c>
      <c r="DH249"/>
      <c r="DJ249"/>
      <c r="DK249"/>
      <c r="DL249"/>
      <c r="DM249"/>
      <c r="DN249">
        <f>+Tabla3101170411[[#This Row],[Longitud de eje]]*DI249</f>
        <v>0</v>
      </c>
      <c r="DO249"/>
      <c r="DQ249"/>
      <c r="DR249"/>
      <c r="DS249"/>
      <c r="DT249"/>
      <c r="DU249">
        <f>+Tabla3101170411120[[#This Row],[Longitud de eje]]*DP249</f>
        <v>0</v>
      </c>
      <c r="DV249"/>
      <c r="DX249"/>
      <c r="DY249"/>
      <c r="DZ249"/>
      <c r="EA249"/>
      <c r="EB249">
        <f>+Tabla3101170411120122[[#This Row],[Longitud de eje]]*DW249</f>
        <v>0</v>
      </c>
      <c r="EC249"/>
      <c r="EE249"/>
      <c r="EF249"/>
      <c r="EG249"/>
      <c r="EH249"/>
      <c r="EI249"/>
      <c r="EJ249"/>
      <c r="EK249"/>
      <c r="EM249"/>
      <c r="EN249"/>
      <c r="EO249"/>
      <c r="EP249"/>
      <c r="EQ249"/>
      <c r="ER249"/>
      <c r="ES249"/>
      <c r="EU249"/>
      <c r="EV249"/>
      <c r="EW249"/>
      <c r="EX249"/>
      <c r="EY249"/>
      <c r="EZ249"/>
      <c r="FA249"/>
      <c r="FC249"/>
      <c r="FD249"/>
      <c r="FE249"/>
      <c r="FF249"/>
      <c r="FG249"/>
      <c r="FH249"/>
      <c r="FI249"/>
      <c r="FK249"/>
      <c r="FL249"/>
      <c r="FM249"/>
      <c r="FN249"/>
      <c r="FO249"/>
      <c r="FP249"/>
      <c r="FQ249"/>
      <c r="FS249"/>
      <c r="FT249"/>
      <c r="FU249"/>
      <c r="FV249"/>
      <c r="FW249"/>
      <c r="FX249"/>
      <c r="FY249"/>
      <c r="GA249"/>
      <c r="GB249"/>
      <c r="GC249"/>
      <c r="GD249"/>
      <c r="GE249"/>
      <c r="GF249"/>
      <c r="GG249"/>
      <c r="GI249"/>
      <c r="GJ249"/>
      <c r="GK249"/>
      <c r="GL249"/>
      <c r="GM249"/>
      <c r="GN249"/>
      <c r="GO249"/>
      <c r="YK249"/>
      <c r="YL249"/>
      <c r="YM249"/>
      <c r="YN249"/>
      <c r="YO249"/>
      <c r="AFI249"/>
      <c r="AFJ249"/>
      <c r="AFK249"/>
      <c r="AFL249"/>
      <c r="AFM249"/>
      <c r="AFN249" t="e">
        <f>+Tabla578914151634353637383940414243444546474849505152535560626467[[#This Row],[Recuento]]*#REF!</f>
        <v>#REF!</v>
      </c>
      <c r="AFO249" s="36"/>
    </row>
    <row r="250" spans="75:847" x14ac:dyDescent="0.25">
      <c r="BW250"/>
      <c r="BX250"/>
      <c r="BY250"/>
      <c r="BZ250"/>
      <c r="CA250"/>
      <c r="CB250"/>
      <c r="CE250"/>
      <c r="CF250"/>
      <c r="CG250"/>
      <c r="CH250"/>
      <c r="CI250"/>
      <c r="CJ250"/>
      <c r="CK250"/>
      <c r="CM250"/>
      <c r="CN250"/>
      <c r="CO250"/>
      <c r="CP250"/>
      <c r="CQ250"/>
      <c r="CR250"/>
      <c r="CU250"/>
      <c r="CV250"/>
      <c r="CW250"/>
      <c r="CX250"/>
      <c r="CY250"/>
      <c r="CZ250"/>
      <c r="DA250"/>
      <c r="DC250"/>
      <c r="DD250"/>
      <c r="DE250"/>
      <c r="DF250"/>
      <c r="DG250">
        <f>+Tabla31011704[[#This Row],[Longitud de eje]]*DB250</f>
        <v>0</v>
      </c>
      <c r="DH250"/>
      <c r="DJ250"/>
      <c r="DK250"/>
      <c r="DL250"/>
      <c r="DM250"/>
      <c r="DN250">
        <f>+Tabla3101170411[[#This Row],[Longitud de eje]]*DI250</f>
        <v>0</v>
      </c>
      <c r="DO250"/>
      <c r="DQ250"/>
      <c r="DR250"/>
      <c r="DS250"/>
      <c r="DT250"/>
      <c r="DU250">
        <f>+Tabla3101170411120[[#This Row],[Longitud de eje]]*DP250</f>
        <v>0</v>
      </c>
      <c r="DV250"/>
      <c r="DX250"/>
      <c r="DY250"/>
      <c r="DZ250"/>
      <c r="EA250"/>
      <c r="EB250">
        <f>+Tabla3101170411120122[[#This Row],[Longitud de eje]]*DW250</f>
        <v>0</v>
      </c>
      <c r="EC250"/>
      <c r="EE250"/>
      <c r="EF250"/>
      <c r="EG250"/>
      <c r="EH250"/>
      <c r="EI250"/>
      <c r="EJ250"/>
      <c r="EK250"/>
      <c r="EM250"/>
      <c r="EN250"/>
      <c r="EO250"/>
      <c r="EP250"/>
      <c r="EQ250"/>
      <c r="ER250"/>
      <c r="ES250"/>
      <c r="EU250"/>
      <c r="EV250"/>
      <c r="EW250"/>
      <c r="EX250"/>
      <c r="EY250"/>
      <c r="EZ250"/>
      <c r="FA250"/>
      <c r="FC250"/>
      <c r="FD250"/>
      <c r="FE250"/>
      <c r="FF250"/>
      <c r="FG250"/>
      <c r="FH250"/>
      <c r="FI250"/>
      <c r="FK250"/>
      <c r="FL250"/>
      <c r="FM250"/>
      <c r="FN250"/>
      <c r="FO250"/>
      <c r="FP250"/>
      <c r="FQ250"/>
      <c r="FS250"/>
      <c r="FT250"/>
      <c r="FU250"/>
      <c r="FV250"/>
      <c r="FW250"/>
      <c r="FX250"/>
      <c r="FY250"/>
      <c r="GA250"/>
      <c r="GB250"/>
      <c r="GC250"/>
      <c r="GD250"/>
      <c r="GE250"/>
      <c r="GF250"/>
      <c r="GG250"/>
      <c r="GI250"/>
      <c r="GJ250"/>
      <c r="GK250"/>
      <c r="GL250"/>
      <c r="GM250"/>
      <c r="GN250"/>
      <c r="GO250"/>
      <c r="YK250"/>
      <c r="YL250"/>
      <c r="YM250"/>
      <c r="YN250"/>
      <c r="YO250"/>
      <c r="AFI250"/>
      <c r="AFJ250"/>
      <c r="AFK250"/>
      <c r="AFL250"/>
      <c r="AFM250"/>
      <c r="AFN250" t="e">
        <f>+Tabla578914151634353637383940414243444546474849505152535560626467[[#This Row],[Recuento]]*#REF!</f>
        <v>#REF!</v>
      </c>
      <c r="AFO250" s="36"/>
    </row>
    <row r="251" spans="75:847" x14ac:dyDescent="0.25">
      <c r="BW251"/>
      <c r="BX251"/>
      <c r="BY251"/>
      <c r="BZ251"/>
      <c r="CA251"/>
      <c r="CB251"/>
      <c r="CE251"/>
      <c r="CF251"/>
      <c r="CG251"/>
      <c r="CH251"/>
      <c r="CI251"/>
      <c r="CJ251"/>
      <c r="CK251"/>
      <c r="CM251"/>
      <c r="CN251"/>
      <c r="CO251"/>
      <c r="CP251"/>
      <c r="CQ251"/>
      <c r="CR251"/>
      <c r="CU251"/>
      <c r="CV251"/>
      <c r="CW251"/>
      <c r="CX251"/>
      <c r="CY251"/>
      <c r="CZ251"/>
      <c r="DA251"/>
      <c r="DC251"/>
      <c r="DD251"/>
      <c r="DE251"/>
      <c r="DF251"/>
      <c r="DG251">
        <f>+Tabla31011704[[#This Row],[Longitud de eje]]*DB251</f>
        <v>0</v>
      </c>
      <c r="DH251"/>
      <c r="DJ251"/>
      <c r="DK251"/>
      <c r="DL251"/>
      <c r="DM251"/>
      <c r="DN251">
        <f>+Tabla3101170411[[#This Row],[Longitud de eje]]*DI251</f>
        <v>0</v>
      </c>
      <c r="DO251"/>
      <c r="DQ251"/>
      <c r="DR251"/>
      <c r="DS251"/>
      <c r="DT251"/>
      <c r="DU251">
        <f>+Tabla3101170411120[[#This Row],[Longitud de eje]]*DP251</f>
        <v>0</v>
      </c>
      <c r="DV251"/>
      <c r="DX251"/>
      <c r="DY251"/>
      <c r="DZ251"/>
      <c r="EA251"/>
      <c r="EB251">
        <f>+Tabla3101170411120122[[#This Row],[Longitud de eje]]*DW251</f>
        <v>0</v>
      </c>
      <c r="EC251"/>
      <c r="EE251"/>
      <c r="EF251"/>
      <c r="EG251"/>
      <c r="EH251"/>
      <c r="EI251"/>
      <c r="EJ251"/>
      <c r="EK251"/>
      <c r="EM251"/>
      <c r="EN251"/>
      <c r="EO251"/>
      <c r="EP251"/>
      <c r="EQ251"/>
      <c r="ER251"/>
      <c r="ES251"/>
      <c r="EU251"/>
      <c r="EV251"/>
      <c r="EW251"/>
      <c r="EX251"/>
      <c r="EY251"/>
      <c r="EZ251"/>
      <c r="FA251"/>
      <c r="FC251"/>
      <c r="FD251"/>
      <c r="FE251"/>
      <c r="FF251"/>
      <c r="FG251"/>
      <c r="FH251"/>
      <c r="FI251"/>
      <c r="FK251"/>
      <c r="FL251"/>
      <c r="FM251"/>
      <c r="FN251"/>
      <c r="FO251"/>
      <c r="FP251"/>
      <c r="FQ251"/>
      <c r="FS251"/>
      <c r="FT251"/>
      <c r="FU251"/>
      <c r="FV251"/>
      <c r="FW251"/>
      <c r="FX251"/>
      <c r="FY251"/>
      <c r="GA251"/>
      <c r="GB251"/>
      <c r="GC251"/>
      <c r="GD251"/>
      <c r="GE251"/>
      <c r="GF251"/>
      <c r="GG251"/>
      <c r="GI251"/>
      <c r="GJ251"/>
      <c r="GK251"/>
      <c r="GL251"/>
      <c r="GM251"/>
      <c r="GN251"/>
      <c r="GO251"/>
      <c r="YK251"/>
      <c r="YL251"/>
      <c r="YM251"/>
      <c r="YN251"/>
      <c r="YO251"/>
      <c r="AFI251"/>
      <c r="AFJ251"/>
      <c r="AFK251"/>
      <c r="AFL251"/>
      <c r="AFM251"/>
      <c r="AFN251" t="e">
        <f>+Tabla578914151634353637383940414243444546474849505152535560626467[[#This Row],[Recuento]]*#REF!</f>
        <v>#REF!</v>
      </c>
      <c r="AFO251" s="36"/>
    </row>
    <row r="252" spans="75:847" x14ac:dyDescent="0.25">
      <c r="BW252"/>
      <c r="BX252"/>
      <c r="BY252"/>
      <c r="BZ252"/>
      <c r="CA252"/>
      <c r="CB252"/>
      <c r="CE252"/>
      <c r="CF252"/>
      <c r="CG252"/>
      <c r="CH252"/>
      <c r="CI252"/>
      <c r="CJ252"/>
      <c r="CK252"/>
      <c r="CM252"/>
      <c r="CN252"/>
      <c r="CO252"/>
      <c r="CP252"/>
      <c r="CQ252"/>
      <c r="CR252"/>
      <c r="CU252"/>
      <c r="CV252"/>
      <c r="CW252"/>
      <c r="CX252"/>
      <c r="CY252"/>
      <c r="CZ252"/>
      <c r="DA252"/>
      <c r="DC252"/>
      <c r="DD252"/>
      <c r="DE252"/>
      <c r="DF252"/>
      <c r="DG252">
        <f>+Tabla31011704[[#This Row],[Longitud de eje]]*DB252</f>
        <v>0</v>
      </c>
      <c r="DH252"/>
      <c r="DJ252"/>
      <c r="DK252"/>
      <c r="DL252"/>
      <c r="DM252"/>
      <c r="DN252">
        <f>+Tabla3101170411[[#This Row],[Longitud de eje]]*DI252</f>
        <v>0</v>
      </c>
      <c r="DO252"/>
      <c r="DQ252"/>
      <c r="DR252"/>
      <c r="DS252"/>
      <c r="DT252"/>
      <c r="DU252">
        <f>+Tabla3101170411120[[#This Row],[Longitud de eje]]*DP252</f>
        <v>0</v>
      </c>
      <c r="DV252"/>
      <c r="DX252"/>
      <c r="DY252"/>
      <c r="DZ252"/>
      <c r="EA252"/>
      <c r="EB252">
        <f>+Tabla3101170411120122[[#This Row],[Longitud de eje]]*DW252</f>
        <v>0</v>
      </c>
      <c r="EC252"/>
      <c r="EE252"/>
      <c r="EF252"/>
      <c r="EG252"/>
      <c r="EH252"/>
      <c r="EI252"/>
      <c r="EJ252"/>
      <c r="EK252"/>
      <c r="EM252"/>
      <c r="EN252"/>
      <c r="EO252"/>
      <c r="EP252"/>
      <c r="EQ252"/>
      <c r="ER252"/>
      <c r="ES252"/>
      <c r="EU252"/>
      <c r="EV252"/>
      <c r="EW252"/>
      <c r="EX252"/>
      <c r="EY252"/>
      <c r="EZ252"/>
      <c r="FA252"/>
      <c r="FC252"/>
      <c r="FD252"/>
      <c r="FE252"/>
      <c r="FF252"/>
      <c r="FG252"/>
      <c r="FH252"/>
      <c r="FI252"/>
      <c r="FK252"/>
      <c r="FL252"/>
      <c r="FM252"/>
      <c r="FN252"/>
      <c r="FO252"/>
      <c r="FP252"/>
      <c r="FQ252"/>
      <c r="FS252"/>
      <c r="FT252"/>
      <c r="FU252"/>
      <c r="FV252"/>
      <c r="FW252"/>
      <c r="FX252"/>
      <c r="FY252"/>
      <c r="GA252"/>
      <c r="GB252"/>
      <c r="GC252"/>
      <c r="GD252"/>
      <c r="GE252"/>
      <c r="GF252"/>
      <c r="GG252"/>
      <c r="GI252"/>
      <c r="GJ252"/>
      <c r="GK252"/>
      <c r="GL252"/>
      <c r="GM252"/>
      <c r="GN252"/>
      <c r="GO252"/>
      <c r="YK252"/>
      <c r="YL252"/>
      <c r="YM252"/>
      <c r="YN252"/>
      <c r="YO252"/>
      <c r="AFI252"/>
      <c r="AFJ252"/>
      <c r="AFK252"/>
      <c r="AFL252"/>
      <c r="AFM252"/>
      <c r="AFN252" t="e">
        <f>+Tabla578914151634353637383940414243444546474849505152535560626467[[#This Row],[Recuento]]*#REF!</f>
        <v>#REF!</v>
      </c>
      <c r="AFO252" s="36"/>
    </row>
    <row r="253" spans="75:847" x14ac:dyDescent="0.25">
      <c r="BW253"/>
      <c r="BX253"/>
      <c r="BY253"/>
      <c r="BZ253"/>
      <c r="CA253"/>
      <c r="CB253"/>
      <c r="CE253"/>
      <c r="CF253"/>
      <c r="CG253"/>
      <c r="CH253"/>
      <c r="CI253"/>
      <c r="CJ253"/>
      <c r="CK253"/>
      <c r="CM253"/>
      <c r="CN253"/>
      <c r="CO253"/>
      <c r="CP253"/>
      <c r="CQ253"/>
      <c r="CR253"/>
      <c r="CU253"/>
      <c r="CV253"/>
      <c r="CW253"/>
      <c r="CX253"/>
      <c r="CY253"/>
      <c r="CZ253"/>
      <c r="DA253"/>
      <c r="DC253"/>
      <c r="DD253"/>
      <c r="DE253"/>
      <c r="DF253"/>
      <c r="DG253">
        <f>+Tabla31011704[[#This Row],[Longitud de eje]]*DB253</f>
        <v>0</v>
      </c>
      <c r="DH253"/>
      <c r="DJ253"/>
      <c r="DK253"/>
      <c r="DL253"/>
      <c r="DM253"/>
      <c r="DN253">
        <f>+Tabla3101170411[[#This Row],[Longitud de eje]]*DI253</f>
        <v>0</v>
      </c>
      <c r="DO253"/>
      <c r="DQ253"/>
      <c r="DR253"/>
      <c r="DS253"/>
      <c r="DT253"/>
      <c r="DU253">
        <f>+Tabla3101170411120[[#This Row],[Longitud de eje]]*DP253</f>
        <v>0</v>
      </c>
      <c r="DV253"/>
      <c r="DX253"/>
      <c r="DY253"/>
      <c r="DZ253"/>
      <c r="EA253"/>
      <c r="EB253">
        <f>+Tabla3101170411120122[[#This Row],[Longitud de eje]]*DW253</f>
        <v>0</v>
      </c>
      <c r="EC253"/>
      <c r="EE253"/>
      <c r="EF253"/>
      <c r="EG253"/>
      <c r="EH253"/>
      <c r="EI253"/>
      <c r="EJ253"/>
      <c r="EK253"/>
      <c r="EM253"/>
      <c r="EN253"/>
      <c r="EO253"/>
      <c r="EP253"/>
      <c r="EQ253"/>
      <c r="ER253"/>
      <c r="ES253"/>
      <c r="EU253"/>
      <c r="EV253"/>
      <c r="EW253"/>
      <c r="EX253"/>
      <c r="EY253"/>
      <c r="EZ253"/>
      <c r="FA253"/>
      <c r="FC253"/>
      <c r="FD253"/>
      <c r="FE253"/>
      <c r="FF253"/>
      <c r="FG253"/>
      <c r="FH253"/>
      <c r="FI253"/>
      <c r="FK253"/>
      <c r="FL253"/>
      <c r="FM253"/>
      <c r="FN253"/>
      <c r="FO253"/>
      <c r="FP253"/>
      <c r="FQ253"/>
      <c r="FS253"/>
      <c r="FT253"/>
      <c r="FU253"/>
      <c r="FV253"/>
      <c r="FW253"/>
      <c r="FX253"/>
      <c r="FY253"/>
      <c r="GA253"/>
      <c r="GB253"/>
      <c r="GC253"/>
      <c r="GD253"/>
      <c r="GE253"/>
      <c r="GF253"/>
      <c r="GG253"/>
      <c r="GI253"/>
      <c r="GJ253"/>
      <c r="GK253"/>
      <c r="GL253"/>
      <c r="GM253"/>
      <c r="GN253"/>
      <c r="GO253"/>
      <c r="YK253"/>
      <c r="YL253"/>
      <c r="YM253"/>
      <c r="YN253"/>
      <c r="YO253"/>
      <c r="AFI253"/>
      <c r="AFJ253"/>
      <c r="AFK253"/>
      <c r="AFL253"/>
      <c r="AFM253"/>
      <c r="AFN253" t="e">
        <f>+Tabla578914151634353637383940414243444546474849505152535560626467[[#This Row],[Recuento]]*#REF!</f>
        <v>#REF!</v>
      </c>
      <c r="AFO253" s="36"/>
    </row>
    <row r="254" spans="75:847" x14ac:dyDescent="0.25">
      <c r="BW254"/>
      <c r="BX254"/>
      <c r="BY254"/>
      <c r="BZ254"/>
      <c r="CA254"/>
      <c r="CB254"/>
      <c r="CE254"/>
      <c r="CF254"/>
      <c r="CG254"/>
      <c r="CH254"/>
      <c r="CI254"/>
      <c r="CJ254"/>
      <c r="CK254"/>
      <c r="CM254"/>
      <c r="CN254"/>
      <c r="CO254"/>
      <c r="CP254"/>
      <c r="CQ254"/>
      <c r="CR254"/>
      <c r="CU254"/>
      <c r="CV254"/>
      <c r="CW254"/>
      <c r="CX254"/>
      <c r="CY254"/>
      <c r="CZ254"/>
      <c r="DA254"/>
      <c r="DC254"/>
      <c r="DD254"/>
      <c r="DE254"/>
      <c r="DF254"/>
      <c r="DG254"/>
      <c r="DH254"/>
      <c r="DJ254"/>
      <c r="DK254"/>
      <c r="DL254"/>
      <c r="DM254"/>
      <c r="DN254">
        <f>+Tabla3101170411[[#This Row],[Longitud de eje]]*DI254</f>
        <v>0</v>
      </c>
      <c r="DO254"/>
      <c r="DQ254"/>
      <c r="DR254"/>
      <c r="DS254"/>
      <c r="DT254"/>
      <c r="DU254">
        <f>+Tabla3101170411120[[#This Row],[Longitud de eje]]*DP254</f>
        <v>0</v>
      </c>
      <c r="DV254"/>
      <c r="DX254"/>
      <c r="DY254"/>
      <c r="DZ254"/>
      <c r="EA254"/>
      <c r="EB254">
        <f>+Tabla3101170411120122[[#This Row],[Longitud de eje]]*DW254</f>
        <v>0</v>
      </c>
      <c r="EC254"/>
      <c r="EE254"/>
      <c r="EF254"/>
      <c r="EG254"/>
      <c r="EH254"/>
      <c r="EI254"/>
      <c r="EJ254"/>
      <c r="EK254"/>
      <c r="EM254"/>
      <c r="EN254"/>
      <c r="EO254"/>
      <c r="EP254"/>
      <c r="EQ254"/>
      <c r="ER254"/>
      <c r="ES254"/>
      <c r="EU254"/>
      <c r="EV254"/>
      <c r="EW254"/>
      <c r="EX254"/>
      <c r="EY254"/>
      <c r="EZ254"/>
      <c r="FA254"/>
      <c r="FC254"/>
      <c r="FD254"/>
      <c r="FE254"/>
      <c r="FF254"/>
      <c r="FG254"/>
      <c r="FH254"/>
      <c r="FI254"/>
      <c r="FK254"/>
      <c r="FL254"/>
      <c r="FM254"/>
      <c r="FN254"/>
      <c r="FO254"/>
      <c r="FP254"/>
      <c r="FQ254"/>
      <c r="FS254"/>
      <c r="FT254"/>
      <c r="FU254"/>
      <c r="FV254"/>
      <c r="FW254"/>
      <c r="FX254"/>
      <c r="FY254"/>
      <c r="GA254"/>
      <c r="GB254"/>
      <c r="GC254"/>
      <c r="GD254"/>
      <c r="GE254"/>
      <c r="GF254"/>
      <c r="GG254"/>
      <c r="GI254"/>
      <c r="GJ254"/>
      <c r="GK254"/>
      <c r="GL254"/>
      <c r="GM254"/>
      <c r="GN254"/>
      <c r="GO254"/>
      <c r="YK254"/>
      <c r="YL254"/>
      <c r="YM254"/>
      <c r="YN254"/>
      <c r="YO254"/>
      <c r="AFI254"/>
      <c r="AFJ254"/>
      <c r="AFK254"/>
      <c r="AFL254"/>
      <c r="AFM254"/>
      <c r="AFN254" t="e">
        <f>+Tabla578914151634353637383940414243444546474849505152535560626467[[#This Row],[Recuento]]*#REF!</f>
        <v>#REF!</v>
      </c>
      <c r="AFO254" s="36"/>
    </row>
    <row r="255" spans="75:847" x14ac:dyDescent="0.25">
      <c r="BW255"/>
      <c r="BX255"/>
      <c r="BY255"/>
      <c r="BZ255"/>
      <c r="CA255"/>
      <c r="CB255"/>
      <c r="CE255"/>
      <c r="CF255"/>
      <c r="CG255"/>
      <c r="CH255"/>
      <c r="CI255"/>
      <c r="CJ255"/>
      <c r="CK255"/>
      <c r="CM255"/>
      <c r="CN255"/>
      <c r="CO255"/>
      <c r="CP255"/>
      <c r="CQ255"/>
      <c r="CR255"/>
      <c r="CU255"/>
      <c r="CV255"/>
      <c r="CW255"/>
      <c r="CX255"/>
      <c r="CY255"/>
      <c r="CZ255"/>
      <c r="DA255"/>
      <c r="DC255"/>
      <c r="DD255"/>
      <c r="DE255"/>
      <c r="DF255"/>
      <c r="DG255"/>
      <c r="DH255"/>
      <c r="DJ255"/>
      <c r="DK255"/>
      <c r="DL255"/>
      <c r="DM255"/>
      <c r="DN255">
        <f>+Tabla3101170411[[#This Row],[Longitud de eje]]*DI255</f>
        <v>0</v>
      </c>
      <c r="DO255"/>
      <c r="DQ255"/>
      <c r="DR255"/>
      <c r="DS255"/>
      <c r="DT255"/>
      <c r="DU255">
        <f>+Tabla3101170411120[[#This Row],[Longitud de eje]]*DP255</f>
        <v>0</v>
      </c>
      <c r="DV255"/>
      <c r="DX255"/>
      <c r="DY255"/>
      <c r="DZ255"/>
      <c r="EA255"/>
      <c r="EB255">
        <f>+Tabla3101170411120122[[#This Row],[Longitud de eje]]*DW255</f>
        <v>0</v>
      </c>
      <c r="EC255"/>
      <c r="EE255"/>
      <c r="EF255"/>
      <c r="EG255"/>
      <c r="EH255"/>
      <c r="EI255"/>
      <c r="EJ255"/>
      <c r="EK255"/>
      <c r="EM255"/>
      <c r="EN255"/>
      <c r="EO255"/>
      <c r="EP255"/>
      <c r="EQ255"/>
      <c r="ER255"/>
      <c r="ES255"/>
      <c r="EU255"/>
      <c r="EV255"/>
      <c r="EW255"/>
      <c r="EX255"/>
      <c r="EY255"/>
      <c r="EZ255"/>
      <c r="FA255"/>
      <c r="FC255"/>
      <c r="FD255"/>
      <c r="FE255"/>
      <c r="FF255"/>
      <c r="FG255"/>
      <c r="FH255"/>
      <c r="FI255"/>
      <c r="FK255"/>
      <c r="FL255"/>
      <c r="FM255"/>
      <c r="FN255"/>
      <c r="FO255"/>
      <c r="FP255"/>
      <c r="FQ255"/>
      <c r="FS255"/>
      <c r="FT255"/>
      <c r="FU255"/>
      <c r="FV255"/>
      <c r="FW255"/>
      <c r="FX255"/>
      <c r="FY255"/>
      <c r="GA255"/>
      <c r="GB255"/>
      <c r="GC255"/>
      <c r="GD255"/>
      <c r="GE255"/>
      <c r="GF255"/>
      <c r="GG255"/>
      <c r="GI255"/>
      <c r="GJ255"/>
      <c r="GK255"/>
      <c r="GL255"/>
      <c r="GM255"/>
      <c r="GN255"/>
      <c r="GO255"/>
      <c r="YK255"/>
      <c r="YL255"/>
      <c r="YM255"/>
      <c r="YN255"/>
      <c r="YO255"/>
      <c r="AFI255"/>
      <c r="AFJ255"/>
      <c r="AFK255"/>
      <c r="AFL255"/>
      <c r="AFM255"/>
      <c r="AFN255" t="e">
        <f>+Tabla578914151634353637383940414243444546474849505152535560626467[[#This Row],[Recuento]]*#REF!</f>
        <v>#REF!</v>
      </c>
      <c r="AFO255" s="36"/>
    </row>
    <row r="256" spans="75:847" x14ac:dyDescent="0.25">
      <c r="BW256"/>
      <c r="BX256"/>
      <c r="BY256"/>
      <c r="BZ256"/>
      <c r="CA256"/>
      <c r="CB256"/>
      <c r="CE256"/>
      <c r="CF256"/>
      <c r="CG256"/>
      <c r="CH256"/>
      <c r="CI256"/>
      <c r="CJ256"/>
      <c r="CK256"/>
      <c r="CM256"/>
      <c r="CN256"/>
      <c r="CO256"/>
      <c r="CP256"/>
      <c r="CQ256"/>
      <c r="CR256"/>
      <c r="CU256"/>
      <c r="CV256"/>
      <c r="CW256"/>
      <c r="CX256"/>
      <c r="CY256"/>
      <c r="CZ256"/>
      <c r="DA256"/>
      <c r="DC256"/>
      <c r="DD256"/>
      <c r="DE256"/>
      <c r="DF256"/>
      <c r="DG256"/>
      <c r="DH256"/>
      <c r="DJ256"/>
      <c r="DK256"/>
      <c r="DL256"/>
      <c r="DM256"/>
      <c r="DN256">
        <f>+Tabla3101170411[[#This Row],[Longitud de eje]]*DI256</f>
        <v>0</v>
      </c>
      <c r="DO256"/>
      <c r="DQ256"/>
      <c r="DR256"/>
      <c r="DS256"/>
      <c r="DT256"/>
      <c r="DU256">
        <f>+Tabla3101170411120[[#This Row],[Longitud de eje]]*DP256</f>
        <v>0</v>
      </c>
      <c r="DV256"/>
      <c r="DX256"/>
      <c r="DY256"/>
      <c r="DZ256"/>
      <c r="EA256"/>
      <c r="EB256">
        <f>+Tabla3101170411120122[[#This Row],[Longitud de eje]]*DW256</f>
        <v>0</v>
      </c>
      <c r="EC256"/>
      <c r="EE256"/>
      <c r="EF256"/>
      <c r="EG256"/>
      <c r="EH256"/>
      <c r="EI256"/>
      <c r="EJ256"/>
      <c r="EK256"/>
      <c r="EM256"/>
      <c r="EN256"/>
      <c r="EO256"/>
      <c r="EP256"/>
      <c r="EQ256"/>
      <c r="ER256"/>
      <c r="ES256"/>
      <c r="EU256"/>
      <c r="EV256"/>
      <c r="EW256"/>
      <c r="EX256"/>
      <c r="EY256"/>
      <c r="EZ256"/>
      <c r="FA256"/>
      <c r="FC256"/>
      <c r="FD256"/>
      <c r="FE256"/>
      <c r="FF256"/>
      <c r="FG256"/>
      <c r="FH256"/>
      <c r="FI256"/>
      <c r="FK256"/>
      <c r="FL256"/>
      <c r="FM256"/>
      <c r="FN256"/>
      <c r="FO256"/>
      <c r="FP256"/>
      <c r="FQ256"/>
      <c r="FS256"/>
      <c r="FT256"/>
      <c r="FU256"/>
      <c r="FV256"/>
      <c r="FW256"/>
      <c r="FX256"/>
      <c r="FY256"/>
      <c r="GA256"/>
      <c r="GB256"/>
      <c r="GC256"/>
      <c r="GD256"/>
      <c r="GE256"/>
      <c r="GF256"/>
      <c r="GG256"/>
      <c r="GI256"/>
      <c r="GJ256"/>
      <c r="GK256"/>
      <c r="GL256"/>
      <c r="GM256"/>
      <c r="GN256"/>
      <c r="GO256"/>
      <c r="YK256"/>
      <c r="YL256"/>
      <c r="YM256"/>
      <c r="YN256"/>
      <c r="YO256"/>
      <c r="AFI256"/>
      <c r="AFJ256"/>
      <c r="AFK256"/>
      <c r="AFL256"/>
      <c r="AFM256"/>
      <c r="AFN256" t="e">
        <f>+Tabla578914151634353637383940414243444546474849505152535560626467[[#This Row],[Recuento]]*#REF!</f>
        <v>#REF!</v>
      </c>
      <c r="AFO256" s="36"/>
    </row>
    <row r="257" spans="75:847" x14ac:dyDescent="0.25">
      <c r="BW257"/>
      <c r="BX257"/>
      <c r="BY257"/>
      <c r="BZ257"/>
      <c r="CA257"/>
      <c r="CB257"/>
      <c r="CE257"/>
      <c r="CF257"/>
      <c r="CG257"/>
      <c r="CH257"/>
      <c r="CI257"/>
      <c r="CJ257"/>
      <c r="CK257"/>
      <c r="CM257"/>
      <c r="CN257"/>
      <c r="CO257"/>
      <c r="CP257"/>
      <c r="CQ257"/>
      <c r="CR257"/>
      <c r="CU257"/>
      <c r="CV257"/>
      <c r="CW257"/>
      <c r="CX257"/>
      <c r="CY257"/>
      <c r="CZ257"/>
      <c r="DA257"/>
      <c r="DC257"/>
      <c r="DD257"/>
      <c r="DE257"/>
      <c r="DF257"/>
      <c r="DG257"/>
      <c r="DH257"/>
      <c r="DJ257"/>
      <c r="DK257"/>
      <c r="DL257"/>
      <c r="DM257"/>
      <c r="DN257">
        <f>+Tabla3101170411[[#This Row],[Longitud de eje]]*DI257</f>
        <v>0</v>
      </c>
      <c r="DO257"/>
      <c r="DQ257"/>
      <c r="DR257"/>
      <c r="DS257"/>
      <c r="DT257"/>
      <c r="DU257">
        <f>+Tabla3101170411120[[#This Row],[Longitud de eje]]*DP257</f>
        <v>0</v>
      </c>
      <c r="DV257"/>
      <c r="DX257"/>
      <c r="DY257"/>
      <c r="DZ257"/>
      <c r="EA257"/>
      <c r="EB257">
        <f>+Tabla3101170411120122[[#This Row],[Longitud de eje]]*DW257</f>
        <v>0</v>
      </c>
      <c r="EC257"/>
      <c r="EE257"/>
      <c r="EF257"/>
      <c r="EG257"/>
      <c r="EH257"/>
      <c r="EI257"/>
      <c r="EJ257"/>
      <c r="EK257"/>
      <c r="EM257"/>
      <c r="EN257"/>
      <c r="EO257"/>
      <c r="EP257"/>
      <c r="EQ257"/>
      <c r="ER257"/>
      <c r="ES257"/>
      <c r="EU257"/>
      <c r="EV257"/>
      <c r="EW257"/>
      <c r="EX257"/>
      <c r="EY257"/>
      <c r="EZ257"/>
      <c r="FA257"/>
      <c r="FC257"/>
      <c r="FD257"/>
      <c r="FE257"/>
      <c r="FF257"/>
      <c r="FG257"/>
      <c r="FH257"/>
      <c r="FI257"/>
      <c r="FK257"/>
      <c r="FL257"/>
      <c r="FM257"/>
      <c r="FN257"/>
      <c r="FO257"/>
      <c r="FP257"/>
      <c r="FQ257"/>
      <c r="FS257"/>
      <c r="FT257"/>
      <c r="FU257"/>
      <c r="FV257"/>
      <c r="FW257"/>
      <c r="FX257"/>
      <c r="FY257"/>
      <c r="GA257"/>
      <c r="GB257"/>
      <c r="GC257"/>
      <c r="GD257"/>
      <c r="GE257"/>
      <c r="GF257"/>
      <c r="GG257"/>
      <c r="GI257"/>
      <c r="GJ257"/>
      <c r="GK257"/>
      <c r="GL257"/>
      <c r="GM257"/>
      <c r="GN257"/>
      <c r="GO257"/>
      <c r="YK257"/>
      <c r="YL257"/>
      <c r="YM257"/>
      <c r="YN257"/>
      <c r="YO257"/>
      <c r="AFI257"/>
      <c r="AFJ257"/>
      <c r="AFK257"/>
      <c r="AFL257"/>
      <c r="AFM257"/>
      <c r="AFN257" t="e">
        <f>+Tabla578914151634353637383940414243444546474849505152535560626467[[#This Row],[Recuento]]*#REF!</f>
        <v>#REF!</v>
      </c>
      <c r="AFO257" s="36"/>
    </row>
    <row r="258" spans="75:847" x14ac:dyDescent="0.25">
      <c r="BW258"/>
      <c r="BX258"/>
      <c r="BY258"/>
      <c r="BZ258"/>
      <c r="CA258"/>
      <c r="CB258"/>
      <c r="CE258"/>
      <c r="CF258"/>
      <c r="CG258"/>
      <c r="CH258"/>
      <c r="CI258"/>
      <c r="CJ258"/>
      <c r="CK258"/>
      <c r="CM258"/>
      <c r="CN258"/>
      <c r="CO258"/>
      <c r="CP258"/>
      <c r="CQ258"/>
      <c r="CR258"/>
      <c r="CU258"/>
      <c r="CV258"/>
      <c r="CW258"/>
      <c r="CX258"/>
      <c r="CY258"/>
      <c r="CZ258"/>
      <c r="DA258"/>
      <c r="DC258"/>
      <c r="DD258"/>
      <c r="DE258"/>
      <c r="DF258"/>
      <c r="DG258"/>
      <c r="DH258"/>
      <c r="DJ258"/>
      <c r="DK258"/>
      <c r="DL258"/>
      <c r="DM258"/>
      <c r="DN258">
        <f>+Tabla3101170411[[#This Row],[Longitud de eje]]*DI258</f>
        <v>0</v>
      </c>
      <c r="DO258"/>
      <c r="DQ258"/>
      <c r="DR258"/>
      <c r="DS258"/>
      <c r="DT258"/>
      <c r="DU258">
        <f>+Tabla3101170411120[[#This Row],[Longitud de eje]]*DP258</f>
        <v>0</v>
      </c>
      <c r="DV258"/>
      <c r="DX258"/>
      <c r="DY258"/>
      <c r="DZ258"/>
      <c r="EA258"/>
      <c r="EB258">
        <f>+Tabla3101170411120122[[#This Row],[Longitud de eje]]*DW258</f>
        <v>0</v>
      </c>
      <c r="EC258"/>
      <c r="EE258"/>
      <c r="EF258"/>
      <c r="EG258"/>
      <c r="EH258"/>
      <c r="EI258"/>
      <c r="EJ258"/>
      <c r="EK258"/>
      <c r="EM258"/>
      <c r="EN258"/>
      <c r="EO258"/>
      <c r="EP258"/>
      <c r="EQ258"/>
      <c r="ER258"/>
      <c r="ES258"/>
      <c r="EU258"/>
      <c r="EV258"/>
      <c r="EW258"/>
      <c r="EX258"/>
      <c r="EY258"/>
      <c r="EZ258"/>
      <c r="FA258"/>
      <c r="FC258"/>
      <c r="FD258"/>
      <c r="FE258"/>
      <c r="FF258"/>
      <c r="FG258"/>
      <c r="FH258"/>
      <c r="FI258"/>
      <c r="FK258"/>
      <c r="FL258"/>
      <c r="FM258"/>
      <c r="FN258"/>
      <c r="FO258"/>
      <c r="FP258"/>
      <c r="FQ258"/>
      <c r="FS258"/>
      <c r="FT258"/>
      <c r="FU258"/>
      <c r="FV258"/>
      <c r="FW258"/>
      <c r="FX258"/>
      <c r="FY258"/>
      <c r="GA258"/>
      <c r="GB258"/>
      <c r="GC258"/>
      <c r="GD258"/>
      <c r="GE258"/>
      <c r="GF258"/>
      <c r="GG258"/>
      <c r="GI258"/>
      <c r="GJ258"/>
      <c r="GK258"/>
      <c r="GL258"/>
      <c r="GM258"/>
      <c r="GN258"/>
      <c r="GO258"/>
      <c r="YK258"/>
      <c r="YL258"/>
      <c r="YM258"/>
      <c r="YN258"/>
      <c r="YO258"/>
      <c r="AFI258"/>
      <c r="AFJ258"/>
      <c r="AFK258"/>
      <c r="AFL258"/>
      <c r="AFM258"/>
      <c r="AFN258" t="e">
        <f>+Tabla578914151634353637383940414243444546474849505152535560626467[[#This Row],[Recuento]]*#REF!</f>
        <v>#REF!</v>
      </c>
      <c r="AFO258" s="36"/>
    </row>
    <row r="259" spans="75:847" x14ac:dyDescent="0.25">
      <c r="BW259"/>
      <c r="BX259"/>
      <c r="BY259"/>
      <c r="BZ259"/>
      <c r="CA259"/>
      <c r="CB259"/>
      <c r="CE259"/>
      <c r="CF259"/>
      <c r="CG259"/>
      <c r="CH259"/>
      <c r="CI259"/>
      <c r="CJ259"/>
      <c r="CK259"/>
      <c r="CM259"/>
      <c r="CN259"/>
      <c r="CO259"/>
      <c r="CP259"/>
      <c r="CQ259"/>
      <c r="CR259"/>
      <c r="CU259"/>
      <c r="CV259"/>
      <c r="CW259"/>
      <c r="CX259"/>
      <c r="CY259"/>
      <c r="CZ259"/>
      <c r="DA259"/>
      <c r="DC259"/>
      <c r="DD259"/>
      <c r="DE259"/>
      <c r="DF259"/>
      <c r="DG259"/>
      <c r="DH259"/>
      <c r="DJ259"/>
      <c r="DK259"/>
      <c r="DL259"/>
      <c r="DM259"/>
      <c r="DN259">
        <f>+Tabla3101170411[[#This Row],[Longitud de eje]]*DI259</f>
        <v>0</v>
      </c>
      <c r="DO259"/>
      <c r="DQ259"/>
      <c r="DR259"/>
      <c r="DS259"/>
      <c r="DT259"/>
      <c r="DU259">
        <f>+Tabla3101170411120[[#This Row],[Longitud de eje]]*DP259</f>
        <v>0</v>
      </c>
      <c r="DV259"/>
      <c r="DX259"/>
      <c r="DY259"/>
      <c r="DZ259"/>
      <c r="EA259"/>
      <c r="EB259">
        <f>+Tabla3101170411120122[[#This Row],[Longitud de eje]]*DW259</f>
        <v>0</v>
      </c>
      <c r="EC259"/>
      <c r="EE259"/>
      <c r="EF259"/>
      <c r="EG259"/>
      <c r="EH259"/>
      <c r="EI259"/>
      <c r="EJ259"/>
      <c r="EK259"/>
      <c r="EM259"/>
      <c r="EN259"/>
      <c r="EO259"/>
      <c r="EP259"/>
      <c r="EQ259"/>
      <c r="ER259"/>
      <c r="ES259"/>
      <c r="EU259"/>
      <c r="EV259"/>
      <c r="EW259"/>
      <c r="EX259"/>
      <c r="EY259"/>
      <c r="EZ259"/>
      <c r="FA259"/>
      <c r="FC259"/>
      <c r="FD259"/>
      <c r="FE259"/>
      <c r="FF259"/>
      <c r="FG259"/>
      <c r="FH259"/>
      <c r="FI259"/>
      <c r="FK259"/>
      <c r="FL259"/>
      <c r="FM259"/>
      <c r="FN259"/>
      <c r="FO259"/>
      <c r="FP259"/>
      <c r="FQ259"/>
      <c r="FS259"/>
      <c r="FT259"/>
      <c r="FU259"/>
      <c r="FV259"/>
      <c r="FW259"/>
      <c r="FX259"/>
      <c r="FY259"/>
      <c r="GA259"/>
      <c r="GB259"/>
      <c r="GC259"/>
      <c r="GD259"/>
      <c r="GE259"/>
      <c r="GF259"/>
      <c r="GG259"/>
      <c r="GI259"/>
      <c r="GJ259"/>
      <c r="GK259"/>
      <c r="GL259"/>
      <c r="GM259"/>
      <c r="GN259"/>
      <c r="GO259"/>
      <c r="YK259"/>
      <c r="YL259"/>
      <c r="YM259"/>
      <c r="YN259"/>
      <c r="YO259"/>
      <c r="AFI259"/>
      <c r="AFJ259"/>
      <c r="AFK259"/>
      <c r="AFL259"/>
      <c r="AFM259"/>
      <c r="AFN259" t="e">
        <f>+Tabla578914151634353637383940414243444546474849505152535560626467[[#This Row],[Recuento]]*#REF!</f>
        <v>#REF!</v>
      </c>
      <c r="AFO259" s="36"/>
    </row>
    <row r="260" spans="75:847" x14ac:dyDescent="0.25">
      <c r="BW260"/>
      <c r="BX260"/>
      <c r="BY260"/>
      <c r="BZ260"/>
      <c r="CA260"/>
      <c r="CB260"/>
      <c r="CE260"/>
      <c r="CF260"/>
      <c r="CG260"/>
      <c r="CH260"/>
      <c r="CI260"/>
      <c r="CJ260"/>
      <c r="CK260"/>
      <c r="CM260"/>
      <c r="CN260"/>
      <c r="CO260"/>
      <c r="CP260"/>
      <c r="CQ260"/>
      <c r="CR260"/>
      <c r="CU260"/>
      <c r="CV260"/>
      <c r="CW260"/>
      <c r="CX260"/>
      <c r="CY260"/>
      <c r="CZ260"/>
      <c r="DA260"/>
      <c r="DC260"/>
      <c r="DD260"/>
      <c r="DE260"/>
      <c r="DF260"/>
      <c r="DG260"/>
      <c r="DH260"/>
      <c r="DJ260"/>
      <c r="DK260"/>
      <c r="DL260"/>
      <c r="DM260"/>
      <c r="DN260">
        <f>+Tabla3101170411[[#This Row],[Longitud de eje]]*DI260</f>
        <v>0</v>
      </c>
      <c r="DO260"/>
      <c r="DQ260"/>
      <c r="DR260"/>
      <c r="DS260"/>
      <c r="DT260"/>
      <c r="DU260">
        <f>+Tabla3101170411120[[#This Row],[Longitud de eje]]*DP260</f>
        <v>0</v>
      </c>
      <c r="DV260"/>
      <c r="DX260"/>
      <c r="DY260"/>
      <c r="DZ260"/>
      <c r="EA260"/>
      <c r="EB260">
        <f>+Tabla3101170411120122[[#This Row],[Longitud de eje]]*DW260</f>
        <v>0</v>
      </c>
      <c r="EC260"/>
      <c r="EE260"/>
      <c r="EF260"/>
      <c r="EG260"/>
      <c r="EH260"/>
      <c r="EI260"/>
      <c r="EJ260"/>
      <c r="EK260"/>
      <c r="EM260"/>
      <c r="EN260"/>
      <c r="EO260"/>
      <c r="EP260"/>
      <c r="EQ260"/>
      <c r="ER260"/>
      <c r="ES260"/>
      <c r="EU260"/>
      <c r="EV260"/>
      <c r="EW260"/>
      <c r="EX260"/>
      <c r="EY260"/>
      <c r="EZ260"/>
      <c r="FA260"/>
      <c r="FC260"/>
      <c r="FD260"/>
      <c r="FE260"/>
      <c r="FF260"/>
      <c r="FG260"/>
      <c r="FH260"/>
      <c r="FI260"/>
      <c r="FK260"/>
      <c r="FL260"/>
      <c r="FM260"/>
      <c r="FN260"/>
      <c r="FO260"/>
      <c r="FP260"/>
      <c r="FQ260"/>
      <c r="FS260"/>
      <c r="FT260"/>
      <c r="FU260"/>
      <c r="FV260"/>
      <c r="FW260"/>
      <c r="FX260"/>
      <c r="FY260"/>
      <c r="GA260"/>
      <c r="GB260"/>
      <c r="GC260"/>
      <c r="GD260"/>
      <c r="GE260"/>
      <c r="GF260"/>
      <c r="GG260"/>
      <c r="GI260"/>
      <c r="GJ260"/>
      <c r="GK260"/>
      <c r="GL260"/>
      <c r="GM260"/>
      <c r="GN260"/>
      <c r="GO260"/>
      <c r="YK260"/>
      <c r="YL260"/>
      <c r="YM260"/>
      <c r="YN260"/>
      <c r="YO260"/>
      <c r="AFI260"/>
      <c r="AFJ260"/>
      <c r="AFK260"/>
      <c r="AFL260"/>
      <c r="AFM260"/>
      <c r="AFN260" t="e">
        <f>+Tabla578914151634353637383940414243444546474849505152535560626467[[#This Row],[Recuento]]*#REF!</f>
        <v>#REF!</v>
      </c>
      <c r="AFO260" s="36"/>
    </row>
    <row r="261" spans="75:847" x14ac:dyDescent="0.25">
      <c r="BW261"/>
      <c r="BX261"/>
      <c r="BY261"/>
      <c r="BZ261"/>
      <c r="CA261"/>
      <c r="CB261"/>
      <c r="CE261"/>
      <c r="CF261"/>
      <c r="CG261"/>
      <c r="CH261"/>
      <c r="CI261"/>
      <c r="CJ261"/>
      <c r="CK261"/>
      <c r="CM261"/>
      <c r="CN261"/>
      <c r="CO261"/>
      <c r="CP261"/>
      <c r="CQ261"/>
      <c r="CR261"/>
      <c r="CU261"/>
      <c r="CV261"/>
      <c r="CW261"/>
      <c r="CX261"/>
      <c r="CY261"/>
      <c r="CZ261"/>
      <c r="DA261"/>
      <c r="DC261"/>
      <c r="DD261"/>
      <c r="DE261"/>
      <c r="DF261"/>
      <c r="DG261"/>
      <c r="DH261"/>
      <c r="DJ261"/>
      <c r="DK261"/>
      <c r="DL261"/>
      <c r="DM261"/>
      <c r="DN261">
        <f>+Tabla3101170411[[#This Row],[Longitud de eje]]*DI261</f>
        <v>0</v>
      </c>
      <c r="DO261"/>
      <c r="DQ261"/>
      <c r="DR261"/>
      <c r="DS261"/>
      <c r="DT261"/>
      <c r="DU261">
        <f>+Tabla3101170411120[[#This Row],[Longitud de eje]]*DP261</f>
        <v>0</v>
      </c>
      <c r="DV261"/>
      <c r="DX261"/>
      <c r="DY261"/>
      <c r="DZ261"/>
      <c r="EA261"/>
      <c r="EB261">
        <f>+Tabla3101170411120122[[#This Row],[Longitud de eje]]*DW261</f>
        <v>0</v>
      </c>
      <c r="EC261"/>
      <c r="EE261"/>
      <c r="EF261"/>
      <c r="EG261"/>
      <c r="EH261"/>
      <c r="EI261"/>
      <c r="EJ261"/>
      <c r="EK261"/>
      <c r="EM261"/>
      <c r="EN261"/>
      <c r="EO261"/>
      <c r="EP261"/>
      <c r="EQ261"/>
      <c r="ER261"/>
      <c r="ES261"/>
      <c r="EU261"/>
      <c r="EV261"/>
      <c r="EW261"/>
      <c r="EX261"/>
      <c r="EY261"/>
      <c r="EZ261"/>
      <c r="FA261"/>
      <c r="FC261"/>
      <c r="FD261"/>
      <c r="FE261"/>
      <c r="FF261"/>
      <c r="FG261"/>
      <c r="FH261"/>
      <c r="FI261"/>
      <c r="FK261"/>
      <c r="FL261"/>
      <c r="FM261"/>
      <c r="FN261"/>
      <c r="FO261"/>
      <c r="FP261"/>
      <c r="FQ261"/>
      <c r="FS261"/>
      <c r="FT261"/>
      <c r="FU261"/>
      <c r="FV261"/>
      <c r="FW261"/>
      <c r="FX261"/>
      <c r="FY261"/>
      <c r="GA261"/>
      <c r="GB261"/>
      <c r="GC261"/>
      <c r="GD261"/>
      <c r="GE261"/>
      <c r="GF261"/>
      <c r="GG261"/>
      <c r="GI261"/>
      <c r="GJ261"/>
      <c r="GK261"/>
      <c r="GL261"/>
      <c r="GM261"/>
      <c r="GN261"/>
      <c r="GO261"/>
      <c r="YK261"/>
      <c r="YL261"/>
      <c r="YM261"/>
      <c r="YN261"/>
      <c r="YO261"/>
      <c r="AFI261"/>
      <c r="AFJ261"/>
      <c r="AFK261"/>
      <c r="AFL261"/>
      <c r="AFM261"/>
      <c r="AFN261" t="e">
        <f>+Tabla578914151634353637383940414243444546474849505152535560626467[[#This Row],[Recuento]]*#REF!</f>
        <v>#REF!</v>
      </c>
      <c r="AFO261" s="36"/>
    </row>
    <row r="262" spans="75:847" x14ac:dyDescent="0.25">
      <c r="BW262"/>
      <c r="BX262"/>
      <c r="BY262"/>
      <c r="BZ262"/>
      <c r="CA262"/>
      <c r="CB262"/>
      <c r="CE262"/>
      <c r="CF262"/>
      <c r="CG262"/>
      <c r="CH262"/>
      <c r="CI262"/>
      <c r="CJ262"/>
      <c r="CK262"/>
      <c r="CM262"/>
      <c r="CN262"/>
      <c r="CO262"/>
      <c r="CP262"/>
      <c r="CQ262"/>
      <c r="CR262"/>
      <c r="CU262"/>
      <c r="CV262"/>
      <c r="CW262"/>
      <c r="CX262"/>
      <c r="CY262"/>
      <c r="CZ262"/>
      <c r="DA262"/>
      <c r="DC262"/>
      <c r="DD262"/>
      <c r="DE262"/>
      <c r="DF262"/>
      <c r="DG262"/>
      <c r="DH262"/>
      <c r="DJ262"/>
      <c r="DK262"/>
      <c r="DL262"/>
      <c r="DM262"/>
      <c r="DN262">
        <f>+Tabla3101170411[[#This Row],[Longitud de eje]]*DI262</f>
        <v>0</v>
      </c>
      <c r="DO262"/>
      <c r="DQ262"/>
      <c r="DR262"/>
      <c r="DS262"/>
      <c r="DT262"/>
      <c r="DU262">
        <f>+Tabla3101170411120[[#This Row],[Longitud de eje]]*DP262</f>
        <v>0</v>
      </c>
      <c r="DV262"/>
      <c r="DX262"/>
      <c r="DY262"/>
      <c r="DZ262"/>
      <c r="EA262"/>
      <c r="EB262">
        <f>+Tabla3101170411120122[[#This Row],[Longitud de eje]]*DW262</f>
        <v>0</v>
      </c>
      <c r="EC262"/>
      <c r="EE262"/>
      <c r="EF262"/>
      <c r="EG262"/>
      <c r="EH262"/>
      <c r="EI262"/>
      <c r="EJ262"/>
      <c r="EK262"/>
      <c r="EM262"/>
      <c r="EN262"/>
      <c r="EO262"/>
      <c r="EP262"/>
      <c r="EQ262"/>
      <c r="ER262"/>
      <c r="ES262"/>
      <c r="EU262"/>
      <c r="EV262"/>
      <c r="EW262"/>
      <c r="EX262"/>
      <c r="EY262"/>
      <c r="EZ262"/>
      <c r="FA262"/>
      <c r="FC262"/>
      <c r="FD262"/>
      <c r="FE262"/>
      <c r="FF262"/>
      <c r="FG262"/>
      <c r="FH262"/>
      <c r="FI262"/>
      <c r="FK262"/>
      <c r="FL262"/>
      <c r="FM262"/>
      <c r="FN262"/>
      <c r="FO262"/>
      <c r="FP262"/>
      <c r="FQ262"/>
      <c r="FS262"/>
      <c r="FT262"/>
      <c r="FU262"/>
      <c r="FV262"/>
      <c r="FW262"/>
      <c r="FX262"/>
      <c r="FY262"/>
      <c r="GA262"/>
      <c r="GB262"/>
      <c r="GC262"/>
      <c r="GD262"/>
      <c r="GE262"/>
      <c r="GF262"/>
      <c r="GG262"/>
      <c r="GI262"/>
      <c r="GJ262"/>
      <c r="GK262"/>
      <c r="GL262"/>
      <c r="GM262"/>
      <c r="GN262"/>
      <c r="GO262"/>
      <c r="YK262"/>
      <c r="YL262"/>
      <c r="YM262"/>
      <c r="YN262"/>
      <c r="YO262"/>
      <c r="AFI262"/>
      <c r="AFJ262"/>
      <c r="AFK262"/>
      <c r="AFL262"/>
      <c r="AFM262"/>
      <c r="AFN262" t="e">
        <f>+Tabla578914151634353637383940414243444546474849505152535560626467[[#This Row],[Recuento]]*#REF!</f>
        <v>#REF!</v>
      </c>
      <c r="AFO262" s="36"/>
    </row>
    <row r="263" spans="75:847" x14ac:dyDescent="0.25">
      <c r="BW263"/>
      <c r="BX263"/>
      <c r="BY263"/>
      <c r="BZ263"/>
      <c r="CA263"/>
      <c r="CB263"/>
      <c r="CE263"/>
      <c r="CF263"/>
      <c r="CG263"/>
      <c r="CH263"/>
      <c r="CI263"/>
      <c r="CJ263"/>
      <c r="CK263"/>
      <c r="CM263"/>
      <c r="CN263"/>
      <c r="CO263"/>
      <c r="CP263"/>
      <c r="CQ263"/>
      <c r="CR263"/>
      <c r="CU263"/>
      <c r="CV263"/>
      <c r="CW263"/>
      <c r="CX263"/>
      <c r="CY263"/>
      <c r="CZ263"/>
      <c r="DA263"/>
      <c r="DC263"/>
      <c r="DD263"/>
      <c r="DE263"/>
      <c r="DF263"/>
      <c r="DG263"/>
      <c r="DH263"/>
      <c r="DJ263"/>
      <c r="DK263"/>
      <c r="DL263"/>
      <c r="DM263"/>
      <c r="DN263">
        <f>+Tabla3101170411[[#This Row],[Longitud de eje]]*DI263</f>
        <v>0</v>
      </c>
      <c r="DO263"/>
      <c r="DQ263"/>
      <c r="DR263"/>
      <c r="DS263"/>
      <c r="DT263"/>
      <c r="DU263">
        <f>+Tabla3101170411120[[#This Row],[Longitud de eje]]*DP263</f>
        <v>0</v>
      </c>
      <c r="DV263"/>
      <c r="DX263"/>
      <c r="DY263"/>
      <c r="DZ263"/>
      <c r="EA263"/>
      <c r="EB263">
        <f>+Tabla3101170411120122[[#This Row],[Longitud de eje]]*DW263</f>
        <v>0</v>
      </c>
      <c r="EC263"/>
      <c r="EE263"/>
      <c r="EF263"/>
      <c r="EG263"/>
      <c r="EH263"/>
      <c r="EI263"/>
      <c r="EJ263"/>
      <c r="EK263"/>
      <c r="EM263"/>
      <c r="EN263"/>
      <c r="EO263"/>
      <c r="EP263"/>
      <c r="EQ263"/>
      <c r="ER263"/>
      <c r="ES263"/>
      <c r="EU263"/>
      <c r="EV263"/>
      <c r="EW263"/>
      <c r="EX263"/>
      <c r="EY263"/>
      <c r="EZ263"/>
      <c r="FA263"/>
      <c r="FC263"/>
      <c r="FD263"/>
      <c r="FE263"/>
      <c r="FF263"/>
      <c r="FG263"/>
      <c r="FH263"/>
      <c r="FI263"/>
      <c r="FK263"/>
      <c r="FL263"/>
      <c r="FM263"/>
      <c r="FN263"/>
      <c r="FO263"/>
      <c r="FP263"/>
      <c r="FQ263"/>
      <c r="FS263"/>
      <c r="FT263"/>
      <c r="FU263"/>
      <c r="FV263"/>
      <c r="FW263"/>
      <c r="FX263"/>
      <c r="FY263"/>
      <c r="GA263"/>
      <c r="GB263"/>
      <c r="GC263"/>
      <c r="GD263"/>
      <c r="GE263"/>
      <c r="GF263"/>
      <c r="GG263"/>
      <c r="GI263"/>
      <c r="GJ263"/>
      <c r="GK263"/>
      <c r="GL263"/>
      <c r="GM263"/>
      <c r="GN263"/>
      <c r="GO263"/>
      <c r="YK263"/>
      <c r="YL263"/>
      <c r="YM263"/>
      <c r="YN263"/>
      <c r="YO263"/>
      <c r="AFI263"/>
      <c r="AFJ263"/>
      <c r="AFK263"/>
      <c r="AFL263"/>
      <c r="AFM263"/>
      <c r="AFN263" t="e">
        <f>+Tabla578914151634353637383940414243444546474849505152535560626467[[#This Row],[Recuento]]*#REF!</f>
        <v>#REF!</v>
      </c>
      <c r="AFO263" s="36"/>
    </row>
    <row r="264" spans="75:847" x14ac:dyDescent="0.25">
      <c r="BW264"/>
      <c r="BX264"/>
      <c r="BY264"/>
      <c r="BZ264"/>
      <c r="CA264"/>
      <c r="CB264"/>
      <c r="CE264"/>
      <c r="CF264"/>
      <c r="CG264"/>
      <c r="CH264"/>
      <c r="CI264"/>
      <c r="CJ264"/>
      <c r="CK264"/>
      <c r="CM264"/>
      <c r="CN264"/>
      <c r="CO264"/>
      <c r="CP264"/>
      <c r="CQ264"/>
      <c r="CR264"/>
      <c r="CU264"/>
      <c r="CV264"/>
      <c r="CW264"/>
      <c r="CX264"/>
      <c r="CY264"/>
      <c r="CZ264"/>
      <c r="DA264"/>
      <c r="DC264"/>
      <c r="DD264"/>
      <c r="DE264"/>
      <c r="DF264"/>
      <c r="DG264"/>
      <c r="DH264"/>
      <c r="DJ264"/>
      <c r="DK264"/>
      <c r="DL264"/>
      <c r="DM264"/>
      <c r="DN264">
        <f>+Tabla3101170411[[#This Row],[Longitud de eje]]*DI264</f>
        <v>0</v>
      </c>
      <c r="DO264"/>
      <c r="DQ264"/>
      <c r="DR264"/>
      <c r="DS264"/>
      <c r="DT264"/>
      <c r="DU264">
        <f>+Tabla3101170411120[[#This Row],[Longitud de eje]]*DP264</f>
        <v>0</v>
      </c>
      <c r="DV264"/>
      <c r="DX264"/>
      <c r="DY264"/>
      <c r="DZ264"/>
      <c r="EA264"/>
      <c r="EB264">
        <f>+Tabla3101170411120122[[#This Row],[Longitud de eje]]*DW264</f>
        <v>0</v>
      </c>
      <c r="EC264"/>
      <c r="EE264"/>
      <c r="EF264"/>
      <c r="EG264"/>
      <c r="EH264"/>
      <c r="EI264"/>
      <c r="EJ264"/>
      <c r="EK264"/>
      <c r="EM264"/>
      <c r="EN264"/>
      <c r="EO264"/>
      <c r="EP264"/>
      <c r="EQ264"/>
      <c r="ER264"/>
      <c r="ES264"/>
      <c r="EU264"/>
      <c r="EV264"/>
      <c r="EW264"/>
      <c r="EX264"/>
      <c r="EY264"/>
      <c r="EZ264"/>
      <c r="FA264"/>
      <c r="FC264"/>
      <c r="FD264"/>
      <c r="FE264"/>
      <c r="FF264"/>
      <c r="FG264"/>
      <c r="FH264"/>
      <c r="FI264"/>
      <c r="FK264"/>
      <c r="FL264"/>
      <c r="FM264"/>
      <c r="FN264"/>
      <c r="FO264"/>
      <c r="FP264"/>
      <c r="FQ264"/>
      <c r="FS264"/>
      <c r="FT264"/>
      <c r="FU264"/>
      <c r="FV264"/>
      <c r="FW264"/>
      <c r="FX264"/>
      <c r="FY264"/>
      <c r="GA264"/>
      <c r="GB264"/>
      <c r="GC264"/>
      <c r="GD264"/>
      <c r="GE264"/>
      <c r="GF264"/>
      <c r="GG264"/>
      <c r="GI264"/>
      <c r="GJ264"/>
      <c r="GK264"/>
      <c r="GL264"/>
      <c r="GM264"/>
      <c r="GN264"/>
      <c r="GO264"/>
      <c r="YK264"/>
      <c r="YL264"/>
      <c r="YM264"/>
      <c r="YN264"/>
      <c r="YO264"/>
      <c r="AFI264"/>
      <c r="AFJ264"/>
      <c r="AFK264"/>
      <c r="AFL264"/>
      <c r="AFM264"/>
      <c r="AFN264" t="e">
        <f>+Tabla578914151634353637383940414243444546474849505152535560626467[[#This Row],[Recuento]]*#REF!</f>
        <v>#REF!</v>
      </c>
      <c r="AFO264" s="36"/>
    </row>
    <row r="265" spans="75:847" x14ac:dyDescent="0.25">
      <c r="BW265"/>
      <c r="BX265"/>
      <c r="BY265"/>
      <c r="BZ265"/>
      <c r="CA265"/>
      <c r="CB265"/>
      <c r="CE265"/>
      <c r="CF265"/>
      <c r="CG265"/>
      <c r="CH265"/>
      <c r="CI265"/>
      <c r="CJ265"/>
      <c r="CK265"/>
      <c r="CM265"/>
      <c r="CN265"/>
      <c r="CO265"/>
      <c r="CP265"/>
      <c r="CQ265"/>
      <c r="CR265"/>
      <c r="CU265"/>
      <c r="CV265"/>
      <c r="CW265"/>
      <c r="CX265"/>
      <c r="CY265"/>
      <c r="CZ265"/>
      <c r="DA265"/>
      <c r="DC265"/>
      <c r="DD265"/>
      <c r="DE265"/>
      <c r="DF265"/>
      <c r="DG265"/>
      <c r="DH265"/>
      <c r="DJ265"/>
      <c r="DK265"/>
      <c r="DL265"/>
      <c r="DM265"/>
      <c r="DN265">
        <f>+Tabla3101170411[[#This Row],[Longitud de eje]]*DI265</f>
        <v>0</v>
      </c>
      <c r="DO265"/>
      <c r="DQ265"/>
      <c r="DR265"/>
      <c r="DS265"/>
      <c r="DT265"/>
      <c r="DU265">
        <f>+Tabla3101170411120[[#This Row],[Longitud de eje]]*DP265</f>
        <v>0</v>
      </c>
      <c r="DV265"/>
      <c r="DX265"/>
      <c r="DY265"/>
      <c r="DZ265"/>
      <c r="EA265"/>
      <c r="EB265">
        <f>+Tabla3101170411120122[[#This Row],[Longitud de eje]]*DW265</f>
        <v>0</v>
      </c>
      <c r="EC265"/>
      <c r="EE265"/>
      <c r="EF265"/>
      <c r="EG265"/>
      <c r="EH265"/>
      <c r="EI265"/>
      <c r="EJ265"/>
      <c r="EK265"/>
      <c r="EM265"/>
      <c r="EN265"/>
      <c r="EO265"/>
      <c r="EP265"/>
      <c r="EQ265"/>
      <c r="ER265"/>
      <c r="ES265"/>
      <c r="EU265"/>
      <c r="EV265"/>
      <c r="EW265"/>
      <c r="EX265"/>
      <c r="EY265"/>
      <c r="EZ265"/>
      <c r="FA265"/>
      <c r="FC265"/>
      <c r="FD265"/>
      <c r="FE265"/>
      <c r="FF265"/>
      <c r="FG265"/>
      <c r="FH265"/>
      <c r="FI265"/>
      <c r="FK265"/>
      <c r="FL265"/>
      <c r="FM265"/>
      <c r="FN265"/>
      <c r="FO265"/>
      <c r="FP265"/>
      <c r="FQ265"/>
      <c r="FS265"/>
      <c r="FT265"/>
      <c r="FU265"/>
      <c r="FV265"/>
      <c r="FW265"/>
      <c r="FX265"/>
      <c r="FY265"/>
      <c r="GA265"/>
      <c r="GB265"/>
      <c r="GC265"/>
      <c r="GD265"/>
      <c r="GE265"/>
      <c r="GF265"/>
      <c r="GG265"/>
      <c r="GI265"/>
      <c r="GJ265"/>
      <c r="GK265"/>
      <c r="GL265"/>
      <c r="GM265"/>
      <c r="GN265"/>
      <c r="GO265"/>
      <c r="YK265"/>
      <c r="YL265"/>
      <c r="YM265"/>
      <c r="YN265"/>
      <c r="YO265"/>
      <c r="AFI265"/>
      <c r="AFJ265"/>
      <c r="AFK265"/>
      <c r="AFL265"/>
      <c r="AFM265"/>
      <c r="AFN265" t="e">
        <f>+Tabla578914151634353637383940414243444546474849505152535560626467[[#This Row],[Recuento]]*#REF!</f>
        <v>#REF!</v>
      </c>
      <c r="AFO265" s="36"/>
    </row>
    <row r="266" spans="75:847" x14ac:dyDescent="0.25">
      <c r="BW266"/>
      <c r="BX266"/>
      <c r="BY266"/>
      <c r="BZ266"/>
      <c r="CA266"/>
      <c r="CB266"/>
      <c r="CE266"/>
      <c r="CF266"/>
      <c r="CG266"/>
      <c r="CH266"/>
      <c r="CI266"/>
      <c r="CJ266"/>
      <c r="CK266"/>
      <c r="CM266"/>
      <c r="CN266"/>
      <c r="CO266"/>
      <c r="CP266"/>
      <c r="CQ266"/>
      <c r="CR266"/>
      <c r="CU266"/>
      <c r="CV266"/>
      <c r="CW266"/>
      <c r="CX266"/>
      <c r="CY266"/>
      <c r="CZ266"/>
      <c r="DA266"/>
      <c r="DC266"/>
      <c r="DD266"/>
      <c r="DE266"/>
      <c r="DF266"/>
      <c r="DG266"/>
      <c r="DH266"/>
      <c r="DJ266"/>
      <c r="DK266"/>
      <c r="DL266"/>
      <c r="DM266"/>
      <c r="DN266">
        <f>+Tabla3101170411[[#This Row],[Longitud de eje]]*DI266</f>
        <v>0</v>
      </c>
      <c r="DO266"/>
      <c r="DQ266"/>
      <c r="DR266"/>
      <c r="DS266"/>
      <c r="DT266"/>
      <c r="DU266">
        <f>+Tabla3101170411120[[#This Row],[Longitud de eje]]*DP266</f>
        <v>0</v>
      </c>
      <c r="DV266"/>
      <c r="DX266"/>
      <c r="DY266"/>
      <c r="DZ266"/>
      <c r="EA266"/>
      <c r="EB266">
        <f>+Tabla3101170411120122[[#This Row],[Longitud de eje]]*DW266</f>
        <v>0</v>
      </c>
      <c r="EC266"/>
      <c r="EE266"/>
      <c r="EF266"/>
      <c r="EG266"/>
      <c r="EH266"/>
      <c r="EI266"/>
      <c r="EJ266"/>
      <c r="EK266"/>
      <c r="EM266"/>
      <c r="EN266"/>
      <c r="EO266"/>
      <c r="EP266"/>
      <c r="EQ266"/>
      <c r="ER266"/>
      <c r="ES266"/>
      <c r="EU266"/>
      <c r="EV266"/>
      <c r="EW266"/>
      <c r="EX266"/>
      <c r="EY266"/>
      <c r="EZ266"/>
      <c r="FA266"/>
      <c r="FC266"/>
      <c r="FD266"/>
      <c r="FE266"/>
      <c r="FF266"/>
      <c r="FG266"/>
      <c r="FH266"/>
      <c r="FI266"/>
      <c r="FK266"/>
      <c r="FL266"/>
      <c r="FM266"/>
      <c r="FN266"/>
      <c r="FO266"/>
      <c r="FP266"/>
      <c r="FQ266"/>
      <c r="FS266"/>
      <c r="FT266"/>
      <c r="FU266"/>
      <c r="FV266"/>
      <c r="FW266"/>
      <c r="FX266"/>
      <c r="FY266"/>
      <c r="GA266"/>
      <c r="GB266"/>
      <c r="GC266"/>
      <c r="GD266"/>
      <c r="GE266"/>
      <c r="GF266"/>
      <c r="GG266"/>
      <c r="GI266"/>
      <c r="GJ266"/>
      <c r="GK266"/>
      <c r="GL266"/>
      <c r="GM266"/>
      <c r="GN266"/>
      <c r="GO266"/>
      <c r="YK266"/>
      <c r="YL266"/>
      <c r="YM266"/>
      <c r="YN266"/>
      <c r="YO266"/>
      <c r="AFI266"/>
      <c r="AFJ266"/>
      <c r="AFK266"/>
      <c r="AFL266"/>
      <c r="AFM266"/>
      <c r="AFN266" t="e">
        <f>+Tabla578914151634353637383940414243444546474849505152535560626467[[#This Row],[Recuento]]*#REF!</f>
        <v>#REF!</v>
      </c>
      <c r="AFO266" s="36"/>
    </row>
    <row r="267" spans="75:847" x14ac:dyDescent="0.25">
      <c r="BW267"/>
      <c r="BX267"/>
      <c r="BY267"/>
      <c r="BZ267"/>
      <c r="CA267"/>
      <c r="CB267"/>
      <c r="CE267"/>
      <c r="CF267"/>
      <c r="CG267"/>
      <c r="CH267"/>
      <c r="CI267"/>
      <c r="CJ267"/>
      <c r="CK267"/>
      <c r="CM267"/>
      <c r="CN267"/>
      <c r="CO267"/>
      <c r="CP267"/>
      <c r="CQ267"/>
      <c r="CR267"/>
      <c r="CU267"/>
      <c r="CV267"/>
      <c r="CW267"/>
      <c r="CX267"/>
      <c r="CY267"/>
      <c r="CZ267"/>
      <c r="DA267"/>
      <c r="DC267"/>
      <c r="DD267"/>
      <c r="DE267"/>
      <c r="DF267"/>
      <c r="DG267"/>
      <c r="DH267"/>
      <c r="DJ267"/>
      <c r="DK267"/>
      <c r="DL267"/>
      <c r="DM267"/>
      <c r="DN267">
        <f>+Tabla3101170411[[#This Row],[Longitud de eje]]*DI267</f>
        <v>0</v>
      </c>
      <c r="DO267"/>
      <c r="DQ267"/>
      <c r="DR267"/>
      <c r="DS267"/>
      <c r="DT267"/>
      <c r="DU267">
        <f>+Tabla3101170411120[[#This Row],[Longitud de eje]]*DP267</f>
        <v>0</v>
      </c>
      <c r="DV267"/>
      <c r="DX267"/>
      <c r="DY267"/>
      <c r="DZ267"/>
      <c r="EA267"/>
      <c r="EB267">
        <f>+Tabla3101170411120122[[#This Row],[Longitud de eje]]*DW267</f>
        <v>0</v>
      </c>
      <c r="EC267"/>
      <c r="EE267"/>
      <c r="EF267"/>
      <c r="EG267"/>
      <c r="EH267"/>
      <c r="EI267"/>
      <c r="EJ267"/>
      <c r="EK267"/>
      <c r="EM267"/>
      <c r="EN267"/>
      <c r="EO267"/>
      <c r="EP267"/>
      <c r="EQ267"/>
      <c r="ER267"/>
      <c r="ES267"/>
      <c r="EU267"/>
      <c r="EV267"/>
      <c r="EW267"/>
      <c r="EX267"/>
      <c r="EY267"/>
      <c r="EZ267"/>
      <c r="FA267"/>
      <c r="FC267"/>
      <c r="FD267"/>
      <c r="FE267"/>
      <c r="FF267"/>
      <c r="FG267"/>
      <c r="FH267"/>
      <c r="FI267"/>
      <c r="FK267"/>
      <c r="FL267"/>
      <c r="FM267"/>
      <c r="FN267"/>
      <c r="FO267"/>
      <c r="FP267"/>
      <c r="FQ267"/>
      <c r="FS267"/>
      <c r="FT267"/>
      <c r="FU267"/>
      <c r="FV267"/>
      <c r="FW267"/>
      <c r="FX267"/>
      <c r="FY267"/>
      <c r="GA267"/>
      <c r="GB267"/>
      <c r="GC267"/>
      <c r="GD267"/>
      <c r="GE267"/>
      <c r="GF267"/>
      <c r="GG267"/>
      <c r="GI267"/>
      <c r="GJ267"/>
      <c r="GK267"/>
      <c r="GL267"/>
      <c r="GM267"/>
      <c r="GN267"/>
      <c r="GO267"/>
      <c r="YK267"/>
      <c r="YL267"/>
      <c r="YM267"/>
      <c r="YN267"/>
      <c r="YO267"/>
      <c r="AFI267"/>
      <c r="AFJ267"/>
      <c r="AFK267"/>
      <c r="AFL267"/>
      <c r="AFM267"/>
      <c r="AFN267" t="e">
        <f>+Tabla578914151634353637383940414243444546474849505152535560626467[[#This Row],[Recuento]]*#REF!</f>
        <v>#REF!</v>
      </c>
      <c r="AFO267" s="36"/>
    </row>
    <row r="268" spans="75:847" x14ac:dyDescent="0.25">
      <c r="BW268"/>
      <c r="BX268"/>
      <c r="BY268"/>
      <c r="BZ268"/>
      <c r="CA268"/>
      <c r="CB268"/>
      <c r="CE268"/>
      <c r="CF268"/>
      <c r="CG268"/>
      <c r="CH268"/>
      <c r="CI268"/>
      <c r="CJ268"/>
      <c r="CK268"/>
      <c r="CM268"/>
      <c r="CN268"/>
      <c r="CO268"/>
      <c r="CP268"/>
      <c r="CQ268"/>
      <c r="CR268"/>
      <c r="CU268"/>
      <c r="CV268"/>
      <c r="CW268"/>
      <c r="CX268"/>
      <c r="CY268"/>
      <c r="CZ268"/>
      <c r="DA268"/>
      <c r="DC268"/>
      <c r="DD268"/>
      <c r="DE268"/>
      <c r="DF268"/>
      <c r="DG268"/>
      <c r="DH268"/>
      <c r="DJ268"/>
      <c r="DK268"/>
      <c r="DL268"/>
      <c r="DM268"/>
      <c r="DN268">
        <f>+Tabla3101170411[[#This Row],[Longitud de eje]]*DI268</f>
        <v>0</v>
      </c>
      <c r="DO268"/>
      <c r="DQ268"/>
      <c r="DR268"/>
      <c r="DS268"/>
      <c r="DT268"/>
      <c r="DU268">
        <f>+Tabla3101170411120[[#This Row],[Longitud de eje]]*DP268</f>
        <v>0</v>
      </c>
      <c r="DV268"/>
      <c r="DX268"/>
      <c r="DY268"/>
      <c r="DZ268"/>
      <c r="EA268"/>
      <c r="EB268">
        <f>+Tabla3101170411120122[[#This Row],[Longitud de eje]]*DW268</f>
        <v>0</v>
      </c>
      <c r="EC268"/>
      <c r="EE268"/>
      <c r="EF268"/>
      <c r="EG268"/>
      <c r="EH268"/>
      <c r="EI268"/>
      <c r="EJ268"/>
      <c r="EK268"/>
      <c r="EM268"/>
      <c r="EN268"/>
      <c r="EO268"/>
      <c r="EP268"/>
      <c r="EQ268"/>
      <c r="ER268"/>
      <c r="ES268"/>
      <c r="EU268"/>
      <c r="EV268"/>
      <c r="EW268"/>
      <c r="EX268"/>
      <c r="EY268"/>
      <c r="EZ268"/>
      <c r="FA268"/>
      <c r="FC268"/>
      <c r="FD268"/>
      <c r="FE268"/>
      <c r="FF268"/>
      <c r="FG268"/>
      <c r="FH268"/>
      <c r="FI268"/>
      <c r="FK268"/>
      <c r="FL268"/>
      <c r="FM268"/>
      <c r="FN268"/>
      <c r="FO268"/>
      <c r="FP268"/>
      <c r="FQ268"/>
      <c r="FS268"/>
      <c r="FT268"/>
      <c r="FU268"/>
      <c r="FV268"/>
      <c r="FW268"/>
      <c r="FX268"/>
      <c r="FY268"/>
      <c r="GA268"/>
      <c r="GB268"/>
      <c r="GC268"/>
      <c r="GD268"/>
      <c r="GE268"/>
      <c r="GF268"/>
      <c r="GG268"/>
      <c r="GI268"/>
      <c r="GJ268"/>
      <c r="GK268"/>
      <c r="GL268"/>
      <c r="GM268"/>
      <c r="GN268"/>
      <c r="GO268"/>
      <c r="YK268"/>
      <c r="YL268"/>
      <c r="YM268"/>
      <c r="YN268"/>
      <c r="YO268"/>
      <c r="AFI268"/>
      <c r="AFJ268"/>
      <c r="AFK268"/>
      <c r="AFL268"/>
      <c r="AFM268"/>
      <c r="AFN268" t="e">
        <f>+Tabla578914151634353637383940414243444546474849505152535560626467[[#This Row],[Recuento]]*#REF!</f>
        <v>#REF!</v>
      </c>
      <c r="AFO268" s="36"/>
    </row>
    <row r="269" spans="75:847" x14ac:dyDescent="0.25">
      <c r="BW269"/>
      <c r="BX269"/>
      <c r="BY269"/>
      <c r="BZ269"/>
      <c r="CA269"/>
      <c r="CB269"/>
      <c r="CE269"/>
      <c r="CF269"/>
      <c r="CG269"/>
      <c r="CH269"/>
      <c r="CI269"/>
      <c r="CJ269"/>
      <c r="CK269"/>
      <c r="CM269"/>
      <c r="CN269"/>
      <c r="CO269"/>
      <c r="CP269"/>
      <c r="CQ269"/>
      <c r="CR269"/>
      <c r="CU269"/>
      <c r="CV269"/>
      <c r="CW269"/>
      <c r="CX269"/>
      <c r="CY269"/>
      <c r="CZ269"/>
      <c r="DA269"/>
      <c r="DC269"/>
      <c r="DD269"/>
      <c r="DE269"/>
      <c r="DF269"/>
      <c r="DG269"/>
      <c r="DH269"/>
      <c r="DJ269"/>
      <c r="DK269"/>
      <c r="DL269"/>
      <c r="DM269"/>
      <c r="DN269">
        <f>+Tabla3101170411[[#This Row],[Longitud de eje]]*DI269</f>
        <v>0</v>
      </c>
      <c r="DO269"/>
      <c r="DQ269"/>
      <c r="DR269"/>
      <c r="DS269"/>
      <c r="DT269"/>
      <c r="DU269">
        <f>+Tabla3101170411120[[#This Row],[Longitud de eje]]*DP269</f>
        <v>0</v>
      </c>
      <c r="DV269"/>
      <c r="DX269"/>
      <c r="DY269"/>
      <c r="DZ269"/>
      <c r="EA269"/>
      <c r="EB269">
        <f>+Tabla3101170411120122[[#This Row],[Longitud de eje]]*DW269</f>
        <v>0</v>
      </c>
      <c r="EC269"/>
      <c r="EE269"/>
      <c r="EF269"/>
      <c r="EG269"/>
      <c r="EH269"/>
      <c r="EI269"/>
      <c r="EJ269"/>
      <c r="EK269"/>
      <c r="EM269"/>
      <c r="EN269"/>
      <c r="EO269"/>
      <c r="EP269"/>
      <c r="EQ269"/>
      <c r="ER269"/>
      <c r="ES269"/>
      <c r="EU269"/>
      <c r="EV269"/>
      <c r="EW269"/>
      <c r="EX269"/>
      <c r="EY269"/>
      <c r="EZ269"/>
      <c r="FA269"/>
      <c r="FC269"/>
      <c r="FD269"/>
      <c r="FE269"/>
      <c r="FF269"/>
      <c r="FG269"/>
      <c r="FH269"/>
      <c r="FI269"/>
      <c r="FK269"/>
      <c r="FL269"/>
      <c r="FM269"/>
      <c r="FN269"/>
      <c r="FO269"/>
      <c r="FP269"/>
      <c r="FQ269"/>
      <c r="FS269"/>
      <c r="FT269"/>
      <c r="FU269"/>
      <c r="FV269"/>
      <c r="FW269"/>
      <c r="FX269"/>
      <c r="FY269"/>
      <c r="GA269"/>
      <c r="GB269"/>
      <c r="GC269"/>
      <c r="GD269"/>
      <c r="GE269"/>
      <c r="GF269"/>
      <c r="GG269"/>
      <c r="GI269"/>
      <c r="GJ269"/>
      <c r="GK269"/>
      <c r="GL269"/>
      <c r="GM269"/>
      <c r="GN269"/>
      <c r="GO269"/>
      <c r="YK269"/>
      <c r="YL269"/>
      <c r="YM269"/>
      <c r="YN269"/>
      <c r="YO269"/>
      <c r="AFI269"/>
      <c r="AFJ269"/>
      <c r="AFK269"/>
      <c r="AFL269"/>
      <c r="AFM269"/>
      <c r="AFN269" t="e">
        <f>+Tabla578914151634353637383940414243444546474849505152535560626467[[#This Row],[Recuento]]*#REF!</f>
        <v>#REF!</v>
      </c>
      <c r="AFO269" s="36"/>
    </row>
    <row r="270" spans="75:847" x14ac:dyDescent="0.25">
      <c r="BW270"/>
      <c r="BX270"/>
      <c r="BY270"/>
      <c r="BZ270"/>
      <c r="CA270"/>
      <c r="CB270"/>
      <c r="CE270"/>
      <c r="CF270"/>
      <c r="CG270"/>
      <c r="CH270"/>
      <c r="CI270"/>
      <c r="CJ270"/>
      <c r="CK270"/>
      <c r="CM270"/>
      <c r="CN270"/>
      <c r="CO270"/>
      <c r="CP270"/>
      <c r="CQ270"/>
      <c r="CR270"/>
      <c r="CU270"/>
      <c r="CV270"/>
      <c r="CW270"/>
      <c r="CX270"/>
      <c r="CY270"/>
      <c r="CZ270"/>
      <c r="DA270"/>
      <c r="DC270"/>
      <c r="DD270"/>
      <c r="DE270"/>
      <c r="DF270"/>
      <c r="DG270"/>
      <c r="DH270"/>
      <c r="DJ270"/>
      <c r="DK270"/>
      <c r="DL270"/>
      <c r="DM270"/>
      <c r="DN270">
        <f>+Tabla3101170411[[#This Row],[Longitud de eje]]*DI270</f>
        <v>0</v>
      </c>
      <c r="DO270"/>
      <c r="DQ270"/>
      <c r="DR270"/>
      <c r="DS270"/>
      <c r="DT270"/>
      <c r="DU270">
        <f>+Tabla3101170411120[[#This Row],[Longitud de eje]]*DP270</f>
        <v>0</v>
      </c>
      <c r="DV270"/>
      <c r="DX270"/>
      <c r="DY270"/>
      <c r="DZ270"/>
      <c r="EA270"/>
      <c r="EB270">
        <f>+Tabla3101170411120122[[#This Row],[Longitud de eje]]*DW270</f>
        <v>0</v>
      </c>
      <c r="EC270"/>
      <c r="EE270"/>
      <c r="EF270"/>
      <c r="EG270"/>
      <c r="EH270"/>
      <c r="EI270"/>
      <c r="EJ270"/>
      <c r="EK270"/>
      <c r="EM270"/>
      <c r="EN270"/>
      <c r="EO270"/>
      <c r="EP270"/>
      <c r="EQ270"/>
      <c r="ER270"/>
      <c r="ES270"/>
      <c r="EU270"/>
      <c r="EV270"/>
      <c r="EW270"/>
      <c r="EX270"/>
      <c r="EY270"/>
      <c r="EZ270"/>
      <c r="FA270"/>
      <c r="FC270"/>
      <c r="FD270"/>
      <c r="FE270"/>
      <c r="FF270"/>
      <c r="FG270"/>
      <c r="FH270"/>
      <c r="FI270"/>
      <c r="FK270"/>
      <c r="FL270"/>
      <c r="FM270"/>
      <c r="FN270"/>
      <c r="FO270"/>
      <c r="FP270"/>
      <c r="FQ270"/>
      <c r="FS270"/>
      <c r="FT270"/>
      <c r="FU270"/>
      <c r="FV270"/>
      <c r="FW270"/>
      <c r="FX270"/>
      <c r="FY270"/>
      <c r="GA270"/>
      <c r="GB270"/>
      <c r="GC270"/>
      <c r="GD270"/>
      <c r="GE270"/>
      <c r="GF270"/>
      <c r="GG270"/>
      <c r="GI270"/>
      <c r="GJ270"/>
      <c r="GK270"/>
      <c r="GL270"/>
      <c r="GM270"/>
      <c r="GN270"/>
      <c r="GO270"/>
      <c r="YK270"/>
      <c r="YL270"/>
      <c r="YM270"/>
      <c r="YN270"/>
      <c r="YO270"/>
      <c r="AFI270"/>
      <c r="AFJ270"/>
      <c r="AFK270"/>
      <c r="AFL270"/>
      <c r="AFM270"/>
      <c r="AFN270" t="e">
        <f>+Tabla578914151634353637383940414243444546474849505152535560626467[[#This Row],[Recuento]]*#REF!</f>
        <v>#REF!</v>
      </c>
      <c r="AFO270" s="36"/>
    </row>
    <row r="271" spans="75:847" x14ac:dyDescent="0.25">
      <c r="BW271"/>
      <c r="BX271"/>
      <c r="BY271"/>
      <c r="BZ271"/>
      <c r="CA271"/>
      <c r="CB271"/>
      <c r="CE271"/>
      <c r="CF271"/>
      <c r="CG271"/>
      <c r="CH271"/>
      <c r="CI271"/>
      <c r="CJ271"/>
      <c r="CK271"/>
      <c r="CM271"/>
      <c r="CN271"/>
      <c r="CO271"/>
      <c r="CP271"/>
      <c r="CQ271"/>
      <c r="CR271"/>
      <c r="CU271"/>
      <c r="CV271"/>
      <c r="CW271"/>
      <c r="CX271"/>
      <c r="CY271"/>
      <c r="CZ271"/>
      <c r="DA271"/>
      <c r="DC271"/>
      <c r="DD271"/>
      <c r="DE271"/>
      <c r="DF271"/>
      <c r="DG271"/>
      <c r="DH271"/>
      <c r="DJ271"/>
      <c r="DK271"/>
      <c r="DL271"/>
      <c r="DM271"/>
      <c r="DN271">
        <f>+Tabla3101170411[[#This Row],[Longitud de eje]]*DI271</f>
        <v>0</v>
      </c>
      <c r="DO271"/>
      <c r="DQ271"/>
      <c r="DR271"/>
      <c r="DS271"/>
      <c r="DT271"/>
      <c r="DU271">
        <f>+Tabla3101170411120[[#This Row],[Longitud de eje]]*DP271</f>
        <v>0</v>
      </c>
      <c r="DV271"/>
      <c r="DX271"/>
      <c r="DY271"/>
      <c r="DZ271"/>
      <c r="EA271"/>
      <c r="EB271">
        <f>+Tabla3101170411120122[[#This Row],[Longitud de eje]]*DW271</f>
        <v>0</v>
      </c>
      <c r="EC271"/>
      <c r="EE271"/>
      <c r="EF271"/>
      <c r="EG271"/>
      <c r="EH271"/>
      <c r="EI271"/>
      <c r="EJ271"/>
      <c r="EK271"/>
      <c r="EM271"/>
      <c r="EN271"/>
      <c r="EO271"/>
      <c r="EP271"/>
      <c r="EQ271"/>
      <c r="ER271"/>
      <c r="ES271"/>
      <c r="EU271"/>
      <c r="EV271"/>
      <c r="EW271"/>
      <c r="EX271"/>
      <c r="EY271"/>
      <c r="EZ271"/>
      <c r="FA271"/>
      <c r="FC271"/>
      <c r="FD271"/>
      <c r="FE271"/>
      <c r="FF271"/>
      <c r="FG271"/>
      <c r="FH271"/>
      <c r="FI271"/>
      <c r="FK271"/>
      <c r="FL271"/>
      <c r="FM271"/>
      <c r="FN271"/>
      <c r="FO271"/>
      <c r="FP271"/>
      <c r="FQ271"/>
      <c r="FS271"/>
      <c r="FT271"/>
      <c r="FU271"/>
      <c r="FV271"/>
      <c r="FW271"/>
      <c r="FX271"/>
      <c r="FY271"/>
      <c r="GA271"/>
      <c r="GB271"/>
      <c r="GC271"/>
      <c r="GD271"/>
      <c r="GE271"/>
      <c r="GF271"/>
      <c r="GG271"/>
      <c r="GI271"/>
      <c r="GJ271"/>
      <c r="GK271"/>
      <c r="GL271"/>
      <c r="GM271"/>
      <c r="GN271"/>
      <c r="GO271"/>
      <c r="YK271"/>
      <c r="YL271"/>
      <c r="YM271"/>
      <c r="YN271"/>
      <c r="YO271"/>
      <c r="AFI271"/>
      <c r="AFJ271"/>
      <c r="AFK271"/>
      <c r="AFL271"/>
      <c r="AFM271"/>
      <c r="AFN271" t="e">
        <f>+Tabla578914151634353637383940414243444546474849505152535560626467[[#This Row],[Recuento]]*#REF!</f>
        <v>#REF!</v>
      </c>
      <c r="AFO271" s="36"/>
    </row>
    <row r="272" spans="75:847" x14ac:dyDescent="0.25">
      <c r="BW272"/>
      <c r="BX272"/>
      <c r="BY272"/>
      <c r="BZ272"/>
      <c r="CA272"/>
      <c r="CB272"/>
      <c r="CE272"/>
      <c r="CF272"/>
      <c r="CG272"/>
      <c r="CH272"/>
      <c r="CI272"/>
      <c r="CJ272"/>
      <c r="CK272"/>
      <c r="CM272"/>
      <c r="CN272"/>
      <c r="CO272"/>
      <c r="CP272"/>
      <c r="CQ272"/>
      <c r="CR272"/>
      <c r="CU272"/>
      <c r="CV272"/>
      <c r="CW272"/>
      <c r="CX272"/>
      <c r="CY272"/>
      <c r="CZ272"/>
      <c r="DA272"/>
      <c r="DC272"/>
      <c r="DD272"/>
      <c r="DE272"/>
      <c r="DF272"/>
      <c r="DG272"/>
      <c r="DH272"/>
      <c r="DJ272"/>
      <c r="DK272"/>
      <c r="DL272"/>
      <c r="DM272"/>
      <c r="DN272">
        <f>+Tabla3101170411[[#This Row],[Longitud de eje]]*DI272</f>
        <v>0</v>
      </c>
      <c r="DO272"/>
      <c r="DQ272"/>
      <c r="DR272"/>
      <c r="DS272"/>
      <c r="DT272"/>
      <c r="DU272">
        <f>+Tabla3101170411120[[#This Row],[Longitud de eje]]*DP272</f>
        <v>0</v>
      </c>
      <c r="DV272"/>
      <c r="DX272"/>
      <c r="DY272"/>
      <c r="DZ272"/>
      <c r="EA272"/>
      <c r="EB272">
        <f>+Tabla3101170411120122[[#This Row],[Longitud de eje]]*DW272</f>
        <v>0</v>
      </c>
      <c r="EC272"/>
      <c r="EE272"/>
      <c r="EF272"/>
      <c r="EG272"/>
      <c r="EH272"/>
      <c r="EI272"/>
      <c r="EJ272"/>
      <c r="EK272"/>
      <c r="EM272"/>
      <c r="EN272"/>
      <c r="EO272"/>
      <c r="EP272"/>
      <c r="EQ272"/>
      <c r="ER272"/>
      <c r="ES272"/>
      <c r="EU272"/>
      <c r="EV272"/>
      <c r="EW272"/>
      <c r="EX272"/>
      <c r="EY272"/>
      <c r="EZ272"/>
      <c r="FA272"/>
      <c r="FC272"/>
      <c r="FD272"/>
      <c r="FE272"/>
      <c r="FF272"/>
      <c r="FG272"/>
      <c r="FH272"/>
      <c r="FI272"/>
      <c r="FK272"/>
      <c r="FL272"/>
      <c r="FM272"/>
      <c r="FN272"/>
      <c r="FO272"/>
      <c r="FP272"/>
      <c r="FQ272"/>
      <c r="FS272"/>
      <c r="FT272"/>
      <c r="FU272"/>
      <c r="FV272"/>
      <c r="FW272"/>
      <c r="FX272"/>
      <c r="FY272"/>
      <c r="GA272"/>
      <c r="GB272"/>
      <c r="GC272"/>
      <c r="GD272"/>
      <c r="GE272"/>
      <c r="GF272"/>
      <c r="GG272"/>
      <c r="GI272"/>
      <c r="GJ272"/>
      <c r="GK272"/>
      <c r="GL272"/>
      <c r="GM272"/>
      <c r="GN272"/>
      <c r="GO272"/>
      <c r="YK272"/>
      <c r="YL272"/>
      <c r="YM272"/>
      <c r="YN272"/>
      <c r="YO272"/>
      <c r="AFI272"/>
      <c r="AFJ272"/>
      <c r="AFK272"/>
      <c r="AFL272"/>
      <c r="AFM272"/>
      <c r="AFN272" t="e">
        <f>+Tabla578914151634353637383940414243444546474849505152535560626467[[#This Row],[Recuento]]*#REF!</f>
        <v>#REF!</v>
      </c>
      <c r="AFO272" s="36"/>
    </row>
    <row r="273" spans="75:847" x14ac:dyDescent="0.25">
      <c r="BW273"/>
      <c r="BX273"/>
      <c r="BY273"/>
      <c r="BZ273"/>
      <c r="CA273"/>
      <c r="CB273"/>
      <c r="CE273"/>
      <c r="CF273"/>
      <c r="CG273"/>
      <c r="CH273"/>
      <c r="CI273"/>
      <c r="CJ273"/>
      <c r="CK273"/>
      <c r="CM273"/>
      <c r="CN273"/>
      <c r="CO273"/>
      <c r="CP273"/>
      <c r="CQ273"/>
      <c r="CR273"/>
      <c r="CU273"/>
      <c r="CV273"/>
      <c r="CW273"/>
      <c r="CX273"/>
      <c r="CY273"/>
      <c r="CZ273"/>
      <c r="DA273"/>
      <c r="DC273"/>
      <c r="DD273"/>
      <c r="DE273"/>
      <c r="DF273"/>
      <c r="DG273"/>
      <c r="DH273"/>
      <c r="DJ273"/>
      <c r="DK273"/>
      <c r="DL273"/>
      <c r="DM273"/>
      <c r="DN273">
        <f>+Tabla3101170411[[#This Row],[Longitud de eje]]*DI273</f>
        <v>0</v>
      </c>
      <c r="DO273"/>
      <c r="DQ273"/>
      <c r="DR273"/>
      <c r="DS273"/>
      <c r="DT273"/>
      <c r="DU273">
        <f>+Tabla3101170411120[[#This Row],[Longitud de eje]]*DP273</f>
        <v>0</v>
      </c>
      <c r="DV273"/>
      <c r="DX273"/>
      <c r="DY273"/>
      <c r="DZ273"/>
      <c r="EA273"/>
      <c r="EB273">
        <f>+Tabla3101170411120122[[#This Row],[Longitud de eje]]*DW273</f>
        <v>0</v>
      </c>
      <c r="EC273"/>
      <c r="EE273"/>
      <c r="EF273"/>
      <c r="EG273"/>
      <c r="EH273"/>
      <c r="EI273"/>
      <c r="EJ273"/>
      <c r="EK273"/>
      <c r="EM273"/>
      <c r="EN273"/>
      <c r="EO273"/>
      <c r="EP273"/>
      <c r="EQ273"/>
      <c r="ER273"/>
      <c r="ES273"/>
      <c r="EU273"/>
      <c r="EV273"/>
      <c r="EW273"/>
      <c r="EX273"/>
      <c r="EY273"/>
      <c r="EZ273"/>
      <c r="FA273"/>
      <c r="FC273"/>
      <c r="FD273"/>
      <c r="FE273"/>
      <c r="FF273"/>
      <c r="FG273"/>
      <c r="FH273"/>
      <c r="FI273"/>
      <c r="FK273"/>
      <c r="FL273"/>
      <c r="FM273"/>
      <c r="FN273"/>
      <c r="FO273"/>
      <c r="FP273"/>
      <c r="FQ273"/>
      <c r="FS273"/>
      <c r="FT273"/>
      <c r="FU273"/>
      <c r="FV273"/>
      <c r="FW273"/>
      <c r="FX273"/>
      <c r="FY273"/>
      <c r="GA273"/>
      <c r="GB273"/>
      <c r="GC273"/>
      <c r="GD273"/>
      <c r="GE273"/>
      <c r="GF273"/>
      <c r="GG273"/>
      <c r="GI273"/>
      <c r="GJ273"/>
      <c r="GK273"/>
      <c r="GL273"/>
      <c r="GM273"/>
      <c r="GN273"/>
      <c r="GO273"/>
      <c r="YK273"/>
      <c r="YL273"/>
      <c r="YM273"/>
      <c r="YN273"/>
      <c r="YO273"/>
      <c r="AFI273"/>
      <c r="AFJ273"/>
      <c r="AFK273"/>
      <c r="AFL273"/>
      <c r="AFM273"/>
      <c r="AFN273" t="e">
        <f>+Tabla578914151634353637383940414243444546474849505152535560626467[[#This Row],[Recuento]]*#REF!</f>
        <v>#REF!</v>
      </c>
      <c r="AFO273" s="35"/>
    </row>
    <row r="274" spans="75:847" x14ac:dyDescent="0.25">
      <c r="BW274"/>
      <c r="BX274"/>
      <c r="BY274"/>
      <c r="BZ274"/>
      <c r="CA274"/>
      <c r="CB274"/>
      <c r="CE274"/>
      <c r="CF274"/>
      <c r="CG274"/>
      <c r="CH274"/>
      <c r="CI274"/>
      <c r="CJ274"/>
      <c r="CK274"/>
      <c r="CM274"/>
      <c r="CN274"/>
      <c r="CO274"/>
      <c r="CP274"/>
      <c r="CQ274"/>
      <c r="CR274"/>
      <c r="CU274"/>
      <c r="CV274"/>
      <c r="CW274"/>
      <c r="CX274"/>
      <c r="CY274"/>
      <c r="CZ274"/>
      <c r="DA274"/>
      <c r="DC274"/>
      <c r="DD274"/>
      <c r="DE274"/>
      <c r="DF274"/>
      <c r="DG274"/>
      <c r="DH274"/>
      <c r="DJ274"/>
      <c r="DK274"/>
      <c r="DL274"/>
      <c r="DM274"/>
      <c r="DN274">
        <f>+Tabla3101170411[[#This Row],[Longitud de eje]]*DI274</f>
        <v>0</v>
      </c>
      <c r="DO274"/>
      <c r="DQ274"/>
      <c r="DR274"/>
      <c r="DS274"/>
      <c r="DT274"/>
      <c r="DU274">
        <f>+Tabla3101170411120[[#This Row],[Longitud de eje]]*DP274</f>
        <v>0</v>
      </c>
      <c r="DV274"/>
      <c r="DX274"/>
      <c r="DY274"/>
      <c r="DZ274"/>
      <c r="EA274"/>
      <c r="EB274">
        <f>+Tabla3101170411120122[[#This Row],[Longitud de eje]]*DW274</f>
        <v>0</v>
      </c>
      <c r="EC274"/>
      <c r="EE274"/>
      <c r="EF274"/>
      <c r="EG274"/>
      <c r="EH274"/>
      <c r="EI274"/>
      <c r="EJ274"/>
      <c r="EK274"/>
      <c r="EM274"/>
      <c r="EN274"/>
      <c r="EO274"/>
      <c r="EP274"/>
      <c r="EQ274"/>
      <c r="ER274"/>
      <c r="ES274"/>
      <c r="EU274"/>
      <c r="EV274"/>
      <c r="EW274"/>
      <c r="EX274"/>
      <c r="EY274"/>
      <c r="EZ274"/>
      <c r="FA274"/>
      <c r="FC274"/>
      <c r="FD274"/>
      <c r="FE274"/>
      <c r="FF274"/>
      <c r="FG274"/>
      <c r="FH274"/>
      <c r="FI274"/>
      <c r="FK274"/>
      <c r="FL274"/>
      <c r="FM274"/>
      <c r="FN274"/>
      <c r="FO274"/>
      <c r="FP274"/>
      <c r="FQ274"/>
      <c r="FS274"/>
      <c r="FT274"/>
      <c r="FU274"/>
      <c r="FV274"/>
      <c r="FW274"/>
      <c r="FX274"/>
      <c r="FY274"/>
      <c r="GA274"/>
      <c r="GB274"/>
      <c r="GC274"/>
      <c r="GD274"/>
      <c r="GE274"/>
      <c r="GF274"/>
      <c r="GG274"/>
      <c r="GI274"/>
      <c r="GJ274"/>
      <c r="GK274"/>
      <c r="GL274"/>
      <c r="GM274"/>
      <c r="GN274"/>
      <c r="GO274"/>
      <c r="YK274"/>
      <c r="YL274"/>
      <c r="YM274"/>
      <c r="YN274"/>
      <c r="YO274"/>
      <c r="AFI274"/>
      <c r="AFJ274"/>
      <c r="AFK274"/>
      <c r="AFL274"/>
      <c r="AFM274"/>
      <c r="AFN274" t="e">
        <f>+Tabla578914151634353637383940414243444546474849505152535560626467[[#This Row],[Recuento]]*#REF!</f>
        <v>#REF!</v>
      </c>
      <c r="AFO274" s="35"/>
    </row>
    <row r="275" spans="75:847" x14ac:dyDescent="0.25">
      <c r="BW275"/>
      <c r="BX275"/>
      <c r="BY275"/>
      <c r="BZ275"/>
      <c r="CA275"/>
      <c r="CB275"/>
      <c r="CE275"/>
      <c r="CF275"/>
      <c r="CG275"/>
      <c r="CH275"/>
      <c r="CI275"/>
      <c r="CJ275"/>
      <c r="CK275"/>
      <c r="CM275"/>
      <c r="CN275"/>
      <c r="CO275"/>
      <c r="CP275"/>
      <c r="CQ275"/>
      <c r="CR275"/>
      <c r="CU275"/>
      <c r="CV275"/>
      <c r="CW275"/>
      <c r="CX275"/>
      <c r="CY275"/>
      <c r="CZ275"/>
      <c r="DA275"/>
      <c r="DC275"/>
      <c r="DD275"/>
      <c r="DE275"/>
      <c r="DF275"/>
      <c r="DG275"/>
      <c r="DH275"/>
      <c r="DJ275"/>
      <c r="DK275"/>
      <c r="DL275"/>
      <c r="DM275"/>
      <c r="DN275">
        <f>+Tabla3101170411[[#This Row],[Longitud de eje]]*DI275</f>
        <v>0</v>
      </c>
      <c r="DO275"/>
      <c r="DQ275"/>
      <c r="DR275"/>
      <c r="DS275"/>
      <c r="DT275"/>
      <c r="DU275">
        <f>+Tabla3101170411120[[#This Row],[Longitud de eje]]*DP275</f>
        <v>0</v>
      </c>
      <c r="DV275"/>
      <c r="DX275"/>
      <c r="DY275"/>
      <c r="DZ275"/>
      <c r="EA275"/>
      <c r="EB275">
        <f>+Tabla3101170411120122[[#This Row],[Longitud de eje]]*DW275</f>
        <v>0</v>
      </c>
      <c r="EC275"/>
      <c r="EE275"/>
      <c r="EF275"/>
      <c r="EG275"/>
      <c r="EH275"/>
      <c r="EI275"/>
      <c r="EJ275"/>
      <c r="EK275"/>
      <c r="EM275"/>
      <c r="EN275"/>
      <c r="EO275"/>
      <c r="EP275"/>
      <c r="EQ275"/>
      <c r="ER275"/>
      <c r="ES275"/>
      <c r="EU275"/>
      <c r="EV275"/>
      <c r="EW275"/>
      <c r="EX275"/>
      <c r="EY275"/>
      <c r="EZ275"/>
      <c r="FA275"/>
      <c r="FC275"/>
      <c r="FD275"/>
      <c r="FE275"/>
      <c r="FF275"/>
      <c r="FG275"/>
      <c r="FH275"/>
      <c r="FI275"/>
      <c r="FK275"/>
      <c r="FL275"/>
      <c r="FM275"/>
      <c r="FN275"/>
      <c r="FO275"/>
      <c r="FP275"/>
      <c r="FQ275"/>
      <c r="FS275"/>
      <c r="FT275"/>
      <c r="FU275"/>
      <c r="FV275"/>
      <c r="FW275"/>
      <c r="FX275"/>
      <c r="FY275"/>
      <c r="GA275"/>
      <c r="GB275"/>
      <c r="GC275"/>
      <c r="GD275"/>
      <c r="GE275"/>
      <c r="GF275"/>
      <c r="GG275"/>
      <c r="GI275"/>
      <c r="GJ275"/>
      <c r="GK275"/>
      <c r="GL275"/>
      <c r="GM275"/>
      <c r="GN275"/>
      <c r="GO275"/>
      <c r="YK275"/>
      <c r="YL275"/>
      <c r="YM275"/>
      <c r="YN275"/>
      <c r="YO275"/>
      <c r="AFI275"/>
      <c r="AFJ275"/>
      <c r="AFK275"/>
      <c r="AFL275"/>
      <c r="AFM275"/>
      <c r="AFN275" t="e">
        <f>+Tabla578914151634353637383940414243444546474849505152535560626467[[#This Row],[Recuento]]*#REF!</f>
        <v>#REF!</v>
      </c>
      <c r="AFO275" s="36"/>
    </row>
    <row r="276" spans="75:847" x14ac:dyDescent="0.25">
      <c r="BW276"/>
      <c r="BX276"/>
      <c r="BY276"/>
      <c r="BZ276"/>
      <c r="CA276"/>
      <c r="CB276"/>
      <c r="CE276"/>
      <c r="CF276"/>
      <c r="CG276"/>
      <c r="CH276"/>
      <c r="CI276"/>
      <c r="CJ276"/>
      <c r="CK276"/>
      <c r="CM276"/>
      <c r="CN276"/>
      <c r="CO276"/>
      <c r="CP276"/>
      <c r="CQ276"/>
      <c r="CR276"/>
      <c r="CU276"/>
      <c r="CV276"/>
      <c r="CW276"/>
      <c r="CX276"/>
      <c r="CY276"/>
      <c r="CZ276"/>
      <c r="DA276"/>
      <c r="DC276"/>
      <c r="DD276"/>
      <c r="DE276"/>
      <c r="DF276"/>
      <c r="DG276"/>
      <c r="DH276"/>
      <c r="DJ276"/>
      <c r="DK276"/>
      <c r="DL276"/>
      <c r="DM276"/>
      <c r="DN276">
        <f>+Tabla3101170411[[#This Row],[Longitud de eje]]*DI276</f>
        <v>0</v>
      </c>
      <c r="DO276"/>
      <c r="DQ276"/>
      <c r="DR276"/>
      <c r="DS276"/>
      <c r="DT276"/>
      <c r="DU276">
        <f>+Tabla3101170411120[[#This Row],[Longitud de eje]]*DP276</f>
        <v>0</v>
      </c>
      <c r="DV276"/>
      <c r="DX276"/>
      <c r="DY276"/>
      <c r="DZ276"/>
      <c r="EA276"/>
      <c r="EB276">
        <f>+Tabla3101170411120122[[#This Row],[Longitud de eje]]*DW276</f>
        <v>0</v>
      </c>
      <c r="EC276"/>
      <c r="EE276"/>
      <c r="EF276"/>
      <c r="EG276"/>
      <c r="EH276"/>
      <c r="EI276"/>
      <c r="EJ276"/>
      <c r="EK276"/>
      <c r="EM276"/>
      <c r="EN276"/>
      <c r="EO276"/>
      <c r="EP276"/>
      <c r="EQ276"/>
      <c r="ER276"/>
      <c r="ES276"/>
      <c r="EU276"/>
      <c r="EV276"/>
      <c r="EW276"/>
      <c r="EX276"/>
      <c r="EY276"/>
      <c r="EZ276"/>
      <c r="FA276"/>
      <c r="FC276"/>
      <c r="FD276"/>
      <c r="FE276"/>
      <c r="FF276"/>
      <c r="FG276"/>
      <c r="FH276"/>
      <c r="FI276"/>
      <c r="FK276"/>
      <c r="FL276"/>
      <c r="FM276"/>
      <c r="FN276"/>
      <c r="FO276"/>
      <c r="FP276"/>
      <c r="FQ276"/>
      <c r="FS276"/>
      <c r="FT276"/>
      <c r="FU276"/>
      <c r="FV276"/>
      <c r="FW276"/>
      <c r="FX276"/>
      <c r="FY276"/>
      <c r="GA276"/>
      <c r="GB276"/>
      <c r="GC276"/>
      <c r="GD276"/>
      <c r="GE276"/>
      <c r="GF276"/>
      <c r="GG276"/>
      <c r="GI276"/>
      <c r="GJ276"/>
      <c r="GK276"/>
      <c r="GL276"/>
      <c r="GM276"/>
      <c r="GN276"/>
      <c r="GO276"/>
      <c r="YK276"/>
      <c r="YL276"/>
      <c r="YM276"/>
      <c r="YN276"/>
      <c r="YO276"/>
      <c r="AFI276"/>
      <c r="AFJ276"/>
      <c r="AFK276"/>
      <c r="AFL276"/>
      <c r="AFM276"/>
      <c r="AFN276" t="e">
        <f>+Tabla578914151634353637383940414243444546474849505152535560626467[[#This Row],[Recuento]]*#REF!</f>
        <v>#REF!</v>
      </c>
      <c r="AFO276" s="36"/>
    </row>
    <row r="277" spans="75:847" x14ac:dyDescent="0.25">
      <c r="BW277"/>
      <c r="BX277"/>
      <c r="BY277"/>
      <c r="BZ277"/>
      <c r="CA277"/>
      <c r="CB277"/>
      <c r="CE277"/>
      <c r="CF277"/>
      <c r="CG277"/>
      <c r="CH277"/>
      <c r="CI277"/>
      <c r="CJ277"/>
      <c r="CK277"/>
      <c r="CM277"/>
      <c r="CN277"/>
      <c r="CO277"/>
      <c r="CP277"/>
      <c r="CQ277"/>
      <c r="CR277"/>
      <c r="CU277"/>
      <c r="CV277"/>
      <c r="CW277"/>
      <c r="CX277"/>
      <c r="CY277"/>
      <c r="CZ277"/>
      <c r="DA277"/>
      <c r="DC277"/>
      <c r="DD277"/>
      <c r="DE277"/>
      <c r="DF277"/>
      <c r="DG277"/>
      <c r="DH277"/>
      <c r="DJ277"/>
      <c r="DK277"/>
      <c r="DL277"/>
      <c r="DM277"/>
      <c r="DN277">
        <f>+Tabla3101170411[[#This Row],[Longitud de eje]]*DI277</f>
        <v>0</v>
      </c>
      <c r="DO277"/>
      <c r="DQ277"/>
      <c r="DR277"/>
      <c r="DS277"/>
      <c r="DT277"/>
      <c r="DU277">
        <f>+Tabla3101170411120[[#This Row],[Longitud de eje]]*DP277</f>
        <v>0</v>
      </c>
      <c r="DV277"/>
      <c r="DX277"/>
      <c r="DY277"/>
      <c r="DZ277"/>
      <c r="EA277"/>
      <c r="EB277">
        <f>+Tabla3101170411120122[[#This Row],[Longitud de eje]]*DW277</f>
        <v>0</v>
      </c>
      <c r="EC277"/>
      <c r="EE277"/>
      <c r="EF277"/>
      <c r="EG277"/>
      <c r="EH277"/>
      <c r="EI277"/>
      <c r="EJ277"/>
      <c r="EK277"/>
      <c r="EM277"/>
      <c r="EN277"/>
      <c r="EO277"/>
      <c r="EP277"/>
      <c r="EQ277"/>
      <c r="ER277"/>
      <c r="ES277"/>
      <c r="EU277"/>
      <c r="EV277"/>
      <c r="EW277"/>
      <c r="EX277"/>
      <c r="EY277"/>
      <c r="EZ277"/>
      <c r="FA277"/>
      <c r="FC277"/>
      <c r="FD277"/>
      <c r="FE277"/>
      <c r="FF277"/>
      <c r="FG277"/>
      <c r="FH277"/>
      <c r="FI277"/>
      <c r="FK277"/>
      <c r="FL277"/>
      <c r="FM277"/>
      <c r="FN277"/>
      <c r="FO277"/>
      <c r="FP277"/>
      <c r="FQ277"/>
      <c r="FS277"/>
      <c r="FT277"/>
      <c r="FU277"/>
      <c r="FV277"/>
      <c r="FW277"/>
      <c r="FX277"/>
      <c r="FY277"/>
      <c r="GA277"/>
      <c r="GB277"/>
      <c r="GC277"/>
      <c r="GD277"/>
      <c r="GE277"/>
      <c r="GF277"/>
      <c r="GG277"/>
      <c r="GI277"/>
      <c r="GJ277"/>
      <c r="GK277"/>
      <c r="GL277"/>
      <c r="GM277"/>
      <c r="GN277"/>
      <c r="GO277"/>
      <c r="YK277"/>
      <c r="YL277"/>
      <c r="YM277"/>
      <c r="YN277"/>
      <c r="YO277"/>
      <c r="AFI277"/>
      <c r="AFJ277"/>
      <c r="AFK277"/>
      <c r="AFL277"/>
      <c r="AFM277"/>
      <c r="AFN277" t="e">
        <f>+Tabla578914151634353637383940414243444546474849505152535560626467[[#This Row],[Recuento]]*#REF!</f>
        <v>#REF!</v>
      </c>
      <c r="AFO277" s="36"/>
    </row>
    <row r="278" spans="75:847" x14ac:dyDescent="0.25">
      <c r="BW278"/>
      <c r="BX278"/>
      <c r="BY278"/>
      <c r="BZ278"/>
      <c r="CA278"/>
      <c r="CB278"/>
      <c r="CE278"/>
      <c r="CF278"/>
      <c r="CG278"/>
      <c r="CH278"/>
      <c r="CI278"/>
      <c r="CJ278"/>
      <c r="CK278"/>
      <c r="CM278"/>
      <c r="CN278"/>
      <c r="CO278"/>
      <c r="CP278"/>
      <c r="CQ278"/>
      <c r="CR278"/>
      <c r="CU278"/>
      <c r="CV278"/>
      <c r="CW278"/>
      <c r="CX278"/>
      <c r="CY278"/>
      <c r="CZ278"/>
      <c r="DA278"/>
      <c r="DC278"/>
      <c r="DD278"/>
      <c r="DE278"/>
      <c r="DF278"/>
      <c r="DG278"/>
      <c r="DH278"/>
      <c r="DJ278"/>
      <c r="DK278"/>
      <c r="DL278"/>
      <c r="DM278"/>
      <c r="DN278">
        <f>+Tabla3101170411[[#This Row],[Longitud de eje]]*DI278</f>
        <v>0</v>
      </c>
      <c r="DO278"/>
      <c r="DQ278"/>
      <c r="DR278"/>
      <c r="DS278"/>
      <c r="DT278"/>
      <c r="DU278">
        <f>+Tabla3101170411120[[#This Row],[Longitud de eje]]*DP278</f>
        <v>0</v>
      </c>
      <c r="DV278"/>
      <c r="DX278"/>
      <c r="DY278"/>
      <c r="DZ278"/>
      <c r="EA278"/>
      <c r="EB278">
        <f>+Tabla3101170411120122[[#This Row],[Longitud de eje]]*DW278</f>
        <v>0</v>
      </c>
      <c r="EC278"/>
      <c r="EE278"/>
      <c r="EF278"/>
      <c r="EG278"/>
      <c r="EH278"/>
      <c r="EI278"/>
      <c r="EJ278"/>
      <c r="EK278"/>
      <c r="EM278"/>
      <c r="EN278"/>
      <c r="EO278"/>
      <c r="EP278"/>
      <c r="EQ278"/>
      <c r="ER278"/>
      <c r="ES278"/>
      <c r="EU278"/>
      <c r="EV278"/>
      <c r="EW278"/>
      <c r="EX278"/>
      <c r="EY278"/>
      <c r="EZ278"/>
      <c r="FA278"/>
      <c r="FC278"/>
      <c r="FD278"/>
      <c r="FE278"/>
      <c r="FF278"/>
      <c r="FG278"/>
      <c r="FH278"/>
      <c r="FI278"/>
      <c r="FK278"/>
      <c r="FL278"/>
      <c r="FM278"/>
      <c r="FN278"/>
      <c r="FO278"/>
      <c r="FP278"/>
      <c r="FQ278"/>
      <c r="FS278"/>
      <c r="FT278"/>
      <c r="FU278"/>
      <c r="FV278"/>
      <c r="FW278"/>
      <c r="FX278"/>
      <c r="FY278"/>
      <c r="GA278"/>
      <c r="GB278"/>
      <c r="GC278"/>
      <c r="GD278"/>
      <c r="GE278"/>
      <c r="GF278"/>
      <c r="GG278"/>
      <c r="GI278"/>
      <c r="GJ278"/>
      <c r="GK278"/>
      <c r="GL278"/>
      <c r="GM278"/>
      <c r="GN278"/>
      <c r="GO278"/>
      <c r="YK278"/>
      <c r="YL278"/>
      <c r="YM278"/>
      <c r="YN278"/>
      <c r="YO278"/>
      <c r="AFI278"/>
      <c r="AFJ278"/>
      <c r="AFK278"/>
      <c r="AFL278"/>
      <c r="AFM278"/>
      <c r="AFN278" t="e">
        <f>+Tabla578914151634353637383940414243444546474849505152535560626467[[#This Row],[Recuento]]*#REF!</f>
        <v>#REF!</v>
      </c>
      <c r="AFO278" s="35">
        <f>+SUM(AFL278:AFL281)</f>
        <v>0</v>
      </c>
    </row>
    <row r="279" spans="75:847" x14ac:dyDescent="0.25">
      <c r="BW279"/>
      <c r="BX279"/>
      <c r="BY279"/>
      <c r="BZ279"/>
      <c r="CA279"/>
      <c r="CB279"/>
      <c r="CE279"/>
      <c r="CF279"/>
      <c r="CG279"/>
      <c r="CH279"/>
      <c r="CI279"/>
      <c r="CJ279"/>
      <c r="CK279"/>
      <c r="CM279"/>
      <c r="CN279"/>
      <c r="CO279"/>
      <c r="CP279"/>
      <c r="CQ279"/>
      <c r="CR279"/>
      <c r="CU279"/>
      <c r="CV279"/>
      <c r="CW279"/>
      <c r="CX279"/>
      <c r="CY279"/>
      <c r="CZ279"/>
      <c r="DA279"/>
      <c r="DC279"/>
      <c r="DD279"/>
      <c r="DE279"/>
      <c r="DF279"/>
      <c r="DG279"/>
      <c r="DH279"/>
      <c r="DJ279"/>
      <c r="DK279"/>
      <c r="DL279"/>
      <c r="DM279"/>
      <c r="DN279">
        <f>+Tabla3101170411[[#This Row],[Longitud de eje]]*DI279</f>
        <v>0</v>
      </c>
      <c r="DO279"/>
      <c r="DQ279"/>
      <c r="DR279"/>
      <c r="DS279"/>
      <c r="DT279"/>
      <c r="DU279">
        <f>+Tabla3101170411120[[#This Row],[Longitud de eje]]*DP279</f>
        <v>0</v>
      </c>
      <c r="DV279"/>
      <c r="DX279"/>
      <c r="DY279"/>
      <c r="DZ279"/>
      <c r="EA279"/>
      <c r="EB279">
        <f>+Tabla3101170411120122[[#This Row],[Longitud de eje]]*DW279</f>
        <v>0</v>
      </c>
      <c r="EC279"/>
      <c r="EE279"/>
      <c r="EF279"/>
      <c r="EG279"/>
      <c r="EH279"/>
      <c r="EI279"/>
      <c r="EJ279"/>
      <c r="EK279"/>
      <c r="EM279"/>
      <c r="EN279"/>
      <c r="EO279"/>
      <c r="EP279"/>
      <c r="EQ279"/>
      <c r="ER279"/>
      <c r="ES279"/>
      <c r="EU279"/>
      <c r="EV279"/>
      <c r="EW279"/>
      <c r="EX279"/>
      <c r="EY279"/>
      <c r="EZ279"/>
      <c r="FA279"/>
      <c r="FC279"/>
      <c r="FD279"/>
      <c r="FE279"/>
      <c r="FF279"/>
      <c r="FG279"/>
      <c r="FH279"/>
      <c r="FI279"/>
      <c r="FK279"/>
      <c r="FL279"/>
      <c r="FM279"/>
      <c r="FN279"/>
      <c r="FO279"/>
      <c r="FP279"/>
      <c r="FQ279"/>
      <c r="FS279"/>
      <c r="FT279"/>
      <c r="FU279"/>
      <c r="FV279"/>
      <c r="FW279"/>
      <c r="FX279"/>
      <c r="FY279"/>
      <c r="GA279"/>
      <c r="GB279"/>
      <c r="GC279"/>
      <c r="GD279"/>
      <c r="GE279"/>
      <c r="GF279"/>
      <c r="GG279"/>
      <c r="GI279"/>
      <c r="GJ279"/>
      <c r="GK279"/>
      <c r="GL279"/>
      <c r="GM279"/>
      <c r="GN279"/>
      <c r="GO279"/>
      <c r="YK279"/>
      <c r="YL279"/>
      <c r="YM279"/>
      <c r="YN279"/>
      <c r="YO279"/>
      <c r="AFI279"/>
      <c r="AFJ279"/>
      <c r="AFK279"/>
      <c r="AFL279"/>
      <c r="AFM279"/>
      <c r="AFN279" t="e">
        <f>+Tabla578914151634353637383940414243444546474849505152535560626467[[#This Row],[Recuento]]*#REF!</f>
        <v>#REF!</v>
      </c>
      <c r="AFO279" s="36"/>
    </row>
    <row r="280" spans="75:847" x14ac:dyDescent="0.25">
      <c r="BW280"/>
      <c r="BX280"/>
      <c r="BY280"/>
      <c r="BZ280"/>
      <c r="CA280"/>
      <c r="CB280"/>
      <c r="CE280"/>
      <c r="CF280"/>
      <c r="CG280"/>
      <c r="CH280"/>
      <c r="CI280"/>
      <c r="CJ280"/>
      <c r="CK280"/>
      <c r="CM280"/>
      <c r="CN280"/>
      <c r="CO280"/>
      <c r="CP280"/>
      <c r="CQ280"/>
      <c r="CR280"/>
      <c r="CU280"/>
      <c r="CV280"/>
      <c r="CW280"/>
      <c r="CX280"/>
      <c r="CY280"/>
      <c r="CZ280"/>
      <c r="DA280"/>
      <c r="DC280"/>
      <c r="DD280"/>
      <c r="DE280"/>
      <c r="DF280"/>
      <c r="DG280"/>
      <c r="DH280"/>
      <c r="DJ280"/>
      <c r="DK280"/>
      <c r="DL280"/>
      <c r="DM280"/>
      <c r="DN280">
        <f>+Tabla3101170411[[#This Row],[Longitud de eje]]*DI280</f>
        <v>0</v>
      </c>
      <c r="DO280"/>
      <c r="DQ280"/>
      <c r="DR280"/>
      <c r="DS280"/>
      <c r="DT280"/>
      <c r="DU280">
        <f>+Tabla3101170411120[[#This Row],[Longitud de eje]]*DP280</f>
        <v>0</v>
      </c>
      <c r="DV280"/>
      <c r="DX280"/>
      <c r="DY280"/>
      <c r="DZ280"/>
      <c r="EA280"/>
      <c r="EB280">
        <f>+Tabla3101170411120122[[#This Row],[Longitud de eje]]*DW280</f>
        <v>0</v>
      </c>
      <c r="EC280"/>
      <c r="EE280"/>
      <c r="EF280"/>
      <c r="EG280"/>
      <c r="EH280"/>
      <c r="EI280"/>
      <c r="EJ280"/>
      <c r="EK280"/>
      <c r="EM280"/>
      <c r="EN280"/>
      <c r="EO280"/>
      <c r="EP280"/>
      <c r="EQ280"/>
      <c r="ER280"/>
      <c r="ES280"/>
      <c r="EU280"/>
      <c r="EV280"/>
      <c r="EW280"/>
      <c r="EX280"/>
      <c r="EY280"/>
      <c r="EZ280"/>
      <c r="FA280"/>
      <c r="FC280"/>
      <c r="FD280"/>
      <c r="FE280"/>
      <c r="FF280"/>
      <c r="FG280"/>
      <c r="FH280"/>
      <c r="FI280"/>
      <c r="FK280"/>
      <c r="FL280"/>
      <c r="FM280"/>
      <c r="FN280"/>
      <c r="FO280"/>
      <c r="FP280"/>
      <c r="FQ280"/>
      <c r="FS280"/>
      <c r="FT280"/>
      <c r="FU280"/>
      <c r="FV280"/>
      <c r="FW280"/>
      <c r="FX280"/>
      <c r="FY280"/>
      <c r="GA280"/>
      <c r="GB280"/>
      <c r="GC280"/>
      <c r="GD280"/>
      <c r="GE280"/>
      <c r="GF280"/>
      <c r="GG280"/>
      <c r="GI280"/>
      <c r="GJ280"/>
      <c r="GK280"/>
      <c r="GL280"/>
      <c r="GM280"/>
      <c r="GN280"/>
      <c r="GO280"/>
      <c r="YK280"/>
      <c r="YL280"/>
      <c r="YM280"/>
      <c r="YN280"/>
      <c r="YO280"/>
      <c r="AFI280"/>
      <c r="AFJ280"/>
      <c r="AFK280"/>
      <c r="AFL280"/>
      <c r="AFM280"/>
      <c r="AFN280" t="e">
        <f>+Tabla578914151634353637383940414243444546474849505152535560626467[[#This Row],[Recuento]]*#REF!</f>
        <v>#REF!</v>
      </c>
      <c r="AFO280" s="36"/>
    </row>
    <row r="281" spans="75:847" x14ac:dyDescent="0.25">
      <c r="BW281"/>
      <c r="BX281"/>
      <c r="BY281"/>
      <c r="BZ281"/>
      <c r="CA281"/>
      <c r="CB281"/>
      <c r="CE281"/>
      <c r="CF281"/>
      <c r="CG281"/>
      <c r="CH281"/>
      <c r="CI281"/>
      <c r="CJ281"/>
      <c r="CK281"/>
      <c r="CM281"/>
      <c r="CN281"/>
      <c r="CO281"/>
      <c r="CP281"/>
      <c r="CQ281"/>
      <c r="CR281"/>
      <c r="CU281"/>
      <c r="CV281"/>
      <c r="CW281"/>
      <c r="CX281"/>
      <c r="CY281"/>
      <c r="CZ281"/>
      <c r="DA281"/>
      <c r="DC281"/>
      <c r="DD281"/>
      <c r="DE281"/>
      <c r="DF281"/>
      <c r="DG281"/>
      <c r="DH281"/>
      <c r="DJ281"/>
      <c r="DK281"/>
      <c r="DL281"/>
      <c r="DM281"/>
      <c r="DN281">
        <f>+Tabla3101170411[[#This Row],[Longitud de eje]]*DI281</f>
        <v>0</v>
      </c>
      <c r="DO281"/>
      <c r="DQ281"/>
      <c r="DR281"/>
      <c r="DS281"/>
      <c r="DT281"/>
      <c r="DU281">
        <f>+Tabla3101170411120[[#This Row],[Longitud de eje]]*DP281</f>
        <v>0</v>
      </c>
      <c r="DV281"/>
      <c r="DX281"/>
      <c r="DY281"/>
      <c r="DZ281"/>
      <c r="EA281"/>
      <c r="EB281">
        <f>+Tabla3101170411120122[[#This Row],[Longitud de eje]]*DW281</f>
        <v>0</v>
      </c>
      <c r="EC281"/>
      <c r="EE281"/>
      <c r="EF281"/>
      <c r="EG281"/>
      <c r="EH281"/>
      <c r="EI281"/>
      <c r="EJ281"/>
      <c r="EK281"/>
      <c r="EM281"/>
      <c r="EN281"/>
      <c r="EO281"/>
      <c r="EP281"/>
      <c r="EQ281"/>
      <c r="ER281"/>
      <c r="ES281"/>
      <c r="EU281"/>
      <c r="EV281"/>
      <c r="EW281"/>
      <c r="EX281"/>
      <c r="EY281"/>
      <c r="EZ281"/>
      <c r="FA281"/>
      <c r="FC281"/>
      <c r="FD281"/>
      <c r="FE281"/>
      <c r="FF281"/>
      <c r="FG281"/>
      <c r="FH281"/>
      <c r="FI281"/>
      <c r="FK281"/>
      <c r="FL281"/>
      <c r="FM281"/>
      <c r="FN281"/>
      <c r="FO281"/>
      <c r="FP281"/>
      <c r="FQ281"/>
      <c r="FS281"/>
      <c r="FT281"/>
      <c r="FU281"/>
      <c r="FV281"/>
      <c r="FW281"/>
      <c r="FX281"/>
      <c r="FY281"/>
      <c r="GA281"/>
      <c r="GB281"/>
      <c r="GC281"/>
      <c r="GD281"/>
      <c r="GE281"/>
      <c r="GF281"/>
      <c r="GG281"/>
      <c r="GI281"/>
      <c r="GJ281"/>
      <c r="GK281"/>
      <c r="GL281"/>
      <c r="GM281"/>
      <c r="GN281"/>
      <c r="GO281"/>
      <c r="YK281"/>
      <c r="YL281"/>
      <c r="YM281"/>
      <c r="YN281"/>
      <c r="YO281"/>
      <c r="AFI281"/>
      <c r="AFJ281"/>
      <c r="AFK281"/>
      <c r="AFL281"/>
      <c r="AFM281"/>
      <c r="AFN281" t="e">
        <f>+Tabla578914151634353637383940414243444546474849505152535560626467[[#This Row],[Recuento]]*#REF!</f>
        <v>#REF!</v>
      </c>
      <c r="AFO281" s="36"/>
    </row>
    <row r="282" spans="75:847" x14ac:dyDescent="0.25">
      <c r="BW282"/>
      <c r="BX282"/>
      <c r="BY282"/>
      <c r="BZ282"/>
      <c r="CA282"/>
      <c r="CB282"/>
      <c r="CE282"/>
      <c r="CF282"/>
      <c r="CG282"/>
      <c r="CH282"/>
      <c r="CI282"/>
      <c r="CJ282"/>
      <c r="CK282"/>
      <c r="CM282"/>
      <c r="CN282"/>
      <c r="CO282"/>
      <c r="CP282"/>
      <c r="CQ282"/>
      <c r="CR282"/>
      <c r="CU282"/>
      <c r="CV282"/>
      <c r="CW282"/>
      <c r="CX282"/>
      <c r="CY282"/>
      <c r="CZ282"/>
      <c r="DA282"/>
      <c r="DC282"/>
      <c r="DD282"/>
      <c r="DE282"/>
      <c r="DF282"/>
      <c r="DG282"/>
      <c r="DH282"/>
      <c r="DJ282"/>
      <c r="DK282"/>
      <c r="DL282"/>
      <c r="DM282"/>
      <c r="DN282">
        <f>+Tabla3101170411[[#This Row],[Longitud de eje]]*DI282</f>
        <v>0</v>
      </c>
      <c r="DO282"/>
      <c r="DQ282"/>
      <c r="DR282"/>
      <c r="DS282"/>
      <c r="DT282"/>
      <c r="DU282">
        <f>+Tabla3101170411120[[#This Row],[Longitud de eje]]*DP282</f>
        <v>0</v>
      </c>
      <c r="DV282"/>
      <c r="DX282"/>
      <c r="DY282"/>
      <c r="DZ282"/>
      <c r="EA282"/>
      <c r="EB282">
        <f>+Tabla3101170411120122[[#This Row],[Longitud de eje]]*DW282</f>
        <v>0</v>
      </c>
      <c r="EC282"/>
      <c r="EE282"/>
      <c r="EF282"/>
      <c r="EG282"/>
      <c r="EH282"/>
      <c r="EI282"/>
      <c r="EJ282"/>
      <c r="EK282"/>
      <c r="EM282"/>
      <c r="EN282"/>
      <c r="EO282"/>
      <c r="EP282"/>
      <c r="EQ282"/>
      <c r="ER282"/>
      <c r="ES282"/>
      <c r="EU282"/>
      <c r="EV282"/>
      <c r="EW282"/>
      <c r="EX282"/>
      <c r="EY282"/>
      <c r="EZ282"/>
      <c r="FA282"/>
      <c r="FC282"/>
      <c r="FD282"/>
      <c r="FE282"/>
      <c r="FF282"/>
      <c r="FG282"/>
      <c r="FH282"/>
      <c r="FI282"/>
      <c r="FK282"/>
      <c r="FL282"/>
      <c r="FM282"/>
      <c r="FN282"/>
      <c r="FO282"/>
      <c r="FP282"/>
      <c r="FQ282"/>
      <c r="FS282"/>
      <c r="FT282"/>
      <c r="FU282"/>
      <c r="FV282"/>
      <c r="FW282"/>
      <c r="FX282"/>
      <c r="FY282"/>
      <c r="GA282"/>
      <c r="GB282"/>
      <c r="GC282"/>
      <c r="GD282"/>
      <c r="GE282"/>
      <c r="GF282"/>
      <c r="GG282"/>
      <c r="GI282"/>
      <c r="GJ282"/>
      <c r="GK282"/>
      <c r="GL282"/>
      <c r="GM282"/>
      <c r="GN282"/>
      <c r="GO282"/>
      <c r="YK282"/>
      <c r="YL282"/>
      <c r="YM282"/>
      <c r="YN282"/>
      <c r="YO282"/>
      <c r="AFI282"/>
      <c r="AFJ282"/>
      <c r="AFK282"/>
      <c r="AFL282"/>
      <c r="AFM282"/>
      <c r="AFN282" t="e">
        <f>+Tabla578914151634353637383940414243444546474849505152535560626467[[#This Row],[Recuento]]*#REF!</f>
        <v>#REF!</v>
      </c>
      <c r="AFO282" s="35">
        <f>+SUM(AFL282)</f>
        <v>0</v>
      </c>
    </row>
    <row r="283" spans="75:847" x14ac:dyDescent="0.25">
      <c r="BW283"/>
      <c r="BX283"/>
      <c r="BY283"/>
      <c r="BZ283"/>
      <c r="CA283"/>
      <c r="CB283"/>
      <c r="CE283"/>
      <c r="CF283"/>
      <c r="CG283"/>
      <c r="CH283"/>
      <c r="CI283"/>
      <c r="CJ283"/>
      <c r="CK283"/>
      <c r="CM283"/>
      <c r="CN283"/>
      <c r="CO283"/>
      <c r="CP283"/>
      <c r="CQ283"/>
      <c r="CR283"/>
      <c r="CU283"/>
      <c r="CV283"/>
      <c r="CW283"/>
      <c r="CX283"/>
      <c r="CY283"/>
      <c r="CZ283"/>
      <c r="DA283"/>
      <c r="DC283"/>
      <c r="DD283"/>
      <c r="DE283"/>
      <c r="DF283"/>
      <c r="DG283"/>
      <c r="DH283"/>
      <c r="DJ283"/>
      <c r="DK283"/>
      <c r="DL283"/>
      <c r="DM283"/>
      <c r="DN283">
        <f>+Tabla3101170411[[#This Row],[Longitud de eje]]*DI283</f>
        <v>0</v>
      </c>
      <c r="DO283"/>
      <c r="DQ283"/>
      <c r="DR283"/>
      <c r="DS283"/>
      <c r="DT283"/>
      <c r="DU283">
        <f>+Tabla3101170411120[[#This Row],[Longitud de eje]]*DP283</f>
        <v>0</v>
      </c>
      <c r="DV283"/>
      <c r="DX283"/>
      <c r="DY283"/>
      <c r="DZ283"/>
      <c r="EA283"/>
      <c r="EB283">
        <f>+Tabla3101170411120122[[#This Row],[Longitud de eje]]*DW283</f>
        <v>0</v>
      </c>
      <c r="EC283"/>
      <c r="EE283"/>
      <c r="EF283"/>
      <c r="EG283"/>
      <c r="EH283"/>
      <c r="EI283"/>
      <c r="EJ283"/>
      <c r="EK283"/>
      <c r="EM283"/>
      <c r="EN283"/>
      <c r="EO283"/>
      <c r="EP283"/>
      <c r="EQ283"/>
      <c r="ER283"/>
      <c r="ES283"/>
      <c r="EU283"/>
      <c r="EV283"/>
      <c r="EW283"/>
      <c r="EX283"/>
      <c r="EY283"/>
      <c r="EZ283"/>
      <c r="FA283"/>
      <c r="FC283"/>
      <c r="FD283"/>
      <c r="FE283"/>
      <c r="FF283"/>
      <c r="FG283"/>
      <c r="FH283"/>
      <c r="FI283"/>
      <c r="FK283"/>
      <c r="FL283"/>
      <c r="FM283"/>
      <c r="FN283"/>
      <c r="FO283"/>
      <c r="FP283"/>
      <c r="FQ283"/>
      <c r="FS283"/>
      <c r="FT283"/>
      <c r="FU283"/>
      <c r="FV283"/>
      <c r="FW283"/>
      <c r="FX283"/>
      <c r="FY283"/>
      <c r="GA283"/>
      <c r="GB283"/>
      <c r="GC283"/>
      <c r="GD283"/>
      <c r="GE283"/>
      <c r="GF283"/>
      <c r="GG283"/>
      <c r="GI283"/>
      <c r="GJ283"/>
      <c r="GK283"/>
      <c r="GL283"/>
      <c r="GM283"/>
      <c r="GN283"/>
      <c r="GO283"/>
      <c r="YK283"/>
      <c r="YL283"/>
      <c r="YM283"/>
      <c r="YN283"/>
      <c r="YO283"/>
      <c r="AFI283"/>
      <c r="AFJ283"/>
      <c r="AFK283"/>
      <c r="AFL283"/>
      <c r="AFM283"/>
      <c r="AFN283" t="e">
        <f>+Tabla578914151634353637383940414243444546474849505152535560626467[[#This Row],[Recuento]]*#REF!</f>
        <v>#REF!</v>
      </c>
      <c r="AFO283" s="35">
        <f>+SUM(AFL283:AFL286)</f>
        <v>0</v>
      </c>
    </row>
    <row r="284" spans="75:847" x14ac:dyDescent="0.25">
      <c r="BW284"/>
      <c r="BX284"/>
      <c r="BY284"/>
      <c r="BZ284"/>
      <c r="CA284"/>
      <c r="CB284"/>
      <c r="CE284"/>
      <c r="CF284"/>
      <c r="CG284"/>
      <c r="CH284"/>
      <c r="CI284"/>
      <c r="CJ284"/>
      <c r="CK284"/>
      <c r="CM284"/>
      <c r="CN284"/>
      <c r="CO284"/>
      <c r="CP284"/>
      <c r="CQ284"/>
      <c r="CR284"/>
      <c r="CU284"/>
      <c r="CV284"/>
      <c r="CW284"/>
      <c r="CX284"/>
      <c r="CY284"/>
      <c r="CZ284"/>
      <c r="DA284"/>
      <c r="DC284"/>
      <c r="DD284"/>
      <c r="DE284"/>
      <c r="DF284"/>
      <c r="DG284"/>
      <c r="DH284"/>
      <c r="DJ284"/>
      <c r="DK284"/>
      <c r="DL284"/>
      <c r="DM284"/>
      <c r="DN284">
        <f>+Tabla3101170411[[#This Row],[Longitud de eje]]*DI284</f>
        <v>0</v>
      </c>
      <c r="DO284"/>
      <c r="DQ284"/>
      <c r="DR284"/>
      <c r="DS284"/>
      <c r="DT284"/>
      <c r="DU284">
        <f>+Tabla3101170411120[[#This Row],[Longitud de eje]]*DP284</f>
        <v>0</v>
      </c>
      <c r="DV284"/>
      <c r="DX284"/>
      <c r="DY284"/>
      <c r="DZ284"/>
      <c r="EA284"/>
      <c r="EB284">
        <f>+Tabla3101170411120122[[#This Row],[Longitud de eje]]*DW284</f>
        <v>0</v>
      </c>
      <c r="EC284"/>
      <c r="EE284"/>
      <c r="EF284"/>
      <c r="EG284"/>
      <c r="EH284"/>
      <c r="EI284"/>
      <c r="EJ284"/>
      <c r="EK284"/>
      <c r="EM284"/>
      <c r="EN284"/>
      <c r="EO284"/>
      <c r="EP284"/>
      <c r="EQ284"/>
      <c r="ER284"/>
      <c r="ES284"/>
      <c r="EU284"/>
      <c r="EV284"/>
      <c r="EW284"/>
      <c r="EX284"/>
      <c r="EY284"/>
      <c r="EZ284"/>
      <c r="FA284"/>
      <c r="FC284"/>
      <c r="FD284"/>
      <c r="FE284"/>
      <c r="FF284"/>
      <c r="FG284"/>
      <c r="FH284"/>
      <c r="FI284"/>
      <c r="FK284"/>
      <c r="FL284"/>
      <c r="FM284"/>
      <c r="FN284"/>
      <c r="FO284"/>
      <c r="FP284"/>
      <c r="FQ284"/>
      <c r="FS284"/>
      <c r="FT284"/>
      <c r="FU284"/>
      <c r="FV284"/>
      <c r="FW284"/>
      <c r="FX284"/>
      <c r="FY284"/>
      <c r="GA284"/>
      <c r="GB284"/>
      <c r="GC284"/>
      <c r="GD284"/>
      <c r="GE284"/>
      <c r="GF284"/>
      <c r="GG284"/>
      <c r="GI284"/>
      <c r="GJ284"/>
      <c r="GK284"/>
      <c r="GL284"/>
      <c r="GM284"/>
      <c r="GN284"/>
      <c r="GO284"/>
      <c r="YK284"/>
      <c r="YL284"/>
      <c r="YM284"/>
      <c r="YN284"/>
      <c r="YO284"/>
      <c r="AFI284"/>
      <c r="AFJ284"/>
      <c r="AFK284"/>
      <c r="AFL284"/>
      <c r="AFM284"/>
      <c r="AFN284" t="e">
        <f>+Tabla578914151634353637383940414243444546474849505152535560626467[[#This Row],[Recuento]]*#REF!</f>
        <v>#REF!</v>
      </c>
      <c r="AFO284" s="36"/>
    </row>
    <row r="285" spans="75:847" x14ac:dyDescent="0.25">
      <c r="BW285"/>
      <c r="BX285"/>
      <c r="BY285"/>
      <c r="BZ285"/>
      <c r="CA285"/>
      <c r="CB285"/>
      <c r="CE285"/>
      <c r="CF285"/>
      <c r="CG285"/>
      <c r="CH285"/>
      <c r="CI285"/>
      <c r="CJ285"/>
      <c r="CK285"/>
      <c r="CM285"/>
      <c r="CN285"/>
      <c r="CO285"/>
      <c r="CP285"/>
      <c r="CQ285"/>
      <c r="CR285"/>
      <c r="CU285"/>
      <c r="CV285"/>
      <c r="CW285"/>
      <c r="CX285"/>
      <c r="CY285"/>
      <c r="CZ285"/>
      <c r="DA285"/>
      <c r="DC285"/>
      <c r="DD285"/>
      <c r="DE285"/>
      <c r="DF285"/>
      <c r="DG285"/>
      <c r="DH285"/>
      <c r="DJ285"/>
      <c r="DK285"/>
      <c r="DL285"/>
      <c r="DM285"/>
      <c r="DN285">
        <f>+Tabla3101170411[[#This Row],[Longitud de eje]]*DI285</f>
        <v>0</v>
      </c>
      <c r="DO285"/>
      <c r="DQ285"/>
      <c r="DR285"/>
      <c r="DS285"/>
      <c r="DT285"/>
      <c r="DU285">
        <f>+Tabla3101170411120[[#This Row],[Longitud de eje]]*DP285</f>
        <v>0</v>
      </c>
      <c r="DV285"/>
      <c r="DX285"/>
      <c r="DY285"/>
      <c r="DZ285"/>
      <c r="EA285"/>
      <c r="EB285">
        <f>+Tabla3101170411120122[[#This Row],[Longitud de eje]]*DW285</f>
        <v>0</v>
      </c>
      <c r="EC285"/>
      <c r="EE285"/>
      <c r="EF285"/>
      <c r="EG285"/>
      <c r="EH285"/>
      <c r="EI285"/>
      <c r="EJ285"/>
      <c r="EK285"/>
      <c r="EM285"/>
      <c r="EN285"/>
      <c r="EO285"/>
      <c r="EP285"/>
      <c r="EQ285"/>
      <c r="ER285"/>
      <c r="ES285"/>
      <c r="EU285"/>
      <c r="EV285"/>
      <c r="EW285"/>
      <c r="EX285"/>
      <c r="EY285"/>
      <c r="EZ285"/>
      <c r="FA285"/>
      <c r="FC285"/>
      <c r="FD285"/>
      <c r="FE285"/>
      <c r="FF285"/>
      <c r="FG285"/>
      <c r="FH285"/>
      <c r="FI285"/>
      <c r="FK285"/>
      <c r="FL285"/>
      <c r="FM285"/>
      <c r="FN285"/>
      <c r="FO285"/>
      <c r="FP285"/>
      <c r="FQ285"/>
      <c r="FS285"/>
      <c r="FT285"/>
      <c r="FU285"/>
      <c r="FV285"/>
      <c r="FW285"/>
      <c r="FX285"/>
      <c r="FY285"/>
      <c r="GA285"/>
      <c r="GB285"/>
      <c r="GC285"/>
      <c r="GD285"/>
      <c r="GE285"/>
      <c r="GF285"/>
      <c r="GG285"/>
      <c r="GI285"/>
      <c r="GJ285"/>
      <c r="GK285"/>
      <c r="GL285"/>
      <c r="GM285"/>
      <c r="GN285"/>
      <c r="GO285"/>
      <c r="YK285"/>
      <c r="YL285"/>
      <c r="YM285"/>
      <c r="YN285"/>
      <c r="YO285"/>
      <c r="AFI285"/>
      <c r="AFJ285"/>
      <c r="AFK285"/>
      <c r="AFL285"/>
      <c r="AFM285"/>
      <c r="AFN285" t="e">
        <f>+Tabla578914151634353637383940414243444546474849505152535560626467[[#This Row],[Recuento]]*#REF!</f>
        <v>#REF!</v>
      </c>
      <c r="AFO285" s="36"/>
    </row>
    <row r="286" spans="75:847" x14ac:dyDescent="0.25">
      <c r="BW286"/>
      <c r="BX286"/>
      <c r="BY286"/>
      <c r="BZ286"/>
      <c r="CA286"/>
      <c r="CB286"/>
      <c r="CE286"/>
      <c r="CF286"/>
      <c r="CG286"/>
      <c r="CH286"/>
      <c r="CI286"/>
      <c r="CJ286"/>
      <c r="CK286"/>
      <c r="CM286"/>
      <c r="CN286"/>
      <c r="CO286"/>
      <c r="CP286"/>
      <c r="CQ286"/>
      <c r="CR286"/>
      <c r="CU286"/>
      <c r="CV286"/>
      <c r="CW286"/>
      <c r="CX286"/>
      <c r="CY286"/>
      <c r="CZ286"/>
      <c r="DA286"/>
      <c r="DC286"/>
      <c r="DD286"/>
      <c r="DE286"/>
      <c r="DF286"/>
      <c r="DG286"/>
      <c r="DH286"/>
      <c r="DJ286"/>
      <c r="DK286"/>
      <c r="DL286"/>
      <c r="DM286"/>
      <c r="DN286">
        <f>+Tabla3101170411[[#This Row],[Longitud de eje]]*DI286</f>
        <v>0</v>
      </c>
      <c r="DO286"/>
      <c r="DQ286"/>
      <c r="DR286"/>
      <c r="DS286"/>
      <c r="DT286"/>
      <c r="DU286">
        <f>+Tabla3101170411120[[#This Row],[Longitud de eje]]*DP286</f>
        <v>0</v>
      </c>
      <c r="DV286"/>
      <c r="DX286"/>
      <c r="DY286"/>
      <c r="DZ286"/>
      <c r="EA286"/>
      <c r="EB286">
        <f>+Tabla3101170411120122[[#This Row],[Longitud de eje]]*DW286</f>
        <v>0</v>
      </c>
      <c r="EC286"/>
      <c r="EE286"/>
      <c r="EF286"/>
      <c r="EG286"/>
      <c r="EH286"/>
      <c r="EI286"/>
      <c r="EJ286"/>
      <c r="EK286"/>
      <c r="EM286"/>
      <c r="EN286"/>
      <c r="EO286"/>
      <c r="EP286"/>
      <c r="EQ286"/>
      <c r="ER286"/>
      <c r="ES286"/>
      <c r="EU286"/>
      <c r="EV286"/>
      <c r="EW286"/>
      <c r="EX286"/>
      <c r="EY286"/>
      <c r="EZ286"/>
      <c r="FA286"/>
      <c r="FC286"/>
      <c r="FD286"/>
      <c r="FE286"/>
      <c r="FF286"/>
      <c r="FG286"/>
      <c r="FH286"/>
      <c r="FI286"/>
      <c r="FK286"/>
      <c r="FL286"/>
      <c r="FM286"/>
      <c r="FN286"/>
      <c r="FO286"/>
      <c r="FP286"/>
      <c r="FQ286"/>
      <c r="FS286"/>
      <c r="FT286"/>
      <c r="FU286"/>
      <c r="FV286"/>
      <c r="FW286"/>
      <c r="FX286"/>
      <c r="FY286"/>
      <c r="GA286"/>
      <c r="GB286"/>
      <c r="GC286"/>
      <c r="GD286"/>
      <c r="GE286"/>
      <c r="GF286"/>
      <c r="GG286"/>
      <c r="GI286"/>
      <c r="GJ286"/>
      <c r="GK286"/>
      <c r="GL286"/>
      <c r="GM286"/>
      <c r="GN286"/>
      <c r="GO286"/>
      <c r="YK286"/>
      <c r="YL286"/>
      <c r="YM286"/>
      <c r="YN286"/>
      <c r="YO286"/>
      <c r="AFI286"/>
      <c r="AFJ286"/>
      <c r="AFK286"/>
      <c r="AFL286"/>
      <c r="AFM286"/>
      <c r="AFN286" t="e">
        <f>+Tabla578914151634353637383940414243444546474849505152535560626467[[#This Row],[Recuento]]*#REF!</f>
        <v>#REF!</v>
      </c>
      <c r="AFO286" s="36"/>
    </row>
    <row r="287" spans="75:847" x14ac:dyDescent="0.25">
      <c r="BW287"/>
      <c r="BX287"/>
      <c r="BY287"/>
      <c r="BZ287"/>
      <c r="CA287"/>
      <c r="CB287"/>
      <c r="CE287"/>
      <c r="CF287"/>
      <c r="CG287"/>
      <c r="CH287"/>
      <c r="CI287"/>
      <c r="CJ287"/>
      <c r="CK287"/>
      <c r="CM287"/>
      <c r="CN287"/>
      <c r="CO287"/>
      <c r="CP287"/>
      <c r="CQ287"/>
      <c r="CR287"/>
      <c r="CU287"/>
      <c r="CV287"/>
      <c r="CW287"/>
      <c r="CX287"/>
      <c r="CY287"/>
      <c r="CZ287"/>
      <c r="DA287"/>
      <c r="DC287"/>
      <c r="DD287"/>
      <c r="DE287"/>
      <c r="DF287"/>
      <c r="DG287"/>
      <c r="DH287"/>
      <c r="DJ287"/>
      <c r="DK287"/>
      <c r="DL287"/>
      <c r="DM287"/>
      <c r="DN287">
        <f>+Tabla3101170411[[#This Row],[Longitud de eje]]*DI287</f>
        <v>0</v>
      </c>
      <c r="DO287"/>
      <c r="DQ287"/>
      <c r="DR287"/>
      <c r="DS287"/>
      <c r="DT287"/>
      <c r="DU287">
        <f>+Tabla3101170411120[[#This Row],[Longitud de eje]]*DP287</f>
        <v>0</v>
      </c>
      <c r="DV287"/>
      <c r="DX287"/>
      <c r="DY287"/>
      <c r="DZ287"/>
      <c r="EA287"/>
      <c r="EB287">
        <f>+Tabla3101170411120122[[#This Row],[Longitud de eje]]*DW287</f>
        <v>0</v>
      </c>
      <c r="EC287"/>
      <c r="EE287"/>
      <c r="EF287"/>
      <c r="EG287"/>
      <c r="EH287"/>
      <c r="EI287"/>
      <c r="EJ287"/>
      <c r="EK287"/>
      <c r="EM287"/>
      <c r="EN287"/>
      <c r="EO287"/>
      <c r="EP287"/>
      <c r="EQ287"/>
      <c r="ER287"/>
      <c r="ES287"/>
      <c r="EU287"/>
      <c r="EV287"/>
      <c r="EW287"/>
      <c r="EX287"/>
      <c r="EY287"/>
      <c r="EZ287"/>
      <c r="FA287"/>
      <c r="FC287"/>
      <c r="FD287"/>
      <c r="FE287"/>
      <c r="FF287"/>
      <c r="FG287"/>
      <c r="FH287"/>
      <c r="FI287"/>
      <c r="FK287"/>
      <c r="FL287"/>
      <c r="FM287"/>
      <c r="FN287"/>
      <c r="FO287"/>
      <c r="FP287"/>
      <c r="FQ287"/>
      <c r="FS287"/>
      <c r="FT287"/>
      <c r="FU287"/>
      <c r="FV287"/>
      <c r="FW287"/>
      <c r="FX287"/>
      <c r="FY287"/>
      <c r="GA287"/>
      <c r="GB287"/>
      <c r="GC287"/>
      <c r="GD287"/>
      <c r="GE287"/>
      <c r="GF287"/>
      <c r="GG287"/>
      <c r="GI287"/>
      <c r="GJ287"/>
      <c r="GK287"/>
      <c r="GL287"/>
      <c r="GM287"/>
      <c r="GN287"/>
      <c r="GO287"/>
      <c r="YK287"/>
      <c r="YL287"/>
      <c r="YM287"/>
      <c r="YN287"/>
      <c r="YO287"/>
      <c r="AFI287"/>
      <c r="AFJ287"/>
      <c r="AFK287"/>
      <c r="AFL287"/>
      <c r="AFM287"/>
      <c r="AFN287" t="e">
        <f>+Tabla578914151634353637383940414243444546474849505152535560626467[[#This Row],[Recuento]]*#REF!</f>
        <v>#REF!</v>
      </c>
      <c r="AFO287" s="35">
        <f>+SUM(AFL287:AFL293)</f>
        <v>0</v>
      </c>
    </row>
    <row r="288" spans="75:847" x14ac:dyDescent="0.25">
      <c r="BW288"/>
      <c r="BX288"/>
      <c r="BY288"/>
      <c r="BZ288"/>
      <c r="CA288"/>
      <c r="CB288"/>
      <c r="CE288"/>
      <c r="CF288"/>
      <c r="CG288"/>
      <c r="CH288"/>
      <c r="CI288"/>
      <c r="CJ288"/>
      <c r="CK288"/>
      <c r="CM288"/>
      <c r="CN288"/>
      <c r="CO288"/>
      <c r="CP288"/>
      <c r="CQ288"/>
      <c r="CR288"/>
      <c r="CU288"/>
      <c r="CV288"/>
      <c r="CW288"/>
      <c r="CX288"/>
      <c r="CY288"/>
      <c r="CZ288"/>
      <c r="DA288"/>
      <c r="DC288"/>
      <c r="DD288"/>
      <c r="DE288"/>
      <c r="DF288"/>
      <c r="DG288"/>
      <c r="DH288"/>
      <c r="DJ288"/>
      <c r="DK288"/>
      <c r="DL288"/>
      <c r="DM288"/>
      <c r="DN288">
        <f>+Tabla3101170411[[#This Row],[Longitud de eje]]*DI288</f>
        <v>0</v>
      </c>
      <c r="DO288"/>
      <c r="DQ288"/>
      <c r="DR288"/>
      <c r="DS288"/>
      <c r="DT288"/>
      <c r="DU288">
        <f>+Tabla3101170411120[[#This Row],[Longitud de eje]]*DP288</f>
        <v>0</v>
      </c>
      <c r="DV288"/>
      <c r="DX288"/>
      <c r="DY288"/>
      <c r="DZ288"/>
      <c r="EA288"/>
      <c r="EB288">
        <f>+Tabla3101170411120122[[#This Row],[Longitud de eje]]*DW288</f>
        <v>0</v>
      </c>
      <c r="EC288"/>
      <c r="EE288"/>
      <c r="EF288"/>
      <c r="EG288"/>
      <c r="EH288"/>
      <c r="EI288"/>
      <c r="EJ288"/>
      <c r="EK288"/>
      <c r="EM288"/>
      <c r="EN288"/>
      <c r="EO288"/>
      <c r="EP288"/>
      <c r="EQ288"/>
      <c r="ER288"/>
      <c r="ES288"/>
      <c r="EU288"/>
      <c r="EV288"/>
      <c r="EW288"/>
      <c r="EX288"/>
      <c r="EY288"/>
      <c r="EZ288"/>
      <c r="FA288"/>
      <c r="FC288"/>
      <c r="FD288"/>
      <c r="FE288"/>
      <c r="FF288"/>
      <c r="FG288"/>
      <c r="FH288"/>
      <c r="FI288"/>
      <c r="FK288"/>
      <c r="FL288"/>
      <c r="FM288"/>
      <c r="FN288"/>
      <c r="FO288"/>
      <c r="FP288"/>
      <c r="FQ288"/>
      <c r="FS288"/>
      <c r="FT288"/>
      <c r="FU288"/>
      <c r="FV288"/>
      <c r="FW288"/>
      <c r="FX288"/>
      <c r="FY288"/>
      <c r="GA288"/>
      <c r="GB288"/>
      <c r="GC288"/>
      <c r="GD288"/>
      <c r="GE288"/>
      <c r="GF288"/>
      <c r="GG288"/>
      <c r="GI288"/>
      <c r="GJ288"/>
      <c r="GK288"/>
      <c r="GL288"/>
      <c r="GM288"/>
      <c r="GN288"/>
      <c r="GO288"/>
      <c r="YK288"/>
      <c r="YL288"/>
      <c r="YM288"/>
      <c r="YN288"/>
      <c r="YO288"/>
      <c r="AFI288"/>
      <c r="AFJ288"/>
      <c r="AFK288"/>
      <c r="AFL288"/>
      <c r="AFM288"/>
      <c r="AFN288" t="e">
        <f>+Tabla578914151634353637383940414243444546474849505152535560626467[[#This Row],[Recuento]]*#REF!</f>
        <v>#REF!</v>
      </c>
      <c r="AFO288" s="36"/>
    </row>
    <row r="289" spans="75:847" x14ac:dyDescent="0.25">
      <c r="BW289"/>
      <c r="BX289"/>
      <c r="BY289"/>
      <c r="BZ289"/>
      <c r="CA289"/>
      <c r="CB289"/>
      <c r="CE289"/>
      <c r="CF289"/>
      <c r="CG289"/>
      <c r="CH289"/>
      <c r="CI289"/>
      <c r="CJ289"/>
      <c r="CK289"/>
      <c r="CM289"/>
      <c r="CN289"/>
      <c r="CO289"/>
      <c r="CP289"/>
      <c r="CQ289"/>
      <c r="CR289"/>
      <c r="CU289"/>
      <c r="CV289"/>
      <c r="CW289"/>
      <c r="CX289"/>
      <c r="CY289"/>
      <c r="CZ289"/>
      <c r="DA289"/>
      <c r="DC289"/>
      <c r="DD289"/>
      <c r="DE289"/>
      <c r="DF289"/>
      <c r="DG289"/>
      <c r="DH289"/>
      <c r="DJ289"/>
      <c r="DK289"/>
      <c r="DL289"/>
      <c r="DM289"/>
      <c r="DN289">
        <f>+Tabla3101170411[[#This Row],[Longitud de eje]]*DI289</f>
        <v>0</v>
      </c>
      <c r="DO289"/>
      <c r="DQ289"/>
      <c r="DR289"/>
      <c r="DS289"/>
      <c r="DT289"/>
      <c r="DU289">
        <f>+Tabla3101170411120[[#This Row],[Longitud de eje]]*DP289</f>
        <v>0</v>
      </c>
      <c r="DV289"/>
      <c r="DX289"/>
      <c r="DY289"/>
      <c r="DZ289"/>
      <c r="EA289"/>
      <c r="EB289">
        <f>+Tabla3101170411120122[[#This Row],[Longitud de eje]]*DW289</f>
        <v>0</v>
      </c>
      <c r="EC289"/>
      <c r="EE289"/>
      <c r="EF289"/>
      <c r="EG289"/>
      <c r="EH289"/>
      <c r="EI289"/>
      <c r="EJ289"/>
      <c r="EK289"/>
      <c r="EM289"/>
      <c r="EN289"/>
      <c r="EO289"/>
      <c r="EP289"/>
      <c r="EQ289"/>
      <c r="ER289"/>
      <c r="ES289"/>
      <c r="EU289"/>
      <c r="EV289"/>
      <c r="EW289"/>
      <c r="EX289"/>
      <c r="EY289"/>
      <c r="EZ289"/>
      <c r="FA289"/>
      <c r="FC289"/>
      <c r="FD289"/>
      <c r="FE289"/>
      <c r="FF289"/>
      <c r="FG289"/>
      <c r="FH289"/>
      <c r="FI289"/>
      <c r="FK289"/>
      <c r="FL289"/>
      <c r="FM289"/>
      <c r="FN289"/>
      <c r="FO289"/>
      <c r="FP289"/>
      <c r="FQ289"/>
      <c r="FS289"/>
      <c r="FT289"/>
      <c r="FU289"/>
      <c r="FV289"/>
      <c r="FW289"/>
      <c r="FX289"/>
      <c r="FY289"/>
      <c r="GA289"/>
      <c r="GB289"/>
      <c r="GC289"/>
      <c r="GD289"/>
      <c r="GE289"/>
      <c r="GF289"/>
      <c r="GG289"/>
      <c r="GI289"/>
      <c r="GJ289"/>
      <c r="GK289"/>
      <c r="GL289"/>
      <c r="GM289"/>
      <c r="GN289"/>
      <c r="GO289"/>
      <c r="YK289"/>
      <c r="YL289"/>
      <c r="YM289"/>
      <c r="YN289"/>
      <c r="YO289"/>
      <c r="AFI289"/>
      <c r="AFJ289"/>
      <c r="AFK289"/>
      <c r="AFL289"/>
      <c r="AFM289"/>
      <c r="AFN289" t="e">
        <f>+Tabla578914151634353637383940414243444546474849505152535560626467[[#This Row],[Recuento]]*#REF!</f>
        <v>#REF!</v>
      </c>
      <c r="AFO289" s="36"/>
    </row>
    <row r="290" spans="75:847" x14ac:dyDescent="0.25">
      <c r="BW290"/>
      <c r="BX290"/>
      <c r="BY290"/>
      <c r="BZ290"/>
      <c r="CA290"/>
      <c r="CB290"/>
      <c r="CE290"/>
      <c r="CF290"/>
      <c r="CG290"/>
      <c r="CH290"/>
      <c r="CI290"/>
      <c r="CJ290"/>
      <c r="CK290"/>
      <c r="CM290"/>
      <c r="CN290"/>
      <c r="CO290"/>
      <c r="CP290"/>
      <c r="CQ290"/>
      <c r="CR290"/>
      <c r="CU290"/>
      <c r="CV290"/>
      <c r="CW290"/>
      <c r="CX290"/>
      <c r="CY290"/>
      <c r="CZ290"/>
      <c r="DA290"/>
      <c r="DC290"/>
      <c r="DD290"/>
      <c r="DE290"/>
      <c r="DF290"/>
      <c r="DG290"/>
      <c r="DH290"/>
      <c r="DJ290"/>
      <c r="DK290"/>
      <c r="DL290"/>
      <c r="DM290"/>
      <c r="DN290">
        <f>+Tabla3101170411[[#This Row],[Longitud de eje]]*DI290</f>
        <v>0</v>
      </c>
      <c r="DO290"/>
      <c r="DQ290"/>
      <c r="DR290"/>
      <c r="DS290"/>
      <c r="DT290"/>
      <c r="DU290">
        <f>+Tabla3101170411120[[#This Row],[Longitud de eje]]*DP290</f>
        <v>0</v>
      </c>
      <c r="DV290"/>
      <c r="DX290"/>
      <c r="DY290"/>
      <c r="DZ290"/>
      <c r="EA290"/>
      <c r="EB290">
        <f>+Tabla3101170411120122[[#This Row],[Longitud de eje]]*DW290</f>
        <v>0</v>
      </c>
      <c r="EC290"/>
      <c r="EE290"/>
      <c r="EF290"/>
      <c r="EG290"/>
      <c r="EH290"/>
      <c r="EI290"/>
      <c r="EJ290"/>
      <c r="EK290"/>
      <c r="EM290"/>
      <c r="EN290"/>
      <c r="EO290"/>
      <c r="EP290"/>
      <c r="EQ290"/>
      <c r="ER290"/>
      <c r="ES290"/>
      <c r="EU290"/>
      <c r="EV290"/>
      <c r="EW290"/>
      <c r="EX290"/>
      <c r="EY290"/>
      <c r="EZ290"/>
      <c r="FA290"/>
      <c r="FC290"/>
      <c r="FD290"/>
      <c r="FE290"/>
      <c r="FF290"/>
      <c r="FG290"/>
      <c r="FH290"/>
      <c r="FI290"/>
      <c r="FK290"/>
      <c r="FL290"/>
      <c r="FM290"/>
      <c r="FN290"/>
      <c r="FO290"/>
      <c r="FP290"/>
      <c r="FQ290"/>
      <c r="FS290"/>
      <c r="FT290"/>
      <c r="FU290"/>
      <c r="FV290"/>
      <c r="FW290"/>
      <c r="FX290"/>
      <c r="FY290"/>
      <c r="GA290"/>
      <c r="GB290"/>
      <c r="GC290"/>
      <c r="GD290"/>
      <c r="GE290"/>
      <c r="GF290"/>
      <c r="GG290"/>
      <c r="GI290"/>
      <c r="GJ290"/>
      <c r="GK290"/>
      <c r="GL290"/>
      <c r="GM290"/>
      <c r="GN290"/>
      <c r="GO290"/>
      <c r="YK290"/>
      <c r="YL290"/>
      <c r="YM290"/>
      <c r="YN290"/>
      <c r="YO290"/>
      <c r="AFI290"/>
      <c r="AFJ290"/>
      <c r="AFK290"/>
      <c r="AFL290"/>
      <c r="AFM290"/>
      <c r="AFN290" t="e">
        <f>+Tabla578914151634353637383940414243444546474849505152535560626467[[#This Row],[Recuento]]*#REF!</f>
        <v>#REF!</v>
      </c>
      <c r="AFO290" s="36"/>
    </row>
    <row r="291" spans="75:847" x14ac:dyDescent="0.25">
      <c r="BW291"/>
      <c r="BX291"/>
      <c r="BY291"/>
      <c r="BZ291"/>
      <c r="CA291"/>
      <c r="CB291"/>
      <c r="CE291"/>
      <c r="CF291"/>
      <c r="CG291"/>
      <c r="CH291"/>
      <c r="CI291"/>
      <c r="CJ291"/>
      <c r="CK291"/>
      <c r="CM291"/>
      <c r="CN291"/>
      <c r="CO291"/>
      <c r="CP291"/>
      <c r="CQ291"/>
      <c r="CR291"/>
      <c r="CU291"/>
      <c r="CV291"/>
      <c r="CW291"/>
      <c r="CX291"/>
      <c r="CY291"/>
      <c r="CZ291"/>
      <c r="DA291"/>
      <c r="DC291"/>
      <c r="DD291"/>
      <c r="DE291"/>
      <c r="DF291"/>
      <c r="DG291"/>
      <c r="DH291"/>
      <c r="DJ291"/>
      <c r="DK291"/>
      <c r="DL291"/>
      <c r="DM291"/>
      <c r="DN291">
        <f>+Tabla3101170411[[#This Row],[Longitud de eje]]*DI291</f>
        <v>0</v>
      </c>
      <c r="DO291"/>
      <c r="DQ291"/>
      <c r="DR291"/>
      <c r="DS291"/>
      <c r="DT291"/>
      <c r="DU291">
        <f>+Tabla3101170411120[[#This Row],[Longitud de eje]]*DP291</f>
        <v>0</v>
      </c>
      <c r="DV291"/>
      <c r="DX291"/>
      <c r="DY291"/>
      <c r="DZ291"/>
      <c r="EA291"/>
      <c r="EB291">
        <f>+Tabla3101170411120122[[#This Row],[Longitud de eje]]*DW291</f>
        <v>0</v>
      </c>
      <c r="EC291"/>
      <c r="EE291"/>
      <c r="EF291"/>
      <c r="EG291"/>
      <c r="EH291"/>
      <c r="EI291"/>
      <c r="EJ291"/>
      <c r="EK291"/>
      <c r="EM291"/>
      <c r="EN291"/>
      <c r="EO291"/>
      <c r="EP291"/>
      <c r="EQ291"/>
      <c r="ER291"/>
      <c r="ES291"/>
      <c r="EU291"/>
      <c r="EV291"/>
      <c r="EW291"/>
      <c r="EX291"/>
      <c r="EY291"/>
      <c r="EZ291"/>
      <c r="FA291"/>
      <c r="FC291"/>
      <c r="FD291"/>
      <c r="FE291"/>
      <c r="FF291"/>
      <c r="FG291"/>
      <c r="FH291"/>
      <c r="FI291"/>
      <c r="FK291"/>
      <c r="FL291"/>
      <c r="FM291"/>
      <c r="FN291"/>
      <c r="FO291"/>
      <c r="FP291"/>
      <c r="FQ291"/>
      <c r="FS291"/>
      <c r="FT291"/>
      <c r="FU291"/>
      <c r="FV291"/>
      <c r="FW291"/>
      <c r="FX291"/>
      <c r="FY291"/>
      <c r="GA291"/>
      <c r="GB291"/>
      <c r="GC291"/>
      <c r="GD291"/>
      <c r="GE291"/>
      <c r="GF291"/>
      <c r="GG291"/>
      <c r="GI291"/>
      <c r="GJ291"/>
      <c r="GK291"/>
      <c r="GL291"/>
      <c r="GM291"/>
      <c r="GN291"/>
      <c r="GO291"/>
      <c r="YK291"/>
      <c r="YL291"/>
      <c r="YM291"/>
      <c r="YN291"/>
      <c r="YO291"/>
      <c r="AFI291"/>
      <c r="AFJ291"/>
      <c r="AFK291"/>
      <c r="AFL291"/>
      <c r="AFM291"/>
      <c r="AFN291" t="e">
        <f>+Tabla578914151634353637383940414243444546474849505152535560626467[[#This Row],[Recuento]]*#REF!</f>
        <v>#REF!</v>
      </c>
      <c r="AFO291" s="36"/>
    </row>
    <row r="292" spans="75:847" x14ac:dyDescent="0.25">
      <c r="BW292"/>
      <c r="BX292"/>
      <c r="BY292"/>
      <c r="BZ292"/>
      <c r="CA292"/>
      <c r="CB292"/>
      <c r="CE292"/>
      <c r="CF292"/>
      <c r="CG292"/>
      <c r="CH292"/>
      <c r="CI292"/>
      <c r="CJ292"/>
      <c r="CK292"/>
      <c r="CM292"/>
      <c r="CN292"/>
      <c r="CO292"/>
      <c r="CP292"/>
      <c r="CQ292"/>
      <c r="CR292"/>
      <c r="CU292"/>
      <c r="CV292"/>
      <c r="CW292"/>
      <c r="CX292"/>
      <c r="CY292"/>
      <c r="CZ292"/>
      <c r="DA292"/>
      <c r="DC292"/>
      <c r="DD292"/>
      <c r="DE292"/>
      <c r="DF292"/>
      <c r="DG292"/>
      <c r="DH292"/>
      <c r="DJ292"/>
      <c r="DK292"/>
      <c r="DL292"/>
      <c r="DM292"/>
      <c r="DN292">
        <f>+Tabla3101170411[[#This Row],[Longitud de eje]]*DI292</f>
        <v>0</v>
      </c>
      <c r="DO292"/>
      <c r="DQ292"/>
      <c r="DR292"/>
      <c r="DS292"/>
      <c r="DT292"/>
      <c r="DU292">
        <f>+Tabla3101170411120[[#This Row],[Longitud de eje]]*DP292</f>
        <v>0</v>
      </c>
      <c r="DV292"/>
      <c r="DX292"/>
      <c r="DY292"/>
      <c r="DZ292"/>
      <c r="EA292"/>
      <c r="EB292">
        <f>+Tabla3101170411120122[[#This Row],[Longitud de eje]]*DW292</f>
        <v>0</v>
      </c>
      <c r="EC292"/>
      <c r="EE292"/>
      <c r="EF292"/>
      <c r="EG292"/>
      <c r="EH292"/>
      <c r="EI292"/>
      <c r="EJ292"/>
      <c r="EK292"/>
      <c r="EM292"/>
      <c r="EN292"/>
      <c r="EO292"/>
      <c r="EP292"/>
      <c r="EQ292"/>
      <c r="ER292"/>
      <c r="ES292"/>
      <c r="EU292"/>
      <c r="EV292"/>
      <c r="EW292"/>
      <c r="EX292"/>
      <c r="EY292"/>
      <c r="EZ292"/>
      <c r="FA292"/>
      <c r="FC292"/>
      <c r="FD292"/>
      <c r="FE292"/>
      <c r="FF292"/>
      <c r="FG292"/>
      <c r="FH292"/>
      <c r="FI292"/>
      <c r="FK292"/>
      <c r="FL292"/>
      <c r="FM292"/>
      <c r="FN292"/>
      <c r="FO292"/>
      <c r="FP292"/>
      <c r="FQ292"/>
      <c r="FS292"/>
      <c r="FT292"/>
      <c r="FU292"/>
      <c r="FV292"/>
      <c r="FW292"/>
      <c r="FX292"/>
      <c r="FY292"/>
      <c r="GA292"/>
      <c r="GB292"/>
      <c r="GC292"/>
      <c r="GD292"/>
      <c r="GE292"/>
      <c r="GF292"/>
      <c r="GG292"/>
      <c r="GI292"/>
      <c r="GJ292"/>
      <c r="GK292"/>
      <c r="GL292"/>
      <c r="GM292"/>
      <c r="GN292"/>
      <c r="GO292"/>
      <c r="YK292"/>
      <c r="YL292"/>
      <c r="YM292"/>
      <c r="YN292"/>
      <c r="YO292"/>
      <c r="AFI292"/>
      <c r="AFJ292"/>
      <c r="AFK292"/>
      <c r="AFL292"/>
      <c r="AFM292"/>
      <c r="AFN292" t="e">
        <f>+Tabla578914151634353637383940414243444546474849505152535560626467[[#This Row],[Recuento]]*#REF!</f>
        <v>#REF!</v>
      </c>
      <c r="AFO292" s="36"/>
    </row>
    <row r="293" spans="75:847" x14ac:dyDescent="0.25">
      <c r="BW293"/>
      <c r="BX293"/>
      <c r="BY293"/>
      <c r="BZ293"/>
      <c r="CA293"/>
      <c r="CB293"/>
      <c r="CE293"/>
      <c r="CF293"/>
      <c r="CG293"/>
      <c r="CH293"/>
      <c r="CI293"/>
      <c r="CJ293"/>
      <c r="CK293"/>
      <c r="CM293"/>
      <c r="CN293"/>
      <c r="CO293"/>
      <c r="CP293"/>
      <c r="CQ293"/>
      <c r="CR293"/>
      <c r="CU293"/>
      <c r="CV293"/>
      <c r="CW293"/>
      <c r="CX293"/>
      <c r="CY293"/>
      <c r="CZ293"/>
      <c r="DA293"/>
      <c r="DC293"/>
      <c r="DD293"/>
      <c r="DE293"/>
      <c r="DF293"/>
      <c r="DG293"/>
      <c r="DH293"/>
      <c r="DJ293"/>
      <c r="DK293"/>
      <c r="DL293"/>
      <c r="DM293"/>
      <c r="DN293">
        <f>+Tabla3101170411[[#This Row],[Longitud de eje]]*DI293</f>
        <v>0</v>
      </c>
      <c r="DO293"/>
      <c r="DQ293"/>
      <c r="DR293"/>
      <c r="DS293"/>
      <c r="DT293"/>
      <c r="DU293">
        <f>+Tabla3101170411120[[#This Row],[Longitud de eje]]*DP293</f>
        <v>0</v>
      </c>
      <c r="DV293"/>
      <c r="DX293"/>
      <c r="DY293"/>
      <c r="DZ293"/>
      <c r="EA293"/>
      <c r="EB293">
        <f>+Tabla3101170411120122[[#This Row],[Longitud de eje]]*DW293</f>
        <v>0</v>
      </c>
      <c r="EC293"/>
      <c r="EE293"/>
      <c r="EF293"/>
      <c r="EG293"/>
      <c r="EH293"/>
      <c r="EI293"/>
      <c r="EJ293"/>
      <c r="EK293"/>
      <c r="EM293"/>
      <c r="EN293"/>
      <c r="EO293"/>
      <c r="EP293"/>
      <c r="EQ293"/>
      <c r="ER293"/>
      <c r="ES293"/>
      <c r="EU293"/>
      <c r="EV293"/>
      <c r="EW293"/>
      <c r="EX293"/>
      <c r="EY293"/>
      <c r="EZ293"/>
      <c r="FA293"/>
      <c r="FC293"/>
      <c r="FD293"/>
      <c r="FE293"/>
      <c r="FF293"/>
      <c r="FG293"/>
      <c r="FH293"/>
      <c r="FI293"/>
      <c r="FK293"/>
      <c r="FL293"/>
      <c r="FM293"/>
      <c r="FN293"/>
      <c r="FO293"/>
      <c r="FP293"/>
      <c r="FQ293"/>
      <c r="FS293"/>
      <c r="FT293"/>
      <c r="FU293"/>
      <c r="FV293"/>
      <c r="FW293"/>
      <c r="FX293"/>
      <c r="FY293"/>
      <c r="GA293"/>
      <c r="GB293"/>
      <c r="GC293"/>
      <c r="GD293"/>
      <c r="GE293"/>
      <c r="GF293"/>
      <c r="GG293"/>
      <c r="GI293"/>
      <c r="GJ293"/>
      <c r="GK293"/>
      <c r="GL293"/>
      <c r="GM293"/>
      <c r="GN293"/>
      <c r="GO293"/>
      <c r="YK293"/>
      <c r="YL293"/>
      <c r="YM293"/>
      <c r="YN293"/>
      <c r="YO293"/>
      <c r="AFI293"/>
      <c r="AFJ293"/>
      <c r="AFK293"/>
      <c r="AFL293"/>
      <c r="AFM293"/>
      <c r="AFN293" t="e">
        <f>+Tabla578914151634353637383940414243444546474849505152535560626467[[#This Row],[Recuento]]*#REF!</f>
        <v>#REF!</v>
      </c>
      <c r="AFO293" s="36"/>
    </row>
    <row r="294" spans="75:847" x14ac:dyDescent="0.25">
      <c r="BW294"/>
      <c r="BX294"/>
      <c r="BY294"/>
      <c r="BZ294"/>
      <c r="CA294"/>
      <c r="CB294"/>
      <c r="CE294"/>
      <c r="CF294"/>
      <c r="CG294"/>
      <c r="CH294"/>
      <c r="CI294"/>
      <c r="CJ294"/>
      <c r="CK294"/>
      <c r="CM294"/>
      <c r="CN294"/>
      <c r="CO294"/>
      <c r="CP294"/>
      <c r="CQ294"/>
      <c r="CR294"/>
      <c r="CU294"/>
      <c r="CV294"/>
      <c r="CW294"/>
      <c r="CX294"/>
      <c r="CY294"/>
      <c r="CZ294"/>
      <c r="DA294"/>
      <c r="DC294"/>
      <c r="DD294"/>
      <c r="DE294"/>
      <c r="DF294"/>
      <c r="DG294"/>
      <c r="DH294"/>
      <c r="DJ294"/>
      <c r="DK294"/>
      <c r="DL294"/>
      <c r="DM294"/>
      <c r="DN294">
        <f>+Tabla3101170411[[#This Row],[Longitud de eje]]*DI294</f>
        <v>0</v>
      </c>
      <c r="DO294"/>
      <c r="DQ294"/>
      <c r="DR294"/>
      <c r="DS294"/>
      <c r="DT294"/>
      <c r="DU294">
        <f>+Tabla3101170411120[[#This Row],[Longitud de eje]]*DP294</f>
        <v>0</v>
      </c>
      <c r="DV294"/>
      <c r="DX294"/>
      <c r="DY294"/>
      <c r="DZ294"/>
      <c r="EA294"/>
      <c r="EB294">
        <f>+Tabla3101170411120122[[#This Row],[Longitud de eje]]*DW294</f>
        <v>0</v>
      </c>
      <c r="EC294"/>
      <c r="EE294"/>
      <c r="EF294"/>
      <c r="EG294"/>
      <c r="EH294"/>
      <c r="EI294"/>
      <c r="EJ294"/>
      <c r="EK294"/>
      <c r="EM294"/>
      <c r="EN294"/>
      <c r="EO294"/>
      <c r="EP294"/>
      <c r="EQ294"/>
      <c r="ER294"/>
      <c r="ES294"/>
      <c r="EU294"/>
      <c r="EV294"/>
      <c r="EW294"/>
      <c r="EX294"/>
      <c r="EY294"/>
      <c r="EZ294"/>
      <c r="FA294"/>
      <c r="FC294"/>
      <c r="FD294"/>
      <c r="FE294"/>
      <c r="FF294"/>
      <c r="FG294"/>
      <c r="FH294"/>
      <c r="FI294"/>
      <c r="FK294"/>
      <c r="FL294"/>
      <c r="FM294"/>
      <c r="FN294"/>
      <c r="FO294"/>
      <c r="FP294"/>
      <c r="FQ294"/>
      <c r="FS294"/>
      <c r="FT294"/>
      <c r="FU294"/>
      <c r="FV294"/>
      <c r="FW294"/>
      <c r="FX294"/>
      <c r="FY294"/>
      <c r="GA294"/>
      <c r="GB294"/>
      <c r="GC294"/>
      <c r="GD294"/>
      <c r="GE294"/>
      <c r="GF294"/>
      <c r="GG294"/>
      <c r="GI294"/>
      <c r="GJ294"/>
      <c r="GK294"/>
      <c r="GL294"/>
      <c r="GM294"/>
      <c r="GN294"/>
      <c r="GO294"/>
      <c r="YK294"/>
      <c r="YL294"/>
      <c r="YM294"/>
      <c r="YN294"/>
      <c r="YO294"/>
      <c r="AFI294"/>
      <c r="AFJ294"/>
      <c r="AFK294"/>
      <c r="AFL294"/>
      <c r="AFM294"/>
      <c r="AFN294" t="e">
        <f>+Tabla578914151634353637383940414243444546474849505152535560626467[[#This Row],[Recuento]]*#REF!</f>
        <v>#REF!</v>
      </c>
      <c r="AFO294" s="35">
        <f>+SUM(AFL294:AFL322)</f>
        <v>0</v>
      </c>
    </row>
    <row r="295" spans="75:847" x14ac:dyDescent="0.25">
      <c r="BW295"/>
      <c r="BX295"/>
      <c r="BY295"/>
      <c r="BZ295"/>
      <c r="CA295"/>
      <c r="CB295"/>
      <c r="CE295"/>
      <c r="CF295"/>
      <c r="CG295"/>
      <c r="CH295"/>
      <c r="CI295"/>
      <c r="CJ295"/>
      <c r="CK295"/>
      <c r="CM295"/>
      <c r="CN295"/>
      <c r="CO295"/>
      <c r="CP295"/>
      <c r="CQ295"/>
      <c r="CR295"/>
      <c r="CU295"/>
      <c r="CV295"/>
      <c r="CW295"/>
      <c r="CX295"/>
      <c r="CY295"/>
      <c r="CZ295"/>
      <c r="DA295"/>
      <c r="DC295"/>
      <c r="DD295"/>
      <c r="DE295"/>
      <c r="DF295"/>
      <c r="DG295"/>
      <c r="DH295"/>
      <c r="DJ295"/>
      <c r="DK295"/>
      <c r="DL295"/>
      <c r="DM295"/>
      <c r="DN295">
        <f>+Tabla3101170411[[#This Row],[Longitud de eje]]*DI295</f>
        <v>0</v>
      </c>
      <c r="DO295"/>
      <c r="DQ295"/>
      <c r="DR295"/>
      <c r="DS295"/>
      <c r="DT295"/>
      <c r="DU295">
        <f>+Tabla3101170411120[[#This Row],[Longitud de eje]]*DP295</f>
        <v>0</v>
      </c>
      <c r="DV295"/>
      <c r="DX295"/>
      <c r="DY295"/>
      <c r="DZ295"/>
      <c r="EA295"/>
      <c r="EB295">
        <f>+Tabla3101170411120122[[#This Row],[Longitud de eje]]*DW295</f>
        <v>0</v>
      </c>
      <c r="EC295"/>
      <c r="EE295"/>
      <c r="EF295"/>
      <c r="EG295"/>
      <c r="EH295"/>
      <c r="EI295"/>
      <c r="EJ295"/>
      <c r="EK295"/>
      <c r="EM295"/>
      <c r="EN295"/>
      <c r="EO295"/>
      <c r="EP295"/>
      <c r="EQ295"/>
      <c r="ER295"/>
      <c r="ES295"/>
      <c r="EU295"/>
      <c r="EV295"/>
      <c r="EW295"/>
      <c r="EX295"/>
      <c r="EY295"/>
      <c r="EZ295"/>
      <c r="FA295"/>
      <c r="FC295"/>
      <c r="FD295"/>
      <c r="FE295"/>
      <c r="FF295"/>
      <c r="FG295"/>
      <c r="FH295"/>
      <c r="FI295"/>
      <c r="FK295"/>
      <c r="FL295"/>
      <c r="FM295"/>
      <c r="FN295"/>
      <c r="FO295"/>
      <c r="FP295"/>
      <c r="FQ295"/>
      <c r="FS295"/>
      <c r="FT295"/>
      <c r="FU295"/>
      <c r="FV295"/>
      <c r="FW295"/>
      <c r="FX295"/>
      <c r="FY295"/>
      <c r="GA295"/>
      <c r="GB295"/>
      <c r="GC295"/>
      <c r="GD295"/>
      <c r="GE295"/>
      <c r="GF295"/>
      <c r="GG295"/>
      <c r="GI295"/>
      <c r="GJ295"/>
      <c r="GK295"/>
      <c r="GL295"/>
      <c r="GM295"/>
      <c r="GN295"/>
      <c r="GO295"/>
      <c r="YK295"/>
      <c r="YL295"/>
      <c r="YM295"/>
      <c r="YN295"/>
      <c r="YO295"/>
      <c r="AFI295"/>
      <c r="AFJ295"/>
      <c r="AFK295"/>
      <c r="AFL295"/>
      <c r="AFM295"/>
      <c r="AFN295" t="e">
        <f>+Tabla578914151634353637383940414243444546474849505152535560626467[[#This Row],[Recuento]]*#REF!</f>
        <v>#REF!</v>
      </c>
      <c r="AFO295" s="36"/>
    </row>
    <row r="296" spans="75:847" x14ac:dyDescent="0.25">
      <c r="BW296"/>
      <c r="BX296"/>
      <c r="BY296"/>
      <c r="BZ296"/>
      <c r="CA296"/>
      <c r="CB296"/>
      <c r="CE296"/>
      <c r="CF296"/>
      <c r="CG296"/>
      <c r="CH296"/>
      <c r="CI296"/>
      <c r="CJ296"/>
      <c r="CK296"/>
      <c r="CM296"/>
      <c r="CN296"/>
      <c r="CO296"/>
      <c r="CP296"/>
      <c r="CQ296"/>
      <c r="CR296"/>
      <c r="CU296"/>
      <c r="CV296"/>
      <c r="CW296"/>
      <c r="CX296"/>
      <c r="CY296"/>
      <c r="CZ296"/>
      <c r="DA296"/>
      <c r="DC296"/>
      <c r="DD296"/>
      <c r="DE296"/>
      <c r="DF296"/>
      <c r="DG296"/>
      <c r="DH296"/>
      <c r="DJ296"/>
      <c r="DK296"/>
      <c r="DL296"/>
      <c r="DM296"/>
      <c r="DN296">
        <f>+Tabla3101170411[[#This Row],[Longitud de eje]]*DI296</f>
        <v>0</v>
      </c>
      <c r="DO296"/>
      <c r="DQ296"/>
      <c r="DR296"/>
      <c r="DS296"/>
      <c r="DT296"/>
      <c r="DU296">
        <f>+Tabla3101170411120[[#This Row],[Longitud de eje]]*DP296</f>
        <v>0</v>
      </c>
      <c r="DV296"/>
      <c r="DX296"/>
      <c r="DY296"/>
      <c r="DZ296"/>
      <c r="EA296"/>
      <c r="EB296">
        <f>+Tabla3101170411120122[[#This Row],[Longitud de eje]]*DW296</f>
        <v>0</v>
      </c>
      <c r="EC296"/>
      <c r="EE296"/>
      <c r="EF296"/>
      <c r="EG296"/>
      <c r="EH296"/>
      <c r="EI296"/>
      <c r="EJ296"/>
      <c r="EK296"/>
      <c r="EM296"/>
      <c r="EN296"/>
      <c r="EO296"/>
      <c r="EP296"/>
      <c r="EQ296"/>
      <c r="ER296"/>
      <c r="ES296"/>
      <c r="EU296"/>
      <c r="EV296"/>
      <c r="EW296"/>
      <c r="EX296"/>
      <c r="EY296"/>
      <c r="EZ296"/>
      <c r="FA296"/>
      <c r="FC296"/>
      <c r="FD296"/>
      <c r="FE296"/>
      <c r="FF296"/>
      <c r="FG296"/>
      <c r="FH296"/>
      <c r="FI296"/>
      <c r="FK296"/>
      <c r="FL296"/>
      <c r="FM296"/>
      <c r="FN296"/>
      <c r="FO296"/>
      <c r="FP296"/>
      <c r="FQ296"/>
      <c r="FS296"/>
      <c r="FT296"/>
      <c r="FU296"/>
      <c r="FV296"/>
      <c r="FW296"/>
      <c r="FX296"/>
      <c r="FY296"/>
      <c r="GA296"/>
      <c r="GB296"/>
      <c r="GC296"/>
      <c r="GD296"/>
      <c r="GE296"/>
      <c r="GF296"/>
      <c r="GG296"/>
      <c r="GI296"/>
      <c r="GJ296"/>
      <c r="GK296"/>
      <c r="GL296"/>
      <c r="GM296"/>
      <c r="GN296"/>
      <c r="GO296"/>
      <c r="YK296"/>
      <c r="YL296"/>
      <c r="YM296"/>
      <c r="YN296"/>
      <c r="YO296"/>
      <c r="AFI296"/>
      <c r="AFJ296"/>
      <c r="AFK296"/>
      <c r="AFL296"/>
      <c r="AFM296"/>
      <c r="AFN296" t="e">
        <f>+Tabla578914151634353637383940414243444546474849505152535560626467[[#This Row],[Recuento]]*#REF!</f>
        <v>#REF!</v>
      </c>
      <c r="AFO296" s="36"/>
    </row>
    <row r="297" spans="75:847" x14ac:dyDescent="0.25">
      <c r="BW297"/>
      <c r="BX297"/>
      <c r="BY297"/>
      <c r="BZ297"/>
      <c r="CA297"/>
      <c r="CB297"/>
      <c r="CE297"/>
      <c r="CF297"/>
      <c r="CG297"/>
      <c r="CH297"/>
      <c r="CI297"/>
      <c r="CJ297"/>
      <c r="CK297"/>
      <c r="CM297"/>
      <c r="CN297"/>
      <c r="CO297"/>
      <c r="CP297"/>
      <c r="CQ297"/>
      <c r="CR297"/>
      <c r="CU297"/>
      <c r="CV297"/>
      <c r="CW297"/>
      <c r="CX297"/>
      <c r="CY297"/>
      <c r="CZ297"/>
      <c r="DA297"/>
      <c r="DC297"/>
      <c r="DD297"/>
      <c r="DE297"/>
      <c r="DF297"/>
      <c r="DG297"/>
      <c r="DH297"/>
      <c r="DJ297"/>
      <c r="DK297"/>
      <c r="DL297"/>
      <c r="DM297"/>
      <c r="DN297">
        <f>+Tabla3101170411[[#This Row],[Longitud de eje]]*DI297</f>
        <v>0</v>
      </c>
      <c r="DO297"/>
      <c r="DQ297"/>
      <c r="DR297"/>
      <c r="DS297"/>
      <c r="DT297"/>
      <c r="DU297">
        <f>+Tabla3101170411120[[#This Row],[Longitud de eje]]*DP297</f>
        <v>0</v>
      </c>
      <c r="DV297"/>
      <c r="DX297"/>
      <c r="DY297"/>
      <c r="DZ297"/>
      <c r="EA297"/>
      <c r="EB297">
        <f>+Tabla3101170411120122[[#This Row],[Longitud de eje]]*DW297</f>
        <v>0</v>
      </c>
      <c r="EC297"/>
      <c r="EE297"/>
      <c r="EF297"/>
      <c r="EG297"/>
      <c r="EH297"/>
      <c r="EI297"/>
      <c r="EJ297"/>
      <c r="EK297"/>
      <c r="EM297"/>
      <c r="EN297"/>
      <c r="EO297"/>
      <c r="EP297"/>
      <c r="EQ297"/>
      <c r="ER297"/>
      <c r="ES297"/>
      <c r="EU297"/>
      <c r="EV297"/>
      <c r="EW297"/>
      <c r="EX297"/>
      <c r="EY297"/>
      <c r="EZ297"/>
      <c r="FA297"/>
      <c r="FC297"/>
      <c r="FD297"/>
      <c r="FE297"/>
      <c r="FF297"/>
      <c r="FG297"/>
      <c r="FH297"/>
      <c r="FI297"/>
      <c r="FK297"/>
      <c r="FL297"/>
      <c r="FM297"/>
      <c r="FN297"/>
      <c r="FO297"/>
      <c r="FP297"/>
      <c r="FQ297"/>
      <c r="FS297"/>
      <c r="FT297"/>
      <c r="FU297"/>
      <c r="FV297"/>
      <c r="FW297"/>
      <c r="FX297"/>
      <c r="FY297"/>
      <c r="GA297"/>
      <c r="GB297"/>
      <c r="GC297"/>
      <c r="GD297"/>
      <c r="GE297"/>
      <c r="GF297"/>
      <c r="GG297"/>
      <c r="GI297"/>
      <c r="GJ297"/>
      <c r="GK297"/>
      <c r="GL297"/>
      <c r="GM297"/>
      <c r="GN297"/>
      <c r="GO297"/>
      <c r="YK297"/>
      <c r="YL297"/>
      <c r="YM297"/>
      <c r="YN297"/>
      <c r="YO297"/>
      <c r="AFI297"/>
      <c r="AFJ297"/>
      <c r="AFK297"/>
      <c r="AFL297"/>
      <c r="AFM297"/>
      <c r="AFN297" t="e">
        <f>+Tabla578914151634353637383940414243444546474849505152535560626467[[#This Row],[Recuento]]*#REF!</f>
        <v>#REF!</v>
      </c>
      <c r="AFO297" s="36"/>
    </row>
    <row r="298" spans="75:847" x14ac:dyDescent="0.25">
      <c r="BW298"/>
      <c r="BX298"/>
      <c r="BY298"/>
      <c r="BZ298"/>
      <c r="CA298"/>
      <c r="CB298"/>
      <c r="CE298"/>
      <c r="CF298"/>
      <c r="CG298"/>
      <c r="CH298"/>
      <c r="CI298"/>
      <c r="CJ298"/>
      <c r="CK298"/>
      <c r="CM298"/>
      <c r="CN298"/>
      <c r="CO298"/>
      <c r="CP298"/>
      <c r="CQ298"/>
      <c r="CR298"/>
      <c r="CU298"/>
      <c r="CV298"/>
      <c r="CW298"/>
      <c r="CX298"/>
      <c r="CY298"/>
      <c r="CZ298"/>
      <c r="DA298"/>
      <c r="DC298"/>
      <c r="DD298"/>
      <c r="DE298"/>
      <c r="DF298"/>
      <c r="DG298"/>
      <c r="DH298"/>
      <c r="DJ298"/>
      <c r="DK298"/>
      <c r="DL298"/>
      <c r="DM298"/>
      <c r="DN298">
        <f>+Tabla3101170411[[#This Row],[Longitud de eje]]*DI298</f>
        <v>0</v>
      </c>
      <c r="DO298"/>
      <c r="DQ298"/>
      <c r="DR298"/>
      <c r="DS298"/>
      <c r="DT298"/>
      <c r="DU298">
        <f>+Tabla3101170411120[[#This Row],[Longitud de eje]]*DP298</f>
        <v>0</v>
      </c>
      <c r="DV298"/>
      <c r="DX298"/>
      <c r="DY298"/>
      <c r="DZ298"/>
      <c r="EA298"/>
      <c r="EB298">
        <f>+Tabla3101170411120122[[#This Row],[Longitud de eje]]*DW298</f>
        <v>0</v>
      </c>
      <c r="EC298"/>
      <c r="EE298"/>
      <c r="EF298"/>
      <c r="EG298"/>
      <c r="EH298"/>
      <c r="EI298"/>
      <c r="EJ298"/>
      <c r="EK298"/>
      <c r="EM298"/>
      <c r="EN298"/>
      <c r="EO298"/>
      <c r="EP298"/>
      <c r="EQ298"/>
      <c r="ER298"/>
      <c r="ES298"/>
      <c r="EU298"/>
      <c r="EV298"/>
      <c r="EW298"/>
      <c r="EX298"/>
      <c r="EY298"/>
      <c r="EZ298"/>
      <c r="FA298"/>
      <c r="FC298"/>
      <c r="FD298"/>
      <c r="FE298"/>
      <c r="FF298"/>
      <c r="FG298"/>
      <c r="FH298"/>
      <c r="FI298"/>
      <c r="FK298"/>
      <c r="FL298"/>
      <c r="FM298"/>
      <c r="FN298"/>
      <c r="FO298"/>
      <c r="FP298"/>
      <c r="FQ298"/>
      <c r="FS298"/>
      <c r="FT298"/>
      <c r="FU298"/>
      <c r="FV298"/>
      <c r="FW298"/>
      <c r="FX298"/>
      <c r="FY298"/>
      <c r="GA298"/>
      <c r="GB298"/>
      <c r="GC298"/>
      <c r="GD298"/>
      <c r="GE298"/>
      <c r="GF298"/>
      <c r="GG298"/>
      <c r="GI298"/>
      <c r="GJ298"/>
      <c r="GK298"/>
      <c r="GL298"/>
      <c r="GM298"/>
      <c r="GN298"/>
      <c r="GO298"/>
      <c r="YK298"/>
      <c r="YL298"/>
      <c r="YM298"/>
      <c r="YN298"/>
      <c r="YO298"/>
      <c r="AFI298"/>
      <c r="AFJ298"/>
      <c r="AFK298"/>
      <c r="AFL298"/>
      <c r="AFM298"/>
      <c r="AFN298" t="e">
        <f>+Tabla578914151634353637383940414243444546474849505152535560626467[[#This Row],[Recuento]]*#REF!</f>
        <v>#REF!</v>
      </c>
      <c r="AFO298" s="36"/>
    </row>
    <row r="299" spans="75:847" x14ac:dyDescent="0.25">
      <c r="BW299"/>
      <c r="BX299"/>
      <c r="BY299"/>
      <c r="BZ299"/>
      <c r="CA299"/>
      <c r="CB299"/>
      <c r="CE299"/>
      <c r="CF299"/>
      <c r="CG299"/>
      <c r="CH299"/>
      <c r="CI299"/>
      <c r="CJ299"/>
      <c r="CK299"/>
      <c r="CM299"/>
      <c r="CN299"/>
      <c r="CO299"/>
      <c r="CP299"/>
      <c r="CQ299"/>
      <c r="CR299"/>
      <c r="CU299"/>
      <c r="CV299"/>
      <c r="CW299"/>
      <c r="CX299"/>
      <c r="CY299"/>
      <c r="CZ299"/>
      <c r="DA299"/>
      <c r="DC299"/>
      <c r="DD299"/>
      <c r="DE299"/>
      <c r="DF299"/>
      <c r="DG299"/>
      <c r="DH299"/>
      <c r="DJ299"/>
      <c r="DK299"/>
      <c r="DL299"/>
      <c r="DM299"/>
      <c r="DN299">
        <f>+Tabla3101170411[[#This Row],[Longitud de eje]]*DI299</f>
        <v>0</v>
      </c>
      <c r="DO299"/>
      <c r="DQ299"/>
      <c r="DR299"/>
      <c r="DS299"/>
      <c r="DT299"/>
      <c r="DU299">
        <f>+Tabla3101170411120[[#This Row],[Longitud de eje]]*DP299</f>
        <v>0</v>
      </c>
      <c r="DV299"/>
      <c r="DX299"/>
      <c r="DY299"/>
      <c r="DZ299"/>
      <c r="EA299"/>
      <c r="EB299">
        <f>+Tabla3101170411120122[[#This Row],[Longitud de eje]]*DW299</f>
        <v>0</v>
      </c>
      <c r="EC299"/>
      <c r="EE299"/>
      <c r="EF299"/>
      <c r="EG299"/>
      <c r="EH299"/>
      <c r="EI299"/>
      <c r="EJ299"/>
      <c r="EK299"/>
      <c r="EM299"/>
      <c r="EN299"/>
      <c r="EO299"/>
      <c r="EP299"/>
      <c r="EQ299"/>
      <c r="ER299"/>
      <c r="ES299"/>
      <c r="EU299"/>
      <c r="EV299"/>
      <c r="EW299"/>
      <c r="EX299"/>
      <c r="EY299"/>
      <c r="EZ299"/>
      <c r="FA299"/>
      <c r="FC299"/>
      <c r="FD299"/>
      <c r="FE299"/>
      <c r="FF299"/>
      <c r="FG299"/>
      <c r="FH299"/>
      <c r="FI299"/>
      <c r="FK299"/>
      <c r="FL299"/>
      <c r="FM299"/>
      <c r="FN299"/>
      <c r="FO299"/>
      <c r="FP299"/>
      <c r="FQ299"/>
      <c r="FS299"/>
      <c r="FT299"/>
      <c r="FU299"/>
      <c r="FV299"/>
      <c r="FW299"/>
      <c r="FX299"/>
      <c r="FY299"/>
      <c r="GA299"/>
      <c r="GB299"/>
      <c r="GC299"/>
      <c r="GD299"/>
      <c r="GE299"/>
      <c r="GF299"/>
      <c r="GG299"/>
      <c r="GI299"/>
      <c r="GJ299"/>
      <c r="GK299"/>
      <c r="GL299"/>
      <c r="GM299"/>
      <c r="GN299"/>
      <c r="GO299"/>
      <c r="YK299"/>
      <c r="YL299"/>
      <c r="YM299"/>
      <c r="YN299"/>
      <c r="YO299"/>
      <c r="AFI299"/>
      <c r="AFJ299"/>
      <c r="AFK299"/>
      <c r="AFL299"/>
      <c r="AFM299"/>
      <c r="AFN299" t="e">
        <f>+Tabla578914151634353637383940414243444546474849505152535560626467[[#This Row],[Recuento]]*#REF!</f>
        <v>#REF!</v>
      </c>
      <c r="AFO299" s="36"/>
    </row>
    <row r="300" spans="75:847" x14ac:dyDescent="0.25">
      <c r="BW300"/>
      <c r="BX300"/>
      <c r="BY300"/>
      <c r="BZ300"/>
      <c r="CA300"/>
      <c r="CB300"/>
      <c r="CE300"/>
      <c r="CF300"/>
      <c r="CG300"/>
      <c r="CH300"/>
      <c r="CI300"/>
      <c r="CJ300"/>
      <c r="CK300"/>
      <c r="CM300"/>
      <c r="CN300"/>
      <c r="CO300"/>
      <c r="CP300"/>
      <c r="CQ300"/>
      <c r="CR300"/>
      <c r="CU300"/>
      <c r="CV300"/>
      <c r="CW300"/>
      <c r="CX300"/>
      <c r="CY300"/>
      <c r="CZ300"/>
      <c r="DA300"/>
      <c r="DC300"/>
      <c r="DD300"/>
      <c r="DE300"/>
      <c r="DF300"/>
      <c r="DG300"/>
      <c r="DH300"/>
      <c r="DJ300"/>
      <c r="DK300"/>
      <c r="DL300"/>
      <c r="DM300"/>
      <c r="DN300">
        <f>+Tabla3101170411[[#This Row],[Longitud de eje]]*DI300</f>
        <v>0</v>
      </c>
      <c r="DO300"/>
      <c r="DQ300"/>
      <c r="DR300"/>
      <c r="DS300"/>
      <c r="DT300"/>
      <c r="DU300">
        <f>+Tabla3101170411120[[#This Row],[Longitud de eje]]*DP300</f>
        <v>0</v>
      </c>
      <c r="DV300"/>
      <c r="DX300"/>
      <c r="DY300"/>
      <c r="DZ300"/>
      <c r="EA300"/>
      <c r="EB300">
        <f>+Tabla3101170411120122[[#This Row],[Longitud de eje]]*DW300</f>
        <v>0</v>
      </c>
      <c r="EC300"/>
      <c r="EE300"/>
      <c r="EF300"/>
      <c r="EG300"/>
      <c r="EH300"/>
      <c r="EI300"/>
      <c r="EJ300"/>
      <c r="EK300"/>
      <c r="EM300"/>
      <c r="EN300"/>
      <c r="EO300"/>
      <c r="EP300"/>
      <c r="EQ300"/>
      <c r="ER300"/>
      <c r="ES300"/>
      <c r="EU300"/>
      <c r="EV300"/>
      <c r="EW300"/>
      <c r="EX300"/>
      <c r="EY300"/>
      <c r="EZ300"/>
      <c r="FA300"/>
      <c r="FC300"/>
      <c r="FD300"/>
      <c r="FE300"/>
      <c r="FF300"/>
      <c r="FG300"/>
      <c r="FH300"/>
      <c r="FI300"/>
      <c r="FK300"/>
      <c r="FL300"/>
      <c r="FM300"/>
      <c r="FN300"/>
      <c r="FO300"/>
      <c r="FP300"/>
      <c r="FQ300"/>
      <c r="FS300"/>
      <c r="FT300"/>
      <c r="FU300"/>
      <c r="FV300"/>
      <c r="FW300"/>
      <c r="FX300"/>
      <c r="FY300"/>
      <c r="GA300"/>
      <c r="GB300"/>
      <c r="GC300"/>
      <c r="GD300"/>
      <c r="GE300"/>
      <c r="GF300"/>
      <c r="GG300"/>
      <c r="GI300"/>
      <c r="GJ300"/>
      <c r="GK300"/>
      <c r="GL300"/>
      <c r="GM300"/>
      <c r="GN300"/>
      <c r="GO300"/>
      <c r="YK300"/>
      <c r="YL300"/>
      <c r="YM300"/>
      <c r="YN300"/>
      <c r="YO300"/>
      <c r="AFI300"/>
      <c r="AFJ300"/>
      <c r="AFK300"/>
      <c r="AFL300"/>
      <c r="AFM300"/>
      <c r="AFN300" t="e">
        <f>+Tabla578914151634353637383940414243444546474849505152535560626467[[#This Row],[Recuento]]*#REF!</f>
        <v>#REF!</v>
      </c>
      <c r="AFO300" s="36"/>
    </row>
    <row r="301" spans="75:847" x14ac:dyDescent="0.25">
      <c r="BW301"/>
      <c r="BX301"/>
      <c r="BY301"/>
      <c r="BZ301"/>
      <c r="CA301"/>
      <c r="CB301"/>
      <c r="CE301"/>
      <c r="CF301"/>
      <c r="CG301"/>
      <c r="CH301"/>
      <c r="CI301"/>
      <c r="CJ301"/>
      <c r="CK301"/>
      <c r="CM301"/>
      <c r="CN301"/>
      <c r="CO301"/>
      <c r="CP301"/>
      <c r="CQ301"/>
      <c r="CR301"/>
      <c r="CU301"/>
      <c r="CV301"/>
      <c r="CW301"/>
      <c r="CX301"/>
      <c r="CY301"/>
      <c r="CZ301"/>
      <c r="DA301"/>
      <c r="DC301"/>
      <c r="DD301"/>
      <c r="DE301"/>
      <c r="DF301"/>
      <c r="DG301"/>
      <c r="DH301"/>
      <c r="DJ301"/>
      <c r="DK301"/>
      <c r="DL301"/>
      <c r="DM301"/>
      <c r="DN301">
        <f>+Tabla3101170411[[#This Row],[Longitud de eje]]*DI301</f>
        <v>0</v>
      </c>
      <c r="DO301"/>
      <c r="DQ301"/>
      <c r="DR301"/>
      <c r="DS301"/>
      <c r="DT301"/>
      <c r="DU301">
        <f>+Tabla3101170411120[[#This Row],[Longitud de eje]]*DP301</f>
        <v>0</v>
      </c>
      <c r="DV301"/>
      <c r="DX301"/>
      <c r="DY301"/>
      <c r="DZ301"/>
      <c r="EA301"/>
      <c r="EB301">
        <f>+Tabla3101170411120122[[#This Row],[Longitud de eje]]*DW301</f>
        <v>0</v>
      </c>
      <c r="EC301"/>
      <c r="EE301"/>
      <c r="EF301"/>
      <c r="EG301"/>
      <c r="EH301"/>
      <c r="EI301"/>
      <c r="EJ301"/>
      <c r="EK301"/>
      <c r="EM301"/>
      <c r="EN301"/>
      <c r="EO301"/>
      <c r="EP301"/>
      <c r="EQ301"/>
      <c r="ER301"/>
      <c r="ES301"/>
      <c r="EU301"/>
      <c r="EV301"/>
      <c r="EW301"/>
      <c r="EX301"/>
      <c r="EY301"/>
      <c r="EZ301"/>
      <c r="FA301"/>
      <c r="FC301"/>
      <c r="FD301"/>
      <c r="FE301"/>
      <c r="FF301"/>
      <c r="FG301"/>
      <c r="FH301"/>
      <c r="FI301"/>
      <c r="FK301"/>
      <c r="FL301"/>
      <c r="FM301"/>
      <c r="FN301"/>
      <c r="FO301"/>
      <c r="FP301"/>
      <c r="FQ301"/>
      <c r="FS301"/>
      <c r="FT301"/>
      <c r="FU301"/>
      <c r="FV301"/>
      <c r="FW301"/>
      <c r="FX301"/>
      <c r="FY301"/>
      <c r="GA301"/>
      <c r="GB301"/>
      <c r="GC301"/>
      <c r="GD301"/>
      <c r="GE301"/>
      <c r="GF301"/>
      <c r="GG301"/>
      <c r="GI301"/>
      <c r="GJ301"/>
      <c r="GK301"/>
      <c r="GL301"/>
      <c r="GM301"/>
      <c r="GN301"/>
      <c r="GO301"/>
      <c r="YK301"/>
      <c r="YL301"/>
      <c r="YM301"/>
      <c r="YN301"/>
      <c r="YO301"/>
      <c r="AFI301"/>
      <c r="AFJ301"/>
      <c r="AFK301"/>
      <c r="AFL301"/>
      <c r="AFM301"/>
      <c r="AFN301" t="e">
        <f>+Tabla578914151634353637383940414243444546474849505152535560626467[[#This Row],[Recuento]]*#REF!</f>
        <v>#REF!</v>
      </c>
      <c r="AFO301" s="36"/>
    </row>
    <row r="302" spans="75:847" x14ac:dyDescent="0.25">
      <c r="BW302"/>
      <c r="BX302"/>
      <c r="BY302"/>
      <c r="BZ302"/>
      <c r="CA302"/>
      <c r="CB302"/>
      <c r="CE302"/>
      <c r="CF302"/>
      <c r="CG302"/>
      <c r="CH302"/>
      <c r="CI302"/>
      <c r="CJ302"/>
      <c r="CK302"/>
      <c r="CM302"/>
      <c r="CN302"/>
      <c r="CO302"/>
      <c r="CP302"/>
      <c r="CQ302"/>
      <c r="CR302"/>
      <c r="CU302"/>
      <c r="CV302"/>
      <c r="CW302"/>
      <c r="CX302"/>
      <c r="CY302"/>
      <c r="CZ302"/>
      <c r="DA302"/>
      <c r="DC302"/>
      <c r="DD302"/>
      <c r="DE302"/>
      <c r="DF302"/>
      <c r="DG302"/>
      <c r="DH302"/>
      <c r="DJ302"/>
      <c r="DK302"/>
      <c r="DL302"/>
      <c r="DM302"/>
      <c r="DN302">
        <f>+Tabla3101170411[[#This Row],[Longitud de eje]]*DI302</f>
        <v>0</v>
      </c>
      <c r="DO302"/>
      <c r="DQ302"/>
      <c r="DR302"/>
      <c r="DS302"/>
      <c r="DT302"/>
      <c r="DU302">
        <f>+Tabla3101170411120[[#This Row],[Longitud de eje]]*DP302</f>
        <v>0</v>
      </c>
      <c r="DV302"/>
      <c r="DX302"/>
      <c r="DY302"/>
      <c r="DZ302"/>
      <c r="EA302"/>
      <c r="EB302">
        <f>+Tabla3101170411120122[[#This Row],[Longitud de eje]]*DW302</f>
        <v>0</v>
      </c>
      <c r="EC302"/>
      <c r="EE302"/>
      <c r="EF302"/>
      <c r="EG302"/>
      <c r="EH302"/>
      <c r="EI302"/>
      <c r="EJ302"/>
      <c r="EK302"/>
      <c r="EM302"/>
      <c r="EN302"/>
      <c r="EO302"/>
      <c r="EP302"/>
      <c r="EQ302"/>
      <c r="ER302"/>
      <c r="ES302"/>
      <c r="EU302"/>
      <c r="EV302"/>
      <c r="EW302"/>
      <c r="EX302"/>
      <c r="EY302"/>
      <c r="EZ302"/>
      <c r="FA302"/>
      <c r="FC302"/>
      <c r="FD302"/>
      <c r="FE302"/>
      <c r="FF302"/>
      <c r="FG302"/>
      <c r="FH302"/>
      <c r="FI302"/>
      <c r="FK302"/>
      <c r="FL302"/>
      <c r="FM302"/>
      <c r="FN302"/>
      <c r="FO302"/>
      <c r="FP302"/>
      <c r="FQ302"/>
      <c r="FS302"/>
      <c r="FT302"/>
      <c r="FU302"/>
      <c r="FV302"/>
      <c r="FW302"/>
      <c r="FX302"/>
      <c r="FY302"/>
      <c r="GA302"/>
      <c r="GB302"/>
      <c r="GC302"/>
      <c r="GD302"/>
      <c r="GE302"/>
      <c r="GF302"/>
      <c r="GG302"/>
      <c r="GI302"/>
      <c r="GJ302"/>
      <c r="GK302"/>
      <c r="GL302"/>
      <c r="GM302"/>
      <c r="GN302"/>
      <c r="GO302"/>
      <c r="YK302"/>
      <c r="YL302"/>
      <c r="YM302"/>
      <c r="YN302"/>
      <c r="YO302"/>
      <c r="AFI302"/>
      <c r="AFJ302"/>
      <c r="AFK302"/>
      <c r="AFL302"/>
      <c r="AFM302"/>
      <c r="AFN302" t="e">
        <f>+Tabla578914151634353637383940414243444546474849505152535560626467[[#This Row],[Recuento]]*#REF!</f>
        <v>#REF!</v>
      </c>
      <c r="AFO302" s="36"/>
    </row>
    <row r="303" spans="75:847" x14ac:dyDescent="0.25">
      <c r="BW303"/>
      <c r="BX303"/>
      <c r="BY303"/>
      <c r="BZ303"/>
      <c r="CA303"/>
      <c r="CB303"/>
      <c r="CE303"/>
      <c r="CF303"/>
      <c r="CG303"/>
      <c r="CH303"/>
      <c r="CI303"/>
      <c r="CJ303"/>
      <c r="CK303"/>
      <c r="CM303"/>
      <c r="CN303"/>
      <c r="CO303"/>
      <c r="CP303"/>
      <c r="CQ303"/>
      <c r="CR303"/>
      <c r="CU303"/>
      <c r="CV303"/>
      <c r="CW303"/>
      <c r="CX303"/>
      <c r="CY303"/>
      <c r="CZ303"/>
      <c r="DA303"/>
      <c r="DC303"/>
      <c r="DD303"/>
      <c r="DE303"/>
      <c r="DF303"/>
      <c r="DG303"/>
      <c r="DH303"/>
      <c r="DJ303"/>
      <c r="DK303"/>
      <c r="DL303"/>
      <c r="DM303"/>
      <c r="DN303">
        <f>+Tabla3101170411[[#This Row],[Longitud de eje]]*DI303</f>
        <v>0</v>
      </c>
      <c r="DO303"/>
      <c r="DQ303"/>
      <c r="DR303"/>
      <c r="DS303"/>
      <c r="DT303"/>
      <c r="DU303">
        <f>+Tabla3101170411120[[#This Row],[Longitud de eje]]*DP303</f>
        <v>0</v>
      </c>
      <c r="DV303"/>
      <c r="DX303"/>
      <c r="DY303"/>
      <c r="DZ303"/>
      <c r="EA303"/>
      <c r="EB303">
        <f>+Tabla3101170411120122[[#This Row],[Longitud de eje]]*DW303</f>
        <v>0</v>
      </c>
      <c r="EC303"/>
      <c r="EE303"/>
      <c r="EF303"/>
      <c r="EG303"/>
      <c r="EH303"/>
      <c r="EI303"/>
      <c r="EJ303"/>
      <c r="EK303"/>
      <c r="EM303"/>
      <c r="EN303"/>
      <c r="EO303"/>
      <c r="EP303"/>
      <c r="EQ303"/>
      <c r="ER303"/>
      <c r="ES303"/>
      <c r="EU303"/>
      <c r="EV303"/>
      <c r="EW303"/>
      <c r="EX303"/>
      <c r="EY303"/>
      <c r="EZ303"/>
      <c r="FA303"/>
      <c r="FC303"/>
      <c r="FD303"/>
      <c r="FE303"/>
      <c r="FF303"/>
      <c r="FG303"/>
      <c r="FH303"/>
      <c r="FI303"/>
      <c r="FK303"/>
      <c r="FL303"/>
      <c r="FM303"/>
      <c r="FN303"/>
      <c r="FO303"/>
      <c r="FP303"/>
      <c r="FQ303"/>
      <c r="FS303"/>
      <c r="FT303"/>
      <c r="FU303"/>
      <c r="FV303"/>
      <c r="FW303"/>
      <c r="FX303"/>
      <c r="FY303"/>
      <c r="GA303"/>
      <c r="GB303"/>
      <c r="GC303"/>
      <c r="GD303"/>
      <c r="GE303"/>
      <c r="GF303"/>
      <c r="GG303"/>
      <c r="GI303"/>
      <c r="GJ303"/>
      <c r="GK303"/>
      <c r="GL303"/>
      <c r="GM303"/>
      <c r="GN303"/>
      <c r="GO303"/>
      <c r="YK303"/>
      <c r="YL303"/>
      <c r="YM303"/>
      <c r="YN303"/>
      <c r="YO303"/>
      <c r="AFI303"/>
      <c r="AFJ303"/>
      <c r="AFK303"/>
      <c r="AFL303"/>
      <c r="AFM303"/>
      <c r="AFN303" t="e">
        <f>+Tabla578914151634353637383940414243444546474849505152535560626467[[#This Row],[Recuento]]*#REF!</f>
        <v>#REF!</v>
      </c>
      <c r="AFO303" s="36"/>
    </row>
    <row r="304" spans="75:847" x14ac:dyDescent="0.25">
      <c r="BW304"/>
      <c r="BX304"/>
      <c r="BY304"/>
      <c r="BZ304"/>
      <c r="CA304"/>
      <c r="CB304"/>
      <c r="CE304"/>
      <c r="CF304"/>
      <c r="CG304"/>
      <c r="CH304"/>
      <c r="CI304"/>
      <c r="CJ304"/>
      <c r="CK304"/>
      <c r="CM304"/>
      <c r="CN304"/>
      <c r="CO304"/>
      <c r="CP304"/>
      <c r="CQ304"/>
      <c r="CR304"/>
      <c r="CU304"/>
      <c r="CV304"/>
      <c r="CW304"/>
      <c r="CX304"/>
      <c r="CY304"/>
      <c r="CZ304"/>
      <c r="DA304"/>
      <c r="DC304"/>
      <c r="DD304"/>
      <c r="DE304"/>
      <c r="DF304"/>
      <c r="DG304"/>
      <c r="DH304"/>
      <c r="DJ304"/>
      <c r="DK304"/>
      <c r="DL304"/>
      <c r="DM304"/>
      <c r="DN304">
        <f>+Tabla3101170411[[#This Row],[Longitud de eje]]*DI304</f>
        <v>0</v>
      </c>
      <c r="DO304"/>
      <c r="DQ304"/>
      <c r="DR304"/>
      <c r="DS304"/>
      <c r="DT304"/>
      <c r="DU304">
        <f>+Tabla3101170411120[[#This Row],[Longitud de eje]]*DP304</f>
        <v>0</v>
      </c>
      <c r="DV304"/>
      <c r="DX304"/>
      <c r="DY304"/>
      <c r="DZ304"/>
      <c r="EA304"/>
      <c r="EB304">
        <f>+Tabla3101170411120122[[#This Row],[Longitud de eje]]*DW304</f>
        <v>0</v>
      </c>
      <c r="EC304"/>
      <c r="EE304"/>
      <c r="EF304"/>
      <c r="EG304"/>
      <c r="EH304"/>
      <c r="EI304"/>
      <c r="EJ304"/>
      <c r="EK304"/>
      <c r="EM304"/>
      <c r="EN304"/>
      <c r="EO304"/>
      <c r="EP304"/>
      <c r="EQ304"/>
      <c r="ER304"/>
      <c r="ES304"/>
      <c r="EU304"/>
      <c r="EV304"/>
      <c r="EW304"/>
      <c r="EX304"/>
      <c r="EY304"/>
      <c r="EZ304"/>
      <c r="FA304"/>
      <c r="FC304"/>
      <c r="FD304"/>
      <c r="FE304"/>
      <c r="FF304"/>
      <c r="FG304"/>
      <c r="FH304"/>
      <c r="FI304"/>
      <c r="FK304"/>
      <c r="FL304"/>
      <c r="FM304"/>
      <c r="FN304"/>
      <c r="FO304"/>
      <c r="FP304"/>
      <c r="FQ304"/>
      <c r="FS304"/>
      <c r="FT304"/>
      <c r="FU304"/>
      <c r="FV304"/>
      <c r="FW304"/>
      <c r="FX304"/>
      <c r="FY304"/>
      <c r="GA304"/>
      <c r="GB304"/>
      <c r="GC304"/>
      <c r="GD304"/>
      <c r="GE304"/>
      <c r="GF304"/>
      <c r="GG304"/>
      <c r="GI304"/>
      <c r="GJ304"/>
      <c r="GK304"/>
      <c r="GL304"/>
      <c r="GM304"/>
      <c r="GN304"/>
      <c r="GO304"/>
      <c r="YK304"/>
      <c r="YL304"/>
      <c r="YM304"/>
      <c r="YN304"/>
      <c r="YO304"/>
      <c r="AFI304"/>
      <c r="AFJ304"/>
      <c r="AFK304"/>
      <c r="AFL304"/>
      <c r="AFM304"/>
      <c r="AFN304" t="e">
        <f>+Tabla578914151634353637383940414243444546474849505152535560626467[[#This Row],[Recuento]]*#REF!</f>
        <v>#REF!</v>
      </c>
      <c r="AFO304" s="36"/>
    </row>
    <row r="305" spans="75:847" x14ac:dyDescent="0.25">
      <c r="BW305"/>
      <c r="BX305"/>
      <c r="BY305"/>
      <c r="BZ305"/>
      <c r="CA305"/>
      <c r="CB305"/>
      <c r="CE305"/>
      <c r="CF305"/>
      <c r="CG305"/>
      <c r="CH305"/>
      <c r="CI305"/>
      <c r="CJ305"/>
      <c r="CK305"/>
      <c r="CM305"/>
      <c r="CN305"/>
      <c r="CO305"/>
      <c r="CP305"/>
      <c r="CQ305"/>
      <c r="CR305"/>
      <c r="CU305"/>
      <c r="CV305"/>
      <c r="CW305"/>
      <c r="CX305"/>
      <c r="CY305"/>
      <c r="CZ305"/>
      <c r="DA305"/>
      <c r="DC305"/>
      <c r="DD305"/>
      <c r="DE305"/>
      <c r="DF305"/>
      <c r="DG305"/>
      <c r="DH305"/>
      <c r="DJ305"/>
      <c r="DK305"/>
      <c r="DL305"/>
      <c r="DM305"/>
      <c r="DN305">
        <f>+Tabla3101170411[[#This Row],[Longitud de eje]]*DI305</f>
        <v>0</v>
      </c>
      <c r="DO305"/>
      <c r="DQ305"/>
      <c r="DR305"/>
      <c r="DS305"/>
      <c r="DT305"/>
      <c r="DU305">
        <f>+Tabla3101170411120[[#This Row],[Longitud de eje]]*DP305</f>
        <v>0</v>
      </c>
      <c r="DV305"/>
      <c r="DX305"/>
      <c r="DY305"/>
      <c r="DZ305"/>
      <c r="EA305"/>
      <c r="EB305">
        <f>+Tabla3101170411120122[[#This Row],[Longitud de eje]]*DW305</f>
        <v>0</v>
      </c>
      <c r="EC305"/>
      <c r="EE305"/>
      <c r="EF305"/>
      <c r="EG305"/>
      <c r="EH305"/>
      <c r="EI305"/>
      <c r="EJ305"/>
      <c r="EK305"/>
      <c r="EM305"/>
      <c r="EN305"/>
      <c r="EO305"/>
      <c r="EP305"/>
      <c r="EQ305"/>
      <c r="ER305"/>
      <c r="ES305"/>
      <c r="EU305"/>
      <c r="EV305"/>
      <c r="EW305"/>
      <c r="EX305"/>
      <c r="EY305"/>
      <c r="EZ305"/>
      <c r="FA305"/>
      <c r="FC305"/>
      <c r="FD305"/>
      <c r="FE305"/>
      <c r="FF305"/>
      <c r="FG305"/>
      <c r="FH305"/>
      <c r="FI305"/>
      <c r="FK305"/>
      <c r="FL305"/>
      <c r="FM305"/>
      <c r="FN305"/>
      <c r="FO305"/>
      <c r="FP305"/>
      <c r="FQ305"/>
      <c r="FS305"/>
      <c r="FT305"/>
      <c r="FU305"/>
      <c r="FV305"/>
      <c r="FW305"/>
      <c r="FX305"/>
      <c r="FY305"/>
      <c r="GA305"/>
      <c r="GB305"/>
      <c r="GC305"/>
      <c r="GD305"/>
      <c r="GE305"/>
      <c r="GF305"/>
      <c r="GG305"/>
      <c r="GI305"/>
      <c r="GJ305"/>
      <c r="GK305"/>
      <c r="GL305"/>
      <c r="GM305"/>
      <c r="GN305"/>
      <c r="GO305"/>
      <c r="YK305"/>
      <c r="YL305"/>
      <c r="YM305"/>
      <c r="YN305"/>
      <c r="YO305"/>
      <c r="AFI305"/>
      <c r="AFJ305"/>
      <c r="AFK305"/>
      <c r="AFL305"/>
      <c r="AFM305"/>
      <c r="AFN305" t="e">
        <f>+Tabla578914151634353637383940414243444546474849505152535560626467[[#This Row],[Recuento]]*#REF!</f>
        <v>#REF!</v>
      </c>
      <c r="AFO305" s="36"/>
    </row>
    <row r="306" spans="75:847" x14ac:dyDescent="0.25">
      <c r="BW306"/>
      <c r="BX306"/>
      <c r="BY306"/>
      <c r="BZ306"/>
      <c r="CA306"/>
      <c r="CB306"/>
      <c r="CE306"/>
      <c r="CF306"/>
      <c r="CG306"/>
      <c r="CH306"/>
      <c r="CI306"/>
      <c r="CJ306"/>
      <c r="CK306"/>
      <c r="CM306"/>
      <c r="CN306"/>
      <c r="CO306"/>
      <c r="CP306"/>
      <c r="CQ306"/>
      <c r="CR306"/>
      <c r="CU306"/>
      <c r="CV306"/>
      <c r="CW306"/>
      <c r="CX306"/>
      <c r="CY306"/>
      <c r="CZ306"/>
      <c r="DA306"/>
      <c r="DC306"/>
      <c r="DD306"/>
      <c r="DE306"/>
      <c r="DF306"/>
      <c r="DG306"/>
      <c r="DH306"/>
      <c r="DJ306"/>
      <c r="DK306"/>
      <c r="DL306"/>
      <c r="DM306"/>
      <c r="DN306">
        <f>+Tabla3101170411[[#This Row],[Longitud de eje]]*DI306</f>
        <v>0</v>
      </c>
      <c r="DO306"/>
      <c r="DQ306"/>
      <c r="DR306"/>
      <c r="DS306"/>
      <c r="DT306"/>
      <c r="DU306">
        <f>+Tabla3101170411120[[#This Row],[Longitud de eje]]*DP306</f>
        <v>0</v>
      </c>
      <c r="DV306"/>
      <c r="DX306"/>
      <c r="DY306"/>
      <c r="DZ306"/>
      <c r="EA306"/>
      <c r="EB306">
        <f>+Tabla3101170411120122[[#This Row],[Longitud de eje]]*DW306</f>
        <v>0</v>
      </c>
      <c r="EC306"/>
      <c r="EE306"/>
      <c r="EF306"/>
      <c r="EG306"/>
      <c r="EH306"/>
      <c r="EI306"/>
      <c r="EJ306"/>
      <c r="EK306"/>
      <c r="EM306"/>
      <c r="EN306"/>
      <c r="EO306"/>
      <c r="EP306"/>
      <c r="EQ306"/>
      <c r="ER306"/>
      <c r="ES306"/>
      <c r="EU306"/>
      <c r="EV306"/>
      <c r="EW306"/>
      <c r="EX306"/>
      <c r="EY306"/>
      <c r="EZ306"/>
      <c r="FA306"/>
      <c r="FC306"/>
      <c r="FD306"/>
      <c r="FE306"/>
      <c r="FF306"/>
      <c r="FG306"/>
      <c r="FH306"/>
      <c r="FI306"/>
      <c r="FK306"/>
      <c r="FL306"/>
      <c r="FM306"/>
      <c r="FN306"/>
      <c r="FO306"/>
      <c r="FP306"/>
      <c r="FQ306"/>
      <c r="FS306"/>
      <c r="FT306"/>
      <c r="FU306"/>
      <c r="FV306"/>
      <c r="FW306"/>
      <c r="FX306"/>
      <c r="FY306"/>
      <c r="GA306"/>
      <c r="GB306"/>
      <c r="GC306"/>
      <c r="GD306"/>
      <c r="GE306"/>
      <c r="GF306"/>
      <c r="GG306"/>
      <c r="GI306"/>
      <c r="GJ306"/>
      <c r="GK306"/>
      <c r="GL306"/>
      <c r="GM306"/>
      <c r="GN306"/>
      <c r="GO306"/>
      <c r="YK306"/>
      <c r="YL306"/>
      <c r="YM306"/>
      <c r="YN306"/>
      <c r="YO306"/>
      <c r="AFI306"/>
      <c r="AFJ306"/>
      <c r="AFK306"/>
      <c r="AFL306"/>
      <c r="AFM306"/>
      <c r="AFN306" t="e">
        <f>+Tabla578914151634353637383940414243444546474849505152535560626467[[#This Row],[Recuento]]*#REF!</f>
        <v>#REF!</v>
      </c>
      <c r="AFO306" s="36"/>
    </row>
    <row r="307" spans="75:847" x14ac:dyDescent="0.25">
      <c r="BW307"/>
      <c r="BX307"/>
      <c r="BY307"/>
      <c r="BZ307"/>
      <c r="CA307"/>
      <c r="CB307"/>
      <c r="CE307"/>
      <c r="CF307"/>
      <c r="CG307"/>
      <c r="CH307"/>
      <c r="CI307"/>
      <c r="CJ307"/>
      <c r="CK307"/>
      <c r="CM307"/>
      <c r="CN307"/>
      <c r="CO307"/>
      <c r="CP307"/>
      <c r="CQ307"/>
      <c r="CR307"/>
      <c r="CU307"/>
      <c r="CV307"/>
      <c r="CW307"/>
      <c r="CX307"/>
      <c r="CY307"/>
      <c r="CZ307"/>
      <c r="DA307"/>
      <c r="DC307"/>
      <c r="DD307"/>
      <c r="DE307"/>
      <c r="DF307"/>
      <c r="DG307"/>
      <c r="DH307"/>
      <c r="DJ307"/>
      <c r="DK307"/>
      <c r="DL307"/>
      <c r="DM307"/>
      <c r="DN307">
        <f>+Tabla3101170411[[#This Row],[Longitud de eje]]*DI307</f>
        <v>0</v>
      </c>
      <c r="DO307"/>
      <c r="DQ307"/>
      <c r="DR307"/>
      <c r="DS307"/>
      <c r="DT307"/>
      <c r="DU307">
        <f>+Tabla3101170411120[[#This Row],[Longitud de eje]]*DP307</f>
        <v>0</v>
      </c>
      <c r="DV307"/>
      <c r="DX307"/>
      <c r="DY307"/>
      <c r="DZ307"/>
      <c r="EA307"/>
      <c r="EB307">
        <f>+Tabla3101170411120122[[#This Row],[Longitud de eje]]*DW307</f>
        <v>0</v>
      </c>
      <c r="EC307"/>
      <c r="EE307"/>
      <c r="EF307"/>
      <c r="EG307"/>
      <c r="EH307"/>
      <c r="EI307"/>
      <c r="EJ307"/>
      <c r="EK307"/>
      <c r="EM307"/>
      <c r="EN307"/>
      <c r="EO307"/>
      <c r="EP307"/>
      <c r="EQ307"/>
      <c r="ER307"/>
      <c r="ES307"/>
      <c r="EU307"/>
      <c r="EV307"/>
      <c r="EW307"/>
      <c r="EX307"/>
      <c r="EY307"/>
      <c r="EZ307"/>
      <c r="FA307"/>
      <c r="FC307"/>
      <c r="FD307"/>
      <c r="FE307"/>
      <c r="FF307"/>
      <c r="FG307"/>
      <c r="FH307"/>
      <c r="FI307"/>
      <c r="FK307"/>
      <c r="FL307"/>
      <c r="FM307"/>
      <c r="FN307"/>
      <c r="FO307"/>
      <c r="FP307"/>
      <c r="FQ307"/>
      <c r="FS307"/>
      <c r="FT307"/>
      <c r="FU307"/>
      <c r="FV307"/>
      <c r="FW307"/>
      <c r="FX307"/>
      <c r="FY307"/>
      <c r="GA307"/>
      <c r="GB307"/>
      <c r="GC307"/>
      <c r="GD307"/>
      <c r="GE307"/>
      <c r="GF307"/>
      <c r="GG307"/>
      <c r="GI307"/>
      <c r="GJ307"/>
      <c r="GK307"/>
      <c r="GL307"/>
      <c r="GM307"/>
      <c r="GN307"/>
      <c r="GO307"/>
      <c r="YK307"/>
      <c r="YL307"/>
      <c r="YM307"/>
      <c r="YN307"/>
      <c r="YO307"/>
      <c r="AFI307"/>
      <c r="AFJ307"/>
      <c r="AFK307"/>
      <c r="AFL307"/>
      <c r="AFM307"/>
      <c r="AFN307" t="e">
        <f>+Tabla578914151634353637383940414243444546474849505152535560626467[[#This Row],[Recuento]]*#REF!</f>
        <v>#REF!</v>
      </c>
      <c r="AFO307" s="36"/>
    </row>
    <row r="308" spans="75:847" x14ac:dyDescent="0.25">
      <c r="BW308"/>
      <c r="BX308"/>
      <c r="BY308"/>
      <c r="BZ308"/>
      <c r="CA308"/>
      <c r="CB308"/>
      <c r="CE308"/>
      <c r="CF308"/>
      <c r="CG308"/>
      <c r="CH308"/>
      <c r="CI308"/>
      <c r="CJ308"/>
      <c r="CK308"/>
      <c r="CM308"/>
      <c r="CN308"/>
      <c r="CO308"/>
      <c r="CP308"/>
      <c r="CQ308"/>
      <c r="CR308"/>
      <c r="CU308"/>
      <c r="CV308"/>
      <c r="CW308"/>
      <c r="CX308"/>
      <c r="CY308"/>
      <c r="CZ308"/>
      <c r="DA308"/>
      <c r="DC308"/>
      <c r="DD308"/>
      <c r="DE308"/>
      <c r="DF308"/>
      <c r="DG308"/>
      <c r="DH308"/>
      <c r="DJ308"/>
      <c r="DK308"/>
      <c r="DL308"/>
      <c r="DM308"/>
      <c r="DN308">
        <f>+Tabla3101170411[[#This Row],[Longitud de eje]]*DI308</f>
        <v>0</v>
      </c>
      <c r="DO308"/>
      <c r="DQ308"/>
      <c r="DR308"/>
      <c r="DS308"/>
      <c r="DT308"/>
      <c r="DU308">
        <f>+Tabla3101170411120[[#This Row],[Longitud de eje]]*DP308</f>
        <v>0</v>
      </c>
      <c r="DV308"/>
      <c r="DX308"/>
      <c r="DY308"/>
      <c r="DZ308"/>
      <c r="EA308"/>
      <c r="EB308">
        <f>+Tabla3101170411120122[[#This Row],[Longitud de eje]]*DW308</f>
        <v>0</v>
      </c>
      <c r="EC308"/>
      <c r="EE308"/>
      <c r="EF308"/>
      <c r="EG308"/>
      <c r="EH308"/>
      <c r="EI308"/>
      <c r="EJ308"/>
      <c r="EK308"/>
      <c r="EM308"/>
      <c r="EN308"/>
      <c r="EO308"/>
      <c r="EP308"/>
      <c r="EQ308"/>
      <c r="ER308"/>
      <c r="ES308"/>
      <c r="EU308"/>
      <c r="EV308"/>
      <c r="EW308"/>
      <c r="EX308"/>
      <c r="EY308"/>
      <c r="EZ308"/>
      <c r="FA308"/>
      <c r="FC308"/>
      <c r="FD308"/>
      <c r="FE308"/>
      <c r="FF308"/>
      <c r="FG308"/>
      <c r="FH308"/>
      <c r="FI308"/>
      <c r="FK308"/>
      <c r="FL308"/>
      <c r="FM308"/>
      <c r="FN308"/>
      <c r="FO308"/>
      <c r="FP308"/>
      <c r="FQ308"/>
      <c r="FS308"/>
      <c r="FT308"/>
      <c r="FU308"/>
      <c r="FV308"/>
      <c r="FW308"/>
      <c r="FX308"/>
      <c r="FY308"/>
      <c r="GA308"/>
      <c r="GB308"/>
      <c r="GC308"/>
      <c r="GD308"/>
      <c r="GE308"/>
      <c r="GF308"/>
      <c r="GG308"/>
      <c r="GI308"/>
      <c r="GJ308"/>
      <c r="GK308"/>
      <c r="GL308"/>
      <c r="GM308"/>
      <c r="GN308"/>
      <c r="GO308"/>
      <c r="YK308"/>
      <c r="YL308"/>
      <c r="YM308"/>
      <c r="YN308"/>
      <c r="YO308"/>
      <c r="AFI308"/>
      <c r="AFJ308"/>
      <c r="AFK308"/>
      <c r="AFL308"/>
      <c r="AFM308"/>
      <c r="AFN308" t="e">
        <f>+Tabla578914151634353637383940414243444546474849505152535560626467[[#This Row],[Recuento]]*#REF!</f>
        <v>#REF!</v>
      </c>
      <c r="AFO308" s="35"/>
    </row>
    <row r="309" spans="75:847" x14ac:dyDescent="0.25">
      <c r="BW309"/>
      <c r="BX309"/>
      <c r="BY309"/>
      <c r="BZ309"/>
      <c r="CA309"/>
      <c r="CB309"/>
      <c r="CE309"/>
      <c r="CF309"/>
      <c r="CG309"/>
      <c r="CH309"/>
      <c r="CI309"/>
      <c r="CJ309"/>
      <c r="CK309"/>
      <c r="CM309"/>
      <c r="CN309"/>
      <c r="CO309"/>
      <c r="CP309"/>
      <c r="CQ309"/>
      <c r="CR309"/>
      <c r="CU309"/>
      <c r="CV309"/>
      <c r="CW309"/>
      <c r="CX309"/>
      <c r="CY309"/>
      <c r="CZ309"/>
      <c r="DA309"/>
      <c r="DC309"/>
      <c r="DD309"/>
      <c r="DE309"/>
      <c r="DF309"/>
      <c r="DG309"/>
      <c r="DH309"/>
      <c r="DJ309"/>
      <c r="DK309"/>
      <c r="DL309"/>
      <c r="DM309"/>
      <c r="DN309">
        <f>+Tabla3101170411[[#This Row],[Longitud de eje]]*DI309</f>
        <v>0</v>
      </c>
      <c r="DO309"/>
      <c r="DQ309"/>
      <c r="DR309"/>
      <c r="DS309"/>
      <c r="DT309"/>
      <c r="DU309">
        <f>+Tabla3101170411120[[#This Row],[Longitud de eje]]*DP309</f>
        <v>0</v>
      </c>
      <c r="DV309"/>
      <c r="DX309"/>
      <c r="DY309"/>
      <c r="DZ309"/>
      <c r="EA309"/>
      <c r="EB309">
        <f>+Tabla3101170411120122[[#This Row],[Longitud de eje]]*DW309</f>
        <v>0</v>
      </c>
      <c r="EC309"/>
      <c r="EE309"/>
      <c r="EF309"/>
      <c r="EG309"/>
      <c r="EH309"/>
      <c r="EI309"/>
      <c r="EJ309"/>
      <c r="EK309"/>
      <c r="EM309"/>
      <c r="EN309"/>
      <c r="EO309"/>
      <c r="EP309"/>
      <c r="EQ309"/>
      <c r="ER309"/>
      <c r="ES309"/>
      <c r="EU309"/>
      <c r="EV309"/>
      <c r="EW309"/>
      <c r="EX309"/>
      <c r="EY309"/>
      <c r="EZ309"/>
      <c r="FA309"/>
      <c r="FC309"/>
      <c r="FD309"/>
      <c r="FE309"/>
      <c r="FF309"/>
      <c r="FG309"/>
      <c r="FH309"/>
      <c r="FI309"/>
      <c r="FK309"/>
      <c r="FL309"/>
      <c r="FM309"/>
      <c r="FN309"/>
      <c r="FO309"/>
      <c r="FP309"/>
      <c r="FQ309"/>
      <c r="FS309"/>
      <c r="FT309"/>
      <c r="FU309"/>
      <c r="FV309"/>
      <c r="FW309"/>
      <c r="FX309"/>
      <c r="FY309"/>
      <c r="GA309"/>
      <c r="GB309"/>
      <c r="GC309"/>
      <c r="GD309"/>
      <c r="GE309"/>
      <c r="GF309"/>
      <c r="GG309"/>
      <c r="GI309"/>
      <c r="GJ309"/>
      <c r="GK309"/>
      <c r="GL309"/>
      <c r="GM309"/>
      <c r="GN309"/>
      <c r="GO309"/>
      <c r="YK309"/>
      <c r="YL309"/>
      <c r="YM309"/>
      <c r="YN309"/>
      <c r="YO309"/>
      <c r="AFI309"/>
      <c r="AFJ309"/>
      <c r="AFK309"/>
      <c r="AFL309"/>
      <c r="AFM309"/>
      <c r="AFN309" t="e">
        <f>+Tabla578914151634353637383940414243444546474849505152535560626467[[#This Row],[Recuento]]*#REF!</f>
        <v>#REF!</v>
      </c>
      <c r="AFO309" s="36"/>
    </row>
    <row r="310" spans="75:847" x14ac:dyDescent="0.25">
      <c r="BW310"/>
      <c r="BX310"/>
      <c r="BY310"/>
      <c r="BZ310"/>
      <c r="CA310"/>
      <c r="CB310"/>
      <c r="CE310"/>
      <c r="CF310"/>
      <c r="CG310"/>
      <c r="CH310"/>
      <c r="CI310"/>
      <c r="CJ310"/>
      <c r="CK310"/>
      <c r="CM310"/>
      <c r="CN310"/>
      <c r="CO310"/>
      <c r="CP310"/>
      <c r="CQ310"/>
      <c r="CR310"/>
      <c r="CU310"/>
      <c r="CV310"/>
      <c r="CW310"/>
      <c r="CX310"/>
      <c r="CY310"/>
      <c r="CZ310"/>
      <c r="DA310"/>
      <c r="DC310"/>
      <c r="DD310"/>
      <c r="DE310"/>
      <c r="DF310"/>
      <c r="DG310"/>
      <c r="DH310"/>
      <c r="DJ310"/>
      <c r="DK310"/>
      <c r="DL310"/>
      <c r="DM310"/>
      <c r="DN310">
        <f>+Tabla3101170411[[#This Row],[Longitud de eje]]*DI310</f>
        <v>0</v>
      </c>
      <c r="DO310"/>
      <c r="DQ310"/>
      <c r="DR310"/>
      <c r="DS310"/>
      <c r="DT310"/>
      <c r="DU310">
        <f>+Tabla3101170411120[[#This Row],[Longitud de eje]]*DP310</f>
        <v>0</v>
      </c>
      <c r="DV310"/>
      <c r="DX310"/>
      <c r="DY310"/>
      <c r="DZ310"/>
      <c r="EA310"/>
      <c r="EB310">
        <f>+Tabla3101170411120122[[#This Row],[Longitud de eje]]*DW310</f>
        <v>0</v>
      </c>
      <c r="EC310"/>
      <c r="EE310"/>
      <c r="EF310"/>
      <c r="EG310"/>
      <c r="EH310"/>
      <c r="EI310"/>
      <c r="EJ310"/>
      <c r="EK310"/>
      <c r="EM310"/>
      <c r="EN310"/>
      <c r="EO310"/>
      <c r="EP310"/>
      <c r="EQ310"/>
      <c r="ER310"/>
      <c r="ES310"/>
      <c r="EU310"/>
      <c r="EV310"/>
      <c r="EW310"/>
      <c r="EX310"/>
      <c r="EY310"/>
      <c r="EZ310"/>
      <c r="FA310"/>
      <c r="FC310"/>
      <c r="FD310"/>
      <c r="FE310"/>
      <c r="FF310"/>
      <c r="FG310"/>
      <c r="FH310"/>
      <c r="FI310"/>
      <c r="FK310"/>
      <c r="FL310"/>
      <c r="FM310"/>
      <c r="FN310"/>
      <c r="FO310"/>
      <c r="FP310"/>
      <c r="FQ310"/>
      <c r="FS310"/>
      <c r="FT310"/>
      <c r="FU310"/>
      <c r="FV310"/>
      <c r="FW310"/>
      <c r="FX310"/>
      <c r="FY310"/>
      <c r="GA310"/>
      <c r="GB310"/>
      <c r="GC310"/>
      <c r="GD310"/>
      <c r="GE310"/>
      <c r="GF310"/>
      <c r="GG310"/>
      <c r="GI310"/>
      <c r="GJ310"/>
      <c r="GK310"/>
      <c r="GL310"/>
      <c r="GM310"/>
      <c r="GN310"/>
      <c r="GO310"/>
      <c r="YK310"/>
      <c r="YL310"/>
      <c r="YM310"/>
      <c r="YN310"/>
      <c r="YO310"/>
      <c r="AFI310"/>
      <c r="AFJ310"/>
      <c r="AFK310"/>
      <c r="AFL310"/>
      <c r="AFM310"/>
      <c r="AFN310" t="e">
        <f>+Tabla578914151634353637383940414243444546474849505152535560626467[[#This Row],[Recuento]]*#REF!</f>
        <v>#REF!</v>
      </c>
      <c r="AFO310" s="36"/>
    </row>
    <row r="311" spans="75:847" x14ac:dyDescent="0.25">
      <c r="BW311"/>
      <c r="BX311"/>
      <c r="BY311"/>
      <c r="BZ311"/>
      <c r="CA311"/>
      <c r="CB311"/>
      <c r="CE311"/>
      <c r="CF311"/>
      <c r="CG311"/>
      <c r="CH311"/>
      <c r="CI311"/>
      <c r="CJ311"/>
      <c r="CK311"/>
      <c r="CM311"/>
      <c r="CN311"/>
      <c r="CO311"/>
      <c r="CP311"/>
      <c r="CQ311"/>
      <c r="CR311"/>
      <c r="CU311"/>
      <c r="CV311"/>
      <c r="CW311"/>
      <c r="CX311"/>
      <c r="CY311"/>
      <c r="CZ311"/>
      <c r="DA311"/>
      <c r="DC311"/>
      <c r="DD311"/>
      <c r="DE311"/>
      <c r="DF311"/>
      <c r="DG311"/>
      <c r="DH311"/>
      <c r="DJ311"/>
      <c r="DK311"/>
      <c r="DL311"/>
      <c r="DM311"/>
      <c r="DN311">
        <f>+Tabla3101170411[[#This Row],[Longitud de eje]]*DI311</f>
        <v>0</v>
      </c>
      <c r="DO311"/>
      <c r="DQ311"/>
      <c r="DR311"/>
      <c r="DS311"/>
      <c r="DT311"/>
      <c r="DU311">
        <f>+Tabla3101170411120[[#This Row],[Longitud de eje]]*DP311</f>
        <v>0</v>
      </c>
      <c r="DV311"/>
      <c r="DX311"/>
      <c r="DY311"/>
      <c r="DZ311"/>
      <c r="EA311"/>
      <c r="EB311">
        <f>+Tabla3101170411120122[[#This Row],[Longitud de eje]]*DW311</f>
        <v>0</v>
      </c>
      <c r="EC311"/>
      <c r="EE311"/>
      <c r="EF311"/>
      <c r="EG311"/>
      <c r="EH311"/>
      <c r="EI311"/>
      <c r="EJ311"/>
      <c r="EK311"/>
      <c r="EM311"/>
      <c r="EN311"/>
      <c r="EO311"/>
      <c r="EP311"/>
      <c r="EQ311"/>
      <c r="ER311"/>
      <c r="ES311"/>
      <c r="EU311"/>
      <c r="EV311"/>
      <c r="EW311"/>
      <c r="EX311"/>
      <c r="EY311"/>
      <c r="EZ311"/>
      <c r="FA311"/>
      <c r="FC311"/>
      <c r="FD311"/>
      <c r="FE311"/>
      <c r="FF311"/>
      <c r="FG311"/>
      <c r="FH311"/>
      <c r="FI311"/>
      <c r="FK311"/>
      <c r="FL311"/>
      <c r="FM311"/>
      <c r="FN311"/>
      <c r="FO311"/>
      <c r="FP311"/>
      <c r="FQ311"/>
      <c r="FS311"/>
      <c r="FT311"/>
      <c r="FU311"/>
      <c r="FV311"/>
      <c r="FW311"/>
      <c r="FX311"/>
      <c r="FY311"/>
      <c r="GA311"/>
      <c r="GB311"/>
      <c r="GC311"/>
      <c r="GD311"/>
      <c r="GE311"/>
      <c r="GF311"/>
      <c r="GG311"/>
      <c r="GI311"/>
      <c r="GJ311"/>
      <c r="GK311"/>
      <c r="GL311"/>
      <c r="GM311"/>
      <c r="GN311"/>
      <c r="GO311"/>
      <c r="YK311"/>
      <c r="YL311"/>
      <c r="YM311"/>
      <c r="YN311"/>
      <c r="YO311"/>
      <c r="AFI311"/>
      <c r="AFJ311"/>
      <c r="AFK311"/>
      <c r="AFL311"/>
      <c r="AFM311"/>
      <c r="AFN311" t="e">
        <f>+Tabla578914151634353637383940414243444546474849505152535560626467[[#This Row],[Recuento]]*#REF!</f>
        <v>#REF!</v>
      </c>
      <c r="AFO311" s="36"/>
    </row>
    <row r="312" spans="75:847" x14ac:dyDescent="0.25">
      <c r="BW312"/>
      <c r="BX312"/>
      <c r="BY312"/>
      <c r="BZ312"/>
      <c r="CA312"/>
      <c r="CB312"/>
      <c r="CE312"/>
      <c r="CF312"/>
      <c r="CG312"/>
      <c r="CH312"/>
      <c r="CI312"/>
      <c r="CJ312"/>
      <c r="CK312"/>
      <c r="CM312"/>
      <c r="CN312"/>
      <c r="CO312"/>
      <c r="CP312"/>
      <c r="CQ312"/>
      <c r="CR312"/>
      <c r="CU312"/>
      <c r="CV312"/>
      <c r="CW312"/>
      <c r="CX312"/>
      <c r="CY312"/>
      <c r="CZ312"/>
      <c r="DA312"/>
      <c r="DC312"/>
      <c r="DD312"/>
      <c r="DE312"/>
      <c r="DF312"/>
      <c r="DG312"/>
      <c r="DH312"/>
      <c r="DJ312"/>
      <c r="DK312"/>
      <c r="DL312"/>
      <c r="DM312"/>
      <c r="DN312"/>
      <c r="DO312"/>
      <c r="DQ312"/>
      <c r="DR312"/>
      <c r="DS312"/>
      <c r="DT312"/>
      <c r="DU312"/>
      <c r="DV312"/>
      <c r="DX312"/>
      <c r="DY312"/>
      <c r="DZ312"/>
      <c r="EA312"/>
      <c r="EB312"/>
      <c r="EC312"/>
      <c r="EE312"/>
      <c r="EF312"/>
      <c r="EG312"/>
      <c r="EH312"/>
      <c r="EI312"/>
      <c r="EJ312"/>
      <c r="EK312"/>
      <c r="EM312"/>
      <c r="EN312"/>
      <c r="EO312"/>
      <c r="EP312"/>
      <c r="EQ312"/>
      <c r="ER312"/>
      <c r="ES312"/>
      <c r="EU312"/>
      <c r="EV312"/>
      <c r="EW312"/>
      <c r="EX312"/>
      <c r="EY312"/>
      <c r="EZ312"/>
      <c r="FA312"/>
      <c r="FC312"/>
      <c r="FD312"/>
      <c r="FE312"/>
      <c r="FF312"/>
      <c r="FG312"/>
      <c r="FH312"/>
      <c r="FI312"/>
      <c r="FK312"/>
      <c r="FL312"/>
      <c r="FM312"/>
      <c r="FN312"/>
      <c r="FO312"/>
      <c r="FP312"/>
      <c r="FQ312"/>
      <c r="FS312"/>
      <c r="FT312"/>
      <c r="FU312"/>
      <c r="FV312"/>
      <c r="FW312"/>
      <c r="FX312"/>
      <c r="FY312"/>
      <c r="GA312"/>
      <c r="GB312"/>
      <c r="GC312"/>
      <c r="GD312"/>
      <c r="GE312"/>
      <c r="GF312"/>
      <c r="GG312"/>
      <c r="GI312"/>
      <c r="GJ312"/>
      <c r="GK312"/>
      <c r="GL312"/>
      <c r="GM312"/>
      <c r="GN312"/>
      <c r="GO312"/>
      <c r="YK312"/>
      <c r="YL312"/>
      <c r="YM312"/>
      <c r="YN312"/>
      <c r="YO312"/>
      <c r="AFI312"/>
      <c r="AFJ312"/>
      <c r="AFK312"/>
      <c r="AFL312"/>
      <c r="AFM312"/>
      <c r="AFN312" t="e">
        <f>+Tabla578914151634353637383940414243444546474849505152535560626467[[#This Row],[Recuento]]*#REF!</f>
        <v>#REF!</v>
      </c>
      <c r="AFO312" s="36"/>
    </row>
    <row r="313" spans="75:847" x14ac:dyDescent="0.25">
      <c r="BW313"/>
      <c r="BX313"/>
      <c r="BY313"/>
      <c r="BZ313"/>
      <c r="CA313"/>
      <c r="CB313"/>
      <c r="CE313"/>
      <c r="CF313"/>
      <c r="CG313"/>
      <c r="CH313"/>
      <c r="CI313"/>
      <c r="CJ313"/>
      <c r="CK313"/>
      <c r="CM313"/>
      <c r="CN313"/>
      <c r="CO313"/>
      <c r="CP313"/>
      <c r="CQ313"/>
      <c r="CR313"/>
      <c r="CU313"/>
      <c r="CV313"/>
      <c r="CW313"/>
      <c r="CX313"/>
      <c r="CY313"/>
      <c r="CZ313"/>
      <c r="DA313"/>
      <c r="DC313"/>
      <c r="DD313"/>
      <c r="DE313"/>
      <c r="DF313"/>
      <c r="DG313"/>
      <c r="DH313"/>
      <c r="DJ313"/>
      <c r="DK313"/>
      <c r="DL313"/>
      <c r="DM313"/>
      <c r="DN313"/>
      <c r="DO313"/>
      <c r="DQ313"/>
      <c r="DR313"/>
      <c r="DS313"/>
      <c r="DT313"/>
      <c r="DU313"/>
      <c r="DV313"/>
      <c r="DX313"/>
      <c r="DY313"/>
      <c r="DZ313"/>
      <c r="EA313"/>
      <c r="EB313"/>
      <c r="EC313"/>
      <c r="EE313"/>
      <c r="EF313"/>
      <c r="EG313"/>
      <c r="EH313"/>
      <c r="EI313"/>
      <c r="EJ313"/>
      <c r="EK313"/>
      <c r="EM313"/>
      <c r="EN313"/>
      <c r="EO313"/>
      <c r="EP313"/>
      <c r="EQ313"/>
      <c r="ER313"/>
      <c r="ES313"/>
      <c r="EU313"/>
      <c r="EV313"/>
      <c r="EW313"/>
      <c r="EX313"/>
      <c r="EY313"/>
      <c r="EZ313"/>
      <c r="FA313"/>
      <c r="FC313"/>
      <c r="FD313"/>
      <c r="FE313"/>
      <c r="FF313"/>
      <c r="FG313"/>
      <c r="FH313"/>
      <c r="FI313"/>
      <c r="FK313"/>
      <c r="FL313"/>
      <c r="FM313"/>
      <c r="FN313"/>
      <c r="FO313"/>
      <c r="FP313"/>
      <c r="FQ313"/>
      <c r="FS313"/>
      <c r="FT313"/>
      <c r="FU313"/>
      <c r="FV313"/>
      <c r="FW313"/>
      <c r="FX313"/>
      <c r="FY313"/>
      <c r="GA313"/>
      <c r="GB313"/>
      <c r="GC313"/>
      <c r="GD313"/>
      <c r="GE313"/>
      <c r="GF313"/>
      <c r="GG313"/>
      <c r="GI313"/>
      <c r="GJ313"/>
      <c r="GK313"/>
      <c r="GL313"/>
      <c r="GM313"/>
      <c r="GN313"/>
      <c r="GO313"/>
      <c r="YK313"/>
      <c r="YL313"/>
      <c r="YM313"/>
      <c r="YN313"/>
      <c r="YO313"/>
      <c r="AFI313"/>
      <c r="AFJ313"/>
      <c r="AFK313"/>
      <c r="AFL313"/>
      <c r="AFM313"/>
      <c r="AFN313" t="e">
        <f>+Tabla578914151634353637383940414243444546474849505152535560626467[[#This Row],[Recuento]]*#REF!</f>
        <v>#REF!</v>
      </c>
      <c r="AFO313" s="36"/>
    </row>
    <row r="314" spans="75:847" x14ac:dyDescent="0.25">
      <c r="BW314"/>
      <c r="BX314"/>
      <c r="BY314"/>
      <c r="BZ314"/>
      <c r="CA314"/>
      <c r="CB314"/>
      <c r="CE314"/>
      <c r="CF314"/>
      <c r="CG314"/>
      <c r="CH314"/>
      <c r="CI314"/>
      <c r="CJ314"/>
      <c r="CK314"/>
      <c r="CM314"/>
      <c r="CN314"/>
      <c r="CO314"/>
      <c r="CP314"/>
      <c r="CQ314"/>
      <c r="CR314"/>
      <c r="CU314"/>
      <c r="CV314"/>
      <c r="CW314"/>
      <c r="CX314"/>
      <c r="CY314"/>
      <c r="CZ314"/>
      <c r="DA314"/>
      <c r="DC314"/>
      <c r="DD314"/>
      <c r="DE314"/>
      <c r="DF314"/>
      <c r="DG314"/>
      <c r="DH314"/>
      <c r="DJ314"/>
      <c r="DK314"/>
      <c r="DL314"/>
      <c r="DM314"/>
      <c r="DN314"/>
      <c r="DO314"/>
      <c r="DQ314"/>
      <c r="DR314"/>
      <c r="DS314"/>
      <c r="DT314"/>
      <c r="DU314"/>
      <c r="DV314"/>
      <c r="DX314"/>
      <c r="DY314"/>
      <c r="DZ314"/>
      <c r="EA314"/>
      <c r="EB314"/>
      <c r="EC314"/>
      <c r="EE314"/>
      <c r="EF314"/>
      <c r="EG314"/>
      <c r="EH314"/>
      <c r="EI314"/>
      <c r="EJ314"/>
      <c r="EK314"/>
      <c r="EM314"/>
      <c r="EN314"/>
      <c r="EO314"/>
      <c r="EP314"/>
      <c r="EQ314"/>
      <c r="ER314"/>
      <c r="ES314"/>
      <c r="EU314"/>
      <c r="EV314"/>
      <c r="EW314"/>
      <c r="EX314"/>
      <c r="EY314"/>
      <c r="EZ314"/>
      <c r="FA314"/>
      <c r="FC314"/>
      <c r="FD314"/>
      <c r="FE314"/>
      <c r="FF314"/>
      <c r="FG314"/>
      <c r="FH314"/>
      <c r="FI314"/>
      <c r="FK314"/>
      <c r="FL314"/>
      <c r="FM314"/>
      <c r="FN314"/>
      <c r="FO314"/>
      <c r="FP314"/>
      <c r="FQ314"/>
      <c r="FS314"/>
      <c r="FT314"/>
      <c r="FU314"/>
      <c r="FV314"/>
      <c r="FW314"/>
      <c r="FX314"/>
      <c r="FY314"/>
      <c r="GA314"/>
      <c r="GB314"/>
      <c r="GC314"/>
      <c r="GD314"/>
      <c r="GE314"/>
      <c r="GF314"/>
      <c r="GG314"/>
      <c r="GI314"/>
      <c r="GJ314"/>
      <c r="GK314"/>
      <c r="GL314"/>
      <c r="GM314"/>
      <c r="GN314"/>
      <c r="GO314"/>
      <c r="YK314"/>
      <c r="YL314"/>
      <c r="YM314"/>
      <c r="YN314"/>
      <c r="YO314"/>
      <c r="AFI314"/>
      <c r="AFJ314"/>
      <c r="AFK314"/>
      <c r="AFL314"/>
      <c r="AFM314"/>
      <c r="AFN314" t="e">
        <f>+Tabla578914151634353637383940414243444546474849505152535560626467[[#This Row],[Recuento]]*#REF!</f>
        <v>#REF!</v>
      </c>
      <c r="AFO314" s="36"/>
    </row>
    <row r="315" spans="75:847" x14ac:dyDescent="0.25">
      <c r="BW315"/>
      <c r="BX315"/>
      <c r="BY315"/>
      <c r="BZ315"/>
      <c r="CA315"/>
      <c r="CB315"/>
      <c r="CE315"/>
      <c r="CF315"/>
      <c r="CG315"/>
      <c r="CH315"/>
      <c r="CI315"/>
      <c r="CJ315"/>
      <c r="CK315"/>
      <c r="CM315"/>
      <c r="CN315"/>
      <c r="CO315"/>
      <c r="CP315"/>
      <c r="CQ315"/>
      <c r="CR315"/>
      <c r="CU315"/>
      <c r="CV315"/>
      <c r="CW315"/>
      <c r="CX315"/>
      <c r="CY315"/>
      <c r="CZ315"/>
      <c r="DA315"/>
      <c r="DC315"/>
      <c r="DD315"/>
      <c r="DE315"/>
      <c r="DF315"/>
      <c r="DG315"/>
      <c r="DH315"/>
      <c r="DJ315"/>
      <c r="DK315"/>
      <c r="DL315"/>
      <c r="DM315"/>
      <c r="DN315"/>
      <c r="DO315"/>
      <c r="DQ315"/>
      <c r="DR315"/>
      <c r="DS315"/>
      <c r="DT315"/>
      <c r="DU315"/>
      <c r="DV315"/>
      <c r="DX315"/>
      <c r="DY315"/>
      <c r="DZ315"/>
      <c r="EA315"/>
      <c r="EB315"/>
      <c r="EC315"/>
      <c r="EE315"/>
      <c r="EF315"/>
      <c r="EG315"/>
      <c r="EH315"/>
      <c r="EI315"/>
      <c r="EJ315"/>
      <c r="EK315"/>
      <c r="EM315"/>
      <c r="EN315"/>
      <c r="EO315"/>
      <c r="EP315"/>
      <c r="EQ315"/>
      <c r="ER315"/>
      <c r="ES315"/>
      <c r="EU315"/>
      <c r="EV315"/>
      <c r="EW315"/>
      <c r="EX315"/>
      <c r="EY315"/>
      <c r="EZ315"/>
      <c r="FA315"/>
      <c r="FC315"/>
      <c r="FD315"/>
      <c r="FE315"/>
      <c r="FF315"/>
      <c r="FG315"/>
      <c r="FH315"/>
      <c r="FI315"/>
      <c r="FK315"/>
      <c r="FL315"/>
      <c r="FM315"/>
      <c r="FN315"/>
      <c r="FO315"/>
      <c r="FP315"/>
      <c r="FQ315"/>
      <c r="FS315"/>
      <c r="FT315"/>
      <c r="FU315"/>
      <c r="FV315"/>
      <c r="FW315"/>
      <c r="FX315"/>
      <c r="FY315"/>
      <c r="GA315"/>
      <c r="GB315"/>
      <c r="GC315"/>
      <c r="GD315"/>
      <c r="GE315"/>
      <c r="GF315"/>
      <c r="GG315"/>
      <c r="GI315"/>
      <c r="GJ315"/>
      <c r="GK315"/>
      <c r="GL315"/>
      <c r="GM315"/>
      <c r="GN315"/>
      <c r="GO315"/>
      <c r="YK315"/>
      <c r="YL315"/>
      <c r="YM315"/>
      <c r="YN315"/>
      <c r="YO315"/>
      <c r="AFI315"/>
      <c r="AFJ315"/>
      <c r="AFK315"/>
      <c r="AFL315"/>
      <c r="AFM315"/>
      <c r="AFN315" t="e">
        <f>+Tabla578914151634353637383940414243444546474849505152535560626467[[#This Row],[Recuento]]*#REF!</f>
        <v>#REF!</v>
      </c>
      <c r="AFO315" s="36"/>
    </row>
    <row r="316" spans="75:847" x14ac:dyDescent="0.25">
      <c r="BW316"/>
      <c r="BX316"/>
      <c r="BY316"/>
      <c r="BZ316"/>
      <c r="CA316"/>
      <c r="CB316"/>
      <c r="CE316"/>
      <c r="CF316"/>
      <c r="CG316"/>
      <c r="CH316"/>
      <c r="CI316"/>
      <c r="CJ316"/>
      <c r="CK316"/>
      <c r="CM316"/>
      <c r="CN316"/>
      <c r="CO316"/>
      <c r="CP316"/>
      <c r="CQ316"/>
      <c r="CR316"/>
      <c r="CU316"/>
      <c r="CV316"/>
      <c r="CW316"/>
      <c r="CX316"/>
      <c r="CY316"/>
      <c r="CZ316"/>
      <c r="DA316"/>
      <c r="DC316"/>
      <c r="DD316"/>
      <c r="DE316"/>
      <c r="DF316"/>
      <c r="DG316"/>
      <c r="DH316"/>
      <c r="DJ316"/>
      <c r="DK316"/>
      <c r="DL316"/>
      <c r="DM316"/>
      <c r="DN316"/>
      <c r="DO316"/>
      <c r="DQ316"/>
      <c r="DR316"/>
      <c r="DS316"/>
      <c r="DT316"/>
      <c r="DU316"/>
      <c r="DV316"/>
      <c r="DX316"/>
      <c r="DY316"/>
      <c r="DZ316"/>
      <c r="EA316"/>
      <c r="EB316"/>
      <c r="EC316"/>
      <c r="EE316"/>
      <c r="EF316"/>
      <c r="EG316"/>
      <c r="EH316"/>
      <c r="EI316"/>
      <c r="EJ316"/>
      <c r="EK316"/>
      <c r="EM316"/>
      <c r="EN316"/>
      <c r="EO316"/>
      <c r="EP316"/>
      <c r="EQ316"/>
      <c r="ER316"/>
      <c r="ES316"/>
      <c r="EU316"/>
      <c r="EV316"/>
      <c r="EW316"/>
      <c r="EX316"/>
      <c r="EY316"/>
      <c r="EZ316"/>
      <c r="FA316"/>
      <c r="FC316"/>
      <c r="FD316"/>
      <c r="FE316"/>
      <c r="FF316"/>
      <c r="FG316"/>
      <c r="FH316"/>
      <c r="FI316"/>
      <c r="FK316"/>
      <c r="FL316"/>
      <c r="FM316"/>
      <c r="FN316"/>
      <c r="FO316"/>
      <c r="FP316"/>
      <c r="FQ316"/>
      <c r="FS316"/>
      <c r="FT316"/>
      <c r="FU316"/>
      <c r="FV316"/>
      <c r="FW316"/>
      <c r="FX316"/>
      <c r="FY316"/>
      <c r="GA316"/>
      <c r="GB316"/>
      <c r="GC316"/>
      <c r="GD316"/>
      <c r="GE316"/>
      <c r="GF316"/>
      <c r="GG316"/>
      <c r="GI316"/>
      <c r="GJ316"/>
      <c r="GK316"/>
      <c r="GL316"/>
      <c r="GM316"/>
      <c r="GN316"/>
      <c r="GO316"/>
      <c r="YK316"/>
      <c r="YL316"/>
      <c r="YM316"/>
      <c r="YN316"/>
      <c r="YO316"/>
      <c r="AFI316"/>
      <c r="AFJ316"/>
      <c r="AFK316"/>
      <c r="AFL316"/>
      <c r="AFM316"/>
      <c r="AFN316" t="e">
        <f>+Tabla578914151634353637383940414243444546474849505152535560626467[[#This Row],[Recuento]]*#REF!</f>
        <v>#REF!</v>
      </c>
      <c r="AFO316" s="36"/>
    </row>
    <row r="317" spans="75:847" x14ac:dyDescent="0.25">
      <c r="BW317"/>
      <c r="BX317"/>
      <c r="BY317"/>
      <c r="BZ317"/>
      <c r="CA317"/>
      <c r="CB317"/>
      <c r="CE317"/>
      <c r="CF317"/>
      <c r="CG317"/>
      <c r="CH317"/>
      <c r="CI317"/>
      <c r="CJ317"/>
      <c r="CK317"/>
      <c r="CM317"/>
      <c r="CN317"/>
      <c r="CO317"/>
      <c r="CP317"/>
      <c r="CQ317"/>
      <c r="CR317"/>
      <c r="CU317"/>
      <c r="CV317"/>
      <c r="CW317"/>
      <c r="CX317"/>
      <c r="CY317"/>
      <c r="CZ317"/>
      <c r="DA317"/>
      <c r="DC317"/>
      <c r="DD317"/>
      <c r="DE317"/>
      <c r="DF317"/>
      <c r="DG317"/>
      <c r="DH317"/>
      <c r="DJ317"/>
      <c r="DK317"/>
      <c r="DL317"/>
      <c r="DM317"/>
      <c r="DN317"/>
      <c r="DO317"/>
      <c r="DQ317"/>
      <c r="DR317"/>
      <c r="DS317"/>
      <c r="DT317"/>
      <c r="DU317"/>
      <c r="DV317"/>
      <c r="DX317"/>
      <c r="DY317"/>
      <c r="DZ317"/>
      <c r="EA317"/>
      <c r="EB317"/>
      <c r="EC317"/>
      <c r="EE317"/>
      <c r="EF317"/>
      <c r="EG317"/>
      <c r="EH317"/>
      <c r="EI317"/>
      <c r="EJ317"/>
      <c r="EK317"/>
      <c r="EM317"/>
      <c r="EN317"/>
      <c r="EO317"/>
      <c r="EP317"/>
      <c r="EQ317"/>
      <c r="ER317"/>
      <c r="ES317"/>
      <c r="EU317"/>
      <c r="EV317"/>
      <c r="EW317"/>
      <c r="EX317"/>
      <c r="EY317"/>
      <c r="EZ317"/>
      <c r="FA317"/>
      <c r="FC317"/>
      <c r="FD317"/>
      <c r="FE317"/>
      <c r="FF317"/>
      <c r="FG317"/>
      <c r="FH317"/>
      <c r="FI317"/>
      <c r="FK317"/>
      <c r="FL317"/>
      <c r="FM317"/>
      <c r="FN317"/>
      <c r="FO317"/>
      <c r="FP317"/>
      <c r="FQ317"/>
      <c r="FS317"/>
      <c r="FT317"/>
      <c r="FU317"/>
      <c r="FV317"/>
      <c r="FW317"/>
      <c r="FX317"/>
      <c r="FY317"/>
      <c r="GA317"/>
      <c r="GB317"/>
      <c r="GC317"/>
      <c r="GD317"/>
      <c r="GE317"/>
      <c r="GF317"/>
      <c r="GG317"/>
      <c r="GI317"/>
      <c r="GJ317"/>
      <c r="GK317"/>
      <c r="GL317"/>
      <c r="GM317"/>
      <c r="GN317"/>
      <c r="GO317"/>
      <c r="YK317"/>
      <c r="YL317"/>
      <c r="YM317"/>
      <c r="YN317"/>
      <c r="YO317"/>
      <c r="AFI317"/>
      <c r="AFJ317"/>
      <c r="AFK317"/>
      <c r="AFL317"/>
      <c r="AFM317"/>
      <c r="AFN317" t="e">
        <f>+Tabla578914151634353637383940414243444546474849505152535560626467[[#This Row],[Recuento]]*#REF!</f>
        <v>#REF!</v>
      </c>
      <c r="AFO317" s="36"/>
    </row>
    <row r="318" spans="75:847" x14ac:dyDescent="0.25">
      <c r="BW318"/>
      <c r="BX318"/>
      <c r="BY318"/>
      <c r="BZ318"/>
      <c r="CA318"/>
      <c r="CB318"/>
      <c r="CE318"/>
      <c r="CF318"/>
      <c r="CG318"/>
      <c r="CH318"/>
      <c r="CI318"/>
      <c r="CJ318"/>
      <c r="CK318"/>
      <c r="CM318"/>
      <c r="CN318"/>
      <c r="CO318"/>
      <c r="CP318"/>
      <c r="CQ318"/>
      <c r="CR318"/>
      <c r="CU318"/>
      <c r="CV318"/>
      <c r="CW318"/>
      <c r="CX318"/>
      <c r="CY318"/>
      <c r="CZ318"/>
      <c r="DA318"/>
      <c r="DC318"/>
      <c r="DD318"/>
      <c r="DE318"/>
      <c r="DF318"/>
      <c r="DG318"/>
      <c r="DH318"/>
      <c r="DJ318"/>
      <c r="DK318"/>
      <c r="DL318"/>
      <c r="DM318"/>
      <c r="DN318"/>
      <c r="DO318"/>
      <c r="DQ318"/>
      <c r="DR318"/>
      <c r="DS318"/>
      <c r="DT318"/>
      <c r="DU318"/>
      <c r="DV318"/>
      <c r="DX318"/>
      <c r="DY318"/>
      <c r="DZ318"/>
      <c r="EA318"/>
      <c r="EB318"/>
      <c r="EC318"/>
      <c r="EE318"/>
      <c r="EF318"/>
      <c r="EG318"/>
      <c r="EH318"/>
      <c r="EI318"/>
      <c r="EJ318"/>
      <c r="EK318"/>
      <c r="EM318"/>
      <c r="EN318"/>
      <c r="EO318"/>
      <c r="EP318"/>
      <c r="EQ318"/>
      <c r="ER318"/>
      <c r="ES318"/>
      <c r="EU318"/>
      <c r="EV318"/>
      <c r="EW318"/>
      <c r="EX318"/>
      <c r="EY318"/>
      <c r="EZ318"/>
      <c r="FA318"/>
      <c r="FC318"/>
      <c r="FD318"/>
      <c r="FE318"/>
      <c r="FF318"/>
      <c r="FG318"/>
      <c r="FH318"/>
      <c r="FI318"/>
      <c r="FK318"/>
      <c r="FL318"/>
      <c r="FM318"/>
      <c r="FN318"/>
      <c r="FO318"/>
      <c r="FP318"/>
      <c r="FQ318"/>
      <c r="FS318"/>
      <c r="FT318"/>
      <c r="FU318"/>
      <c r="FV318"/>
      <c r="FW318"/>
      <c r="FX318"/>
      <c r="FY318"/>
      <c r="GA318"/>
      <c r="GB318"/>
      <c r="GC318"/>
      <c r="GD318"/>
      <c r="GE318"/>
      <c r="GF318"/>
      <c r="GG318"/>
      <c r="GI318"/>
      <c r="GJ318"/>
      <c r="GK318"/>
      <c r="GL318"/>
      <c r="GM318"/>
      <c r="GN318"/>
      <c r="GO318"/>
      <c r="YK318"/>
      <c r="YL318"/>
      <c r="YM318"/>
      <c r="YN318"/>
      <c r="YO318"/>
      <c r="AFI318"/>
      <c r="AFJ318"/>
      <c r="AFK318"/>
      <c r="AFL318"/>
      <c r="AFM318"/>
      <c r="AFN318" t="e">
        <f>+Tabla578914151634353637383940414243444546474849505152535560626467[[#This Row],[Recuento]]*#REF!</f>
        <v>#REF!</v>
      </c>
      <c r="AFO318" s="36"/>
    </row>
    <row r="319" spans="75:847" x14ac:dyDescent="0.25">
      <c r="BW319"/>
      <c r="BX319"/>
      <c r="BY319"/>
      <c r="BZ319"/>
      <c r="CA319"/>
      <c r="CB319"/>
      <c r="CE319"/>
      <c r="CF319"/>
      <c r="CG319"/>
      <c r="CH319"/>
      <c r="CI319"/>
      <c r="CJ319"/>
      <c r="CK319"/>
      <c r="CM319"/>
      <c r="CN319"/>
      <c r="CO319"/>
      <c r="CP319"/>
      <c r="CQ319"/>
      <c r="CR319"/>
      <c r="CU319"/>
      <c r="CV319"/>
      <c r="CW319"/>
      <c r="CX319"/>
      <c r="CY319"/>
      <c r="CZ319"/>
      <c r="DA319"/>
      <c r="DC319"/>
      <c r="DD319"/>
      <c r="DE319"/>
      <c r="DF319"/>
      <c r="DG319"/>
      <c r="DH319"/>
      <c r="DJ319"/>
      <c r="DK319"/>
      <c r="DL319"/>
      <c r="DM319"/>
      <c r="DN319"/>
      <c r="DO319"/>
      <c r="DQ319"/>
      <c r="DR319"/>
      <c r="DS319"/>
      <c r="DT319"/>
      <c r="DU319"/>
      <c r="DV319"/>
      <c r="DX319"/>
      <c r="DY319"/>
      <c r="DZ319"/>
      <c r="EA319"/>
      <c r="EB319"/>
      <c r="EC319"/>
      <c r="EE319"/>
      <c r="EF319"/>
      <c r="EG319"/>
      <c r="EH319"/>
      <c r="EI319"/>
      <c r="EJ319"/>
      <c r="EK319"/>
      <c r="EM319"/>
      <c r="EN319"/>
      <c r="EO319"/>
      <c r="EP319"/>
      <c r="EQ319"/>
      <c r="ER319"/>
      <c r="ES319"/>
      <c r="EU319"/>
      <c r="EV319"/>
      <c r="EW319"/>
      <c r="EX319"/>
      <c r="EY319"/>
      <c r="EZ319"/>
      <c r="FA319"/>
      <c r="FC319"/>
      <c r="FD319"/>
      <c r="FE319"/>
      <c r="FF319"/>
      <c r="FG319"/>
      <c r="FH319"/>
      <c r="FI319"/>
      <c r="FK319"/>
      <c r="FL319"/>
      <c r="FM319"/>
      <c r="FN319"/>
      <c r="FO319"/>
      <c r="FP319"/>
      <c r="FQ319"/>
      <c r="FS319"/>
      <c r="FT319"/>
      <c r="FU319"/>
      <c r="FV319"/>
      <c r="FW319"/>
      <c r="FX319"/>
      <c r="FY319"/>
      <c r="GA319"/>
      <c r="GB319"/>
      <c r="GC319"/>
      <c r="GD319"/>
      <c r="GE319"/>
      <c r="GF319"/>
      <c r="GG319"/>
      <c r="GI319"/>
      <c r="GJ319"/>
      <c r="GK319"/>
      <c r="GL319"/>
      <c r="GM319"/>
      <c r="GN319"/>
      <c r="GO319"/>
      <c r="YK319"/>
      <c r="YL319"/>
      <c r="YM319"/>
      <c r="YN319"/>
      <c r="YO319"/>
      <c r="AFI319"/>
      <c r="AFJ319"/>
      <c r="AFK319"/>
      <c r="AFL319"/>
      <c r="AFM319"/>
      <c r="AFN319" t="e">
        <f>+Tabla578914151634353637383940414243444546474849505152535560626467[[#This Row],[Recuento]]*#REF!</f>
        <v>#REF!</v>
      </c>
      <c r="AFO319" s="36"/>
    </row>
    <row r="320" spans="75:847" x14ac:dyDescent="0.25">
      <c r="BW320"/>
      <c r="BX320"/>
      <c r="BY320"/>
      <c r="BZ320"/>
      <c r="CA320"/>
      <c r="CB320"/>
      <c r="CE320"/>
      <c r="CF320"/>
      <c r="CG320"/>
      <c r="CH320"/>
      <c r="CI320"/>
      <c r="CJ320"/>
      <c r="CK320"/>
      <c r="CM320"/>
      <c r="CN320"/>
      <c r="CO320"/>
      <c r="CP320"/>
      <c r="CQ320"/>
      <c r="CR320"/>
      <c r="CU320"/>
      <c r="CV320"/>
      <c r="CW320"/>
      <c r="CX320"/>
      <c r="CY320"/>
      <c r="CZ320"/>
      <c r="DA320"/>
      <c r="DC320"/>
      <c r="DD320"/>
      <c r="DE320"/>
      <c r="DF320"/>
      <c r="DG320"/>
      <c r="DH320"/>
      <c r="DJ320"/>
      <c r="DK320"/>
      <c r="DL320"/>
      <c r="DM320"/>
      <c r="DN320"/>
      <c r="DO320"/>
      <c r="DQ320"/>
      <c r="DR320"/>
      <c r="DS320"/>
      <c r="DT320"/>
      <c r="DU320"/>
      <c r="DV320"/>
      <c r="DX320"/>
      <c r="DY320"/>
      <c r="DZ320"/>
      <c r="EA320"/>
      <c r="EB320"/>
      <c r="EC320"/>
      <c r="EE320"/>
      <c r="EF320"/>
      <c r="EG320"/>
      <c r="EH320"/>
      <c r="EI320"/>
      <c r="EJ320"/>
      <c r="EK320"/>
      <c r="EM320"/>
      <c r="EN320"/>
      <c r="EO320"/>
      <c r="EP320"/>
      <c r="EQ320"/>
      <c r="ER320"/>
      <c r="ES320"/>
      <c r="EU320"/>
      <c r="EV320"/>
      <c r="EW320"/>
      <c r="EX320"/>
      <c r="EY320"/>
      <c r="EZ320"/>
      <c r="FA320"/>
      <c r="FC320"/>
      <c r="FD320"/>
      <c r="FE320"/>
      <c r="FF320"/>
      <c r="FG320"/>
      <c r="FH320"/>
      <c r="FI320"/>
      <c r="FK320"/>
      <c r="FL320"/>
      <c r="FM320"/>
      <c r="FN320"/>
      <c r="FO320"/>
      <c r="FP320"/>
      <c r="FQ320"/>
      <c r="FS320"/>
      <c r="FT320"/>
      <c r="FU320"/>
      <c r="FV320"/>
      <c r="FW320"/>
      <c r="FX320"/>
      <c r="FY320"/>
      <c r="GA320"/>
      <c r="GB320"/>
      <c r="GC320"/>
      <c r="GD320"/>
      <c r="GE320"/>
      <c r="GF320"/>
      <c r="GG320"/>
      <c r="GI320"/>
      <c r="GJ320"/>
      <c r="GK320"/>
      <c r="GL320"/>
      <c r="GM320"/>
      <c r="GN320"/>
      <c r="GO320"/>
      <c r="YK320"/>
      <c r="YL320"/>
      <c r="YM320"/>
      <c r="YN320"/>
      <c r="YO320"/>
      <c r="AFI320"/>
      <c r="AFJ320"/>
      <c r="AFK320"/>
      <c r="AFL320"/>
      <c r="AFM320"/>
      <c r="AFN320" t="e">
        <f>+Tabla578914151634353637383940414243444546474849505152535560626467[[#This Row],[Recuento]]*#REF!</f>
        <v>#REF!</v>
      </c>
      <c r="AFO320" s="35"/>
    </row>
    <row r="321" spans="75:847" x14ac:dyDescent="0.25">
      <c r="BW321"/>
      <c r="BX321"/>
      <c r="BY321"/>
      <c r="BZ321"/>
      <c r="CA321"/>
      <c r="CB321"/>
      <c r="CE321"/>
      <c r="CF321"/>
      <c r="CG321"/>
      <c r="CH321"/>
      <c r="CI321"/>
      <c r="CJ321"/>
      <c r="CK321"/>
      <c r="CM321"/>
      <c r="CN321"/>
      <c r="CO321"/>
      <c r="CP321"/>
      <c r="CQ321"/>
      <c r="CR321"/>
      <c r="CU321"/>
      <c r="CV321"/>
      <c r="CW321"/>
      <c r="CX321"/>
      <c r="CY321"/>
      <c r="CZ321"/>
      <c r="DA321"/>
      <c r="DC321"/>
      <c r="DD321"/>
      <c r="DE321"/>
      <c r="DF321"/>
      <c r="DG321"/>
      <c r="DH321"/>
      <c r="DJ321"/>
      <c r="DK321"/>
      <c r="DL321"/>
      <c r="DM321"/>
      <c r="DN321"/>
      <c r="DO321"/>
      <c r="DQ321"/>
      <c r="DR321"/>
      <c r="DS321"/>
      <c r="DT321"/>
      <c r="DU321"/>
      <c r="DV321"/>
      <c r="DX321"/>
      <c r="DY321"/>
      <c r="DZ321"/>
      <c r="EA321"/>
      <c r="EB321"/>
      <c r="EC321"/>
      <c r="EE321"/>
      <c r="EF321"/>
      <c r="EG321"/>
      <c r="EH321"/>
      <c r="EI321"/>
      <c r="EJ321"/>
      <c r="EK321"/>
      <c r="EM321"/>
      <c r="EN321"/>
      <c r="EO321"/>
      <c r="EP321"/>
      <c r="EQ321"/>
      <c r="ER321"/>
      <c r="ES321"/>
      <c r="EU321"/>
      <c r="EV321"/>
      <c r="EW321"/>
      <c r="EX321"/>
      <c r="EY321"/>
      <c r="EZ321"/>
      <c r="FA321"/>
      <c r="FC321"/>
      <c r="FD321"/>
      <c r="FE321"/>
      <c r="FF321"/>
      <c r="FG321"/>
      <c r="FH321"/>
      <c r="FI321"/>
      <c r="FK321"/>
      <c r="FL321"/>
      <c r="FM321"/>
      <c r="FN321"/>
      <c r="FO321"/>
      <c r="FP321"/>
      <c r="FQ321"/>
      <c r="FS321"/>
      <c r="FT321"/>
      <c r="FU321"/>
      <c r="FV321"/>
      <c r="FW321"/>
      <c r="FX321"/>
      <c r="FY321"/>
      <c r="GA321"/>
      <c r="GB321"/>
      <c r="GC321"/>
      <c r="GD321"/>
      <c r="GE321"/>
      <c r="GF321"/>
      <c r="GG321"/>
      <c r="GI321"/>
      <c r="GJ321"/>
      <c r="GK321"/>
      <c r="GL321"/>
      <c r="GM321"/>
      <c r="GN321"/>
      <c r="GO321"/>
      <c r="YK321"/>
      <c r="YL321"/>
      <c r="YM321"/>
      <c r="YN321"/>
      <c r="YO321"/>
      <c r="AFI321"/>
      <c r="AFJ321"/>
      <c r="AFK321"/>
      <c r="AFL321"/>
      <c r="AFM321"/>
      <c r="AFN321" t="e">
        <f>+Tabla578914151634353637383940414243444546474849505152535560626467[[#This Row],[Recuento]]*#REF!</f>
        <v>#REF!</v>
      </c>
      <c r="AFO321" s="36"/>
    </row>
    <row r="322" spans="75:847" x14ac:dyDescent="0.25">
      <c r="BW322"/>
      <c r="BX322"/>
      <c r="BY322"/>
      <c r="BZ322"/>
      <c r="CA322"/>
      <c r="CB322"/>
      <c r="CE322"/>
      <c r="CF322"/>
      <c r="CG322"/>
      <c r="CH322"/>
      <c r="CI322"/>
      <c r="CJ322"/>
      <c r="CK322"/>
      <c r="CM322"/>
      <c r="CN322"/>
      <c r="CO322"/>
      <c r="CP322"/>
      <c r="CQ322"/>
      <c r="CR322"/>
      <c r="CU322"/>
      <c r="CV322"/>
      <c r="CW322"/>
      <c r="CX322"/>
      <c r="CY322"/>
      <c r="CZ322"/>
      <c r="DA322"/>
      <c r="DC322"/>
      <c r="DD322"/>
      <c r="DE322"/>
      <c r="DF322"/>
      <c r="DG322"/>
      <c r="DH322"/>
      <c r="DJ322"/>
      <c r="DK322"/>
      <c r="DL322"/>
      <c r="DM322"/>
      <c r="DN322"/>
      <c r="DO322"/>
      <c r="DQ322"/>
      <c r="DR322"/>
      <c r="DS322"/>
      <c r="DT322"/>
      <c r="DU322"/>
      <c r="DV322"/>
      <c r="DX322"/>
      <c r="DY322"/>
      <c r="DZ322"/>
      <c r="EA322"/>
      <c r="EB322"/>
      <c r="EC322"/>
      <c r="EE322"/>
      <c r="EF322"/>
      <c r="EG322"/>
      <c r="EH322"/>
      <c r="EI322"/>
      <c r="EJ322"/>
      <c r="EK322"/>
      <c r="EM322"/>
      <c r="EN322"/>
      <c r="EO322"/>
      <c r="EP322"/>
      <c r="EQ322"/>
      <c r="ER322"/>
      <c r="ES322"/>
      <c r="EU322"/>
      <c r="EV322"/>
      <c r="EW322"/>
      <c r="EX322"/>
      <c r="EY322"/>
      <c r="EZ322"/>
      <c r="FA322"/>
      <c r="FC322"/>
      <c r="FD322"/>
      <c r="FE322"/>
      <c r="FF322"/>
      <c r="FG322"/>
      <c r="FH322"/>
      <c r="FI322"/>
      <c r="FK322"/>
      <c r="FL322"/>
      <c r="FM322"/>
      <c r="FN322"/>
      <c r="FO322"/>
      <c r="FP322"/>
      <c r="FQ322"/>
      <c r="FS322"/>
      <c r="FT322"/>
      <c r="FU322"/>
      <c r="FV322"/>
      <c r="FW322"/>
      <c r="FX322"/>
      <c r="FY322"/>
      <c r="GA322"/>
      <c r="GB322"/>
      <c r="GC322"/>
      <c r="GD322"/>
      <c r="GE322"/>
      <c r="GF322"/>
      <c r="GG322"/>
      <c r="GI322"/>
      <c r="GJ322"/>
      <c r="GK322"/>
      <c r="GL322"/>
      <c r="GM322"/>
      <c r="GN322"/>
      <c r="GO322"/>
      <c r="YK322"/>
      <c r="YL322"/>
      <c r="YM322"/>
      <c r="YN322"/>
      <c r="YO322"/>
      <c r="AFI322"/>
      <c r="AFJ322"/>
      <c r="AFK322"/>
      <c r="AFL322"/>
      <c r="AFM322"/>
      <c r="AFN322" t="e">
        <f>+Tabla578914151634353637383940414243444546474849505152535560626467[[#This Row],[Recuento]]*#REF!</f>
        <v>#REF!</v>
      </c>
      <c r="AFO322" s="36"/>
    </row>
    <row r="323" spans="75:847" x14ac:dyDescent="0.25">
      <c r="BW323"/>
      <c r="BX323"/>
      <c r="BY323"/>
      <c r="BZ323"/>
      <c r="CA323"/>
      <c r="CB323"/>
      <c r="CE323"/>
      <c r="CF323"/>
      <c r="CG323"/>
      <c r="CH323"/>
      <c r="CI323"/>
      <c r="CJ323"/>
      <c r="CK323"/>
      <c r="CM323"/>
      <c r="CN323"/>
      <c r="CO323"/>
      <c r="CP323"/>
      <c r="CQ323"/>
      <c r="CR323"/>
      <c r="CU323"/>
      <c r="CV323"/>
      <c r="CW323"/>
      <c r="CX323"/>
      <c r="CY323"/>
      <c r="CZ323"/>
      <c r="DA323"/>
      <c r="DC323"/>
      <c r="DD323"/>
      <c r="DE323"/>
      <c r="DF323"/>
      <c r="DG323"/>
      <c r="DH323"/>
      <c r="DJ323"/>
      <c r="DK323"/>
      <c r="DL323"/>
      <c r="DM323"/>
      <c r="DN323"/>
      <c r="DO323"/>
      <c r="DQ323"/>
      <c r="DR323"/>
      <c r="DS323"/>
      <c r="DT323"/>
      <c r="DU323"/>
      <c r="DV323"/>
      <c r="DX323"/>
      <c r="DY323"/>
      <c r="DZ323"/>
      <c r="EA323"/>
      <c r="EB323"/>
      <c r="EC323"/>
      <c r="EE323"/>
      <c r="EF323"/>
      <c r="EG323"/>
      <c r="EH323"/>
      <c r="EI323"/>
      <c r="EJ323"/>
      <c r="EK323"/>
      <c r="EM323"/>
      <c r="EN323"/>
      <c r="EO323"/>
      <c r="EP323"/>
      <c r="EQ323"/>
      <c r="ER323"/>
      <c r="ES323"/>
      <c r="EU323"/>
      <c r="EV323"/>
      <c r="EW323"/>
      <c r="EX323"/>
      <c r="EY323"/>
      <c r="EZ323"/>
      <c r="FA323"/>
      <c r="FC323"/>
      <c r="FD323"/>
      <c r="FE323"/>
      <c r="FF323"/>
      <c r="FG323"/>
      <c r="FH323"/>
      <c r="FI323"/>
      <c r="FK323"/>
      <c r="FL323"/>
      <c r="FM323"/>
      <c r="FN323"/>
      <c r="FO323"/>
      <c r="FP323"/>
      <c r="FQ323"/>
      <c r="FS323"/>
      <c r="FT323"/>
      <c r="FU323"/>
      <c r="FV323"/>
      <c r="FW323"/>
      <c r="FX323"/>
      <c r="FY323"/>
      <c r="GA323"/>
      <c r="GB323"/>
      <c r="GC323"/>
      <c r="GD323"/>
      <c r="GE323"/>
      <c r="GF323"/>
      <c r="GG323"/>
      <c r="GI323"/>
      <c r="GJ323"/>
      <c r="GK323"/>
      <c r="GL323"/>
      <c r="GM323"/>
      <c r="GN323"/>
      <c r="GO323"/>
      <c r="YK323"/>
      <c r="YL323"/>
      <c r="YM323"/>
      <c r="YN323"/>
      <c r="YO323"/>
      <c r="AFI323"/>
      <c r="AFJ323"/>
      <c r="AFK323"/>
      <c r="AFL323"/>
      <c r="AFM323"/>
      <c r="AFN323" t="e">
        <f>+Tabla578914151634353637383940414243444546474849505152535560626467[[#This Row],[Recuento]]*#REF!</f>
        <v>#REF!</v>
      </c>
      <c r="AFO323" s="35">
        <f>+SUM(AFL323:AFL329)</f>
        <v>0</v>
      </c>
    </row>
    <row r="324" spans="75:847" x14ac:dyDescent="0.25">
      <c r="BW324"/>
      <c r="BX324"/>
      <c r="BY324"/>
      <c r="BZ324"/>
      <c r="CA324"/>
      <c r="CB324"/>
      <c r="CE324"/>
      <c r="CF324"/>
      <c r="CG324"/>
      <c r="CH324"/>
      <c r="CI324"/>
      <c r="CJ324"/>
      <c r="CK324"/>
      <c r="CM324"/>
      <c r="CN324"/>
      <c r="CO324"/>
      <c r="CP324"/>
      <c r="CQ324"/>
      <c r="CR324"/>
      <c r="CU324"/>
      <c r="CV324"/>
      <c r="CW324"/>
      <c r="CX324"/>
      <c r="CY324"/>
      <c r="CZ324"/>
      <c r="DA324"/>
      <c r="DC324"/>
      <c r="DD324"/>
      <c r="DE324"/>
      <c r="DF324"/>
      <c r="DG324"/>
      <c r="DH324"/>
      <c r="DJ324"/>
      <c r="DK324"/>
      <c r="DL324"/>
      <c r="DM324"/>
      <c r="DN324"/>
      <c r="DO324"/>
      <c r="DQ324"/>
      <c r="DR324"/>
      <c r="DS324"/>
      <c r="DT324"/>
      <c r="DU324"/>
      <c r="DV324"/>
      <c r="DX324"/>
      <c r="DY324"/>
      <c r="DZ324"/>
      <c r="EA324"/>
      <c r="EB324"/>
      <c r="EC324"/>
      <c r="EE324"/>
      <c r="EF324"/>
      <c r="EG324"/>
      <c r="EH324"/>
      <c r="EI324"/>
      <c r="EJ324"/>
      <c r="EK324"/>
      <c r="EM324"/>
      <c r="EN324"/>
      <c r="EO324"/>
      <c r="EP324"/>
      <c r="EQ324"/>
      <c r="ER324"/>
      <c r="ES324"/>
      <c r="EU324"/>
      <c r="EV324"/>
      <c r="EW324"/>
      <c r="EX324"/>
      <c r="EY324"/>
      <c r="EZ324"/>
      <c r="FA324"/>
      <c r="FC324"/>
      <c r="FD324"/>
      <c r="FE324"/>
      <c r="FF324"/>
      <c r="FG324"/>
      <c r="FH324"/>
      <c r="FI324"/>
      <c r="FK324"/>
      <c r="FL324"/>
      <c r="FM324"/>
      <c r="FN324"/>
      <c r="FO324"/>
      <c r="FP324"/>
      <c r="FQ324"/>
      <c r="FS324"/>
      <c r="FT324"/>
      <c r="FU324"/>
      <c r="FV324"/>
      <c r="FW324"/>
      <c r="FX324"/>
      <c r="FY324"/>
      <c r="GA324"/>
      <c r="GB324"/>
      <c r="GC324"/>
      <c r="GD324"/>
      <c r="GE324"/>
      <c r="GF324"/>
      <c r="GG324"/>
      <c r="GI324"/>
      <c r="GJ324"/>
      <c r="GK324"/>
      <c r="GL324"/>
      <c r="GM324"/>
      <c r="GN324"/>
      <c r="GO324"/>
      <c r="YK324"/>
      <c r="YL324"/>
      <c r="YM324"/>
      <c r="YN324"/>
      <c r="YO324"/>
      <c r="AFI324"/>
      <c r="AFJ324"/>
      <c r="AFK324"/>
      <c r="AFL324"/>
      <c r="AFM324"/>
      <c r="AFN324" t="e">
        <f>+Tabla578914151634353637383940414243444546474849505152535560626467[[#This Row],[Recuento]]*#REF!</f>
        <v>#REF!</v>
      </c>
      <c r="AFO324" s="36"/>
    </row>
    <row r="325" spans="75:847" x14ac:dyDescent="0.25">
      <c r="BW325"/>
      <c r="BX325"/>
      <c r="BY325"/>
      <c r="BZ325"/>
      <c r="CA325"/>
      <c r="CB325"/>
      <c r="CE325"/>
      <c r="CF325"/>
      <c r="CG325"/>
      <c r="CH325"/>
      <c r="CI325"/>
      <c r="CJ325"/>
      <c r="CK325"/>
      <c r="CM325"/>
      <c r="CN325"/>
      <c r="CO325"/>
      <c r="CP325"/>
      <c r="CQ325"/>
      <c r="CR325"/>
      <c r="CU325"/>
      <c r="CV325"/>
      <c r="CW325"/>
      <c r="CX325"/>
      <c r="CY325"/>
      <c r="CZ325"/>
      <c r="DA325"/>
      <c r="DC325"/>
      <c r="DD325"/>
      <c r="DE325"/>
      <c r="DF325"/>
      <c r="DG325"/>
      <c r="DH325"/>
      <c r="DJ325"/>
      <c r="DK325"/>
      <c r="DL325"/>
      <c r="DM325"/>
      <c r="DN325"/>
      <c r="DO325"/>
      <c r="DQ325"/>
      <c r="DR325"/>
      <c r="DS325"/>
      <c r="DT325"/>
      <c r="DU325"/>
      <c r="DV325"/>
      <c r="DX325"/>
      <c r="DY325"/>
      <c r="DZ325"/>
      <c r="EA325"/>
      <c r="EB325"/>
      <c r="EC325"/>
      <c r="EE325"/>
      <c r="EF325"/>
      <c r="EG325"/>
      <c r="EH325"/>
      <c r="EI325"/>
      <c r="EJ325"/>
      <c r="EK325"/>
      <c r="EM325"/>
      <c r="EN325"/>
      <c r="EO325"/>
      <c r="EP325"/>
      <c r="EQ325"/>
      <c r="ER325"/>
      <c r="ES325"/>
      <c r="EU325"/>
      <c r="EV325"/>
      <c r="EW325"/>
      <c r="EX325"/>
      <c r="EY325"/>
      <c r="EZ325"/>
      <c r="FA325"/>
      <c r="FC325"/>
      <c r="FD325"/>
      <c r="FE325"/>
      <c r="FF325"/>
      <c r="FG325"/>
      <c r="FH325"/>
      <c r="FI325"/>
      <c r="FK325"/>
      <c r="FL325"/>
      <c r="FM325"/>
      <c r="FN325"/>
      <c r="FO325"/>
      <c r="FP325"/>
      <c r="FQ325"/>
      <c r="FS325"/>
      <c r="FT325"/>
      <c r="FU325"/>
      <c r="FV325"/>
      <c r="FW325"/>
      <c r="FX325"/>
      <c r="FY325"/>
      <c r="GA325"/>
      <c r="GB325"/>
      <c r="GC325"/>
      <c r="GD325"/>
      <c r="GE325"/>
      <c r="GF325"/>
      <c r="GG325"/>
      <c r="GI325"/>
      <c r="GJ325"/>
      <c r="GK325"/>
      <c r="GL325"/>
      <c r="GM325"/>
      <c r="GN325"/>
      <c r="GO325"/>
      <c r="YK325"/>
      <c r="YL325"/>
      <c r="YM325"/>
      <c r="YN325"/>
      <c r="YO325"/>
      <c r="AFI325"/>
      <c r="AFJ325"/>
      <c r="AFK325"/>
      <c r="AFL325"/>
      <c r="AFM325"/>
      <c r="AFN325" t="e">
        <f>+Tabla578914151634353637383940414243444546474849505152535560626467[[#This Row],[Recuento]]*#REF!</f>
        <v>#REF!</v>
      </c>
      <c r="AFO325" s="36"/>
    </row>
    <row r="326" spans="75:847" x14ac:dyDescent="0.25">
      <c r="BW326"/>
      <c r="BX326"/>
      <c r="BY326"/>
      <c r="BZ326"/>
      <c r="CA326"/>
      <c r="CB326"/>
      <c r="CE326"/>
      <c r="CF326"/>
      <c r="CG326"/>
      <c r="CH326"/>
      <c r="CI326"/>
      <c r="CJ326"/>
      <c r="CK326"/>
      <c r="CM326"/>
      <c r="CN326"/>
      <c r="CO326"/>
      <c r="CP326"/>
      <c r="CQ326"/>
      <c r="CR326"/>
      <c r="CU326"/>
      <c r="CV326"/>
      <c r="CW326"/>
      <c r="CX326"/>
      <c r="CY326"/>
      <c r="CZ326"/>
      <c r="DA326"/>
      <c r="DC326"/>
      <c r="DD326"/>
      <c r="DE326"/>
      <c r="DF326"/>
      <c r="DG326"/>
      <c r="DH326"/>
      <c r="DJ326"/>
      <c r="DK326"/>
      <c r="DL326"/>
      <c r="DM326"/>
      <c r="DN326"/>
      <c r="DO326"/>
      <c r="DQ326"/>
      <c r="DR326"/>
      <c r="DS326"/>
      <c r="DT326"/>
      <c r="DU326"/>
      <c r="DV326"/>
      <c r="DX326"/>
      <c r="DY326"/>
      <c r="DZ326"/>
      <c r="EA326"/>
      <c r="EB326"/>
      <c r="EC326"/>
      <c r="EE326"/>
      <c r="EF326"/>
      <c r="EG326"/>
      <c r="EH326"/>
      <c r="EI326"/>
      <c r="EJ326"/>
      <c r="EK326"/>
      <c r="EM326"/>
      <c r="EN326"/>
      <c r="EO326"/>
      <c r="EP326"/>
      <c r="EQ326"/>
      <c r="ER326"/>
      <c r="ES326"/>
      <c r="EU326"/>
      <c r="EV326"/>
      <c r="EW326"/>
      <c r="EX326"/>
      <c r="EY326"/>
      <c r="EZ326"/>
      <c r="FA326"/>
      <c r="FC326"/>
      <c r="FD326"/>
      <c r="FE326"/>
      <c r="FF326"/>
      <c r="FG326"/>
      <c r="FH326"/>
      <c r="FI326"/>
      <c r="FK326"/>
      <c r="FL326"/>
      <c r="FM326"/>
      <c r="FN326"/>
      <c r="FO326"/>
      <c r="FP326"/>
      <c r="FQ326"/>
      <c r="FS326"/>
      <c r="FT326"/>
      <c r="FU326"/>
      <c r="FV326"/>
      <c r="FW326"/>
      <c r="FX326"/>
      <c r="FY326"/>
      <c r="GA326"/>
      <c r="GB326"/>
      <c r="GC326"/>
      <c r="GD326"/>
      <c r="GE326"/>
      <c r="GF326"/>
      <c r="GG326"/>
      <c r="GI326"/>
      <c r="GJ326"/>
      <c r="GK326"/>
      <c r="GL326"/>
      <c r="GM326"/>
      <c r="GN326"/>
      <c r="GO326"/>
      <c r="YK326"/>
      <c r="YL326"/>
      <c r="YM326"/>
      <c r="YN326"/>
      <c r="YO326"/>
      <c r="AFI326"/>
      <c r="AFJ326"/>
      <c r="AFK326"/>
      <c r="AFL326"/>
      <c r="AFM326"/>
      <c r="AFN326" t="e">
        <f>+Tabla578914151634353637383940414243444546474849505152535560626467[[#This Row],[Recuento]]*#REF!</f>
        <v>#REF!</v>
      </c>
      <c r="AFO326" s="36"/>
    </row>
    <row r="327" spans="75:847" x14ac:dyDescent="0.25">
      <c r="BW327"/>
      <c r="BX327"/>
      <c r="BY327"/>
      <c r="BZ327"/>
      <c r="CA327"/>
      <c r="CB327"/>
      <c r="CE327"/>
      <c r="CF327"/>
      <c r="CG327"/>
      <c r="CH327"/>
      <c r="CI327"/>
      <c r="CJ327"/>
      <c r="CK327"/>
      <c r="CM327"/>
      <c r="CN327"/>
      <c r="CO327"/>
      <c r="CP327"/>
      <c r="CQ327"/>
      <c r="CR327"/>
      <c r="CU327"/>
      <c r="CV327"/>
      <c r="CW327"/>
      <c r="CX327"/>
      <c r="CY327"/>
      <c r="CZ327"/>
      <c r="DA327"/>
      <c r="DC327"/>
      <c r="DD327"/>
      <c r="DE327"/>
      <c r="DF327"/>
      <c r="DG327"/>
      <c r="DH327"/>
      <c r="DJ327"/>
      <c r="DK327"/>
      <c r="DL327"/>
      <c r="DM327"/>
      <c r="DN327"/>
      <c r="DO327"/>
      <c r="DQ327"/>
      <c r="DR327"/>
      <c r="DS327"/>
      <c r="DT327"/>
      <c r="DU327"/>
      <c r="DV327"/>
      <c r="DX327"/>
      <c r="DY327"/>
      <c r="DZ327"/>
      <c r="EA327"/>
      <c r="EB327"/>
      <c r="EC327"/>
      <c r="EE327"/>
      <c r="EF327"/>
      <c r="EG327"/>
      <c r="EH327"/>
      <c r="EI327"/>
      <c r="EJ327"/>
      <c r="EK327"/>
      <c r="EM327"/>
      <c r="EN327"/>
      <c r="EO327"/>
      <c r="EP327"/>
      <c r="EQ327"/>
      <c r="ER327"/>
      <c r="ES327"/>
      <c r="EU327"/>
      <c r="EV327"/>
      <c r="EW327"/>
      <c r="EX327"/>
      <c r="EY327"/>
      <c r="EZ327"/>
      <c r="FA327"/>
      <c r="FC327"/>
      <c r="FD327"/>
      <c r="FE327"/>
      <c r="FF327"/>
      <c r="FG327"/>
      <c r="FH327"/>
      <c r="FI327"/>
      <c r="FK327"/>
      <c r="FL327"/>
      <c r="FM327"/>
      <c r="FN327"/>
      <c r="FO327"/>
      <c r="FP327"/>
      <c r="FQ327"/>
      <c r="FS327"/>
      <c r="FT327"/>
      <c r="FU327"/>
      <c r="FV327"/>
      <c r="FW327"/>
      <c r="FX327"/>
      <c r="FY327"/>
      <c r="GA327"/>
      <c r="GB327"/>
      <c r="GC327"/>
      <c r="GD327"/>
      <c r="GE327"/>
      <c r="GF327"/>
      <c r="GG327"/>
      <c r="GI327"/>
      <c r="GJ327"/>
      <c r="GK327"/>
      <c r="GL327"/>
      <c r="GM327"/>
      <c r="GN327"/>
      <c r="GO327"/>
      <c r="YK327"/>
      <c r="YL327"/>
      <c r="YM327"/>
      <c r="YN327"/>
      <c r="YO327"/>
      <c r="AFI327"/>
      <c r="AFJ327"/>
      <c r="AFK327"/>
      <c r="AFL327"/>
      <c r="AFM327"/>
      <c r="AFN327" t="e">
        <f>+Tabla578914151634353637383940414243444546474849505152535560626467[[#This Row],[Recuento]]*#REF!</f>
        <v>#REF!</v>
      </c>
      <c r="AFO327" s="36"/>
    </row>
    <row r="328" spans="75:847" x14ac:dyDescent="0.25">
      <c r="BW328"/>
      <c r="BX328"/>
      <c r="BY328"/>
      <c r="BZ328"/>
      <c r="CA328"/>
      <c r="CB328"/>
      <c r="CE328"/>
      <c r="CF328"/>
      <c r="CG328"/>
      <c r="CH328"/>
      <c r="CI328"/>
      <c r="CJ328"/>
      <c r="CK328"/>
      <c r="CM328"/>
      <c r="CN328"/>
      <c r="CO328"/>
      <c r="CP328"/>
      <c r="CQ328"/>
      <c r="CR328"/>
      <c r="CU328"/>
      <c r="CV328"/>
      <c r="CW328"/>
      <c r="CX328"/>
      <c r="CY328"/>
      <c r="CZ328"/>
      <c r="DA328"/>
      <c r="DC328"/>
      <c r="DD328"/>
      <c r="DE328"/>
      <c r="DF328"/>
      <c r="DG328"/>
      <c r="DH328"/>
      <c r="DJ328"/>
      <c r="DK328"/>
      <c r="DL328"/>
      <c r="DM328"/>
      <c r="DN328"/>
      <c r="DO328"/>
      <c r="DQ328"/>
      <c r="DR328"/>
      <c r="DS328"/>
      <c r="DT328"/>
      <c r="DU328"/>
      <c r="DV328"/>
      <c r="DX328"/>
      <c r="DY328"/>
      <c r="DZ328"/>
      <c r="EA328"/>
      <c r="EB328"/>
      <c r="EC328"/>
      <c r="EE328"/>
      <c r="EF328"/>
      <c r="EG328"/>
      <c r="EH328"/>
      <c r="EI328"/>
      <c r="EJ328"/>
      <c r="EK328"/>
      <c r="EM328"/>
      <c r="EN328"/>
      <c r="EO328"/>
      <c r="EP328"/>
      <c r="EQ328"/>
      <c r="ER328"/>
      <c r="ES328"/>
      <c r="EU328"/>
      <c r="EV328"/>
      <c r="EW328"/>
      <c r="EX328"/>
      <c r="EY328"/>
      <c r="EZ328"/>
      <c r="FA328"/>
      <c r="FC328"/>
      <c r="FD328"/>
      <c r="FE328"/>
      <c r="FF328"/>
      <c r="FG328"/>
      <c r="FH328"/>
      <c r="FI328"/>
      <c r="FK328"/>
      <c r="FL328"/>
      <c r="FM328"/>
      <c r="FN328"/>
      <c r="FO328"/>
      <c r="FP328"/>
      <c r="FQ328"/>
      <c r="FS328"/>
      <c r="FT328"/>
      <c r="FU328"/>
      <c r="FV328"/>
      <c r="FW328"/>
      <c r="FX328"/>
      <c r="FY328"/>
      <c r="GA328"/>
      <c r="GB328"/>
      <c r="GC328"/>
      <c r="GD328"/>
      <c r="GE328"/>
      <c r="GF328"/>
      <c r="GG328"/>
      <c r="GI328"/>
      <c r="GJ328"/>
      <c r="GK328"/>
      <c r="GL328"/>
      <c r="GM328"/>
      <c r="GN328"/>
      <c r="GO328"/>
      <c r="YK328"/>
      <c r="YL328"/>
      <c r="YM328"/>
      <c r="YN328"/>
      <c r="YO328"/>
      <c r="AFI328"/>
      <c r="AFJ328"/>
      <c r="AFK328"/>
      <c r="AFL328"/>
      <c r="AFM328"/>
      <c r="AFN328" t="e">
        <f>+Tabla578914151634353637383940414243444546474849505152535560626467[[#This Row],[Recuento]]*#REF!</f>
        <v>#REF!</v>
      </c>
      <c r="AFO328" s="36"/>
    </row>
    <row r="329" spans="75:847" x14ac:dyDescent="0.25">
      <c r="BW329"/>
      <c r="BX329"/>
      <c r="BY329"/>
      <c r="BZ329"/>
      <c r="CA329"/>
      <c r="CB329"/>
      <c r="CE329"/>
      <c r="CF329"/>
      <c r="CG329"/>
      <c r="CH329"/>
      <c r="CI329"/>
      <c r="CJ329"/>
      <c r="CK329"/>
      <c r="CM329"/>
      <c r="CN329"/>
      <c r="CO329"/>
      <c r="CP329"/>
      <c r="CQ329"/>
      <c r="CR329"/>
      <c r="CU329"/>
      <c r="CV329"/>
      <c r="CW329"/>
      <c r="CX329"/>
      <c r="CY329"/>
      <c r="CZ329"/>
      <c r="DA329"/>
      <c r="DC329"/>
      <c r="DD329"/>
      <c r="DE329"/>
      <c r="DF329"/>
      <c r="DG329"/>
      <c r="DH329"/>
      <c r="DJ329"/>
      <c r="DK329"/>
      <c r="DL329"/>
      <c r="DM329"/>
      <c r="DN329"/>
      <c r="DO329"/>
      <c r="DQ329"/>
      <c r="DR329"/>
      <c r="DS329"/>
      <c r="DT329"/>
      <c r="DU329"/>
      <c r="DV329"/>
      <c r="DX329"/>
      <c r="DY329"/>
      <c r="DZ329"/>
      <c r="EA329"/>
      <c r="EB329"/>
      <c r="EC329"/>
      <c r="EE329"/>
      <c r="EF329"/>
      <c r="EG329"/>
      <c r="EH329"/>
      <c r="EI329"/>
      <c r="EJ329"/>
      <c r="EK329"/>
      <c r="EM329"/>
      <c r="EN329"/>
      <c r="EO329"/>
      <c r="EP329"/>
      <c r="EQ329"/>
      <c r="ER329"/>
      <c r="ES329"/>
      <c r="EU329"/>
      <c r="EV329"/>
      <c r="EW329"/>
      <c r="EX329"/>
      <c r="EY329"/>
      <c r="EZ329"/>
      <c r="FA329"/>
      <c r="FC329"/>
      <c r="FD329"/>
      <c r="FE329"/>
      <c r="FF329"/>
      <c r="FG329"/>
      <c r="FH329"/>
      <c r="FI329"/>
      <c r="FK329"/>
      <c r="FL329"/>
      <c r="FM329"/>
      <c r="FN329"/>
      <c r="FO329"/>
      <c r="FP329"/>
      <c r="FQ329"/>
      <c r="FS329"/>
      <c r="FT329"/>
      <c r="FU329"/>
      <c r="FV329"/>
      <c r="FW329"/>
      <c r="FX329"/>
      <c r="FY329"/>
      <c r="GA329"/>
      <c r="GB329"/>
      <c r="GC329"/>
      <c r="GD329"/>
      <c r="GE329"/>
      <c r="GF329"/>
      <c r="GG329"/>
      <c r="GI329"/>
      <c r="GJ329"/>
      <c r="GK329"/>
      <c r="GL329"/>
      <c r="GM329"/>
      <c r="GN329"/>
      <c r="GO329"/>
      <c r="YK329"/>
      <c r="YL329"/>
      <c r="YM329"/>
      <c r="YN329"/>
      <c r="YO329"/>
      <c r="AFI329"/>
      <c r="AFJ329"/>
      <c r="AFK329"/>
      <c r="AFL329"/>
      <c r="AFM329"/>
      <c r="AFN329" t="e">
        <f>+Tabla578914151634353637383940414243444546474849505152535560626467[[#This Row],[Recuento]]*#REF!</f>
        <v>#REF!</v>
      </c>
      <c r="AFO329" s="36"/>
    </row>
    <row r="330" spans="75:847" x14ac:dyDescent="0.25">
      <c r="BW330"/>
      <c r="BX330"/>
      <c r="BY330"/>
      <c r="BZ330"/>
      <c r="CA330"/>
      <c r="CB330"/>
      <c r="CE330"/>
      <c r="CF330"/>
      <c r="CG330"/>
      <c r="CH330"/>
      <c r="CI330"/>
      <c r="CJ330"/>
      <c r="CK330"/>
      <c r="CM330"/>
      <c r="CN330"/>
      <c r="CO330"/>
      <c r="CP330"/>
      <c r="CQ330"/>
      <c r="CR330"/>
      <c r="CU330"/>
      <c r="CV330"/>
      <c r="CW330"/>
      <c r="CX330"/>
      <c r="CY330"/>
      <c r="CZ330"/>
      <c r="DA330"/>
      <c r="DC330"/>
      <c r="DD330"/>
      <c r="DE330"/>
      <c r="DF330"/>
      <c r="DG330"/>
      <c r="DH330"/>
      <c r="DJ330"/>
      <c r="DK330"/>
      <c r="DL330"/>
      <c r="DM330"/>
      <c r="DN330"/>
      <c r="DO330"/>
      <c r="DQ330"/>
      <c r="DR330"/>
      <c r="DS330"/>
      <c r="DT330"/>
      <c r="DU330"/>
      <c r="DV330"/>
      <c r="DX330"/>
      <c r="DY330"/>
      <c r="DZ330"/>
      <c r="EA330"/>
      <c r="EB330"/>
      <c r="EC330"/>
      <c r="EE330"/>
      <c r="EF330"/>
      <c r="EG330"/>
      <c r="EH330"/>
      <c r="EI330"/>
      <c r="EJ330"/>
      <c r="EK330"/>
      <c r="EM330"/>
      <c r="EN330"/>
      <c r="EO330"/>
      <c r="EP330"/>
      <c r="EQ330"/>
      <c r="ER330"/>
      <c r="ES330"/>
      <c r="EU330"/>
      <c r="EV330"/>
      <c r="EW330"/>
      <c r="EX330"/>
      <c r="EY330"/>
      <c r="EZ330"/>
      <c r="FA330"/>
      <c r="FC330"/>
      <c r="FD330"/>
      <c r="FE330"/>
      <c r="FF330"/>
      <c r="FG330"/>
      <c r="FH330"/>
      <c r="FI330"/>
      <c r="FK330"/>
      <c r="FL330"/>
      <c r="FM330"/>
      <c r="FN330"/>
      <c r="FO330"/>
      <c r="FP330"/>
      <c r="FQ330"/>
      <c r="FS330"/>
      <c r="FT330"/>
      <c r="FU330"/>
      <c r="FV330"/>
      <c r="FW330"/>
      <c r="FX330"/>
      <c r="FY330"/>
      <c r="GA330"/>
      <c r="GB330"/>
      <c r="GC330"/>
      <c r="GD330"/>
      <c r="GE330"/>
      <c r="GF330"/>
      <c r="GG330"/>
      <c r="GI330"/>
      <c r="GJ330"/>
      <c r="GK330"/>
      <c r="GL330"/>
      <c r="GM330"/>
      <c r="GN330"/>
      <c r="GO330"/>
      <c r="YK330"/>
      <c r="YL330"/>
      <c r="YM330"/>
      <c r="YN330"/>
      <c r="YO330"/>
      <c r="AFI330"/>
      <c r="AFJ330"/>
      <c r="AFK330"/>
      <c r="AFL330"/>
      <c r="AFM330"/>
      <c r="AFN330" s="2" t="e">
        <f>+Tabla578914151634353637383940414243444546474849505152535560626467[[#This Row],[Recuento]]*#REF!</f>
        <v>#REF!</v>
      </c>
      <c r="AFO330" s="36"/>
    </row>
    <row r="331" spans="75:847" x14ac:dyDescent="0.25">
      <c r="BW331"/>
      <c r="BX331"/>
      <c r="BY331"/>
      <c r="BZ331"/>
      <c r="CA331"/>
      <c r="CB331"/>
      <c r="CE331"/>
      <c r="CF331"/>
      <c r="CG331"/>
      <c r="CH331"/>
      <c r="CI331"/>
      <c r="CJ331"/>
      <c r="CK331"/>
      <c r="CM331"/>
      <c r="CN331"/>
      <c r="CO331"/>
      <c r="CP331"/>
      <c r="CQ331"/>
      <c r="CR331"/>
      <c r="CU331"/>
      <c r="CV331"/>
      <c r="CW331"/>
      <c r="CX331"/>
      <c r="CY331"/>
      <c r="CZ331"/>
      <c r="DA331"/>
      <c r="DC331"/>
      <c r="DD331"/>
      <c r="DE331"/>
      <c r="DF331"/>
      <c r="DG331"/>
      <c r="DH331"/>
      <c r="DJ331"/>
      <c r="DK331"/>
      <c r="DL331"/>
      <c r="DM331"/>
      <c r="DN331"/>
      <c r="DO331"/>
      <c r="DQ331"/>
      <c r="DR331"/>
      <c r="DS331"/>
      <c r="DT331"/>
      <c r="DU331"/>
      <c r="DV331"/>
      <c r="DX331"/>
      <c r="DY331"/>
      <c r="DZ331"/>
      <c r="EA331"/>
      <c r="EB331"/>
      <c r="EC331"/>
      <c r="EE331"/>
      <c r="EF331"/>
      <c r="EG331"/>
      <c r="EH331"/>
      <c r="EI331"/>
      <c r="EJ331"/>
      <c r="EK331"/>
      <c r="EM331"/>
      <c r="EN331"/>
      <c r="EO331"/>
      <c r="EP331"/>
      <c r="EQ331"/>
      <c r="ER331"/>
      <c r="ES331"/>
      <c r="EU331"/>
      <c r="EV331"/>
      <c r="EW331"/>
      <c r="EX331"/>
      <c r="EY331"/>
      <c r="EZ331"/>
      <c r="FA331"/>
      <c r="FC331"/>
      <c r="FD331"/>
      <c r="FE331"/>
      <c r="FF331"/>
      <c r="FG331"/>
      <c r="FH331"/>
      <c r="FI331"/>
      <c r="FK331"/>
      <c r="FL331"/>
      <c r="FM331"/>
      <c r="FN331"/>
      <c r="FO331"/>
      <c r="FP331"/>
      <c r="FQ331"/>
      <c r="FS331"/>
      <c r="FT331"/>
      <c r="FU331"/>
      <c r="FV331"/>
      <c r="FW331"/>
      <c r="FX331"/>
      <c r="FY331"/>
      <c r="GA331"/>
      <c r="GB331"/>
      <c r="GC331"/>
      <c r="GD331"/>
      <c r="GE331"/>
      <c r="GF331"/>
      <c r="GG331"/>
      <c r="GI331"/>
      <c r="GJ331"/>
      <c r="GK331"/>
      <c r="GL331"/>
      <c r="GM331"/>
      <c r="GN331"/>
      <c r="GO331"/>
      <c r="YK331"/>
      <c r="YL331"/>
      <c r="YM331"/>
      <c r="YN331"/>
      <c r="YO331"/>
      <c r="AFI331"/>
      <c r="AFJ331"/>
      <c r="AFK331"/>
      <c r="AFL331"/>
      <c r="AFM331"/>
      <c r="AFN331" s="2" t="e">
        <f>+Tabla578914151634353637383940414243444546474849505152535560626467[[#This Row],[Recuento]]*#REF!</f>
        <v>#REF!</v>
      </c>
      <c r="AFO331" s="35"/>
    </row>
    <row r="332" spans="75:847" x14ac:dyDescent="0.25">
      <c r="BW332"/>
      <c r="BX332"/>
      <c r="BY332"/>
      <c r="BZ332"/>
      <c r="CA332"/>
      <c r="CB332"/>
      <c r="CE332"/>
      <c r="CF332"/>
      <c r="CG332"/>
      <c r="CH332"/>
      <c r="CI332"/>
      <c r="CJ332"/>
      <c r="CK332"/>
      <c r="CM332"/>
      <c r="CN332"/>
      <c r="CO332"/>
      <c r="CP332"/>
      <c r="CQ332"/>
      <c r="CR332"/>
      <c r="CU332"/>
      <c r="CV332"/>
      <c r="CW332"/>
      <c r="CX332"/>
      <c r="CY332"/>
      <c r="CZ332"/>
      <c r="DA332"/>
      <c r="DC332"/>
      <c r="DD332"/>
      <c r="DE332"/>
      <c r="DF332"/>
      <c r="DG332"/>
      <c r="DH332"/>
      <c r="DJ332"/>
      <c r="DK332"/>
      <c r="DL332"/>
      <c r="DM332"/>
      <c r="DN332"/>
      <c r="DO332"/>
      <c r="DQ332"/>
      <c r="DR332"/>
      <c r="DS332"/>
      <c r="DT332"/>
      <c r="DU332"/>
      <c r="DV332"/>
      <c r="DX332"/>
      <c r="DY332"/>
      <c r="DZ332"/>
      <c r="EA332"/>
      <c r="EB332"/>
      <c r="EC332"/>
      <c r="EE332"/>
      <c r="EF332"/>
      <c r="EG332"/>
      <c r="EH332"/>
      <c r="EI332"/>
      <c r="EJ332"/>
      <c r="EK332"/>
      <c r="EM332"/>
      <c r="EN332"/>
      <c r="EO332"/>
      <c r="EP332"/>
      <c r="EQ332"/>
      <c r="ER332"/>
      <c r="ES332"/>
      <c r="EU332"/>
      <c r="EV332"/>
      <c r="EW332"/>
      <c r="EX332"/>
      <c r="EY332"/>
      <c r="EZ332"/>
      <c r="FA332"/>
      <c r="FC332"/>
      <c r="FD332"/>
      <c r="FE332"/>
      <c r="FF332"/>
      <c r="FG332"/>
      <c r="FH332"/>
      <c r="FI332"/>
      <c r="FK332"/>
      <c r="FL332"/>
      <c r="FM332"/>
      <c r="FN332"/>
      <c r="FO332"/>
      <c r="FP332"/>
      <c r="FQ332"/>
      <c r="FS332"/>
      <c r="FT332"/>
      <c r="FU332"/>
      <c r="FV332"/>
      <c r="FW332"/>
      <c r="FX332"/>
      <c r="FY332"/>
      <c r="GA332"/>
      <c r="GB332"/>
      <c r="GC332"/>
      <c r="GD332"/>
      <c r="GE332"/>
      <c r="GF332"/>
      <c r="GG332"/>
      <c r="GI332"/>
      <c r="GJ332"/>
      <c r="GK332"/>
      <c r="GL332"/>
      <c r="GM332"/>
      <c r="GN332"/>
      <c r="GO332"/>
      <c r="YK332"/>
      <c r="YL332"/>
      <c r="YM332"/>
      <c r="YN332"/>
      <c r="YO332"/>
      <c r="AFI332"/>
      <c r="AFJ332"/>
      <c r="AFK332"/>
      <c r="AFL332"/>
      <c r="AFM332"/>
      <c r="AFN332" s="2" t="e">
        <f>+Tabla578914151634353637383940414243444546474849505152535560626467[[#This Row],[Recuento]]*#REF!</f>
        <v>#REF!</v>
      </c>
      <c r="AFO332" s="36"/>
    </row>
    <row r="333" spans="75:847" x14ac:dyDescent="0.25">
      <c r="BW333"/>
      <c r="BX333"/>
      <c r="BY333"/>
      <c r="BZ333"/>
      <c r="CA333"/>
      <c r="CB333"/>
      <c r="CE333"/>
      <c r="CF333"/>
      <c r="CG333"/>
      <c r="CH333"/>
      <c r="CI333"/>
      <c r="CJ333"/>
      <c r="CK333"/>
      <c r="CM333"/>
      <c r="CN333"/>
      <c r="CO333"/>
      <c r="CP333"/>
      <c r="CQ333"/>
      <c r="CR333"/>
      <c r="CU333"/>
      <c r="CV333"/>
      <c r="CW333"/>
      <c r="CX333"/>
      <c r="CY333"/>
      <c r="CZ333"/>
      <c r="DA333"/>
      <c r="DC333"/>
      <c r="DD333"/>
      <c r="DE333"/>
      <c r="DF333"/>
      <c r="DG333"/>
      <c r="DH333"/>
      <c r="DJ333"/>
      <c r="DK333"/>
      <c r="DL333"/>
      <c r="DM333"/>
      <c r="DN333"/>
      <c r="DO333"/>
      <c r="DQ333"/>
      <c r="DR333"/>
      <c r="DS333"/>
      <c r="DT333"/>
      <c r="DU333"/>
      <c r="DV333"/>
      <c r="DX333"/>
      <c r="DY333"/>
      <c r="DZ333"/>
      <c r="EA333"/>
      <c r="EB333"/>
      <c r="EC333"/>
      <c r="EE333"/>
      <c r="EF333"/>
      <c r="EG333"/>
      <c r="EH333"/>
      <c r="EI333"/>
      <c r="EJ333"/>
      <c r="EK333"/>
      <c r="EM333"/>
      <c r="EN333"/>
      <c r="EO333"/>
      <c r="EP333"/>
      <c r="EQ333"/>
      <c r="ER333"/>
      <c r="ES333"/>
      <c r="EU333"/>
      <c r="EV333"/>
      <c r="EW333"/>
      <c r="EX333"/>
      <c r="EY333"/>
      <c r="EZ333"/>
      <c r="FA333"/>
      <c r="FC333"/>
      <c r="FD333"/>
      <c r="FE333"/>
      <c r="FF333"/>
      <c r="FG333"/>
      <c r="FH333"/>
      <c r="FI333"/>
      <c r="FK333"/>
      <c r="FL333"/>
      <c r="FM333"/>
      <c r="FN333"/>
      <c r="FO333"/>
      <c r="FP333"/>
      <c r="FQ333"/>
      <c r="FS333"/>
      <c r="FT333"/>
      <c r="FU333"/>
      <c r="FV333"/>
      <c r="FW333"/>
      <c r="FX333"/>
      <c r="FY333"/>
      <c r="GA333"/>
      <c r="GB333"/>
      <c r="GC333"/>
      <c r="GD333"/>
      <c r="GE333"/>
      <c r="GF333"/>
      <c r="GG333"/>
      <c r="GI333"/>
      <c r="GJ333"/>
      <c r="GK333"/>
      <c r="GL333"/>
      <c r="GM333"/>
      <c r="GN333"/>
      <c r="GO333"/>
      <c r="YK333"/>
      <c r="YL333"/>
      <c r="YM333"/>
      <c r="YN333"/>
      <c r="YO333"/>
      <c r="AFI333"/>
      <c r="AFJ333"/>
      <c r="AFK333"/>
      <c r="AFL333"/>
      <c r="AFM333"/>
      <c r="AFN333" s="2" t="e">
        <f>+Tabla578914151634353637383940414243444546474849505152535560626467[[#This Row],[Recuento]]*#REF!</f>
        <v>#REF!</v>
      </c>
      <c r="AFO333" s="36"/>
    </row>
    <row r="334" spans="75:847" x14ac:dyDescent="0.25">
      <c r="BW334"/>
      <c r="BX334"/>
      <c r="BY334"/>
      <c r="BZ334"/>
      <c r="CA334"/>
      <c r="CB334"/>
      <c r="CE334"/>
      <c r="CF334"/>
      <c r="CG334"/>
      <c r="CH334"/>
      <c r="CI334"/>
      <c r="CJ334"/>
      <c r="CK334"/>
      <c r="CM334"/>
      <c r="CN334"/>
      <c r="CO334"/>
      <c r="CP334"/>
      <c r="CQ334"/>
      <c r="CR334"/>
      <c r="CU334"/>
      <c r="CV334"/>
      <c r="CW334"/>
      <c r="CX334"/>
      <c r="CY334"/>
      <c r="CZ334"/>
      <c r="DA334"/>
      <c r="DC334"/>
      <c r="DD334"/>
      <c r="DE334"/>
      <c r="DF334"/>
      <c r="DG334"/>
      <c r="DH334"/>
      <c r="DJ334"/>
      <c r="DK334"/>
      <c r="DL334"/>
      <c r="DM334"/>
      <c r="DN334"/>
      <c r="DO334"/>
      <c r="DQ334"/>
      <c r="DR334"/>
      <c r="DS334"/>
      <c r="DT334"/>
      <c r="DU334"/>
      <c r="DV334"/>
      <c r="DX334"/>
      <c r="DY334"/>
      <c r="DZ334"/>
      <c r="EA334"/>
      <c r="EB334"/>
      <c r="EC334"/>
      <c r="EE334"/>
      <c r="EF334"/>
      <c r="EG334"/>
      <c r="EH334"/>
      <c r="EI334"/>
      <c r="EJ334"/>
      <c r="EK334"/>
      <c r="EM334"/>
      <c r="EN334"/>
      <c r="EO334"/>
      <c r="EP334"/>
      <c r="EQ334"/>
      <c r="ER334"/>
      <c r="ES334"/>
      <c r="EU334"/>
      <c r="EV334"/>
      <c r="EW334"/>
      <c r="EX334"/>
      <c r="EY334"/>
      <c r="EZ334"/>
      <c r="FA334"/>
      <c r="FC334"/>
      <c r="FD334"/>
      <c r="FE334"/>
      <c r="FF334"/>
      <c r="FG334"/>
      <c r="FH334"/>
      <c r="FI334"/>
      <c r="FK334"/>
      <c r="FL334"/>
      <c r="FM334"/>
      <c r="FN334"/>
      <c r="FO334"/>
      <c r="FP334"/>
      <c r="FQ334"/>
      <c r="FS334"/>
      <c r="FT334"/>
      <c r="FU334"/>
      <c r="FV334"/>
      <c r="FW334"/>
      <c r="FX334"/>
      <c r="FY334"/>
      <c r="GA334"/>
      <c r="GB334"/>
      <c r="GC334"/>
      <c r="GD334"/>
      <c r="GE334"/>
      <c r="GF334"/>
      <c r="GG334"/>
      <c r="GI334"/>
      <c r="GJ334"/>
      <c r="GK334"/>
      <c r="GL334"/>
      <c r="GM334"/>
      <c r="GN334"/>
      <c r="GO334"/>
      <c r="YK334"/>
      <c r="YL334"/>
      <c r="YM334"/>
      <c r="YN334"/>
      <c r="YO334"/>
      <c r="AFI334"/>
      <c r="AFJ334"/>
      <c r="AFK334"/>
      <c r="AFL334"/>
      <c r="AFM334"/>
      <c r="AFN334" s="2" t="e">
        <f>+Tabla578914151634353637383940414243444546474849505152535560626467[[#This Row],[Recuento]]*#REF!</f>
        <v>#REF!</v>
      </c>
      <c r="AFO334" s="35"/>
    </row>
    <row r="335" spans="75:847" x14ac:dyDescent="0.25">
      <c r="BW335"/>
      <c r="BX335"/>
      <c r="BY335"/>
      <c r="BZ335"/>
      <c r="CA335"/>
      <c r="CB335"/>
      <c r="CE335"/>
      <c r="CF335"/>
      <c r="CG335"/>
      <c r="CH335"/>
      <c r="CI335"/>
      <c r="CJ335"/>
      <c r="CK335"/>
      <c r="CM335"/>
      <c r="CN335"/>
      <c r="CO335"/>
      <c r="CP335"/>
      <c r="CQ335"/>
      <c r="CR335"/>
      <c r="CU335"/>
      <c r="CV335"/>
      <c r="CW335"/>
      <c r="CX335"/>
      <c r="CY335"/>
      <c r="CZ335"/>
      <c r="DA335"/>
      <c r="DC335"/>
      <c r="DD335"/>
      <c r="DE335"/>
      <c r="DF335"/>
      <c r="DG335"/>
      <c r="DH335"/>
      <c r="DJ335"/>
      <c r="DK335"/>
      <c r="DL335"/>
      <c r="DM335"/>
      <c r="DN335"/>
      <c r="DO335"/>
      <c r="DQ335"/>
      <c r="DR335"/>
      <c r="DS335"/>
      <c r="DT335"/>
      <c r="DU335"/>
      <c r="DV335"/>
      <c r="DX335"/>
      <c r="DY335"/>
      <c r="DZ335"/>
      <c r="EA335"/>
      <c r="EB335"/>
      <c r="EC335"/>
      <c r="EE335"/>
      <c r="EF335"/>
      <c r="EG335"/>
      <c r="EH335"/>
      <c r="EI335"/>
      <c r="EJ335"/>
      <c r="EK335"/>
      <c r="EM335"/>
      <c r="EN335"/>
      <c r="EO335"/>
      <c r="EP335"/>
      <c r="EQ335"/>
      <c r="ER335"/>
      <c r="ES335"/>
      <c r="EU335"/>
      <c r="EV335"/>
      <c r="EW335"/>
      <c r="EX335"/>
      <c r="EY335"/>
      <c r="EZ335"/>
      <c r="FA335"/>
      <c r="FC335"/>
      <c r="FD335"/>
      <c r="FE335"/>
      <c r="FF335"/>
      <c r="FG335"/>
      <c r="FH335"/>
      <c r="FI335"/>
      <c r="FK335"/>
      <c r="FL335"/>
      <c r="FM335"/>
      <c r="FN335"/>
      <c r="FO335"/>
      <c r="FP335"/>
      <c r="FQ335"/>
      <c r="FS335"/>
      <c r="FT335"/>
      <c r="FU335"/>
      <c r="FV335"/>
      <c r="FW335"/>
      <c r="FX335"/>
      <c r="FY335"/>
      <c r="GA335"/>
      <c r="GB335"/>
      <c r="GC335"/>
      <c r="GD335"/>
      <c r="GE335"/>
      <c r="GF335"/>
      <c r="GG335"/>
      <c r="GI335"/>
      <c r="GJ335"/>
      <c r="GK335"/>
      <c r="GL335"/>
      <c r="GM335"/>
      <c r="GN335"/>
      <c r="GO335"/>
      <c r="YK335"/>
      <c r="YL335"/>
      <c r="YM335"/>
      <c r="YN335"/>
      <c r="YO335"/>
      <c r="AFI335"/>
      <c r="AFJ335"/>
      <c r="AFK335"/>
      <c r="AFL335"/>
      <c r="AFM335"/>
      <c r="AFN335" s="2" t="e">
        <f>+Tabla578914151634353637383940414243444546474849505152535560626467[[#This Row],[Recuento]]*#REF!</f>
        <v>#REF!</v>
      </c>
      <c r="AFO335" s="36"/>
    </row>
    <row r="336" spans="75:847" x14ac:dyDescent="0.25">
      <c r="BW336"/>
      <c r="BX336"/>
      <c r="BY336"/>
      <c r="BZ336"/>
      <c r="CA336"/>
      <c r="CB336"/>
      <c r="CE336"/>
      <c r="CF336"/>
      <c r="CG336"/>
      <c r="CH336"/>
      <c r="CI336"/>
      <c r="CJ336"/>
      <c r="CK336"/>
      <c r="CM336"/>
      <c r="CN336"/>
      <c r="CO336"/>
      <c r="CP336"/>
      <c r="CQ336"/>
      <c r="CR336"/>
      <c r="CU336"/>
      <c r="CV336"/>
      <c r="CW336"/>
      <c r="CX336"/>
      <c r="CY336"/>
      <c r="CZ336"/>
      <c r="DA336"/>
      <c r="DC336"/>
      <c r="DD336"/>
      <c r="DE336"/>
      <c r="DF336"/>
      <c r="DG336"/>
      <c r="DH336"/>
      <c r="DJ336"/>
      <c r="DK336"/>
      <c r="DL336"/>
      <c r="DM336"/>
      <c r="DN336"/>
      <c r="DO336"/>
      <c r="DQ336"/>
      <c r="DR336"/>
      <c r="DS336"/>
      <c r="DT336"/>
      <c r="DU336"/>
      <c r="DV336"/>
      <c r="DX336"/>
      <c r="DY336"/>
      <c r="DZ336"/>
      <c r="EA336"/>
      <c r="EB336"/>
      <c r="EC336"/>
      <c r="EE336"/>
      <c r="EF336"/>
      <c r="EG336"/>
      <c r="EH336"/>
      <c r="EI336"/>
      <c r="EJ336"/>
      <c r="EK336"/>
      <c r="EM336"/>
      <c r="EN336"/>
      <c r="EO336"/>
      <c r="EP336"/>
      <c r="EQ336"/>
      <c r="ER336"/>
      <c r="ES336"/>
      <c r="EU336"/>
      <c r="EV336"/>
      <c r="EW336"/>
      <c r="EX336"/>
      <c r="EY336"/>
      <c r="EZ336"/>
      <c r="FA336"/>
      <c r="FC336"/>
      <c r="FD336"/>
      <c r="FE336"/>
      <c r="FF336"/>
      <c r="FG336"/>
      <c r="FH336"/>
      <c r="FI336"/>
      <c r="FK336"/>
      <c r="FL336"/>
      <c r="FM336"/>
      <c r="FN336"/>
      <c r="FO336"/>
      <c r="FP336"/>
      <c r="FQ336"/>
      <c r="FS336"/>
      <c r="FT336"/>
      <c r="FU336"/>
      <c r="FV336"/>
      <c r="FW336"/>
      <c r="FX336"/>
      <c r="FY336"/>
      <c r="GA336"/>
      <c r="GB336"/>
      <c r="GC336"/>
      <c r="GD336"/>
      <c r="GE336"/>
      <c r="GF336"/>
      <c r="GG336"/>
      <c r="GI336"/>
      <c r="GJ336"/>
      <c r="GK336"/>
      <c r="GL336"/>
      <c r="GM336"/>
      <c r="GN336"/>
      <c r="GO336"/>
      <c r="YK336"/>
      <c r="YL336"/>
      <c r="YM336"/>
      <c r="YN336"/>
      <c r="YO336"/>
      <c r="AFI336"/>
      <c r="AFJ336"/>
      <c r="AFK336"/>
      <c r="AFL336"/>
      <c r="AFM336"/>
      <c r="AFN336" s="2" t="e">
        <f>+Tabla578914151634353637383940414243444546474849505152535560626467[[#This Row],[Recuento]]*#REF!</f>
        <v>#REF!</v>
      </c>
      <c r="AFO336" s="36"/>
    </row>
    <row r="337" spans="75:847" x14ac:dyDescent="0.25">
      <c r="BW337"/>
      <c r="BX337"/>
      <c r="BY337"/>
      <c r="BZ337"/>
      <c r="CA337"/>
      <c r="CB337"/>
      <c r="CE337"/>
      <c r="CF337"/>
      <c r="CG337"/>
      <c r="CH337"/>
      <c r="CI337"/>
      <c r="CJ337"/>
      <c r="CK337"/>
      <c r="CM337"/>
      <c r="CN337"/>
      <c r="CO337"/>
      <c r="CP337"/>
      <c r="CQ337"/>
      <c r="CR337"/>
      <c r="CU337"/>
      <c r="CV337"/>
      <c r="CW337"/>
      <c r="CX337"/>
      <c r="CY337"/>
      <c r="CZ337"/>
      <c r="DA337"/>
      <c r="DC337"/>
      <c r="DD337"/>
      <c r="DE337"/>
      <c r="DF337"/>
      <c r="DG337"/>
      <c r="DH337"/>
      <c r="DJ337"/>
      <c r="DK337"/>
      <c r="DL337"/>
      <c r="DM337"/>
      <c r="DN337"/>
      <c r="DO337"/>
      <c r="DQ337"/>
      <c r="DR337"/>
      <c r="DS337"/>
      <c r="DT337"/>
      <c r="DU337"/>
      <c r="DV337"/>
      <c r="DX337"/>
      <c r="DY337"/>
      <c r="DZ337"/>
      <c r="EA337"/>
      <c r="EB337"/>
      <c r="EC337"/>
      <c r="EE337"/>
      <c r="EF337"/>
      <c r="EG337"/>
      <c r="EH337"/>
      <c r="EI337"/>
      <c r="EJ337"/>
      <c r="EK337"/>
      <c r="EM337"/>
      <c r="EN337"/>
      <c r="EO337"/>
      <c r="EP337"/>
      <c r="EQ337"/>
      <c r="ER337"/>
      <c r="ES337"/>
      <c r="EU337"/>
      <c r="EV337"/>
      <c r="EW337"/>
      <c r="EX337"/>
      <c r="EY337"/>
      <c r="EZ337"/>
      <c r="FA337"/>
      <c r="FC337"/>
      <c r="FD337"/>
      <c r="FE337"/>
      <c r="FF337"/>
      <c r="FG337"/>
      <c r="FH337"/>
      <c r="FI337"/>
      <c r="FK337"/>
      <c r="FL337"/>
      <c r="FM337"/>
      <c r="FN337"/>
      <c r="FO337"/>
      <c r="FP337"/>
      <c r="FQ337"/>
      <c r="FS337"/>
      <c r="FT337"/>
      <c r="FU337"/>
      <c r="FV337"/>
      <c r="FW337"/>
      <c r="FX337"/>
      <c r="FY337"/>
      <c r="GA337"/>
      <c r="GB337"/>
      <c r="GC337"/>
      <c r="GD337"/>
      <c r="GE337"/>
      <c r="GF337"/>
      <c r="GG337"/>
      <c r="GI337"/>
      <c r="GJ337"/>
      <c r="GK337"/>
      <c r="GL337"/>
      <c r="GM337"/>
      <c r="GN337"/>
      <c r="GO337"/>
      <c r="YK337"/>
      <c r="YL337"/>
      <c r="YM337"/>
      <c r="YN337"/>
      <c r="YO337"/>
      <c r="AFI337"/>
      <c r="AFJ337"/>
      <c r="AFK337"/>
      <c r="AFL337"/>
      <c r="AFM337"/>
      <c r="AFN337" s="2" t="e">
        <f>+Tabla578914151634353637383940414243444546474849505152535560626467[[#This Row],[Recuento]]*#REF!</f>
        <v>#REF!</v>
      </c>
      <c r="AFO337" s="36"/>
    </row>
    <row r="338" spans="75:847" x14ac:dyDescent="0.25">
      <c r="BW338"/>
      <c r="BX338"/>
      <c r="BY338"/>
      <c r="BZ338"/>
      <c r="CA338"/>
      <c r="CB338"/>
      <c r="CE338"/>
      <c r="CF338"/>
      <c r="CG338"/>
      <c r="CH338"/>
      <c r="CI338"/>
      <c r="CJ338"/>
      <c r="CK338"/>
      <c r="CM338"/>
      <c r="CN338"/>
      <c r="CO338"/>
      <c r="CP338"/>
      <c r="CQ338"/>
      <c r="CR338"/>
      <c r="CU338"/>
      <c r="CV338"/>
      <c r="CW338"/>
      <c r="CX338"/>
      <c r="CY338"/>
      <c r="CZ338"/>
      <c r="DA338"/>
      <c r="DC338"/>
      <c r="DD338"/>
      <c r="DE338"/>
      <c r="DF338"/>
      <c r="DG338"/>
      <c r="DH338"/>
      <c r="DJ338"/>
      <c r="DK338"/>
      <c r="DL338"/>
      <c r="DM338"/>
      <c r="DN338"/>
      <c r="DO338"/>
      <c r="DQ338"/>
      <c r="DR338"/>
      <c r="DS338"/>
      <c r="DT338"/>
      <c r="DU338"/>
      <c r="DV338"/>
      <c r="DX338"/>
      <c r="DY338"/>
      <c r="DZ338"/>
      <c r="EA338"/>
      <c r="EB338"/>
      <c r="EC338"/>
      <c r="EE338"/>
      <c r="EF338"/>
      <c r="EG338"/>
      <c r="EH338"/>
      <c r="EI338"/>
      <c r="EJ338"/>
      <c r="EK338"/>
      <c r="EM338"/>
      <c r="EN338"/>
      <c r="EO338"/>
      <c r="EP338"/>
      <c r="EQ338"/>
      <c r="ER338"/>
      <c r="ES338"/>
      <c r="EU338"/>
      <c r="EV338"/>
      <c r="EW338"/>
      <c r="EX338"/>
      <c r="EY338"/>
      <c r="EZ338"/>
      <c r="FA338"/>
      <c r="FC338"/>
      <c r="FD338"/>
      <c r="FE338"/>
      <c r="FF338"/>
      <c r="FG338"/>
      <c r="FH338"/>
      <c r="FI338"/>
      <c r="FK338"/>
      <c r="FL338"/>
      <c r="FM338"/>
      <c r="FN338"/>
      <c r="FO338"/>
      <c r="FP338"/>
      <c r="FQ338"/>
      <c r="FS338"/>
      <c r="FT338"/>
      <c r="FU338"/>
      <c r="FV338"/>
      <c r="FW338"/>
      <c r="FX338"/>
      <c r="FY338"/>
      <c r="GA338"/>
      <c r="GB338"/>
      <c r="GC338"/>
      <c r="GD338"/>
      <c r="GE338"/>
      <c r="GF338"/>
      <c r="GG338"/>
      <c r="GI338"/>
      <c r="GJ338"/>
      <c r="GK338"/>
      <c r="GL338"/>
      <c r="GM338"/>
      <c r="GN338"/>
      <c r="GO338"/>
      <c r="YK338"/>
      <c r="YL338"/>
      <c r="YM338"/>
      <c r="YN338"/>
      <c r="YO338"/>
      <c r="AFI338"/>
      <c r="AFJ338"/>
      <c r="AFK338"/>
      <c r="AFL338"/>
      <c r="AFM338"/>
      <c r="AFN338" s="2" t="e">
        <f>+Tabla578914151634353637383940414243444546474849505152535560626467[[#This Row],[Recuento]]*#REF!</f>
        <v>#REF!</v>
      </c>
      <c r="AFO338" s="36"/>
    </row>
    <row r="339" spans="75:847" x14ac:dyDescent="0.25">
      <c r="BW339"/>
      <c r="BX339"/>
      <c r="BY339"/>
      <c r="BZ339"/>
      <c r="CA339"/>
      <c r="CB339"/>
      <c r="CE339"/>
      <c r="CF339"/>
      <c r="CG339"/>
      <c r="CH339"/>
      <c r="CI339"/>
      <c r="CJ339"/>
      <c r="CK339"/>
      <c r="CM339"/>
      <c r="CN339"/>
      <c r="CO339"/>
      <c r="CP339"/>
      <c r="CQ339"/>
      <c r="CR339"/>
      <c r="CU339"/>
      <c r="CV339"/>
      <c r="CW339"/>
      <c r="CX339"/>
      <c r="CY339"/>
      <c r="CZ339"/>
      <c r="DA339"/>
      <c r="DC339"/>
      <c r="DD339"/>
      <c r="DE339"/>
      <c r="DF339"/>
      <c r="DG339"/>
      <c r="DH339"/>
      <c r="DJ339"/>
      <c r="DK339"/>
      <c r="DL339"/>
      <c r="DM339"/>
      <c r="DN339"/>
      <c r="DO339"/>
      <c r="DQ339"/>
      <c r="DR339"/>
      <c r="DS339"/>
      <c r="DT339"/>
      <c r="DU339"/>
      <c r="DV339"/>
      <c r="DX339"/>
      <c r="DY339"/>
      <c r="DZ339"/>
      <c r="EA339"/>
      <c r="EB339"/>
      <c r="EC339"/>
      <c r="EE339"/>
      <c r="EF339"/>
      <c r="EG339"/>
      <c r="EH339"/>
      <c r="EI339"/>
      <c r="EJ339"/>
      <c r="EK339"/>
      <c r="EM339"/>
      <c r="EN339"/>
      <c r="EO339"/>
      <c r="EP339"/>
      <c r="EQ339"/>
      <c r="ER339"/>
      <c r="ES339"/>
      <c r="EU339"/>
      <c r="EV339"/>
      <c r="EW339"/>
      <c r="EX339"/>
      <c r="EY339"/>
      <c r="EZ339"/>
      <c r="FA339"/>
      <c r="FC339"/>
      <c r="FD339"/>
      <c r="FE339"/>
      <c r="FF339"/>
      <c r="FG339"/>
      <c r="FH339"/>
      <c r="FI339"/>
      <c r="FK339"/>
      <c r="FL339"/>
      <c r="FM339"/>
      <c r="FN339"/>
      <c r="FO339"/>
      <c r="FP339"/>
      <c r="FQ339"/>
      <c r="FS339"/>
      <c r="FT339"/>
      <c r="FU339"/>
      <c r="FV339"/>
      <c r="FW339"/>
      <c r="FX339"/>
      <c r="FY339"/>
      <c r="GA339"/>
      <c r="GB339"/>
      <c r="GC339"/>
      <c r="GD339"/>
      <c r="GE339"/>
      <c r="GF339"/>
      <c r="GG339"/>
      <c r="GI339"/>
      <c r="GJ339"/>
      <c r="GK339"/>
      <c r="GL339"/>
      <c r="GM339"/>
      <c r="GN339"/>
      <c r="GO339"/>
      <c r="YK339"/>
      <c r="YL339"/>
      <c r="YM339"/>
      <c r="YN339"/>
      <c r="YO339"/>
      <c r="AFI339"/>
      <c r="AFJ339"/>
      <c r="AFK339"/>
      <c r="AFL339"/>
      <c r="AFM339"/>
      <c r="AFN339" s="2" t="e">
        <f>+Tabla578914151634353637383940414243444546474849505152535560626467[[#This Row],[Recuento]]*#REF!</f>
        <v>#REF!</v>
      </c>
      <c r="AFO339" s="36"/>
    </row>
    <row r="340" spans="75:847" x14ac:dyDescent="0.25">
      <c r="BW340"/>
      <c r="BX340"/>
      <c r="BY340"/>
      <c r="BZ340"/>
      <c r="CA340"/>
      <c r="CB340"/>
      <c r="CE340"/>
      <c r="CF340"/>
      <c r="CG340"/>
      <c r="CH340"/>
      <c r="CI340"/>
      <c r="CJ340"/>
      <c r="CK340"/>
      <c r="CM340"/>
      <c r="CN340"/>
      <c r="CO340"/>
      <c r="CP340"/>
      <c r="CQ340"/>
      <c r="CR340"/>
      <c r="CU340"/>
      <c r="CV340"/>
      <c r="CW340"/>
      <c r="CX340"/>
      <c r="CY340"/>
      <c r="CZ340"/>
      <c r="DA340"/>
      <c r="DC340"/>
      <c r="DD340"/>
      <c r="DE340"/>
      <c r="DF340"/>
      <c r="DG340"/>
      <c r="DH340"/>
      <c r="DJ340"/>
      <c r="DK340"/>
      <c r="DL340"/>
      <c r="DM340"/>
      <c r="DN340"/>
      <c r="DO340"/>
      <c r="DQ340"/>
      <c r="DR340"/>
      <c r="DS340"/>
      <c r="DT340"/>
      <c r="DU340"/>
      <c r="DV340"/>
      <c r="DX340"/>
      <c r="DY340"/>
      <c r="DZ340"/>
      <c r="EA340"/>
      <c r="EB340"/>
      <c r="EC340"/>
      <c r="EE340"/>
      <c r="EF340"/>
      <c r="EG340"/>
      <c r="EH340"/>
      <c r="EI340"/>
      <c r="EJ340"/>
      <c r="EK340"/>
      <c r="EM340"/>
      <c r="EN340"/>
      <c r="EO340"/>
      <c r="EP340"/>
      <c r="EQ340"/>
      <c r="ER340"/>
      <c r="ES340"/>
      <c r="EU340"/>
      <c r="EV340"/>
      <c r="EW340"/>
      <c r="EX340"/>
      <c r="EY340"/>
      <c r="EZ340"/>
      <c r="FA340"/>
      <c r="FC340"/>
      <c r="FD340"/>
      <c r="FE340"/>
      <c r="FF340"/>
      <c r="FG340"/>
      <c r="FH340"/>
      <c r="FI340"/>
      <c r="FK340"/>
      <c r="FL340"/>
      <c r="FM340"/>
      <c r="FN340"/>
      <c r="FO340"/>
      <c r="FP340"/>
      <c r="FQ340"/>
      <c r="FS340"/>
      <c r="FT340"/>
      <c r="FU340"/>
      <c r="FV340"/>
      <c r="FW340"/>
      <c r="FX340"/>
      <c r="FY340"/>
      <c r="GA340"/>
      <c r="GB340"/>
      <c r="GC340"/>
      <c r="GD340"/>
      <c r="GE340"/>
      <c r="GF340"/>
      <c r="GG340"/>
      <c r="GI340"/>
      <c r="GJ340"/>
      <c r="GK340"/>
      <c r="GL340"/>
      <c r="GM340"/>
      <c r="GN340"/>
      <c r="GO340"/>
      <c r="YK340"/>
      <c r="YL340"/>
      <c r="YM340"/>
      <c r="YN340"/>
      <c r="YO340"/>
      <c r="AFI340"/>
      <c r="AFJ340"/>
      <c r="AFK340"/>
      <c r="AFL340"/>
      <c r="AFM340"/>
      <c r="AFN340" s="2" t="e">
        <f>+Tabla578914151634353637383940414243444546474849505152535560626467[[#This Row],[Recuento]]*#REF!</f>
        <v>#REF!</v>
      </c>
      <c r="AFO340" s="36"/>
    </row>
    <row r="341" spans="75:847" x14ac:dyDescent="0.25">
      <c r="BW341"/>
      <c r="BX341"/>
      <c r="BY341"/>
      <c r="BZ341"/>
      <c r="CA341"/>
      <c r="CB341"/>
      <c r="CE341"/>
      <c r="CF341"/>
      <c r="CG341"/>
      <c r="CH341"/>
      <c r="CI341"/>
      <c r="CJ341"/>
      <c r="CK341"/>
      <c r="CM341"/>
      <c r="CN341"/>
      <c r="CO341"/>
      <c r="CP341"/>
      <c r="CQ341"/>
      <c r="CR341"/>
      <c r="CU341"/>
      <c r="CV341"/>
      <c r="CW341"/>
      <c r="CX341"/>
      <c r="CY341"/>
      <c r="CZ341"/>
      <c r="DA341"/>
      <c r="DC341"/>
      <c r="DD341"/>
      <c r="DE341"/>
      <c r="DF341"/>
      <c r="DG341"/>
      <c r="DH341"/>
      <c r="DJ341"/>
      <c r="DK341"/>
      <c r="DL341"/>
      <c r="DM341"/>
      <c r="DN341"/>
      <c r="DO341"/>
      <c r="DQ341"/>
      <c r="DR341"/>
      <c r="DS341"/>
      <c r="DT341"/>
      <c r="DU341"/>
      <c r="DV341"/>
      <c r="DX341"/>
      <c r="DY341"/>
      <c r="DZ341"/>
      <c r="EA341"/>
      <c r="EB341"/>
      <c r="EC341"/>
      <c r="EE341"/>
      <c r="EF341"/>
      <c r="EG341"/>
      <c r="EH341"/>
      <c r="EI341"/>
      <c r="EJ341"/>
      <c r="EK341"/>
      <c r="EM341"/>
      <c r="EN341"/>
      <c r="EO341"/>
      <c r="EP341"/>
      <c r="EQ341"/>
      <c r="ER341"/>
      <c r="ES341"/>
      <c r="EU341"/>
      <c r="EV341"/>
      <c r="EW341"/>
      <c r="EX341"/>
      <c r="EY341"/>
      <c r="EZ341"/>
      <c r="FA341"/>
      <c r="FC341"/>
      <c r="FD341"/>
      <c r="FE341"/>
      <c r="FF341"/>
      <c r="FG341"/>
      <c r="FH341"/>
      <c r="FI341"/>
      <c r="FK341"/>
      <c r="FL341"/>
      <c r="FM341"/>
      <c r="FN341"/>
      <c r="FO341"/>
      <c r="FP341"/>
      <c r="FQ341"/>
      <c r="FS341"/>
      <c r="FT341"/>
      <c r="FU341"/>
      <c r="FV341"/>
      <c r="FW341"/>
      <c r="FX341"/>
      <c r="FY341"/>
      <c r="GA341"/>
      <c r="GB341"/>
      <c r="GC341"/>
      <c r="GD341"/>
      <c r="GE341"/>
      <c r="GF341"/>
      <c r="GG341"/>
      <c r="GI341"/>
      <c r="GJ341"/>
      <c r="GK341"/>
      <c r="GL341"/>
      <c r="GM341"/>
      <c r="GN341"/>
      <c r="GO341"/>
      <c r="YK341"/>
      <c r="YL341"/>
      <c r="YM341"/>
      <c r="YN341"/>
      <c r="YO341"/>
      <c r="AFI341"/>
      <c r="AFJ341"/>
      <c r="AFK341"/>
      <c r="AFL341"/>
      <c r="AFM341"/>
      <c r="AFN341" s="2" t="e">
        <f>+Tabla578914151634353637383940414243444546474849505152535560626467[[#This Row],[Recuento]]*#REF!</f>
        <v>#REF!</v>
      </c>
      <c r="AFO341" s="36"/>
    </row>
    <row r="342" spans="75:847" x14ac:dyDescent="0.25">
      <c r="BW342"/>
      <c r="BX342"/>
      <c r="BY342"/>
      <c r="BZ342"/>
      <c r="CA342"/>
      <c r="CB342"/>
      <c r="CE342"/>
      <c r="CF342"/>
      <c r="CG342"/>
      <c r="CH342"/>
      <c r="CI342"/>
      <c r="CJ342"/>
      <c r="CK342"/>
      <c r="CM342"/>
      <c r="CN342"/>
      <c r="CO342"/>
      <c r="CP342"/>
      <c r="CQ342"/>
      <c r="CR342"/>
      <c r="CU342"/>
      <c r="CV342"/>
      <c r="CW342"/>
      <c r="CX342"/>
      <c r="CY342"/>
      <c r="CZ342"/>
      <c r="DA342"/>
      <c r="DC342"/>
      <c r="DD342"/>
      <c r="DE342"/>
      <c r="DF342"/>
      <c r="DG342"/>
      <c r="DH342"/>
      <c r="DJ342"/>
      <c r="DK342"/>
      <c r="DL342"/>
      <c r="DM342"/>
      <c r="DN342"/>
      <c r="DO342"/>
      <c r="DQ342"/>
      <c r="DR342"/>
      <c r="DS342"/>
      <c r="DT342"/>
      <c r="DU342"/>
      <c r="DV342"/>
      <c r="DX342"/>
      <c r="DY342"/>
      <c r="DZ342"/>
      <c r="EA342"/>
      <c r="EB342"/>
      <c r="EC342"/>
      <c r="EE342"/>
      <c r="EF342"/>
      <c r="EG342"/>
      <c r="EH342"/>
      <c r="EI342"/>
      <c r="EJ342"/>
      <c r="EK342"/>
      <c r="EM342"/>
      <c r="EN342"/>
      <c r="EO342"/>
      <c r="EP342"/>
      <c r="EQ342"/>
      <c r="ER342"/>
      <c r="ES342"/>
      <c r="EU342"/>
      <c r="EV342"/>
      <c r="EW342"/>
      <c r="EX342"/>
      <c r="EY342"/>
      <c r="EZ342"/>
      <c r="FA342"/>
      <c r="FC342"/>
      <c r="FD342"/>
      <c r="FE342"/>
      <c r="FF342"/>
      <c r="FG342"/>
      <c r="FH342"/>
      <c r="FI342"/>
      <c r="FK342"/>
      <c r="FL342"/>
      <c r="FM342"/>
      <c r="FN342"/>
      <c r="FO342"/>
      <c r="FP342"/>
      <c r="FQ342"/>
      <c r="FS342"/>
      <c r="FT342"/>
      <c r="FU342"/>
      <c r="FV342"/>
      <c r="FW342"/>
      <c r="FX342"/>
      <c r="FY342"/>
      <c r="GA342"/>
      <c r="GB342"/>
      <c r="GC342"/>
      <c r="GD342"/>
      <c r="GE342"/>
      <c r="GF342"/>
      <c r="GG342"/>
      <c r="GI342"/>
      <c r="GJ342"/>
      <c r="GK342"/>
      <c r="GL342"/>
      <c r="GM342"/>
      <c r="GN342"/>
      <c r="GO342"/>
      <c r="YK342"/>
      <c r="YL342"/>
      <c r="YM342"/>
      <c r="YN342"/>
      <c r="YO342"/>
      <c r="AFI342"/>
      <c r="AFJ342"/>
      <c r="AFK342"/>
      <c r="AFL342"/>
      <c r="AFM342"/>
      <c r="AFN342" s="2" t="e">
        <f>+Tabla578914151634353637383940414243444546474849505152535560626467[[#This Row],[Recuento]]*#REF!</f>
        <v>#REF!</v>
      </c>
      <c r="AFO342" s="36"/>
    </row>
    <row r="343" spans="75:847" x14ac:dyDescent="0.25">
      <c r="BW343"/>
      <c r="BX343"/>
      <c r="BY343"/>
      <c r="BZ343"/>
      <c r="CA343"/>
      <c r="CB343"/>
      <c r="CE343"/>
      <c r="CF343"/>
      <c r="CG343"/>
      <c r="CH343"/>
      <c r="CI343"/>
      <c r="CJ343"/>
      <c r="CK343"/>
      <c r="CM343"/>
      <c r="CN343"/>
      <c r="CO343"/>
      <c r="CP343"/>
      <c r="CQ343"/>
      <c r="CR343"/>
      <c r="CU343"/>
      <c r="CV343"/>
      <c r="CW343"/>
      <c r="CX343"/>
      <c r="CY343"/>
      <c r="CZ343"/>
      <c r="DA343"/>
      <c r="DC343"/>
      <c r="DD343"/>
      <c r="DE343"/>
      <c r="DF343"/>
      <c r="DG343"/>
      <c r="DH343"/>
      <c r="DJ343"/>
      <c r="DK343"/>
      <c r="DL343"/>
      <c r="DM343"/>
      <c r="DN343"/>
      <c r="DO343"/>
      <c r="DQ343"/>
      <c r="DR343"/>
      <c r="DS343"/>
      <c r="DT343"/>
      <c r="DU343"/>
      <c r="DV343"/>
      <c r="DX343"/>
      <c r="DY343"/>
      <c r="DZ343"/>
      <c r="EA343"/>
      <c r="EB343"/>
      <c r="EC343"/>
      <c r="EE343"/>
      <c r="EF343"/>
      <c r="EG343"/>
      <c r="EH343"/>
      <c r="EI343"/>
      <c r="EJ343"/>
      <c r="EK343"/>
      <c r="EM343"/>
      <c r="EN343"/>
      <c r="EO343"/>
      <c r="EP343"/>
      <c r="EQ343"/>
      <c r="ER343"/>
      <c r="ES343"/>
      <c r="EU343"/>
      <c r="EV343"/>
      <c r="EW343"/>
      <c r="EX343"/>
      <c r="EY343"/>
      <c r="EZ343"/>
      <c r="FA343"/>
      <c r="FC343"/>
      <c r="FD343"/>
      <c r="FE343"/>
      <c r="FF343"/>
      <c r="FG343"/>
      <c r="FH343"/>
      <c r="FI343"/>
      <c r="FK343"/>
      <c r="FL343"/>
      <c r="FM343"/>
      <c r="FN343"/>
      <c r="FO343"/>
      <c r="FP343"/>
      <c r="FQ343"/>
      <c r="FS343"/>
      <c r="FT343"/>
      <c r="FU343"/>
      <c r="FV343"/>
      <c r="FW343"/>
      <c r="FX343"/>
      <c r="FY343"/>
      <c r="GA343"/>
      <c r="GB343"/>
      <c r="GC343"/>
      <c r="GD343"/>
      <c r="GE343"/>
      <c r="GF343"/>
      <c r="GG343"/>
      <c r="GI343"/>
      <c r="GJ343"/>
      <c r="GK343"/>
      <c r="GL343"/>
      <c r="GM343"/>
      <c r="GN343"/>
      <c r="GO343"/>
      <c r="YK343"/>
      <c r="YL343"/>
      <c r="YM343"/>
      <c r="YN343"/>
      <c r="YO343"/>
      <c r="AFI343"/>
      <c r="AFJ343"/>
      <c r="AFK343"/>
      <c r="AFL343"/>
      <c r="AFM343"/>
      <c r="AFN343" s="2" t="e">
        <f>+Tabla578914151634353637383940414243444546474849505152535560626467[[#This Row],[Recuento]]*#REF!</f>
        <v>#REF!</v>
      </c>
      <c r="AFO343" s="36"/>
    </row>
    <row r="344" spans="75:847" x14ac:dyDescent="0.25">
      <c r="BW344"/>
      <c r="BX344"/>
      <c r="BY344"/>
      <c r="BZ344"/>
      <c r="CA344"/>
      <c r="CB344"/>
      <c r="CE344"/>
      <c r="CF344"/>
      <c r="CG344"/>
      <c r="CH344"/>
      <c r="CI344"/>
      <c r="CJ344"/>
      <c r="CK344"/>
      <c r="CM344"/>
      <c r="CN344"/>
      <c r="CO344"/>
      <c r="CP344"/>
      <c r="CQ344"/>
      <c r="CR344"/>
      <c r="CU344"/>
      <c r="CV344"/>
      <c r="CW344"/>
      <c r="CX344"/>
      <c r="CY344"/>
      <c r="CZ344"/>
      <c r="DA344"/>
      <c r="DC344"/>
      <c r="DD344"/>
      <c r="DE344"/>
      <c r="DF344"/>
      <c r="DG344"/>
      <c r="DH344"/>
      <c r="DJ344"/>
      <c r="DK344"/>
      <c r="DL344"/>
      <c r="DM344"/>
      <c r="DN344"/>
      <c r="DO344"/>
      <c r="DQ344"/>
      <c r="DR344"/>
      <c r="DS344"/>
      <c r="DT344"/>
      <c r="DU344"/>
      <c r="DV344"/>
      <c r="DX344"/>
      <c r="DY344"/>
      <c r="DZ344"/>
      <c r="EA344"/>
      <c r="EB344"/>
      <c r="EC344"/>
      <c r="EE344"/>
      <c r="EF344"/>
      <c r="EG344"/>
      <c r="EH344"/>
      <c r="EI344"/>
      <c r="EJ344"/>
      <c r="EK344"/>
      <c r="EM344"/>
      <c r="EN344"/>
      <c r="EO344"/>
      <c r="EP344"/>
      <c r="EQ344"/>
      <c r="ER344"/>
      <c r="ES344"/>
      <c r="EU344"/>
      <c r="EV344"/>
      <c r="EW344"/>
      <c r="EX344"/>
      <c r="EY344"/>
      <c r="EZ344"/>
      <c r="FA344"/>
      <c r="FC344"/>
      <c r="FD344"/>
      <c r="FE344"/>
      <c r="FF344"/>
      <c r="FG344"/>
      <c r="FH344"/>
      <c r="FI344"/>
      <c r="FK344"/>
      <c r="FL344"/>
      <c r="FM344"/>
      <c r="FN344"/>
      <c r="FO344"/>
      <c r="FP344"/>
      <c r="FQ344"/>
      <c r="FS344"/>
      <c r="FT344"/>
      <c r="FU344"/>
      <c r="FV344"/>
      <c r="FW344"/>
      <c r="FX344"/>
      <c r="FY344"/>
      <c r="GA344"/>
      <c r="GB344"/>
      <c r="GC344"/>
      <c r="GD344"/>
      <c r="GE344"/>
      <c r="GF344"/>
      <c r="GG344"/>
      <c r="GI344"/>
      <c r="GJ344"/>
      <c r="GK344"/>
      <c r="GL344"/>
      <c r="GM344"/>
      <c r="GN344"/>
      <c r="GO344"/>
      <c r="YK344"/>
      <c r="YL344"/>
      <c r="YM344"/>
      <c r="YN344"/>
      <c r="YO344"/>
      <c r="AFI344"/>
      <c r="AFJ344"/>
      <c r="AFK344"/>
      <c r="AFL344"/>
      <c r="AFM344"/>
      <c r="AFN344" s="2" t="e">
        <f>+Tabla578914151634353637383940414243444546474849505152535560626467[[#This Row],[Recuento]]*#REF!</f>
        <v>#REF!</v>
      </c>
      <c r="AFO344" s="36"/>
    </row>
    <row r="345" spans="75:847" x14ac:dyDescent="0.25">
      <c r="BW345"/>
      <c r="BX345"/>
      <c r="BY345"/>
      <c r="BZ345"/>
      <c r="CA345"/>
      <c r="CB345"/>
      <c r="CE345"/>
      <c r="CF345"/>
      <c r="CG345"/>
      <c r="CH345"/>
      <c r="CI345"/>
      <c r="CJ345"/>
      <c r="CK345"/>
      <c r="CM345"/>
      <c r="CN345"/>
      <c r="CO345"/>
      <c r="CP345"/>
      <c r="CQ345"/>
      <c r="CR345"/>
      <c r="CU345"/>
      <c r="CV345"/>
      <c r="CW345"/>
      <c r="CX345"/>
      <c r="CY345"/>
      <c r="CZ345"/>
      <c r="DA345"/>
      <c r="DC345"/>
      <c r="DD345"/>
      <c r="DE345"/>
      <c r="DF345"/>
      <c r="DG345"/>
      <c r="DH345"/>
      <c r="DJ345"/>
      <c r="DK345"/>
      <c r="DL345"/>
      <c r="DM345"/>
      <c r="DN345"/>
      <c r="DO345"/>
      <c r="DQ345"/>
      <c r="DR345"/>
      <c r="DS345"/>
      <c r="DT345"/>
      <c r="DU345"/>
      <c r="DV345"/>
      <c r="DX345"/>
      <c r="DY345"/>
      <c r="DZ345"/>
      <c r="EA345"/>
      <c r="EB345"/>
      <c r="EC345"/>
      <c r="EE345"/>
      <c r="EF345"/>
      <c r="EG345"/>
      <c r="EH345"/>
      <c r="EI345"/>
      <c r="EJ345"/>
      <c r="EK345"/>
      <c r="EM345"/>
      <c r="EN345"/>
      <c r="EO345"/>
      <c r="EP345"/>
      <c r="EQ345"/>
      <c r="ER345"/>
      <c r="ES345"/>
      <c r="EU345"/>
      <c r="EV345"/>
      <c r="EW345"/>
      <c r="EX345"/>
      <c r="EY345"/>
      <c r="EZ345"/>
      <c r="FA345"/>
      <c r="FC345"/>
      <c r="FD345"/>
      <c r="FE345"/>
      <c r="FF345"/>
      <c r="FG345"/>
      <c r="FH345"/>
      <c r="FI345"/>
      <c r="FK345"/>
      <c r="FL345"/>
      <c r="FM345"/>
      <c r="FN345"/>
      <c r="FO345"/>
      <c r="FP345"/>
      <c r="FQ345"/>
      <c r="FS345"/>
      <c r="FT345"/>
      <c r="FU345"/>
      <c r="FV345"/>
      <c r="FW345"/>
      <c r="FX345"/>
      <c r="FY345"/>
      <c r="GA345"/>
      <c r="GB345"/>
      <c r="GC345"/>
      <c r="GD345"/>
      <c r="GE345"/>
      <c r="GF345"/>
      <c r="GG345"/>
      <c r="GI345"/>
      <c r="GJ345"/>
      <c r="GK345"/>
      <c r="GL345"/>
      <c r="GM345"/>
      <c r="GN345"/>
      <c r="GO345"/>
      <c r="YK345"/>
      <c r="YL345"/>
      <c r="YM345"/>
      <c r="YN345"/>
      <c r="YO345"/>
      <c r="AFI345"/>
      <c r="AFJ345"/>
      <c r="AFK345"/>
      <c r="AFL345"/>
      <c r="AFM345"/>
      <c r="AFN345" s="2" t="e">
        <f>+Tabla578914151634353637383940414243444546474849505152535560626467[[#This Row],[Recuento]]*#REF!</f>
        <v>#REF!</v>
      </c>
      <c r="AFO345" s="36"/>
    </row>
    <row r="346" spans="75:847" x14ac:dyDescent="0.25">
      <c r="BW346"/>
      <c r="BX346"/>
      <c r="BY346"/>
      <c r="BZ346"/>
      <c r="CA346"/>
      <c r="CB346"/>
      <c r="CE346"/>
      <c r="CF346"/>
      <c r="CG346"/>
      <c r="CH346"/>
      <c r="CI346"/>
      <c r="CJ346"/>
      <c r="CK346"/>
      <c r="CM346"/>
      <c r="CN346"/>
      <c r="CO346"/>
      <c r="CP346"/>
      <c r="CQ346"/>
      <c r="CR346"/>
      <c r="CU346"/>
      <c r="CV346"/>
      <c r="CW346"/>
      <c r="CX346"/>
      <c r="CY346"/>
      <c r="CZ346"/>
      <c r="DA346"/>
      <c r="DC346"/>
      <c r="DD346"/>
      <c r="DE346"/>
      <c r="DF346"/>
      <c r="DG346"/>
      <c r="DH346"/>
      <c r="DJ346"/>
      <c r="DK346"/>
      <c r="DL346"/>
      <c r="DM346"/>
      <c r="DN346"/>
      <c r="DO346"/>
      <c r="DQ346"/>
      <c r="DR346"/>
      <c r="DS346"/>
      <c r="DT346"/>
      <c r="DU346"/>
      <c r="DV346"/>
      <c r="DX346"/>
      <c r="DY346"/>
      <c r="DZ346"/>
      <c r="EA346"/>
      <c r="EB346"/>
      <c r="EC346"/>
      <c r="EE346"/>
      <c r="EF346"/>
      <c r="EG346"/>
      <c r="EH346"/>
      <c r="EI346"/>
      <c r="EJ346"/>
      <c r="EK346"/>
      <c r="EM346"/>
      <c r="EN346"/>
      <c r="EO346"/>
      <c r="EP346"/>
      <c r="EQ346"/>
      <c r="ER346"/>
      <c r="ES346"/>
      <c r="EU346"/>
      <c r="EV346"/>
      <c r="EW346"/>
      <c r="EX346"/>
      <c r="EY346"/>
      <c r="EZ346"/>
      <c r="FA346"/>
      <c r="FC346"/>
      <c r="FD346"/>
      <c r="FE346"/>
      <c r="FF346"/>
      <c r="FG346"/>
      <c r="FH346"/>
      <c r="FI346"/>
      <c r="FK346"/>
      <c r="FL346"/>
      <c r="FM346"/>
      <c r="FN346"/>
      <c r="FO346"/>
      <c r="FP346"/>
      <c r="FQ346"/>
      <c r="FS346"/>
      <c r="FT346"/>
      <c r="FU346"/>
      <c r="FV346"/>
      <c r="FW346"/>
      <c r="FX346"/>
      <c r="FY346"/>
      <c r="GA346"/>
      <c r="GB346"/>
      <c r="GC346"/>
      <c r="GD346"/>
      <c r="GE346"/>
      <c r="GF346"/>
      <c r="GG346"/>
      <c r="GI346"/>
      <c r="GJ346"/>
      <c r="GK346"/>
      <c r="GL346"/>
      <c r="GM346"/>
      <c r="GN346"/>
      <c r="GO346"/>
      <c r="YK346"/>
      <c r="YL346"/>
      <c r="YM346"/>
      <c r="YN346"/>
      <c r="YO346"/>
      <c r="AFI346"/>
      <c r="AFJ346"/>
      <c r="AFK346"/>
      <c r="AFL346"/>
      <c r="AFM346"/>
      <c r="AFN346" s="2" t="e">
        <f>+Tabla578914151634353637383940414243444546474849505152535560626467[[#This Row],[Recuento]]*#REF!</f>
        <v>#REF!</v>
      </c>
      <c r="AFO346" s="36"/>
    </row>
    <row r="347" spans="75:847" x14ac:dyDescent="0.25">
      <c r="BW347"/>
      <c r="BX347"/>
      <c r="BY347"/>
      <c r="BZ347"/>
      <c r="CA347"/>
      <c r="CB347"/>
      <c r="CE347"/>
      <c r="CF347"/>
      <c r="CG347"/>
      <c r="CH347"/>
      <c r="CI347"/>
      <c r="CJ347"/>
      <c r="CK347"/>
      <c r="CM347"/>
      <c r="CN347"/>
      <c r="CO347"/>
      <c r="CP347"/>
      <c r="CQ347"/>
      <c r="CR347"/>
      <c r="CU347"/>
      <c r="CV347"/>
      <c r="CW347"/>
      <c r="CX347"/>
      <c r="CY347"/>
      <c r="CZ347"/>
      <c r="DA347"/>
      <c r="DC347"/>
      <c r="DD347"/>
      <c r="DE347"/>
      <c r="DF347"/>
      <c r="DG347"/>
      <c r="DH347"/>
      <c r="DJ347"/>
      <c r="DK347"/>
      <c r="DL347"/>
      <c r="DM347"/>
      <c r="DN347"/>
      <c r="DO347"/>
      <c r="DQ347"/>
      <c r="DR347"/>
      <c r="DS347"/>
      <c r="DT347"/>
      <c r="DU347"/>
      <c r="DV347"/>
      <c r="DX347"/>
      <c r="DY347"/>
      <c r="DZ347"/>
      <c r="EA347"/>
      <c r="EB347"/>
      <c r="EC347"/>
      <c r="EE347"/>
      <c r="EF347"/>
      <c r="EG347"/>
      <c r="EH347"/>
      <c r="EI347"/>
      <c r="EJ347"/>
      <c r="EK347"/>
      <c r="EM347"/>
      <c r="EN347"/>
      <c r="EO347"/>
      <c r="EP347"/>
      <c r="EQ347"/>
      <c r="ER347"/>
      <c r="ES347"/>
      <c r="EU347"/>
      <c r="EV347"/>
      <c r="EW347"/>
      <c r="EX347"/>
      <c r="EY347"/>
      <c r="EZ347"/>
      <c r="FA347"/>
      <c r="FC347"/>
      <c r="FD347"/>
      <c r="FE347"/>
      <c r="FF347"/>
      <c r="FG347"/>
      <c r="FH347"/>
      <c r="FI347"/>
      <c r="FK347"/>
      <c r="FL347"/>
      <c r="FM347"/>
      <c r="FN347"/>
      <c r="FO347"/>
      <c r="FP347"/>
      <c r="FQ347"/>
      <c r="FS347"/>
      <c r="FT347"/>
      <c r="FU347"/>
      <c r="FV347"/>
      <c r="FW347"/>
      <c r="FX347"/>
      <c r="FY347"/>
      <c r="GA347"/>
      <c r="GB347"/>
      <c r="GC347"/>
      <c r="GD347"/>
      <c r="GE347"/>
      <c r="GF347"/>
      <c r="GG347"/>
      <c r="GI347"/>
      <c r="GJ347"/>
      <c r="GK347"/>
      <c r="GL347"/>
      <c r="GM347"/>
      <c r="GN347"/>
      <c r="GO347"/>
      <c r="YK347"/>
      <c r="YL347"/>
      <c r="YM347"/>
      <c r="YN347"/>
      <c r="YO347"/>
      <c r="AFI347"/>
      <c r="AFJ347"/>
      <c r="AFK347"/>
      <c r="AFL347"/>
      <c r="AFM347"/>
      <c r="AFN347" s="2" t="e">
        <f>+Tabla578914151634353637383940414243444546474849505152535560626467[[#This Row],[Recuento]]*#REF!</f>
        <v>#REF!</v>
      </c>
      <c r="AFO347" s="36"/>
    </row>
    <row r="348" spans="75:847" x14ac:dyDescent="0.25">
      <c r="BW348"/>
      <c r="BX348"/>
      <c r="BY348"/>
      <c r="BZ348"/>
      <c r="CA348"/>
      <c r="CB348"/>
      <c r="CE348"/>
      <c r="CF348"/>
      <c r="CG348"/>
      <c r="CH348"/>
      <c r="CI348"/>
      <c r="CJ348"/>
      <c r="CK348"/>
      <c r="CM348"/>
      <c r="CN348"/>
      <c r="CO348"/>
      <c r="CP348"/>
      <c r="CQ348"/>
      <c r="CR348"/>
      <c r="CU348"/>
      <c r="CV348"/>
      <c r="CW348"/>
      <c r="CX348"/>
      <c r="CY348"/>
      <c r="CZ348"/>
      <c r="DA348"/>
      <c r="DC348"/>
      <c r="DD348"/>
      <c r="DE348"/>
      <c r="DF348"/>
      <c r="DG348"/>
      <c r="DH348"/>
      <c r="DJ348"/>
      <c r="DK348"/>
      <c r="DL348"/>
      <c r="DM348"/>
      <c r="DN348"/>
      <c r="DO348"/>
      <c r="DQ348"/>
      <c r="DR348"/>
      <c r="DS348"/>
      <c r="DT348"/>
      <c r="DU348"/>
      <c r="DV348"/>
      <c r="DX348"/>
      <c r="DY348"/>
      <c r="DZ348"/>
      <c r="EA348"/>
      <c r="EB348"/>
      <c r="EC348"/>
      <c r="EE348"/>
      <c r="EF348"/>
      <c r="EG348"/>
      <c r="EH348"/>
      <c r="EI348"/>
      <c r="EJ348"/>
      <c r="EK348"/>
      <c r="EM348"/>
      <c r="EN348"/>
      <c r="EO348"/>
      <c r="EP348"/>
      <c r="EQ348"/>
      <c r="ER348"/>
      <c r="ES348"/>
      <c r="EU348"/>
      <c r="EV348"/>
      <c r="EW348"/>
      <c r="EX348"/>
      <c r="EY348"/>
      <c r="EZ348"/>
      <c r="FA348"/>
      <c r="FC348"/>
      <c r="FD348"/>
      <c r="FE348"/>
      <c r="FF348"/>
      <c r="FG348"/>
      <c r="FH348"/>
      <c r="FI348"/>
      <c r="FK348"/>
      <c r="FL348"/>
      <c r="FM348"/>
      <c r="FN348"/>
      <c r="FO348"/>
      <c r="FP348"/>
      <c r="FQ348"/>
      <c r="FS348"/>
      <c r="FT348"/>
      <c r="FU348"/>
      <c r="FV348"/>
      <c r="FW348"/>
      <c r="FX348"/>
      <c r="FY348"/>
      <c r="GA348"/>
      <c r="GB348"/>
      <c r="GC348"/>
      <c r="GD348"/>
      <c r="GE348"/>
      <c r="GF348"/>
      <c r="GG348"/>
      <c r="GI348"/>
      <c r="GJ348"/>
      <c r="GK348"/>
      <c r="GL348"/>
      <c r="GM348"/>
      <c r="GN348"/>
      <c r="GO348"/>
      <c r="YK348"/>
      <c r="YL348"/>
      <c r="YM348"/>
      <c r="YN348"/>
      <c r="YO348"/>
      <c r="AFI348"/>
      <c r="AFJ348"/>
      <c r="AFK348"/>
      <c r="AFL348"/>
      <c r="AFM348"/>
      <c r="AFN348" s="2" t="e">
        <f>+Tabla578914151634353637383940414243444546474849505152535560626467[[#This Row],[Recuento]]*#REF!</f>
        <v>#REF!</v>
      </c>
      <c r="AFO348" s="36"/>
    </row>
    <row r="349" spans="75:847" x14ac:dyDescent="0.25">
      <c r="BW349"/>
      <c r="BX349"/>
      <c r="BY349"/>
      <c r="BZ349"/>
      <c r="CA349"/>
      <c r="CB349"/>
      <c r="CE349"/>
      <c r="CF349"/>
      <c r="CG349"/>
      <c r="CH349"/>
      <c r="CI349"/>
      <c r="CJ349"/>
      <c r="CK349"/>
      <c r="CM349"/>
      <c r="CN349"/>
      <c r="CO349"/>
      <c r="CP349"/>
      <c r="CQ349"/>
      <c r="CR349"/>
      <c r="CU349"/>
      <c r="CV349"/>
      <c r="CW349"/>
      <c r="CX349"/>
      <c r="CY349"/>
      <c r="CZ349"/>
      <c r="DA349"/>
      <c r="DC349"/>
      <c r="DD349"/>
      <c r="DE349"/>
      <c r="DF349"/>
      <c r="DG349"/>
      <c r="DH349"/>
      <c r="DJ349"/>
      <c r="DK349"/>
      <c r="DL349"/>
      <c r="DM349"/>
      <c r="DN349"/>
      <c r="DO349"/>
      <c r="DQ349"/>
      <c r="DR349"/>
      <c r="DS349"/>
      <c r="DT349"/>
      <c r="DU349"/>
      <c r="DV349"/>
      <c r="DX349"/>
      <c r="DY349"/>
      <c r="DZ349"/>
      <c r="EA349"/>
      <c r="EB349"/>
      <c r="EC349"/>
      <c r="EE349"/>
      <c r="EF349"/>
      <c r="EG349"/>
      <c r="EH349"/>
      <c r="EI349"/>
      <c r="EJ349"/>
      <c r="EK349"/>
      <c r="EM349"/>
      <c r="EN349"/>
      <c r="EO349"/>
      <c r="EP349"/>
      <c r="EQ349"/>
      <c r="ER349"/>
      <c r="ES349"/>
      <c r="EU349"/>
      <c r="EV349"/>
      <c r="EW349"/>
      <c r="EX349"/>
      <c r="EY349"/>
      <c r="EZ349"/>
      <c r="FA349"/>
      <c r="FC349"/>
      <c r="FD349"/>
      <c r="FE349"/>
      <c r="FF349"/>
      <c r="FG349"/>
      <c r="FH349"/>
      <c r="FI349"/>
      <c r="FK349"/>
      <c r="FL349"/>
      <c r="FM349"/>
      <c r="FN349"/>
      <c r="FO349"/>
      <c r="FP349"/>
      <c r="FQ349"/>
      <c r="FS349"/>
      <c r="FT349"/>
      <c r="FU349"/>
      <c r="FV349"/>
      <c r="FW349"/>
      <c r="FX349"/>
      <c r="FY349"/>
      <c r="GA349"/>
      <c r="GB349"/>
      <c r="GC349"/>
      <c r="GD349"/>
      <c r="GE349"/>
      <c r="GF349"/>
      <c r="GG349"/>
      <c r="GI349"/>
      <c r="GJ349"/>
      <c r="GK349"/>
      <c r="GL349"/>
      <c r="GM349"/>
      <c r="GN349"/>
      <c r="GO349"/>
      <c r="YK349"/>
      <c r="YL349"/>
      <c r="YM349"/>
      <c r="YN349"/>
      <c r="YO349"/>
      <c r="AFI349"/>
      <c r="AFJ349"/>
      <c r="AFK349"/>
      <c r="AFL349"/>
      <c r="AFM349"/>
      <c r="AFN349" s="2" t="e">
        <f>+Tabla578914151634353637383940414243444546474849505152535560626467[[#This Row],[Recuento]]*#REF!</f>
        <v>#REF!</v>
      </c>
      <c r="AFO349" s="36"/>
    </row>
    <row r="350" spans="75:847" x14ac:dyDescent="0.25">
      <c r="BW350"/>
      <c r="BX350"/>
      <c r="BY350"/>
      <c r="BZ350"/>
      <c r="CA350"/>
      <c r="CB350"/>
      <c r="CE350"/>
      <c r="CF350"/>
      <c r="CG350"/>
      <c r="CH350"/>
      <c r="CI350"/>
      <c r="CJ350"/>
      <c r="CK350"/>
      <c r="CM350"/>
      <c r="CN350"/>
      <c r="CO350"/>
      <c r="CP350"/>
      <c r="CQ350"/>
      <c r="CR350"/>
      <c r="CU350"/>
      <c r="CV350"/>
      <c r="CW350"/>
      <c r="CX350"/>
      <c r="CY350"/>
      <c r="CZ350"/>
      <c r="DA350"/>
      <c r="DC350"/>
      <c r="DD350"/>
      <c r="DE350"/>
      <c r="DF350"/>
      <c r="DG350"/>
      <c r="DH350"/>
      <c r="DJ350"/>
      <c r="DK350"/>
      <c r="DL350"/>
      <c r="DM350"/>
      <c r="DN350"/>
      <c r="DO350"/>
      <c r="DQ350"/>
      <c r="DR350"/>
      <c r="DS350"/>
      <c r="DT350"/>
      <c r="DU350"/>
      <c r="DV350"/>
      <c r="DX350"/>
      <c r="DY350"/>
      <c r="DZ350"/>
      <c r="EA350"/>
      <c r="EB350"/>
      <c r="EC350"/>
      <c r="EE350"/>
      <c r="EF350"/>
      <c r="EG350"/>
      <c r="EH350"/>
      <c r="EI350"/>
      <c r="EJ350"/>
      <c r="EK350"/>
      <c r="EM350"/>
      <c r="EN350"/>
      <c r="EO350"/>
      <c r="EP350"/>
      <c r="EQ350"/>
      <c r="ER350"/>
      <c r="ES350"/>
      <c r="EU350"/>
      <c r="EV350"/>
      <c r="EW350"/>
      <c r="EX350"/>
      <c r="EY350"/>
      <c r="EZ350"/>
      <c r="FA350"/>
      <c r="FC350"/>
      <c r="FD350"/>
      <c r="FE350"/>
      <c r="FF350"/>
      <c r="FG350"/>
      <c r="FH350"/>
      <c r="FI350"/>
      <c r="FK350"/>
      <c r="FL350"/>
      <c r="FM350"/>
      <c r="FN350"/>
      <c r="FO350"/>
      <c r="FP350"/>
      <c r="FQ350"/>
      <c r="FS350"/>
      <c r="FT350"/>
      <c r="FU350"/>
      <c r="FV350"/>
      <c r="FW350"/>
      <c r="FX350"/>
      <c r="FY350"/>
      <c r="GA350"/>
      <c r="GB350"/>
      <c r="GC350"/>
      <c r="GD350"/>
      <c r="GE350"/>
      <c r="GF350"/>
      <c r="GG350"/>
      <c r="GI350"/>
      <c r="GJ350"/>
      <c r="GK350"/>
      <c r="GL350"/>
      <c r="GM350"/>
      <c r="GN350"/>
      <c r="GO350"/>
      <c r="YK350"/>
      <c r="YL350"/>
      <c r="YM350"/>
      <c r="YN350"/>
      <c r="YO350"/>
      <c r="AFI350"/>
      <c r="AFJ350"/>
      <c r="AFK350"/>
      <c r="AFL350"/>
      <c r="AFM350"/>
      <c r="AFN350" s="2" t="e">
        <f>+Tabla578914151634353637383940414243444546474849505152535560626467[[#This Row],[Recuento]]*#REF!</f>
        <v>#REF!</v>
      </c>
      <c r="AFO350" s="36"/>
    </row>
    <row r="351" spans="75:847" x14ac:dyDescent="0.25">
      <c r="BW351"/>
      <c r="BX351"/>
      <c r="BY351"/>
      <c r="BZ351"/>
      <c r="CA351"/>
      <c r="CB351"/>
      <c r="CE351"/>
      <c r="CF351"/>
      <c r="CG351"/>
      <c r="CH351"/>
      <c r="CI351"/>
      <c r="CJ351"/>
      <c r="CK351"/>
      <c r="CM351"/>
      <c r="CN351"/>
      <c r="CO351"/>
      <c r="CP351"/>
      <c r="CQ351"/>
      <c r="CR351"/>
      <c r="CU351"/>
      <c r="CV351"/>
      <c r="CW351"/>
      <c r="CX351"/>
      <c r="CY351"/>
      <c r="CZ351"/>
      <c r="DA351"/>
      <c r="DC351"/>
      <c r="DD351"/>
      <c r="DE351"/>
      <c r="DF351"/>
      <c r="DG351"/>
      <c r="DH351"/>
      <c r="DJ351"/>
      <c r="DK351"/>
      <c r="DL351"/>
      <c r="DM351"/>
      <c r="DN351"/>
      <c r="DO351"/>
      <c r="DQ351"/>
      <c r="DR351"/>
      <c r="DS351"/>
      <c r="DT351"/>
      <c r="DU351"/>
      <c r="DV351"/>
      <c r="DX351"/>
      <c r="DY351"/>
      <c r="DZ351"/>
      <c r="EA351"/>
      <c r="EB351"/>
      <c r="EC351"/>
      <c r="EE351"/>
      <c r="EF351"/>
      <c r="EG351"/>
      <c r="EH351"/>
      <c r="EI351"/>
      <c r="EJ351"/>
      <c r="EK351"/>
      <c r="EM351"/>
      <c r="EN351"/>
      <c r="EO351"/>
      <c r="EP351"/>
      <c r="EQ351"/>
      <c r="ER351"/>
      <c r="ES351"/>
      <c r="EU351"/>
      <c r="EV351"/>
      <c r="EW351"/>
      <c r="EX351"/>
      <c r="EY351"/>
      <c r="EZ351"/>
      <c r="FA351"/>
      <c r="FC351"/>
      <c r="FD351"/>
      <c r="FE351"/>
      <c r="FF351"/>
      <c r="FG351"/>
      <c r="FH351"/>
      <c r="FI351"/>
      <c r="FK351"/>
      <c r="FL351"/>
      <c r="FM351"/>
      <c r="FN351"/>
      <c r="FO351"/>
      <c r="FP351"/>
      <c r="FQ351"/>
      <c r="FS351"/>
      <c r="FT351"/>
      <c r="FU351"/>
      <c r="FV351"/>
      <c r="FW351"/>
      <c r="FX351"/>
      <c r="FY351"/>
      <c r="GA351"/>
      <c r="GB351"/>
      <c r="GC351"/>
      <c r="GD351"/>
      <c r="GE351"/>
      <c r="GF351"/>
      <c r="GG351"/>
      <c r="GI351"/>
      <c r="GJ351"/>
      <c r="GK351"/>
      <c r="GL351"/>
      <c r="GM351"/>
      <c r="GN351"/>
      <c r="GO351"/>
      <c r="YK351"/>
      <c r="YL351"/>
      <c r="YM351"/>
      <c r="YN351"/>
      <c r="YO351"/>
      <c r="AFI351"/>
      <c r="AFJ351"/>
      <c r="AFK351"/>
      <c r="AFL351"/>
      <c r="AFM351"/>
      <c r="AFN351" s="2" t="e">
        <f>+Tabla578914151634353637383940414243444546474849505152535560626467[[#This Row],[Recuento]]*#REF!</f>
        <v>#REF!</v>
      </c>
      <c r="AFO351" s="36"/>
    </row>
    <row r="352" spans="75:847" x14ac:dyDescent="0.25">
      <c r="BW352"/>
      <c r="BX352"/>
      <c r="BY352"/>
      <c r="BZ352"/>
      <c r="CA352"/>
      <c r="CB352"/>
      <c r="CE352"/>
      <c r="CF352"/>
      <c r="CG352"/>
      <c r="CH352"/>
      <c r="CI352"/>
      <c r="CJ352"/>
      <c r="CK352"/>
      <c r="CM352"/>
      <c r="CN352"/>
      <c r="CO352"/>
      <c r="CP352"/>
      <c r="CQ352"/>
      <c r="CR352"/>
      <c r="CU352"/>
      <c r="CV352"/>
      <c r="CW352"/>
      <c r="CX352"/>
      <c r="CY352"/>
      <c r="CZ352"/>
      <c r="DA352"/>
      <c r="DC352"/>
      <c r="DD352"/>
      <c r="DE352"/>
      <c r="DF352"/>
      <c r="DG352"/>
      <c r="DH352"/>
      <c r="DJ352"/>
      <c r="DK352"/>
      <c r="DL352"/>
      <c r="DM352"/>
      <c r="DN352"/>
      <c r="DO352"/>
      <c r="DQ352"/>
      <c r="DR352"/>
      <c r="DS352"/>
      <c r="DT352"/>
      <c r="DU352"/>
      <c r="DV352"/>
      <c r="DX352"/>
      <c r="DY352"/>
      <c r="DZ352"/>
      <c r="EA352"/>
      <c r="EB352"/>
      <c r="EC352"/>
      <c r="EE352"/>
      <c r="EF352"/>
      <c r="EG352"/>
      <c r="EH352"/>
      <c r="EI352"/>
      <c r="EJ352"/>
      <c r="EK352"/>
      <c r="EM352"/>
      <c r="EN352"/>
      <c r="EO352"/>
      <c r="EP352"/>
      <c r="EQ352"/>
      <c r="ER352"/>
      <c r="ES352"/>
      <c r="EU352"/>
      <c r="EV352"/>
      <c r="EW352"/>
      <c r="EX352"/>
      <c r="EY352"/>
      <c r="EZ352"/>
      <c r="FA352"/>
      <c r="FC352"/>
      <c r="FD352"/>
      <c r="FE352"/>
      <c r="FF352"/>
      <c r="FG352"/>
      <c r="FH352"/>
      <c r="FI352"/>
      <c r="FK352"/>
      <c r="FL352"/>
      <c r="FM352"/>
      <c r="FN352"/>
      <c r="FO352"/>
      <c r="FP352"/>
      <c r="FQ352"/>
      <c r="FS352"/>
      <c r="FT352"/>
      <c r="FU352"/>
      <c r="FV352"/>
      <c r="FW352"/>
      <c r="FX352"/>
      <c r="FY352"/>
      <c r="GA352"/>
      <c r="GB352"/>
      <c r="GC352"/>
      <c r="GD352"/>
      <c r="GE352"/>
      <c r="GF352"/>
      <c r="GG352"/>
      <c r="GI352"/>
      <c r="GJ352"/>
      <c r="GK352"/>
      <c r="GL352"/>
      <c r="GM352"/>
      <c r="GN352"/>
      <c r="GO352"/>
      <c r="YK352"/>
      <c r="YL352"/>
      <c r="YM352"/>
      <c r="YN352"/>
      <c r="YO352"/>
      <c r="AFI352"/>
      <c r="AFJ352"/>
      <c r="AFK352"/>
      <c r="AFL352"/>
      <c r="AFM352"/>
      <c r="AFN352" s="2" t="e">
        <f>+Tabla578914151634353637383940414243444546474849505152535560626467[[#This Row],[Recuento]]*#REF!</f>
        <v>#REF!</v>
      </c>
      <c r="AFO352" s="36"/>
    </row>
    <row r="353" spans="75:847" x14ac:dyDescent="0.25">
      <c r="BW353"/>
      <c r="BX353"/>
      <c r="BY353"/>
      <c r="BZ353"/>
      <c r="CA353"/>
      <c r="CB353"/>
      <c r="CE353"/>
      <c r="CF353"/>
      <c r="CG353"/>
      <c r="CH353"/>
      <c r="CI353"/>
      <c r="CJ353"/>
      <c r="CK353"/>
      <c r="CM353"/>
      <c r="CN353"/>
      <c r="CO353"/>
      <c r="CP353"/>
      <c r="CQ353"/>
      <c r="CR353"/>
      <c r="CU353"/>
      <c r="CV353"/>
      <c r="CW353"/>
      <c r="CX353"/>
      <c r="CY353"/>
      <c r="CZ353"/>
      <c r="DA353"/>
      <c r="DC353"/>
      <c r="DD353"/>
      <c r="DE353"/>
      <c r="DF353"/>
      <c r="DG353"/>
      <c r="DH353"/>
      <c r="DJ353"/>
      <c r="DK353"/>
      <c r="DL353"/>
      <c r="DM353"/>
      <c r="DN353"/>
      <c r="DO353"/>
      <c r="DQ353"/>
      <c r="DR353"/>
      <c r="DS353"/>
      <c r="DT353"/>
      <c r="DU353"/>
      <c r="DV353"/>
      <c r="DX353"/>
      <c r="DY353"/>
      <c r="DZ353"/>
      <c r="EA353"/>
      <c r="EB353"/>
      <c r="EC353"/>
      <c r="EE353"/>
      <c r="EF353"/>
      <c r="EG353"/>
      <c r="EH353"/>
      <c r="EI353"/>
      <c r="EJ353"/>
      <c r="EK353"/>
      <c r="EM353"/>
      <c r="EN353"/>
      <c r="EO353"/>
      <c r="EP353"/>
      <c r="EQ353"/>
      <c r="ER353"/>
      <c r="ES353"/>
      <c r="EU353"/>
      <c r="EV353"/>
      <c r="EW353"/>
      <c r="EX353"/>
      <c r="EY353"/>
      <c r="EZ353"/>
      <c r="FA353"/>
      <c r="FC353"/>
      <c r="FD353"/>
      <c r="FE353"/>
      <c r="FF353"/>
      <c r="FG353"/>
      <c r="FH353"/>
      <c r="FI353"/>
      <c r="FK353"/>
      <c r="FL353"/>
      <c r="FM353"/>
      <c r="FN353"/>
      <c r="FO353"/>
      <c r="FP353"/>
      <c r="FQ353"/>
      <c r="FS353"/>
      <c r="FT353"/>
      <c r="FU353"/>
      <c r="FV353"/>
      <c r="FW353"/>
      <c r="FX353"/>
      <c r="FY353"/>
      <c r="GA353"/>
      <c r="GB353"/>
      <c r="GC353"/>
      <c r="GD353"/>
      <c r="GE353"/>
      <c r="GF353"/>
      <c r="GG353"/>
      <c r="GI353"/>
      <c r="GJ353"/>
      <c r="GK353"/>
      <c r="GL353"/>
      <c r="GM353"/>
      <c r="GN353"/>
      <c r="GO353"/>
      <c r="YK353"/>
      <c r="YL353"/>
      <c r="YM353"/>
      <c r="YN353"/>
      <c r="YO353"/>
      <c r="AFI353"/>
      <c r="AFJ353"/>
      <c r="AFK353"/>
      <c r="AFL353"/>
      <c r="AFM353"/>
      <c r="AFN353" s="2" t="e">
        <f>+Tabla578914151634353637383940414243444546474849505152535560626467[[#This Row],[Recuento]]*#REF!</f>
        <v>#REF!</v>
      </c>
      <c r="AFO353" s="36"/>
    </row>
    <row r="354" spans="75:847" x14ac:dyDescent="0.25">
      <c r="BW354"/>
      <c r="BX354"/>
      <c r="BY354"/>
      <c r="BZ354"/>
      <c r="CA354"/>
      <c r="CB354"/>
      <c r="CE354"/>
      <c r="CF354"/>
      <c r="CG354"/>
      <c r="CH354"/>
      <c r="CI354"/>
      <c r="CJ354"/>
      <c r="CK354"/>
      <c r="CM354"/>
      <c r="CN354"/>
      <c r="CO354"/>
      <c r="CP354"/>
      <c r="CQ354"/>
      <c r="CR354"/>
      <c r="CU354"/>
      <c r="CV354"/>
      <c r="CW354"/>
      <c r="CX354"/>
      <c r="CY354"/>
      <c r="CZ354"/>
      <c r="DA354"/>
      <c r="DC354"/>
      <c r="DD354"/>
      <c r="DE354"/>
      <c r="DF354"/>
      <c r="DG354"/>
      <c r="DH354"/>
      <c r="DJ354"/>
      <c r="DK354"/>
      <c r="DL354"/>
      <c r="DM354"/>
      <c r="DN354"/>
      <c r="DO354"/>
      <c r="DQ354"/>
      <c r="DR354"/>
      <c r="DS354"/>
      <c r="DT354"/>
      <c r="DU354"/>
      <c r="DV354"/>
      <c r="DX354"/>
      <c r="DY354"/>
      <c r="DZ354"/>
      <c r="EA354"/>
      <c r="EB354"/>
      <c r="EC354"/>
      <c r="EE354"/>
      <c r="EF354"/>
      <c r="EG354"/>
      <c r="EH354"/>
      <c r="EI354"/>
      <c r="EJ354"/>
      <c r="EK354"/>
      <c r="EM354"/>
      <c r="EN354"/>
      <c r="EO354"/>
      <c r="EP354"/>
      <c r="EQ354"/>
      <c r="ER354"/>
      <c r="ES354"/>
      <c r="EU354"/>
      <c r="EV354"/>
      <c r="EW354"/>
      <c r="EX354"/>
      <c r="EY354"/>
      <c r="EZ354"/>
      <c r="FA354"/>
      <c r="FC354"/>
      <c r="FD354"/>
      <c r="FE354"/>
      <c r="FF354"/>
      <c r="FG354"/>
      <c r="FH354"/>
      <c r="FI354"/>
      <c r="FK354"/>
      <c r="FL354"/>
      <c r="FM354"/>
      <c r="FN354"/>
      <c r="FO354"/>
      <c r="FP354"/>
      <c r="FQ354"/>
      <c r="FS354"/>
      <c r="FT354"/>
      <c r="FU354"/>
      <c r="FV354"/>
      <c r="FW354"/>
      <c r="FX354"/>
      <c r="FY354"/>
      <c r="GA354"/>
      <c r="GB354"/>
      <c r="GC354"/>
      <c r="GD354"/>
      <c r="GE354"/>
      <c r="GF354"/>
      <c r="GG354"/>
      <c r="GI354"/>
      <c r="GJ354"/>
      <c r="GK354"/>
      <c r="GL354"/>
      <c r="GM354"/>
      <c r="GN354"/>
      <c r="GO354"/>
      <c r="YK354"/>
      <c r="YL354"/>
      <c r="YM354"/>
      <c r="YN354"/>
      <c r="YO354"/>
      <c r="AFI354"/>
      <c r="AFJ354"/>
      <c r="AFK354"/>
      <c r="AFL354"/>
      <c r="AFM354"/>
      <c r="AFN354" s="2" t="e">
        <f>+Tabla578914151634353637383940414243444546474849505152535560626467[[#This Row],[Recuento]]*#REF!</f>
        <v>#REF!</v>
      </c>
      <c r="AFO354" s="36"/>
    </row>
    <row r="355" spans="75:847" x14ac:dyDescent="0.25">
      <c r="BW355"/>
      <c r="BX355"/>
      <c r="BY355"/>
      <c r="BZ355"/>
      <c r="CA355"/>
      <c r="CB355"/>
      <c r="CE355"/>
      <c r="CF355"/>
      <c r="CG355"/>
      <c r="CH355"/>
      <c r="CI355"/>
      <c r="CJ355"/>
      <c r="CK355"/>
      <c r="CM355"/>
      <c r="CN355"/>
      <c r="CO355"/>
      <c r="CP355"/>
      <c r="CQ355"/>
      <c r="CR355"/>
      <c r="CU355"/>
      <c r="CV355"/>
      <c r="CW355"/>
      <c r="CX355"/>
      <c r="CY355"/>
      <c r="CZ355"/>
      <c r="DA355"/>
      <c r="DC355"/>
      <c r="DD355"/>
      <c r="DE355"/>
      <c r="DF355"/>
      <c r="DG355"/>
      <c r="DH355"/>
      <c r="DJ355"/>
      <c r="DK355"/>
      <c r="DL355"/>
      <c r="DM355"/>
      <c r="DN355"/>
      <c r="DO355"/>
      <c r="DQ355"/>
      <c r="DR355"/>
      <c r="DS355"/>
      <c r="DT355"/>
      <c r="DU355"/>
      <c r="DV355"/>
      <c r="DX355"/>
      <c r="DY355"/>
      <c r="DZ355"/>
      <c r="EA355"/>
      <c r="EB355"/>
      <c r="EC355"/>
      <c r="EE355"/>
      <c r="EF355"/>
      <c r="EG355"/>
      <c r="EH355"/>
      <c r="EI355"/>
      <c r="EJ355"/>
      <c r="EK355"/>
      <c r="EM355"/>
      <c r="EN355"/>
      <c r="EO355"/>
      <c r="EP355"/>
      <c r="EQ355"/>
      <c r="ER355"/>
      <c r="ES355"/>
      <c r="EU355"/>
      <c r="EV355"/>
      <c r="EW355"/>
      <c r="EX355"/>
      <c r="EY355"/>
      <c r="EZ355"/>
      <c r="FA355"/>
      <c r="FC355"/>
      <c r="FD355"/>
      <c r="FE355"/>
      <c r="FF355"/>
      <c r="FG355"/>
      <c r="FH355"/>
      <c r="FI355"/>
      <c r="FK355"/>
      <c r="FL355"/>
      <c r="FM355"/>
      <c r="FN355"/>
      <c r="FO355"/>
      <c r="FP355"/>
      <c r="FQ355"/>
      <c r="FS355"/>
      <c r="FT355"/>
      <c r="FU355"/>
      <c r="FV355"/>
      <c r="FW355"/>
      <c r="FX355"/>
      <c r="FY355"/>
      <c r="GA355"/>
      <c r="GB355"/>
      <c r="GC355"/>
      <c r="GD355"/>
      <c r="GE355"/>
      <c r="GF355"/>
      <c r="GG355"/>
      <c r="GI355"/>
      <c r="GJ355"/>
      <c r="GK355"/>
      <c r="GL355"/>
      <c r="GM355"/>
      <c r="GN355"/>
      <c r="GO355"/>
      <c r="YK355"/>
      <c r="YL355"/>
      <c r="YM355"/>
      <c r="YN355"/>
      <c r="YO355"/>
      <c r="AFI355"/>
      <c r="AFJ355"/>
      <c r="AFK355"/>
      <c r="AFL355"/>
      <c r="AFM355"/>
      <c r="AFN355" s="2" t="e">
        <f>+Tabla578914151634353637383940414243444546474849505152535560626467[[#This Row],[Recuento]]*#REF!</f>
        <v>#REF!</v>
      </c>
      <c r="AFO355" s="36"/>
    </row>
    <row r="356" spans="75:847" x14ac:dyDescent="0.25">
      <c r="BW356"/>
      <c r="BX356"/>
      <c r="BY356"/>
      <c r="BZ356"/>
      <c r="CA356"/>
      <c r="CB356"/>
      <c r="CE356"/>
      <c r="CF356"/>
      <c r="CG356"/>
      <c r="CH356"/>
      <c r="CI356"/>
      <c r="CJ356"/>
      <c r="CK356"/>
      <c r="CM356"/>
      <c r="CN356"/>
      <c r="CO356"/>
      <c r="CP356"/>
      <c r="CQ356"/>
      <c r="CR356"/>
      <c r="CU356"/>
      <c r="CV356"/>
      <c r="CW356"/>
      <c r="CX356"/>
      <c r="CY356"/>
      <c r="CZ356"/>
      <c r="DA356"/>
      <c r="DC356"/>
      <c r="DD356"/>
      <c r="DE356"/>
      <c r="DF356"/>
      <c r="DG356"/>
      <c r="DH356"/>
      <c r="DJ356"/>
      <c r="DK356"/>
      <c r="DL356"/>
      <c r="DM356"/>
      <c r="DN356"/>
      <c r="DO356"/>
      <c r="DQ356"/>
      <c r="DR356"/>
      <c r="DS356"/>
      <c r="DT356"/>
      <c r="DU356"/>
      <c r="DV356"/>
      <c r="DX356"/>
      <c r="DY356"/>
      <c r="DZ356"/>
      <c r="EA356"/>
      <c r="EB356"/>
      <c r="EC356"/>
      <c r="EE356"/>
      <c r="EF356"/>
      <c r="EG356"/>
      <c r="EH356"/>
      <c r="EI356"/>
      <c r="EJ356"/>
      <c r="EK356"/>
      <c r="EM356"/>
      <c r="EN356"/>
      <c r="EO356"/>
      <c r="EP356"/>
      <c r="EQ356"/>
      <c r="ER356"/>
      <c r="ES356"/>
      <c r="EU356"/>
      <c r="EV356"/>
      <c r="EW356"/>
      <c r="EX356"/>
      <c r="EY356"/>
      <c r="EZ356"/>
      <c r="FA356"/>
      <c r="FC356"/>
      <c r="FD356"/>
      <c r="FE356"/>
      <c r="FF356"/>
      <c r="FG356"/>
      <c r="FH356"/>
      <c r="FI356"/>
      <c r="FK356"/>
      <c r="FL356"/>
      <c r="FM356"/>
      <c r="FN356"/>
      <c r="FO356"/>
      <c r="FP356"/>
      <c r="FQ356"/>
      <c r="FS356"/>
      <c r="FT356"/>
      <c r="FU356"/>
      <c r="FV356"/>
      <c r="FW356"/>
      <c r="FX356"/>
      <c r="FY356"/>
      <c r="GA356"/>
      <c r="GB356"/>
      <c r="GC356"/>
      <c r="GD356"/>
      <c r="GE356"/>
      <c r="GF356"/>
      <c r="GG356"/>
      <c r="GI356"/>
      <c r="GJ356"/>
      <c r="GK356"/>
      <c r="GL356"/>
      <c r="GM356"/>
      <c r="GN356"/>
      <c r="GO356"/>
      <c r="YK356"/>
      <c r="YL356"/>
      <c r="YM356"/>
      <c r="YN356"/>
      <c r="YO356"/>
      <c r="AFI356"/>
      <c r="AFJ356"/>
      <c r="AFK356"/>
      <c r="AFL356"/>
      <c r="AFM356"/>
      <c r="AFN356" s="2" t="e">
        <f>+Tabla578914151634353637383940414243444546474849505152535560626467[[#This Row],[Recuento]]*#REF!</f>
        <v>#REF!</v>
      </c>
      <c r="AFO356" s="35"/>
    </row>
    <row r="357" spans="75:847" x14ac:dyDescent="0.25">
      <c r="BW357"/>
      <c r="BX357"/>
      <c r="BY357"/>
      <c r="BZ357"/>
      <c r="CA357"/>
      <c r="CB357"/>
      <c r="CE357"/>
      <c r="CF357"/>
      <c r="CG357"/>
      <c r="CH357"/>
      <c r="CI357"/>
      <c r="CJ357"/>
      <c r="CK357"/>
      <c r="CM357"/>
      <c r="CN357"/>
      <c r="CO357"/>
      <c r="CP357"/>
      <c r="CQ357"/>
      <c r="CR357"/>
      <c r="CU357"/>
      <c r="CV357"/>
      <c r="CW357"/>
      <c r="CX357"/>
      <c r="CY357"/>
      <c r="CZ357"/>
      <c r="DA357"/>
      <c r="DC357"/>
      <c r="DD357"/>
      <c r="DE357"/>
      <c r="DF357"/>
      <c r="DG357"/>
      <c r="DH357"/>
      <c r="DJ357"/>
      <c r="DK357"/>
      <c r="DL357"/>
      <c r="DM357"/>
      <c r="DN357"/>
      <c r="DO357"/>
      <c r="DQ357"/>
      <c r="DR357"/>
      <c r="DS357"/>
      <c r="DT357"/>
      <c r="DU357"/>
      <c r="DV357"/>
      <c r="DX357"/>
      <c r="DY357"/>
      <c r="DZ357"/>
      <c r="EA357"/>
      <c r="EB357"/>
      <c r="EC357"/>
      <c r="EE357"/>
      <c r="EF357"/>
      <c r="EG357"/>
      <c r="EH357"/>
      <c r="EI357"/>
      <c r="EJ357"/>
      <c r="EK357"/>
      <c r="EM357"/>
      <c r="EN357"/>
      <c r="EO357"/>
      <c r="EP357"/>
      <c r="EQ357"/>
      <c r="ER357"/>
      <c r="ES357"/>
      <c r="EU357"/>
      <c r="EV357"/>
      <c r="EW357"/>
      <c r="EX357"/>
      <c r="EY357"/>
      <c r="EZ357"/>
      <c r="FA357"/>
      <c r="FC357"/>
      <c r="FD357"/>
      <c r="FE357"/>
      <c r="FF357"/>
      <c r="FG357"/>
      <c r="FH357"/>
      <c r="FI357"/>
      <c r="FK357"/>
      <c r="FL357"/>
      <c r="FM357"/>
      <c r="FN357"/>
      <c r="FO357"/>
      <c r="FP357"/>
      <c r="FQ357"/>
      <c r="FS357"/>
      <c r="FT357"/>
      <c r="FU357"/>
      <c r="FV357"/>
      <c r="FW357"/>
      <c r="FX357"/>
      <c r="FY357"/>
      <c r="GA357"/>
      <c r="GB357"/>
      <c r="GC357"/>
      <c r="GD357"/>
      <c r="GE357"/>
      <c r="GF357"/>
      <c r="GG357"/>
      <c r="GI357"/>
      <c r="GJ357"/>
      <c r="GK357"/>
      <c r="GL357"/>
      <c r="GM357"/>
      <c r="GN357"/>
      <c r="GO357"/>
      <c r="YK357"/>
      <c r="YL357"/>
      <c r="YM357"/>
      <c r="YN357"/>
      <c r="YO357"/>
      <c r="AFI357"/>
      <c r="AFJ357"/>
      <c r="AFK357"/>
      <c r="AFL357"/>
      <c r="AFM357"/>
      <c r="AFN357" s="2" t="e">
        <f>+Tabla578914151634353637383940414243444546474849505152535560626467[[#This Row],[Recuento]]*#REF!</f>
        <v>#REF!</v>
      </c>
      <c r="AFO357" s="36"/>
    </row>
    <row r="358" spans="75:847" x14ac:dyDescent="0.25">
      <c r="BW358"/>
      <c r="BX358"/>
      <c r="BY358"/>
      <c r="BZ358"/>
      <c r="CA358"/>
      <c r="CB358"/>
      <c r="CE358"/>
      <c r="CF358"/>
      <c r="CG358"/>
      <c r="CH358"/>
      <c r="CI358"/>
      <c r="CJ358"/>
      <c r="CK358"/>
      <c r="CM358"/>
      <c r="CN358"/>
      <c r="CO358"/>
      <c r="CP358"/>
      <c r="CQ358"/>
      <c r="CR358"/>
      <c r="CU358"/>
      <c r="CV358"/>
      <c r="CW358"/>
      <c r="CX358"/>
      <c r="CY358"/>
      <c r="CZ358"/>
      <c r="DA358"/>
      <c r="DC358"/>
      <c r="DD358"/>
      <c r="DE358"/>
      <c r="DF358"/>
      <c r="DG358"/>
      <c r="DH358"/>
      <c r="DJ358"/>
      <c r="DK358"/>
      <c r="DL358"/>
      <c r="DM358"/>
      <c r="DN358"/>
      <c r="DO358"/>
      <c r="DQ358"/>
      <c r="DR358"/>
      <c r="DS358"/>
      <c r="DT358"/>
      <c r="DU358"/>
      <c r="DV358"/>
      <c r="DX358"/>
      <c r="DY358"/>
      <c r="DZ358"/>
      <c r="EA358"/>
      <c r="EB358"/>
      <c r="EC358"/>
      <c r="EE358"/>
      <c r="EF358"/>
      <c r="EG358"/>
      <c r="EH358"/>
      <c r="EI358"/>
      <c r="EJ358"/>
      <c r="EK358"/>
      <c r="EM358"/>
      <c r="EN358"/>
      <c r="EO358"/>
      <c r="EP358"/>
      <c r="EQ358"/>
      <c r="ER358"/>
      <c r="ES358"/>
      <c r="EU358"/>
      <c r="EV358"/>
      <c r="EW358"/>
      <c r="EX358"/>
      <c r="EY358"/>
      <c r="EZ358"/>
      <c r="FA358"/>
      <c r="FC358"/>
      <c r="FD358"/>
      <c r="FE358"/>
      <c r="FF358"/>
      <c r="FG358"/>
      <c r="FH358"/>
      <c r="FI358"/>
      <c r="FK358"/>
      <c r="FL358"/>
      <c r="FM358"/>
      <c r="FN358"/>
      <c r="FO358"/>
      <c r="FP358"/>
      <c r="FQ358"/>
      <c r="FS358"/>
      <c r="FT358"/>
      <c r="FU358"/>
      <c r="FV358"/>
      <c r="FW358"/>
      <c r="FX358"/>
      <c r="FY358"/>
      <c r="GA358"/>
      <c r="GB358"/>
      <c r="GC358"/>
      <c r="GD358"/>
      <c r="GE358"/>
      <c r="GF358"/>
      <c r="GG358"/>
      <c r="GI358"/>
      <c r="GJ358"/>
      <c r="GK358"/>
      <c r="GL358"/>
      <c r="GM358"/>
      <c r="GN358"/>
      <c r="GO358"/>
      <c r="YK358"/>
      <c r="YL358"/>
      <c r="YM358"/>
      <c r="YN358"/>
      <c r="YO358"/>
      <c r="AFI358"/>
      <c r="AFJ358"/>
      <c r="AFK358"/>
      <c r="AFL358"/>
      <c r="AFM358"/>
      <c r="AFN358" s="2" t="e">
        <f>+Tabla578914151634353637383940414243444546474849505152535560626467[[#This Row],[Recuento]]*#REF!</f>
        <v>#REF!</v>
      </c>
      <c r="AFO358" s="36"/>
    </row>
    <row r="359" spans="75:847" x14ac:dyDescent="0.25">
      <c r="BW359"/>
      <c r="BX359"/>
      <c r="BY359"/>
      <c r="BZ359"/>
      <c r="CA359"/>
      <c r="CB359"/>
      <c r="CE359"/>
      <c r="CF359"/>
      <c r="CG359"/>
      <c r="CH359"/>
      <c r="CI359"/>
      <c r="CJ359"/>
      <c r="CK359"/>
      <c r="CM359"/>
      <c r="CN359"/>
      <c r="CO359"/>
      <c r="CP359"/>
      <c r="CQ359"/>
      <c r="CR359"/>
      <c r="CU359"/>
      <c r="CV359"/>
      <c r="CW359"/>
      <c r="CX359"/>
      <c r="CY359"/>
      <c r="CZ359"/>
      <c r="DA359"/>
      <c r="DC359"/>
      <c r="DD359"/>
      <c r="DE359"/>
      <c r="DF359"/>
      <c r="DG359"/>
      <c r="DH359"/>
      <c r="DJ359"/>
      <c r="DK359"/>
      <c r="DL359"/>
      <c r="DM359"/>
      <c r="DN359"/>
      <c r="DO359"/>
      <c r="DQ359"/>
      <c r="DR359"/>
      <c r="DS359"/>
      <c r="DT359"/>
      <c r="DU359"/>
      <c r="DV359"/>
      <c r="DX359"/>
      <c r="DY359"/>
      <c r="DZ359"/>
      <c r="EA359"/>
      <c r="EB359"/>
      <c r="EC359"/>
      <c r="EE359"/>
      <c r="EF359"/>
      <c r="EG359"/>
      <c r="EH359"/>
      <c r="EI359"/>
      <c r="EJ359"/>
      <c r="EK359"/>
      <c r="EM359"/>
      <c r="EN359"/>
      <c r="EO359"/>
      <c r="EP359"/>
      <c r="EQ359"/>
      <c r="ER359"/>
      <c r="ES359"/>
      <c r="EU359"/>
      <c r="EV359"/>
      <c r="EW359"/>
      <c r="EX359"/>
      <c r="EY359"/>
      <c r="EZ359"/>
      <c r="FA359"/>
      <c r="FC359"/>
      <c r="FD359"/>
      <c r="FE359"/>
      <c r="FF359"/>
      <c r="FG359"/>
      <c r="FH359"/>
      <c r="FI359"/>
      <c r="FK359"/>
      <c r="FL359"/>
      <c r="FM359"/>
      <c r="FN359"/>
      <c r="FO359"/>
      <c r="FP359"/>
      <c r="FQ359"/>
      <c r="FS359"/>
      <c r="FT359"/>
      <c r="FU359"/>
      <c r="FV359"/>
      <c r="FW359"/>
      <c r="FX359"/>
      <c r="FY359"/>
      <c r="GA359"/>
      <c r="GB359"/>
      <c r="GC359"/>
      <c r="GD359"/>
      <c r="GE359"/>
      <c r="GF359"/>
      <c r="GG359"/>
      <c r="GI359"/>
      <c r="GJ359"/>
      <c r="GK359"/>
      <c r="GL359"/>
      <c r="GM359"/>
      <c r="GN359"/>
      <c r="GO359"/>
      <c r="YK359"/>
      <c r="YL359"/>
      <c r="YM359"/>
      <c r="YN359"/>
      <c r="YO359"/>
      <c r="AFI359"/>
      <c r="AFJ359"/>
      <c r="AFK359"/>
      <c r="AFL359"/>
      <c r="AFM359"/>
      <c r="AFN359" s="2" t="e">
        <f>+Tabla578914151634353637383940414243444546474849505152535560626467[[#This Row],[Recuento]]*#REF!</f>
        <v>#REF!</v>
      </c>
      <c r="AFO359" s="36"/>
    </row>
    <row r="360" spans="75:847" x14ac:dyDescent="0.25">
      <c r="BW360"/>
      <c r="BX360"/>
      <c r="BY360"/>
      <c r="BZ360"/>
      <c r="CA360"/>
      <c r="CB360"/>
      <c r="CE360"/>
      <c r="CF360"/>
      <c r="CG360"/>
      <c r="CH360"/>
      <c r="CI360"/>
      <c r="CJ360"/>
      <c r="CK360"/>
      <c r="CM360"/>
      <c r="CN360"/>
      <c r="CO360"/>
      <c r="CP360"/>
      <c r="CQ360"/>
      <c r="CR360"/>
      <c r="CU360"/>
      <c r="CV360"/>
      <c r="CW360"/>
      <c r="CX360"/>
      <c r="CY360"/>
      <c r="CZ360"/>
      <c r="DA360"/>
      <c r="DC360"/>
      <c r="DD360"/>
      <c r="DE360"/>
      <c r="DF360"/>
      <c r="DG360"/>
      <c r="DH360"/>
      <c r="DJ360"/>
      <c r="DK360"/>
      <c r="DL360"/>
      <c r="DM360"/>
      <c r="DN360"/>
      <c r="DO360"/>
      <c r="DQ360"/>
      <c r="DR360"/>
      <c r="DS360"/>
      <c r="DT360"/>
      <c r="DU360"/>
      <c r="DV360"/>
      <c r="DX360"/>
      <c r="DY360"/>
      <c r="DZ360"/>
      <c r="EA360"/>
      <c r="EB360"/>
      <c r="EC360"/>
      <c r="EE360"/>
      <c r="EF360"/>
      <c r="EG360"/>
      <c r="EH360"/>
      <c r="EI360"/>
      <c r="EJ360"/>
      <c r="EK360"/>
      <c r="EM360"/>
      <c r="EN360"/>
      <c r="EO360"/>
      <c r="EP360"/>
      <c r="EQ360"/>
      <c r="ER360"/>
      <c r="ES360"/>
      <c r="EU360"/>
      <c r="EV360"/>
      <c r="EW360"/>
      <c r="EX360"/>
      <c r="EY360"/>
      <c r="EZ360"/>
      <c r="FA360"/>
      <c r="FC360"/>
      <c r="FD360"/>
      <c r="FE360"/>
      <c r="FF360"/>
      <c r="FG360"/>
      <c r="FH360"/>
      <c r="FI360"/>
      <c r="FK360"/>
      <c r="FL360"/>
      <c r="FM360"/>
      <c r="FN360"/>
      <c r="FO360"/>
      <c r="FP360"/>
      <c r="FQ360"/>
      <c r="FS360"/>
      <c r="FT360"/>
      <c r="FU360"/>
      <c r="FV360"/>
      <c r="FW360"/>
      <c r="FX360"/>
      <c r="FY360"/>
      <c r="GA360"/>
      <c r="GB360"/>
      <c r="GC360"/>
      <c r="GD360"/>
      <c r="GE360"/>
      <c r="GF360"/>
      <c r="GG360"/>
      <c r="GI360"/>
      <c r="GJ360"/>
      <c r="GK360"/>
      <c r="GL360"/>
      <c r="GM360"/>
      <c r="GN360"/>
      <c r="GO360"/>
      <c r="YK360"/>
      <c r="YL360"/>
      <c r="YM360"/>
      <c r="YN360"/>
      <c r="YO360"/>
      <c r="AFI360"/>
      <c r="AFJ360"/>
      <c r="AFK360"/>
      <c r="AFL360"/>
      <c r="AFM360"/>
      <c r="AFN360" s="2" t="e">
        <f>+Tabla578914151634353637383940414243444546474849505152535560626467[[#This Row],[Recuento]]*#REF!</f>
        <v>#REF!</v>
      </c>
      <c r="AFO360" s="36"/>
    </row>
    <row r="361" spans="75:847" x14ac:dyDescent="0.25">
      <c r="BW361"/>
      <c r="BX361"/>
      <c r="BY361"/>
      <c r="BZ361"/>
      <c r="CA361"/>
      <c r="CB361"/>
      <c r="CE361"/>
      <c r="CF361"/>
      <c r="CG361"/>
      <c r="CH361"/>
      <c r="CI361"/>
      <c r="CJ361"/>
      <c r="CK361"/>
      <c r="CM361"/>
      <c r="CN361"/>
      <c r="CO361"/>
      <c r="CP361"/>
      <c r="CQ361"/>
      <c r="CR361"/>
      <c r="CU361"/>
      <c r="CV361"/>
      <c r="CW361"/>
      <c r="CX361"/>
      <c r="CY361"/>
      <c r="CZ361"/>
      <c r="DA361"/>
      <c r="DC361"/>
      <c r="DD361"/>
      <c r="DE361"/>
      <c r="DF361"/>
      <c r="DG361"/>
      <c r="DH361"/>
      <c r="DJ361"/>
      <c r="DK361"/>
      <c r="DL361"/>
      <c r="DM361"/>
      <c r="DN361"/>
      <c r="DO361"/>
      <c r="DQ361"/>
      <c r="DR361"/>
      <c r="DS361"/>
      <c r="DT361"/>
      <c r="DU361"/>
      <c r="DV361"/>
      <c r="DX361"/>
      <c r="DY361"/>
      <c r="DZ361"/>
      <c r="EA361"/>
      <c r="EB361"/>
      <c r="EC361"/>
      <c r="EE361"/>
      <c r="EF361"/>
      <c r="EG361"/>
      <c r="EH361"/>
      <c r="EI361"/>
      <c r="EJ361"/>
      <c r="EK361"/>
      <c r="EM361"/>
      <c r="EN361"/>
      <c r="EO361"/>
      <c r="EP361"/>
      <c r="EQ361"/>
      <c r="ER361"/>
      <c r="ES361"/>
      <c r="EU361"/>
      <c r="EV361"/>
      <c r="EW361"/>
      <c r="EX361"/>
      <c r="EY361"/>
      <c r="EZ361"/>
      <c r="FA361"/>
      <c r="FC361"/>
      <c r="FD361"/>
      <c r="FE361"/>
      <c r="FF361"/>
      <c r="FG361"/>
      <c r="FH361"/>
      <c r="FI361"/>
      <c r="FK361"/>
      <c r="FL361"/>
      <c r="FM361"/>
      <c r="FN361"/>
      <c r="FO361"/>
      <c r="FP361"/>
      <c r="FQ361"/>
      <c r="FS361"/>
      <c r="FT361"/>
      <c r="FU361"/>
      <c r="FV361"/>
      <c r="FW361"/>
      <c r="FX361"/>
      <c r="FY361"/>
      <c r="GA361"/>
      <c r="GB361"/>
      <c r="GC361"/>
      <c r="GD361"/>
      <c r="GE361"/>
      <c r="GF361"/>
      <c r="GG361"/>
      <c r="GI361"/>
      <c r="GJ361"/>
      <c r="GK361"/>
      <c r="GL361"/>
      <c r="GM361"/>
      <c r="GN361"/>
      <c r="GO361"/>
      <c r="YK361"/>
      <c r="YL361"/>
      <c r="YM361"/>
      <c r="YN361"/>
      <c r="YO361"/>
      <c r="AFI361"/>
      <c r="AFJ361"/>
      <c r="AFK361"/>
      <c r="AFL361"/>
      <c r="AFM361"/>
      <c r="AFN361" s="2" t="e">
        <f>+Tabla578914151634353637383940414243444546474849505152535560626467[[#This Row],[Recuento]]*#REF!</f>
        <v>#REF!</v>
      </c>
      <c r="AFO361" s="36"/>
    </row>
    <row r="362" spans="75:847" x14ac:dyDescent="0.25">
      <c r="BW362"/>
      <c r="BX362"/>
      <c r="BY362"/>
      <c r="BZ362"/>
      <c r="CA362"/>
      <c r="CB362"/>
      <c r="CE362"/>
      <c r="CF362"/>
      <c r="CG362"/>
      <c r="CH362"/>
      <c r="CI362"/>
      <c r="CJ362"/>
      <c r="CK362"/>
      <c r="CM362"/>
      <c r="CN362"/>
      <c r="CO362"/>
      <c r="CP362"/>
      <c r="CQ362"/>
      <c r="CR362"/>
      <c r="CU362"/>
      <c r="CV362"/>
      <c r="CW362"/>
      <c r="CX362"/>
      <c r="CY362"/>
      <c r="CZ362"/>
      <c r="DA362"/>
      <c r="DC362"/>
      <c r="DD362"/>
      <c r="DE362"/>
      <c r="DF362"/>
      <c r="DG362"/>
      <c r="DH362"/>
      <c r="DJ362"/>
      <c r="DK362"/>
      <c r="DL362"/>
      <c r="DM362"/>
      <c r="DN362"/>
      <c r="DO362"/>
      <c r="DQ362"/>
      <c r="DR362"/>
      <c r="DS362"/>
      <c r="DT362"/>
      <c r="DU362"/>
      <c r="DV362"/>
      <c r="DX362"/>
      <c r="DY362"/>
      <c r="DZ362"/>
      <c r="EA362"/>
      <c r="EB362"/>
      <c r="EC362"/>
      <c r="EE362"/>
      <c r="EF362"/>
      <c r="EG362"/>
      <c r="EH362"/>
      <c r="EI362"/>
      <c r="EJ362"/>
      <c r="EK362"/>
      <c r="EM362"/>
      <c r="EN362"/>
      <c r="EO362"/>
      <c r="EP362"/>
      <c r="EQ362"/>
      <c r="ER362"/>
      <c r="ES362"/>
      <c r="EU362"/>
      <c r="EV362"/>
      <c r="EW362"/>
      <c r="EX362"/>
      <c r="EY362"/>
      <c r="EZ362"/>
      <c r="FA362"/>
      <c r="FC362"/>
      <c r="FD362"/>
      <c r="FE362"/>
      <c r="FF362"/>
      <c r="FG362"/>
      <c r="FH362"/>
      <c r="FI362"/>
      <c r="FK362"/>
      <c r="FL362"/>
      <c r="FM362"/>
      <c r="FN362"/>
      <c r="FO362"/>
      <c r="FP362"/>
      <c r="FQ362"/>
      <c r="FS362"/>
      <c r="FT362"/>
      <c r="FU362"/>
      <c r="FV362"/>
      <c r="FW362"/>
      <c r="FX362"/>
      <c r="FY362"/>
      <c r="GA362"/>
      <c r="GB362"/>
      <c r="GC362"/>
      <c r="GD362"/>
      <c r="GE362"/>
      <c r="GF362"/>
      <c r="GG362"/>
      <c r="GI362"/>
      <c r="GJ362"/>
      <c r="GK362"/>
      <c r="GL362"/>
      <c r="GM362"/>
      <c r="GN362"/>
      <c r="GO362"/>
      <c r="YK362"/>
      <c r="YL362"/>
      <c r="YM362"/>
      <c r="YN362"/>
      <c r="YO362"/>
    </row>
    <row r="363" spans="75:847" x14ac:dyDescent="0.25">
      <c r="BW363"/>
      <c r="BX363"/>
      <c r="BY363"/>
      <c r="BZ363"/>
      <c r="CA363"/>
      <c r="CB363"/>
      <c r="CE363"/>
      <c r="CF363"/>
      <c r="CG363"/>
      <c r="CH363"/>
      <c r="CI363"/>
      <c r="CJ363"/>
      <c r="CK363"/>
      <c r="CM363"/>
      <c r="CN363"/>
      <c r="CO363"/>
      <c r="CP363"/>
      <c r="CQ363"/>
      <c r="CR363"/>
      <c r="CU363"/>
      <c r="CV363"/>
      <c r="CW363"/>
      <c r="CX363"/>
      <c r="CY363"/>
      <c r="CZ363"/>
      <c r="DA363"/>
      <c r="DC363"/>
      <c r="DD363"/>
      <c r="DE363"/>
      <c r="DF363"/>
      <c r="DG363"/>
      <c r="DH363"/>
      <c r="DJ363"/>
      <c r="DK363"/>
      <c r="DL363"/>
      <c r="DM363"/>
      <c r="DN363"/>
      <c r="DO363"/>
      <c r="DQ363"/>
      <c r="DR363"/>
      <c r="DS363"/>
      <c r="DT363"/>
      <c r="DU363"/>
      <c r="DV363"/>
      <c r="DX363"/>
      <c r="DY363"/>
      <c r="DZ363"/>
      <c r="EA363"/>
      <c r="EB363"/>
      <c r="EC363"/>
      <c r="EE363"/>
      <c r="EF363"/>
      <c r="EG363"/>
      <c r="EH363"/>
      <c r="EI363"/>
      <c r="EJ363"/>
      <c r="EK363"/>
      <c r="EM363"/>
      <c r="EN363"/>
      <c r="EO363"/>
      <c r="EP363"/>
      <c r="EQ363"/>
      <c r="ER363"/>
      <c r="ES363"/>
      <c r="EU363"/>
      <c r="EV363"/>
      <c r="EW363"/>
      <c r="EX363"/>
      <c r="EY363"/>
      <c r="EZ363"/>
      <c r="FA363"/>
      <c r="FC363"/>
      <c r="FD363"/>
      <c r="FE363"/>
      <c r="FF363"/>
      <c r="FG363"/>
      <c r="FH363"/>
      <c r="FI363"/>
      <c r="FK363"/>
      <c r="FL363"/>
      <c r="FM363"/>
      <c r="FN363"/>
      <c r="FO363"/>
      <c r="FP363"/>
      <c r="FQ363"/>
      <c r="FS363"/>
      <c r="FT363"/>
      <c r="FU363"/>
      <c r="FV363"/>
      <c r="FW363"/>
      <c r="FX363"/>
      <c r="FY363"/>
      <c r="GA363"/>
      <c r="GB363"/>
      <c r="GC363"/>
      <c r="GD363"/>
      <c r="GE363"/>
      <c r="GF363"/>
      <c r="GG363"/>
      <c r="GI363"/>
      <c r="GJ363"/>
      <c r="GK363"/>
      <c r="GL363"/>
      <c r="GM363"/>
      <c r="GN363"/>
      <c r="GO363"/>
      <c r="YK363"/>
      <c r="YL363"/>
      <c r="YM363"/>
      <c r="YN363"/>
      <c r="YO363"/>
    </row>
    <row r="364" spans="75:847" x14ac:dyDescent="0.25">
      <c r="BW364"/>
      <c r="BX364"/>
      <c r="BY364"/>
      <c r="BZ364"/>
      <c r="CA364"/>
      <c r="CB364"/>
      <c r="CE364"/>
      <c r="CF364"/>
      <c r="CG364"/>
      <c r="CH364"/>
      <c r="CI364"/>
      <c r="CJ364"/>
      <c r="CK364"/>
      <c r="CM364"/>
      <c r="CN364"/>
      <c r="CO364"/>
      <c r="CP364"/>
      <c r="CQ364"/>
      <c r="CR364"/>
      <c r="CU364"/>
      <c r="CV364"/>
      <c r="CW364"/>
      <c r="CX364"/>
      <c r="CY364"/>
      <c r="CZ364"/>
      <c r="DA364"/>
      <c r="DC364"/>
      <c r="DD364"/>
      <c r="DE364"/>
      <c r="DF364"/>
      <c r="DG364"/>
      <c r="DH364"/>
      <c r="DJ364"/>
      <c r="DK364"/>
      <c r="DL364"/>
      <c r="DM364"/>
      <c r="DN364"/>
      <c r="DO364"/>
      <c r="DQ364"/>
      <c r="DR364"/>
      <c r="DS364"/>
      <c r="DT364"/>
      <c r="DU364"/>
      <c r="DV364"/>
      <c r="DX364"/>
      <c r="DY364"/>
      <c r="DZ364"/>
      <c r="EA364"/>
      <c r="EB364"/>
      <c r="EC364"/>
      <c r="EE364"/>
      <c r="EF364"/>
      <c r="EG364"/>
      <c r="EH364"/>
      <c r="EI364"/>
      <c r="EJ364"/>
      <c r="EK364"/>
      <c r="EM364"/>
      <c r="EN364"/>
      <c r="EO364"/>
      <c r="EP364"/>
      <c r="EQ364"/>
      <c r="ER364"/>
      <c r="ES364"/>
      <c r="EU364"/>
      <c r="EV364"/>
      <c r="EW364"/>
      <c r="EX364"/>
      <c r="EY364"/>
      <c r="EZ364"/>
      <c r="FA364"/>
      <c r="FC364"/>
      <c r="FD364"/>
      <c r="FE364"/>
      <c r="FF364"/>
      <c r="FG364"/>
      <c r="FH364"/>
      <c r="FI364"/>
      <c r="FK364"/>
      <c r="FL364"/>
      <c r="FM364"/>
      <c r="FN364"/>
      <c r="FO364"/>
      <c r="FP364"/>
      <c r="FQ364"/>
      <c r="FS364"/>
      <c r="FT364"/>
      <c r="FU364"/>
      <c r="FV364"/>
      <c r="FW364"/>
      <c r="FX364"/>
      <c r="FY364"/>
      <c r="GA364"/>
      <c r="GB364"/>
      <c r="GC364"/>
      <c r="GD364"/>
      <c r="GE364"/>
      <c r="GF364"/>
      <c r="GG364"/>
      <c r="GI364"/>
      <c r="GJ364"/>
      <c r="GK364"/>
      <c r="GL364"/>
      <c r="GM364"/>
      <c r="GN364"/>
      <c r="GO364"/>
      <c r="YK364"/>
      <c r="YL364"/>
      <c r="YM364"/>
      <c r="YN364"/>
      <c r="YO364"/>
    </row>
    <row r="365" spans="75:847" x14ac:dyDescent="0.25">
      <c r="BW365"/>
      <c r="BX365"/>
      <c r="BY365"/>
      <c r="BZ365"/>
      <c r="CA365"/>
      <c r="CB365"/>
      <c r="CE365"/>
      <c r="CF365"/>
      <c r="CG365"/>
      <c r="CH365"/>
      <c r="CI365"/>
      <c r="CJ365"/>
      <c r="CK365"/>
      <c r="CM365"/>
      <c r="CN365"/>
      <c r="CO365"/>
      <c r="CP365"/>
      <c r="CQ365"/>
      <c r="CR365"/>
      <c r="CU365"/>
      <c r="CV365"/>
      <c r="CW365"/>
      <c r="CX365"/>
      <c r="CY365"/>
      <c r="CZ365"/>
      <c r="DA365"/>
      <c r="DC365"/>
      <c r="DD365"/>
      <c r="DE365"/>
      <c r="DF365"/>
      <c r="DG365"/>
      <c r="DH365"/>
      <c r="DJ365"/>
      <c r="DK365"/>
      <c r="DL365"/>
      <c r="DM365"/>
      <c r="DN365"/>
      <c r="DO365"/>
      <c r="DQ365"/>
      <c r="DR365"/>
      <c r="DS365"/>
      <c r="DT365"/>
      <c r="DU365"/>
      <c r="DV365"/>
      <c r="DX365"/>
      <c r="DY365"/>
      <c r="DZ365"/>
      <c r="EA365"/>
      <c r="EB365"/>
      <c r="EC365"/>
      <c r="EE365"/>
      <c r="EF365"/>
      <c r="EG365"/>
      <c r="EH365"/>
      <c r="EI365"/>
      <c r="EJ365"/>
      <c r="EK365"/>
      <c r="EM365"/>
      <c r="EN365"/>
      <c r="EO365"/>
      <c r="EP365"/>
      <c r="EQ365"/>
      <c r="ER365"/>
      <c r="ES365"/>
      <c r="EU365"/>
      <c r="EV365"/>
      <c r="EW365"/>
      <c r="EX365"/>
      <c r="EY365"/>
      <c r="EZ365"/>
      <c r="FA365"/>
      <c r="FC365"/>
      <c r="FD365"/>
      <c r="FE365"/>
      <c r="FF365"/>
      <c r="FG365"/>
      <c r="FH365"/>
      <c r="FI365"/>
      <c r="FK365"/>
      <c r="FL365"/>
      <c r="FM365"/>
      <c r="FN365"/>
      <c r="FO365"/>
      <c r="FP365"/>
      <c r="FQ365"/>
      <c r="FS365"/>
      <c r="FT365"/>
      <c r="FU365"/>
      <c r="FV365"/>
      <c r="FW365"/>
      <c r="FX365"/>
      <c r="FY365"/>
      <c r="GA365"/>
      <c r="GB365"/>
      <c r="GC365"/>
      <c r="GD365"/>
      <c r="GE365"/>
      <c r="GF365"/>
      <c r="GG365"/>
      <c r="GI365"/>
      <c r="GJ365"/>
      <c r="GK365"/>
      <c r="GL365"/>
      <c r="GM365"/>
      <c r="GN365"/>
      <c r="GO365"/>
      <c r="YK365"/>
      <c r="YL365"/>
      <c r="YM365"/>
      <c r="YN365"/>
      <c r="YO365"/>
    </row>
    <row r="366" spans="75:847" x14ac:dyDescent="0.25">
      <c r="BW366"/>
      <c r="BX366"/>
      <c r="BY366"/>
      <c r="BZ366"/>
      <c r="CA366"/>
      <c r="CB366"/>
      <c r="CE366"/>
      <c r="CF366"/>
      <c r="CG366"/>
      <c r="CH366"/>
      <c r="CI366"/>
      <c r="CJ366"/>
      <c r="CK366"/>
      <c r="CM366"/>
      <c r="CN366"/>
      <c r="CO366"/>
      <c r="CP366"/>
      <c r="CQ366"/>
      <c r="CR366"/>
      <c r="CU366"/>
      <c r="CV366"/>
      <c r="CW366"/>
      <c r="CX366"/>
      <c r="CY366"/>
      <c r="CZ366"/>
      <c r="DA366"/>
      <c r="DC366"/>
      <c r="DD366"/>
      <c r="DE366"/>
      <c r="DF366"/>
      <c r="DG366"/>
      <c r="DH366"/>
      <c r="DJ366"/>
      <c r="DK366"/>
      <c r="DL366"/>
      <c r="DM366"/>
      <c r="DN366"/>
      <c r="DO366"/>
      <c r="DQ366"/>
      <c r="DR366"/>
      <c r="DS366"/>
      <c r="DT366"/>
      <c r="DU366"/>
      <c r="DV366"/>
      <c r="DX366"/>
      <c r="DY366"/>
      <c r="DZ366"/>
      <c r="EA366"/>
      <c r="EB366"/>
      <c r="EC366"/>
      <c r="EE366"/>
      <c r="EF366"/>
      <c r="EG366"/>
      <c r="EH366"/>
      <c r="EI366"/>
      <c r="EJ366"/>
      <c r="EK366"/>
      <c r="EM366"/>
      <c r="EN366"/>
      <c r="EO366"/>
      <c r="EP366"/>
      <c r="EQ366"/>
      <c r="ER366"/>
      <c r="ES366"/>
      <c r="EU366"/>
      <c r="EV366"/>
      <c r="EW366"/>
      <c r="EX366"/>
      <c r="EY366"/>
      <c r="EZ366"/>
      <c r="FA366"/>
      <c r="FC366"/>
      <c r="FD366"/>
      <c r="FE366"/>
      <c r="FF366"/>
      <c r="FG366"/>
      <c r="FH366"/>
      <c r="FI366"/>
      <c r="FK366"/>
      <c r="FL366"/>
      <c r="FM366"/>
      <c r="FN366"/>
      <c r="FO366"/>
      <c r="FP366"/>
      <c r="FQ366"/>
      <c r="FS366"/>
      <c r="FT366"/>
      <c r="FU366"/>
      <c r="FV366"/>
      <c r="FW366"/>
      <c r="FX366"/>
      <c r="FY366"/>
      <c r="GA366"/>
      <c r="GB366"/>
      <c r="GC366"/>
      <c r="GD366"/>
      <c r="GE366"/>
      <c r="GF366"/>
      <c r="GG366"/>
      <c r="GI366"/>
      <c r="GJ366"/>
      <c r="GK366"/>
      <c r="GL366"/>
      <c r="GM366"/>
      <c r="GN366"/>
      <c r="GO366"/>
      <c r="YK366"/>
      <c r="YL366"/>
      <c r="YM366"/>
      <c r="YN366"/>
      <c r="YO366"/>
    </row>
    <row r="367" spans="75:847" x14ac:dyDescent="0.25">
      <c r="BW367"/>
      <c r="BX367"/>
      <c r="BY367"/>
      <c r="BZ367"/>
      <c r="CA367"/>
      <c r="CB367"/>
      <c r="CE367"/>
      <c r="CF367"/>
      <c r="CG367"/>
      <c r="CH367"/>
      <c r="CI367"/>
      <c r="CJ367"/>
      <c r="CK367"/>
      <c r="CM367"/>
      <c r="CN367"/>
      <c r="CO367"/>
      <c r="CP367"/>
      <c r="CQ367"/>
      <c r="CR367"/>
      <c r="CU367"/>
      <c r="CV367"/>
      <c r="CW367"/>
      <c r="CX367"/>
      <c r="CY367"/>
      <c r="CZ367"/>
      <c r="DA367"/>
      <c r="DC367"/>
      <c r="DD367"/>
      <c r="DE367"/>
      <c r="DF367"/>
      <c r="DG367"/>
      <c r="DH367"/>
      <c r="DJ367"/>
      <c r="DK367"/>
      <c r="DL367"/>
      <c r="DM367"/>
      <c r="DN367"/>
      <c r="DO367"/>
      <c r="DQ367"/>
      <c r="DR367"/>
      <c r="DS367"/>
      <c r="DT367"/>
      <c r="DU367"/>
      <c r="DV367"/>
      <c r="DX367"/>
      <c r="DY367"/>
      <c r="DZ367"/>
      <c r="EA367"/>
      <c r="EB367"/>
      <c r="EC367"/>
      <c r="EE367"/>
      <c r="EF367"/>
      <c r="EG367"/>
      <c r="EH367"/>
      <c r="EI367"/>
      <c r="EJ367"/>
      <c r="EK367"/>
      <c r="EM367"/>
      <c r="EN367"/>
      <c r="EO367"/>
      <c r="EP367"/>
      <c r="EQ367"/>
      <c r="ER367"/>
      <c r="ES367"/>
      <c r="EU367"/>
      <c r="EV367"/>
      <c r="EW367"/>
      <c r="EX367"/>
      <c r="EY367"/>
      <c r="EZ367"/>
      <c r="FA367"/>
      <c r="FC367"/>
      <c r="FD367"/>
      <c r="FE367"/>
      <c r="FF367"/>
      <c r="FG367"/>
      <c r="FH367"/>
      <c r="FI367"/>
      <c r="FK367"/>
      <c r="FL367"/>
      <c r="FM367"/>
      <c r="FN367"/>
      <c r="FO367"/>
      <c r="FP367"/>
      <c r="FQ367"/>
      <c r="FS367"/>
      <c r="FT367"/>
      <c r="FU367"/>
      <c r="FV367"/>
      <c r="FW367"/>
      <c r="FX367"/>
      <c r="FY367"/>
      <c r="GA367"/>
      <c r="GB367"/>
      <c r="GC367"/>
      <c r="GD367"/>
      <c r="GE367"/>
      <c r="GF367"/>
      <c r="GG367"/>
      <c r="GI367"/>
      <c r="GJ367"/>
      <c r="GK367"/>
      <c r="GL367"/>
      <c r="GM367"/>
      <c r="GN367"/>
      <c r="GO367"/>
      <c r="YK367"/>
      <c r="YL367"/>
      <c r="YM367"/>
      <c r="YN367"/>
      <c r="YO367"/>
    </row>
    <row r="368" spans="75:847" x14ac:dyDescent="0.25">
      <c r="BW368"/>
      <c r="BX368"/>
      <c r="BY368"/>
      <c r="BZ368"/>
      <c r="CA368"/>
      <c r="CB368"/>
      <c r="CE368"/>
      <c r="CF368"/>
      <c r="CG368"/>
      <c r="CH368"/>
      <c r="CI368"/>
      <c r="CJ368"/>
      <c r="CK368"/>
      <c r="CM368"/>
      <c r="CN368"/>
      <c r="CO368"/>
      <c r="CP368"/>
      <c r="CQ368"/>
      <c r="CR368"/>
      <c r="CU368"/>
      <c r="CV368"/>
      <c r="CW368"/>
      <c r="CX368"/>
      <c r="CY368"/>
      <c r="CZ368"/>
      <c r="DA368"/>
      <c r="DC368"/>
      <c r="DD368"/>
      <c r="DE368"/>
      <c r="DF368"/>
      <c r="DG368"/>
      <c r="DH368"/>
      <c r="DJ368"/>
      <c r="DK368"/>
      <c r="DL368"/>
      <c r="DM368"/>
      <c r="DN368"/>
      <c r="DO368"/>
      <c r="DQ368"/>
      <c r="DR368"/>
      <c r="DS368"/>
      <c r="DT368"/>
      <c r="DU368"/>
      <c r="DV368"/>
      <c r="DX368"/>
      <c r="DY368"/>
      <c r="DZ368"/>
      <c r="EA368"/>
      <c r="EB368"/>
      <c r="EC368"/>
      <c r="EE368"/>
      <c r="EF368"/>
      <c r="EG368"/>
      <c r="EH368"/>
      <c r="EI368"/>
      <c r="EJ368"/>
      <c r="EK368"/>
      <c r="EM368"/>
      <c r="EN368"/>
      <c r="EO368"/>
      <c r="EP368"/>
      <c r="EQ368"/>
      <c r="ER368"/>
      <c r="ES368"/>
      <c r="EU368"/>
      <c r="EV368"/>
      <c r="EW368"/>
      <c r="EX368"/>
      <c r="EY368"/>
      <c r="EZ368"/>
      <c r="FA368"/>
      <c r="FC368"/>
      <c r="FD368"/>
      <c r="FE368"/>
      <c r="FF368"/>
      <c r="FG368"/>
      <c r="FH368"/>
      <c r="FI368"/>
      <c r="FK368"/>
      <c r="FL368"/>
      <c r="FM368"/>
      <c r="FN368"/>
      <c r="FO368"/>
      <c r="FP368"/>
      <c r="FQ368"/>
      <c r="FS368"/>
      <c r="FT368"/>
      <c r="FU368"/>
      <c r="FV368"/>
      <c r="FW368"/>
      <c r="FX368"/>
      <c r="FY368"/>
      <c r="GA368"/>
      <c r="GB368"/>
      <c r="GC368"/>
      <c r="GD368"/>
      <c r="GE368"/>
      <c r="GF368"/>
      <c r="GG368"/>
      <c r="GI368"/>
      <c r="GJ368"/>
      <c r="GK368"/>
      <c r="GL368"/>
      <c r="GM368"/>
      <c r="GN368"/>
      <c r="GO368"/>
      <c r="YK368"/>
      <c r="YL368"/>
      <c r="YM368"/>
      <c r="YN368"/>
      <c r="YO368"/>
    </row>
    <row r="369" spans="75:665" x14ac:dyDescent="0.25">
      <c r="BW369"/>
      <c r="BX369"/>
      <c r="BY369"/>
      <c r="BZ369"/>
      <c r="CA369"/>
      <c r="CB369"/>
      <c r="CE369"/>
      <c r="CF369"/>
      <c r="CG369"/>
      <c r="CH369"/>
      <c r="CI369"/>
      <c r="CJ369"/>
      <c r="CK369"/>
      <c r="CM369"/>
      <c r="CN369"/>
      <c r="CO369"/>
      <c r="CP369"/>
      <c r="CQ369"/>
      <c r="CR369"/>
      <c r="CU369"/>
      <c r="CV369"/>
      <c r="CW369"/>
      <c r="CX369"/>
      <c r="CY369"/>
      <c r="CZ369"/>
      <c r="DA369"/>
      <c r="DC369"/>
      <c r="DD369"/>
      <c r="DE369"/>
      <c r="DF369"/>
      <c r="DG369"/>
      <c r="DH369"/>
      <c r="DJ369"/>
      <c r="DK369"/>
      <c r="DL369"/>
      <c r="DM369"/>
      <c r="DN369"/>
      <c r="DO369"/>
      <c r="DQ369"/>
      <c r="DR369"/>
      <c r="DS369"/>
      <c r="DT369"/>
      <c r="DU369"/>
      <c r="DV369"/>
      <c r="DX369"/>
      <c r="DY369"/>
      <c r="DZ369"/>
      <c r="EA369"/>
      <c r="EB369"/>
      <c r="EC369"/>
      <c r="EE369"/>
      <c r="EF369"/>
      <c r="EG369"/>
      <c r="EH369"/>
      <c r="EI369"/>
      <c r="EJ369"/>
      <c r="EK369"/>
      <c r="EM369"/>
      <c r="EN369"/>
      <c r="EO369"/>
      <c r="EP369"/>
      <c r="EQ369"/>
      <c r="ER369"/>
      <c r="ES369"/>
      <c r="EU369"/>
      <c r="EV369"/>
      <c r="EW369"/>
      <c r="EX369"/>
      <c r="EY369"/>
      <c r="EZ369"/>
      <c r="FA369"/>
      <c r="FC369"/>
      <c r="FD369"/>
      <c r="FE369"/>
      <c r="FF369"/>
      <c r="FG369"/>
      <c r="FH369"/>
      <c r="FI369"/>
      <c r="FK369"/>
      <c r="FL369"/>
      <c r="FM369"/>
      <c r="FN369"/>
      <c r="FO369"/>
      <c r="FP369"/>
      <c r="FQ369"/>
      <c r="FS369"/>
      <c r="FT369"/>
      <c r="FU369"/>
      <c r="FV369"/>
      <c r="FW369"/>
      <c r="FX369"/>
      <c r="FY369"/>
      <c r="GA369"/>
      <c r="GB369"/>
      <c r="GC369"/>
      <c r="GD369"/>
      <c r="GE369"/>
      <c r="GF369"/>
      <c r="GG369"/>
      <c r="GI369"/>
      <c r="GJ369"/>
      <c r="GK369"/>
      <c r="GL369"/>
      <c r="GM369"/>
      <c r="GN369"/>
      <c r="GO369"/>
      <c r="YK369"/>
      <c r="YL369"/>
      <c r="YM369"/>
      <c r="YN369"/>
      <c r="YO369"/>
    </row>
    <row r="370" spans="75:665" x14ac:dyDescent="0.25">
      <c r="BW370"/>
      <c r="BX370"/>
      <c r="BY370"/>
      <c r="BZ370"/>
      <c r="CA370"/>
      <c r="CB370"/>
      <c r="CE370"/>
      <c r="CF370"/>
      <c r="CG370"/>
      <c r="CH370"/>
      <c r="CI370"/>
      <c r="CJ370"/>
      <c r="CK370"/>
      <c r="CM370"/>
      <c r="CN370"/>
      <c r="CO370"/>
      <c r="CP370"/>
      <c r="CQ370"/>
      <c r="CR370"/>
      <c r="CU370"/>
      <c r="CV370"/>
      <c r="CW370"/>
      <c r="CX370"/>
      <c r="CY370"/>
      <c r="CZ370"/>
      <c r="DA370"/>
      <c r="DC370"/>
      <c r="DD370"/>
      <c r="DE370"/>
      <c r="DF370"/>
      <c r="DG370"/>
      <c r="DH370"/>
      <c r="DJ370"/>
      <c r="DK370"/>
      <c r="DL370"/>
      <c r="DM370"/>
      <c r="DN370"/>
      <c r="DO370"/>
      <c r="DQ370"/>
      <c r="DR370"/>
      <c r="DS370"/>
      <c r="DT370"/>
      <c r="DU370"/>
      <c r="DV370"/>
      <c r="DX370"/>
      <c r="DY370"/>
      <c r="DZ370"/>
      <c r="EA370"/>
      <c r="EB370"/>
      <c r="EC370"/>
      <c r="EE370"/>
      <c r="EF370"/>
      <c r="EG370"/>
      <c r="EH370"/>
      <c r="EI370"/>
      <c r="EJ370"/>
      <c r="EK370"/>
      <c r="EM370"/>
      <c r="EN370"/>
      <c r="EO370"/>
      <c r="EP370"/>
      <c r="EQ370"/>
      <c r="ER370"/>
      <c r="ES370"/>
      <c r="EU370"/>
      <c r="EV370"/>
      <c r="EW370"/>
      <c r="EX370"/>
      <c r="EY370"/>
      <c r="EZ370"/>
      <c r="FA370"/>
      <c r="FC370"/>
      <c r="FD370"/>
      <c r="FE370"/>
      <c r="FF370"/>
      <c r="FG370"/>
      <c r="FH370"/>
      <c r="FI370"/>
      <c r="FK370"/>
      <c r="FL370"/>
      <c r="FM370"/>
      <c r="FN370"/>
      <c r="FO370"/>
      <c r="FP370"/>
      <c r="FQ370"/>
      <c r="FS370"/>
      <c r="FT370"/>
      <c r="FU370"/>
      <c r="FV370"/>
      <c r="FW370"/>
      <c r="FX370"/>
      <c r="FY370"/>
      <c r="GA370"/>
      <c r="GB370"/>
      <c r="GC370"/>
      <c r="GD370"/>
      <c r="GE370"/>
      <c r="GF370"/>
      <c r="GG370"/>
      <c r="GI370"/>
      <c r="GJ370"/>
      <c r="GK370"/>
      <c r="GL370"/>
      <c r="GM370"/>
      <c r="GN370"/>
      <c r="GO370"/>
      <c r="YK370"/>
      <c r="YL370"/>
      <c r="YM370"/>
      <c r="YN370"/>
      <c r="YO370"/>
    </row>
    <row r="371" spans="75:665" x14ac:dyDescent="0.25">
      <c r="BW371"/>
      <c r="BX371"/>
      <c r="BY371"/>
      <c r="BZ371"/>
      <c r="CA371"/>
      <c r="CB371"/>
      <c r="CE371"/>
      <c r="CF371"/>
      <c r="CG371"/>
      <c r="CH371"/>
      <c r="CI371"/>
      <c r="CJ371"/>
      <c r="CK371"/>
      <c r="CM371"/>
      <c r="CN371"/>
      <c r="CO371"/>
      <c r="CP371"/>
      <c r="CQ371"/>
      <c r="CR371"/>
      <c r="CU371"/>
      <c r="CV371"/>
      <c r="CW371"/>
      <c r="CX371"/>
      <c r="CY371"/>
      <c r="CZ371"/>
      <c r="DA371"/>
      <c r="DC371"/>
      <c r="DD371"/>
      <c r="DE371"/>
      <c r="DF371"/>
      <c r="DG371"/>
      <c r="DH371"/>
      <c r="DJ371"/>
      <c r="DK371"/>
      <c r="DL371"/>
      <c r="DM371"/>
      <c r="DN371"/>
      <c r="DO371"/>
      <c r="DQ371"/>
      <c r="DR371"/>
      <c r="DS371"/>
      <c r="DT371"/>
      <c r="DU371"/>
      <c r="DV371"/>
      <c r="DX371"/>
      <c r="DY371"/>
      <c r="DZ371"/>
      <c r="EA371"/>
      <c r="EB371"/>
      <c r="EC371"/>
      <c r="EE371"/>
      <c r="EF371"/>
      <c r="EG371"/>
      <c r="EH371"/>
      <c r="EI371"/>
      <c r="EJ371"/>
      <c r="EK371"/>
      <c r="EM371"/>
      <c r="EN371"/>
      <c r="EO371"/>
      <c r="EP371"/>
      <c r="EQ371"/>
      <c r="ER371"/>
      <c r="ES371"/>
      <c r="EU371"/>
      <c r="EV371"/>
      <c r="EW371"/>
      <c r="EX371"/>
      <c r="EY371"/>
      <c r="EZ371"/>
      <c r="FA371"/>
      <c r="FC371"/>
      <c r="FD371"/>
      <c r="FE371"/>
      <c r="FF371"/>
      <c r="FG371"/>
      <c r="FH371"/>
      <c r="FI371"/>
      <c r="FK371"/>
      <c r="FL371"/>
      <c r="FM371"/>
      <c r="FN371"/>
      <c r="FO371"/>
      <c r="FP371"/>
      <c r="FQ371"/>
      <c r="FS371"/>
      <c r="FT371"/>
      <c r="FU371"/>
      <c r="FV371"/>
      <c r="FW371"/>
      <c r="FX371"/>
      <c r="FY371"/>
      <c r="GA371"/>
      <c r="GB371"/>
      <c r="GC371"/>
      <c r="GD371"/>
      <c r="GE371"/>
      <c r="GF371"/>
      <c r="GG371"/>
      <c r="YK371"/>
      <c r="YL371"/>
      <c r="YM371"/>
      <c r="YN371"/>
      <c r="YO371"/>
    </row>
    <row r="372" spans="75:665" x14ac:dyDescent="0.25">
      <c r="BW372"/>
      <c r="BX372"/>
      <c r="BY372"/>
      <c r="BZ372"/>
      <c r="CA372"/>
      <c r="CB372"/>
      <c r="CE372"/>
      <c r="CF372"/>
      <c r="CG372"/>
      <c r="CH372"/>
      <c r="CI372"/>
      <c r="CJ372"/>
      <c r="CK372"/>
      <c r="CM372"/>
      <c r="CN372"/>
      <c r="CO372"/>
      <c r="CP372"/>
      <c r="CQ372"/>
      <c r="CR372"/>
      <c r="CU372"/>
      <c r="CV372"/>
      <c r="CW372"/>
      <c r="CX372"/>
      <c r="CY372"/>
      <c r="CZ372"/>
      <c r="DA372"/>
      <c r="DC372"/>
      <c r="DD372"/>
      <c r="DE372"/>
      <c r="DF372"/>
      <c r="DG372"/>
      <c r="DH372"/>
      <c r="DJ372"/>
      <c r="DK372"/>
      <c r="DL372"/>
      <c r="DM372"/>
      <c r="DN372"/>
      <c r="DO372"/>
      <c r="DQ372"/>
      <c r="DR372"/>
      <c r="DS372"/>
      <c r="DT372"/>
      <c r="DU372"/>
      <c r="DV372"/>
      <c r="DX372"/>
      <c r="DY372"/>
      <c r="DZ372"/>
      <c r="EA372"/>
      <c r="EB372"/>
      <c r="EC372"/>
      <c r="EE372"/>
      <c r="EF372"/>
      <c r="EG372"/>
      <c r="EH372"/>
      <c r="EI372"/>
      <c r="EJ372"/>
      <c r="EK372"/>
      <c r="EM372"/>
      <c r="EN372"/>
      <c r="EO372"/>
      <c r="EP372"/>
      <c r="EQ372"/>
      <c r="ER372"/>
      <c r="ES372"/>
      <c r="EU372"/>
      <c r="EV372"/>
      <c r="EW372"/>
      <c r="EX372"/>
      <c r="EY372"/>
      <c r="EZ372"/>
      <c r="FA372"/>
      <c r="FC372"/>
      <c r="FD372"/>
      <c r="FE372"/>
      <c r="FF372"/>
      <c r="FG372"/>
      <c r="FH372"/>
      <c r="FI372"/>
      <c r="YK372"/>
      <c r="YL372"/>
      <c r="YM372"/>
      <c r="YN372"/>
      <c r="YO372"/>
    </row>
    <row r="373" spans="75:665" x14ac:dyDescent="0.25">
      <c r="BW373"/>
      <c r="BX373"/>
      <c r="BY373"/>
      <c r="BZ373"/>
      <c r="CA373"/>
      <c r="CB373"/>
      <c r="CE373"/>
      <c r="CF373"/>
      <c r="CG373"/>
      <c r="CH373"/>
      <c r="CI373"/>
      <c r="CJ373"/>
      <c r="CK373"/>
      <c r="CM373"/>
      <c r="CN373"/>
      <c r="CO373"/>
      <c r="CP373"/>
      <c r="CQ373"/>
      <c r="CR373"/>
      <c r="CU373"/>
      <c r="CV373"/>
      <c r="CW373"/>
      <c r="CX373"/>
      <c r="CY373"/>
      <c r="CZ373"/>
      <c r="DA373"/>
      <c r="DC373"/>
      <c r="DD373"/>
      <c r="DE373"/>
      <c r="DF373"/>
      <c r="DG373"/>
      <c r="DH373"/>
      <c r="DJ373"/>
      <c r="DK373"/>
      <c r="DL373"/>
      <c r="DM373"/>
      <c r="DN373"/>
      <c r="DO373"/>
      <c r="DQ373"/>
      <c r="DR373"/>
      <c r="DS373"/>
      <c r="DT373"/>
      <c r="DU373"/>
      <c r="DV373"/>
      <c r="DX373"/>
      <c r="DY373"/>
      <c r="DZ373"/>
      <c r="EA373"/>
      <c r="EB373"/>
      <c r="EC373"/>
      <c r="EE373"/>
      <c r="EF373"/>
      <c r="EG373"/>
      <c r="EH373"/>
      <c r="EI373"/>
      <c r="EJ373"/>
      <c r="EK373"/>
      <c r="EM373"/>
      <c r="EN373"/>
      <c r="EO373"/>
      <c r="EP373"/>
      <c r="EQ373"/>
      <c r="ER373"/>
      <c r="ES373"/>
      <c r="EU373"/>
      <c r="EV373"/>
      <c r="EW373"/>
      <c r="EX373"/>
      <c r="EY373"/>
      <c r="EZ373"/>
      <c r="FA373"/>
      <c r="FC373"/>
      <c r="FD373"/>
      <c r="FE373"/>
      <c r="FF373"/>
      <c r="FG373"/>
      <c r="FH373"/>
      <c r="FI373"/>
      <c r="YK373"/>
      <c r="YL373"/>
      <c r="YM373"/>
      <c r="YN373"/>
      <c r="YO373"/>
    </row>
    <row r="374" spans="75:665" x14ac:dyDescent="0.25">
      <c r="BW374"/>
      <c r="BX374"/>
      <c r="BY374"/>
      <c r="BZ374"/>
      <c r="CA374"/>
      <c r="CB374"/>
      <c r="CE374"/>
      <c r="CF374"/>
      <c r="CG374"/>
      <c r="CH374"/>
      <c r="CI374"/>
      <c r="CJ374"/>
      <c r="CK374"/>
      <c r="CM374"/>
      <c r="CN374"/>
      <c r="CO374"/>
      <c r="CP374"/>
      <c r="CQ374"/>
      <c r="CR374"/>
      <c r="CU374"/>
      <c r="CV374"/>
      <c r="CW374"/>
      <c r="CX374"/>
      <c r="CY374"/>
      <c r="CZ374"/>
      <c r="DA374"/>
      <c r="DC374"/>
      <c r="DD374"/>
      <c r="DE374"/>
      <c r="DF374"/>
      <c r="DG374"/>
      <c r="DH374"/>
      <c r="DJ374"/>
      <c r="DK374"/>
      <c r="DL374"/>
      <c r="DM374"/>
      <c r="DN374"/>
      <c r="DO374"/>
      <c r="DQ374"/>
      <c r="DR374"/>
      <c r="DS374"/>
      <c r="DT374"/>
      <c r="DU374"/>
      <c r="DV374"/>
      <c r="DX374"/>
      <c r="DY374"/>
      <c r="DZ374"/>
      <c r="EA374"/>
      <c r="EB374"/>
      <c r="EC374"/>
      <c r="EE374"/>
      <c r="EF374"/>
      <c r="EG374"/>
      <c r="EH374"/>
      <c r="EI374"/>
      <c r="EJ374"/>
      <c r="EK374"/>
      <c r="EM374"/>
      <c r="EN374"/>
      <c r="EO374"/>
      <c r="EP374"/>
      <c r="EQ374"/>
      <c r="ER374"/>
      <c r="ES374"/>
      <c r="EU374"/>
      <c r="EV374"/>
      <c r="EW374"/>
      <c r="EX374"/>
      <c r="EY374"/>
      <c r="EZ374"/>
      <c r="FA374"/>
      <c r="FC374"/>
      <c r="FD374"/>
      <c r="FE374"/>
      <c r="FF374"/>
      <c r="FG374"/>
      <c r="FH374"/>
      <c r="FI374"/>
      <c r="YK374"/>
      <c r="YL374"/>
      <c r="YM374"/>
      <c r="YN374"/>
      <c r="YO374"/>
    </row>
    <row r="375" spans="75:665" x14ac:dyDescent="0.25">
      <c r="BW375"/>
      <c r="BX375"/>
      <c r="BY375"/>
      <c r="BZ375"/>
      <c r="CA375"/>
      <c r="CB375"/>
      <c r="CE375"/>
      <c r="CF375"/>
      <c r="CG375"/>
      <c r="CH375"/>
      <c r="CI375"/>
      <c r="CJ375"/>
      <c r="CK375"/>
      <c r="CM375"/>
      <c r="CN375"/>
      <c r="CO375"/>
      <c r="CP375"/>
      <c r="CQ375"/>
      <c r="CR375"/>
      <c r="CU375"/>
      <c r="CV375"/>
      <c r="CW375"/>
      <c r="CX375"/>
      <c r="CY375"/>
      <c r="CZ375"/>
      <c r="DA375"/>
      <c r="DC375"/>
      <c r="DD375"/>
      <c r="DE375"/>
      <c r="DF375"/>
      <c r="DG375"/>
      <c r="DH375"/>
      <c r="DJ375"/>
      <c r="DK375"/>
      <c r="DL375"/>
      <c r="DM375"/>
      <c r="DN375"/>
      <c r="DO375"/>
      <c r="DQ375"/>
      <c r="DR375"/>
      <c r="DS375"/>
      <c r="DT375"/>
      <c r="DU375"/>
      <c r="DV375"/>
      <c r="DX375"/>
      <c r="DY375"/>
      <c r="DZ375"/>
      <c r="EA375"/>
      <c r="EB375"/>
      <c r="EC375"/>
      <c r="EE375"/>
      <c r="EF375"/>
      <c r="EG375"/>
      <c r="EH375"/>
      <c r="EI375"/>
      <c r="EJ375"/>
      <c r="EK375"/>
      <c r="EM375"/>
      <c r="EN375"/>
      <c r="EO375"/>
      <c r="EP375"/>
      <c r="EQ375"/>
      <c r="ER375"/>
      <c r="ES375"/>
      <c r="EU375"/>
      <c r="EV375"/>
      <c r="EW375"/>
      <c r="EX375"/>
      <c r="EY375"/>
      <c r="EZ375"/>
      <c r="FA375"/>
      <c r="FC375"/>
      <c r="FD375"/>
      <c r="FE375"/>
      <c r="FF375"/>
      <c r="FG375"/>
      <c r="FH375"/>
      <c r="FI375"/>
      <c r="YK375"/>
      <c r="YL375"/>
      <c r="YM375"/>
      <c r="YN375"/>
      <c r="YO375"/>
    </row>
    <row r="376" spans="75:665" x14ac:dyDescent="0.25">
      <c r="BW376"/>
      <c r="BX376"/>
      <c r="BY376"/>
      <c r="BZ376"/>
      <c r="CA376"/>
      <c r="CB376"/>
      <c r="CE376"/>
      <c r="CF376"/>
      <c r="CG376"/>
      <c r="CH376"/>
      <c r="CI376"/>
      <c r="CJ376"/>
      <c r="CK376"/>
      <c r="CM376"/>
      <c r="CN376"/>
      <c r="CO376"/>
      <c r="CP376"/>
      <c r="CQ376"/>
      <c r="CR376"/>
      <c r="CU376"/>
      <c r="CV376"/>
      <c r="CW376"/>
      <c r="CX376"/>
      <c r="CY376"/>
      <c r="CZ376"/>
      <c r="DA376"/>
      <c r="DC376"/>
      <c r="DD376"/>
      <c r="DE376"/>
      <c r="DF376"/>
      <c r="DG376"/>
      <c r="DH376"/>
      <c r="DJ376"/>
      <c r="DK376"/>
      <c r="DL376"/>
      <c r="DM376"/>
      <c r="DN376"/>
      <c r="DO376"/>
      <c r="DQ376"/>
      <c r="DR376"/>
      <c r="DS376"/>
      <c r="DT376"/>
      <c r="DU376"/>
      <c r="DV376"/>
      <c r="DX376"/>
      <c r="DY376"/>
      <c r="DZ376"/>
      <c r="EA376"/>
      <c r="EB376"/>
      <c r="EC376"/>
      <c r="EE376"/>
      <c r="EF376"/>
      <c r="EG376"/>
      <c r="EH376"/>
      <c r="EI376"/>
      <c r="EJ376"/>
      <c r="EK376"/>
      <c r="EM376"/>
      <c r="EN376"/>
      <c r="EO376"/>
      <c r="EP376"/>
      <c r="EQ376"/>
      <c r="ER376"/>
      <c r="ES376"/>
      <c r="EU376"/>
      <c r="EV376"/>
      <c r="EW376"/>
      <c r="EX376"/>
      <c r="EY376"/>
      <c r="EZ376"/>
      <c r="FA376"/>
      <c r="FC376"/>
      <c r="FD376"/>
      <c r="FE376"/>
      <c r="FF376"/>
      <c r="FG376"/>
      <c r="FH376"/>
      <c r="FI376"/>
      <c r="YK376"/>
      <c r="YL376"/>
      <c r="YM376"/>
      <c r="YN376"/>
      <c r="YO376"/>
    </row>
    <row r="377" spans="75:665" x14ac:dyDescent="0.25">
      <c r="BW377"/>
      <c r="BX377"/>
      <c r="BY377"/>
      <c r="BZ377"/>
      <c r="CA377"/>
      <c r="CB377"/>
      <c r="CE377"/>
      <c r="CF377"/>
      <c r="CG377"/>
      <c r="CH377"/>
      <c r="CI377"/>
      <c r="CJ377"/>
      <c r="CK377"/>
      <c r="CM377"/>
      <c r="CN377"/>
      <c r="CO377"/>
      <c r="CP377"/>
      <c r="CQ377"/>
      <c r="CR377"/>
      <c r="CU377"/>
      <c r="CV377"/>
      <c r="CW377"/>
      <c r="CX377"/>
      <c r="CY377"/>
      <c r="CZ377"/>
      <c r="DA377"/>
      <c r="DC377"/>
      <c r="DD377"/>
      <c r="DE377"/>
      <c r="DF377"/>
      <c r="DG377"/>
      <c r="DH377"/>
      <c r="DJ377"/>
      <c r="DK377"/>
      <c r="DL377"/>
      <c r="DM377"/>
      <c r="DN377"/>
      <c r="DO377"/>
      <c r="DQ377"/>
      <c r="DR377"/>
      <c r="DS377"/>
      <c r="DT377"/>
      <c r="DU377"/>
      <c r="DV377"/>
      <c r="DX377"/>
      <c r="DY377"/>
      <c r="DZ377"/>
      <c r="EA377"/>
      <c r="EB377"/>
      <c r="EC377"/>
      <c r="EE377"/>
      <c r="EF377"/>
      <c r="EG377"/>
      <c r="EH377"/>
      <c r="EI377"/>
      <c r="EJ377"/>
      <c r="EK377"/>
      <c r="EM377"/>
      <c r="EN377"/>
      <c r="EO377"/>
      <c r="EP377"/>
      <c r="EQ377"/>
      <c r="ER377"/>
      <c r="ES377"/>
      <c r="EU377"/>
      <c r="EV377"/>
      <c r="EW377"/>
      <c r="EX377"/>
      <c r="EY377"/>
      <c r="EZ377"/>
      <c r="FA377"/>
      <c r="FC377"/>
      <c r="FD377"/>
      <c r="FE377"/>
      <c r="FF377"/>
      <c r="FG377"/>
      <c r="FH377"/>
      <c r="FI377"/>
      <c r="YK377"/>
      <c r="YL377"/>
      <c r="YM377"/>
      <c r="YN377"/>
      <c r="YO377"/>
    </row>
    <row r="378" spans="75:665" x14ac:dyDescent="0.25">
      <c r="BW378"/>
      <c r="BX378"/>
      <c r="BY378"/>
      <c r="BZ378"/>
      <c r="CA378"/>
      <c r="CB378"/>
      <c r="CE378"/>
      <c r="CF378"/>
      <c r="CG378"/>
      <c r="CH378"/>
      <c r="CI378"/>
      <c r="CJ378"/>
      <c r="CK378"/>
      <c r="CM378"/>
      <c r="CN378"/>
      <c r="CO378"/>
      <c r="CP378"/>
      <c r="CQ378"/>
      <c r="CR378"/>
      <c r="CU378"/>
      <c r="CV378"/>
      <c r="CW378"/>
      <c r="CX378"/>
      <c r="CY378"/>
      <c r="CZ378"/>
      <c r="DA378"/>
      <c r="DC378"/>
      <c r="DD378"/>
      <c r="DE378"/>
      <c r="DF378"/>
      <c r="DG378"/>
      <c r="DH378"/>
      <c r="DJ378"/>
      <c r="DK378"/>
      <c r="DL378"/>
      <c r="DM378"/>
      <c r="DN378"/>
      <c r="DO378"/>
      <c r="DQ378"/>
      <c r="DR378"/>
      <c r="DS378"/>
      <c r="DT378"/>
      <c r="DU378"/>
      <c r="DV378"/>
      <c r="DX378"/>
      <c r="DY378"/>
      <c r="DZ378"/>
      <c r="EA378"/>
      <c r="EB378"/>
      <c r="EC378"/>
      <c r="EE378"/>
      <c r="EF378"/>
      <c r="EG378"/>
      <c r="EH378"/>
      <c r="EI378"/>
      <c r="EJ378"/>
      <c r="EK378"/>
      <c r="EM378"/>
      <c r="EN378"/>
      <c r="EO378"/>
      <c r="EP378"/>
      <c r="EQ378"/>
      <c r="ER378"/>
      <c r="ES378"/>
      <c r="EU378"/>
      <c r="EV378"/>
      <c r="EW378"/>
      <c r="EX378"/>
      <c r="EY378"/>
      <c r="EZ378"/>
      <c r="FA378"/>
      <c r="FC378"/>
      <c r="FD378"/>
      <c r="FE378"/>
      <c r="FF378"/>
      <c r="FG378"/>
      <c r="FH378"/>
      <c r="FI378"/>
      <c r="YK378"/>
      <c r="YL378"/>
      <c r="YM378"/>
      <c r="YN378"/>
      <c r="YO378"/>
    </row>
    <row r="379" spans="75:665" x14ac:dyDescent="0.25">
      <c r="BW379"/>
      <c r="BX379"/>
      <c r="BY379"/>
      <c r="BZ379"/>
      <c r="CA379"/>
      <c r="CB379"/>
      <c r="CE379"/>
      <c r="CF379"/>
      <c r="CG379"/>
      <c r="CH379"/>
      <c r="CI379"/>
      <c r="CJ379"/>
      <c r="CK379"/>
      <c r="CM379"/>
      <c r="CN379"/>
      <c r="CO379"/>
      <c r="CP379"/>
      <c r="CQ379"/>
      <c r="CR379"/>
      <c r="CU379"/>
      <c r="CV379"/>
      <c r="CW379"/>
      <c r="CX379"/>
      <c r="CY379"/>
      <c r="CZ379"/>
      <c r="DA379"/>
      <c r="DC379"/>
      <c r="DD379"/>
      <c r="DE379"/>
      <c r="DF379"/>
      <c r="DG379"/>
      <c r="DH379"/>
      <c r="DJ379"/>
      <c r="DK379"/>
      <c r="DL379"/>
      <c r="DM379"/>
      <c r="DN379"/>
      <c r="DO379"/>
      <c r="DQ379"/>
      <c r="DR379"/>
      <c r="DS379"/>
      <c r="DT379"/>
      <c r="DU379"/>
      <c r="DV379"/>
      <c r="DX379"/>
      <c r="DY379"/>
      <c r="DZ379"/>
      <c r="EA379"/>
      <c r="EB379"/>
      <c r="EC379"/>
      <c r="EE379"/>
      <c r="EF379"/>
      <c r="EG379"/>
      <c r="EH379"/>
      <c r="EI379"/>
      <c r="EJ379"/>
      <c r="EK379"/>
      <c r="EM379"/>
      <c r="EN379"/>
      <c r="EO379"/>
      <c r="EP379"/>
      <c r="EQ379"/>
      <c r="ER379"/>
      <c r="ES379"/>
      <c r="EU379"/>
      <c r="EV379"/>
      <c r="EW379"/>
      <c r="EX379"/>
      <c r="EY379"/>
      <c r="EZ379"/>
      <c r="FA379"/>
      <c r="FC379"/>
      <c r="FD379"/>
      <c r="FE379"/>
      <c r="FF379"/>
      <c r="FG379"/>
      <c r="FH379"/>
      <c r="FI379"/>
      <c r="YK379"/>
      <c r="YL379"/>
      <c r="YM379"/>
      <c r="YN379"/>
      <c r="YO379"/>
    </row>
    <row r="380" spans="75:665" x14ac:dyDescent="0.25">
      <c r="BW380"/>
      <c r="BX380"/>
      <c r="BY380"/>
      <c r="BZ380"/>
      <c r="CA380"/>
      <c r="CB380"/>
      <c r="CE380"/>
      <c r="CF380"/>
      <c r="CG380"/>
      <c r="CH380"/>
      <c r="CI380"/>
      <c r="CJ380"/>
      <c r="CK380"/>
      <c r="CM380"/>
      <c r="CN380"/>
      <c r="CO380"/>
      <c r="CP380"/>
      <c r="CQ380"/>
      <c r="CR380"/>
      <c r="CU380"/>
      <c r="CV380"/>
      <c r="CW380"/>
      <c r="CX380"/>
      <c r="CY380"/>
      <c r="CZ380"/>
      <c r="DA380"/>
      <c r="DC380"/>
      <c r="DD380"/>
      <c r="DE380"/>
      <c r="DF380"/>
      <c r="DG380"/>
      <c r="DH380"/>
      <c r="DJ380"/>
      <c r="DK380"/>
      <c r="DL380"/>
      <c r="DM380"/>
      <c r="DN380"/>
      <c r="DO380"/>
      <c r="DQ380"/>
      <c r="DR380"/>
      <c r="DS380"/>
      <c r="DT380"/>
      <c r="DU380"/>
      <c r="DV380"/>
      <c r="DX380"/>
      <c r="DY380"/>
      <c r="DZ380"/>
      <c r="EA380"/>
      <c r="EB380"/>
      <c r="EC380"/>
      <c r="EE380"/>
      <c r="EF380"/>
      <c r="EG380"/>
      <c r="EH380"/>
      <c r="EI380"/>
      <c r="EJ380"/>
      <c r="EK380"/>
      <c r="EM380"/>
      <c r="EN380"/>
      <c r="EO380"/>
      <c r="EP380"/>
      <c r="EQ380"/>
      <c r="ER380"/>
      <c r="ES380"/>
      <c r="EU380"/>
      <c r="EV380"/>
      <c r="EW380"/>
      <c r="EX380"/>
      <c r="EY380"/>
      <c r="EZ380"/>
      <c r="FA380"/>
      <c r="FC380"/>
      <c r="FD380"/>
      <c r="FE380"/>
      <c r="FF380"/>
      <c r="FG380"/>
      <c r="FH380"/>
      <c r="FI380"/>
      <c r="YK380"/>
      <c r="YL380"/>
      <c r="YM380"/>
      <c r="YN380"/>
      <c r="YO380"/>
    </row>
    <row r="381" spans="75:665" x14ac:dyDescent="0.25">
      <c r="EE381"/>
      <c r="EF381"/>
      <c r="EG381"/>
      <c r="EH381"/>
      <c r="EI381"/>
      <c r="EJ381"/>
      <c r="EK381"/>
      <c r="EM381"/>
      <c r="EN381"/>
      <c r="EO381"/>
      <c r="EP381"/>
      <c r="EQ381"/>
      <c r="ER381"/>
      <c r="ES381"/>
      <c r="EU381"/>
      <c r="EV381"/>
      <c r="EW381"/>
      <c r="EX381"/>
      <c r="EY381"/>
      <c r="EZ381"/>
      <c r="FA381"/>
      <c r="FC381"/>
      <c r="FD381"/>
      <c r="FE381"/>
      <c r="FF381"/>
      <c r="FG381"/>
      <c r="FH381"/>
      <c r="FI381"/>
    </row>
    <row r="382" spans="75:665" x14ac:dyDescent="0.25">
      <c r="EE382"/>
      <c r="EF382"/>
      <c r="EG382"/>
      <c r="EH382"/>
      <c r="EI382"/>
      <c r="EJ382"/>
      <c r="EK382"/>
      <c r="EM382"/>
      <c r="EN382"/>
      <c r="EO382"/>
      <c r="EP382"/>
      <c r="EQ382"/>
      <c r="ER382"/>
      <c r="ES382"/>
      <c r="EU382"/>
      <c r="EV382"/>
      <c r="EW382"/>
      <c r="EX382"/>
      <c r="EY382"/>
      <c r="EZ382"/>
      <c r="FA382"/>
      <c r="FC382"/>
      <c r="FD382"/>
      <c r="FE382"/>
      <c r="FF382"/>
      <c r="FG382"/>
      <c r="FH382"/>
      <c r="FI382"/>
    </row>
    <row r="383" spans="75:665" x14ac:dyDescent="0.25">
      <c r="EE383"/>
      <c r="EF383"/>
      <c r="EG383"/>
      <c r="EH383"/>
      <c r="EI383"/>
      <c r="EJ383"/>
      <c r="EK383"/>
      <c r="EM383"/>
      <c r="EN383"/>
      <c r="EO383"/>
      <c r="EP383"/>
      <c r="EQ383"/>
      <c r="ER383"/>
      <c r="ES383"/>
      <c r="EU383"/>
      <c r="EV383"/>
      <c r="EW383"/>
      <c r="EX383"/>
      <c r="EY383"/>
      <c r="EZ383"/>
      <c r="FA383"/>
      <c r="FC383"/>
      <c r="FD383"/>
      <c r="FE383"/>
      <c r="FF383"/>
      <c r="FG383"/>
      <c r="FH383"/>
      <c r="FI383"/>
    </row>
    <row r="384" spans="75:665" x14ac:dyDescent="0.25">
      <c r="EE384"/>
      <c r="EF384"/>
      <c r="EG384"/>
      <c r="EH384"/>
      <c r="EI384"/>
      <c r="EJ384"/>
      <c r="EK384"/>
      <c r="EM384"/>
      <c r="EN384"/>
      <c r="EO384"/>
      <c r="EP384"/>
      <c r="EQ384"/>
      <c r="ER384"/>
      <c r="ES384"/>
      <c r="EU384"/>
      <c r="EV384"/>
      <c r="EW384"/>
      <c r="EX384"/>
      <c r="EY384"/>
      <c r="EZ384"/>
      <c r="FA384"/>
      <c r="FC384"/>
      <c r="FD384"/>
      <c r="FE384"/>
      <c r="FF384"/>
      <c r="FG384"/>
      <c r="FH384"/>
      <c r="FI384"/>
    </row>
    <row r="385" spans="135:165" x14ac:dyDescent="0.25">
      <c r="EE385"/>
      <c r="EF385"/>
      <c r="EG385"/>
      <c r="EH385"/>
      <c r="EI385"/>
      <c r="EJ385"/>
      <c r="EK385"/>
      <c r="EM385"/>
      <c r="EN385"/>
      <c r="EO385"/>
      <c r="EP385"/>
      <c r="EQ385"/>
      <c r="ER385"/>
      <c r="ES385"/>
      <c r="EU385"/>
      <c r="EV385"/>
      <c r="EW385"/>
      <c r="EX385"/>
      <c r="EY385"/>
      <c r="EZ385"/>
      <c r="FA385"/>
      <c r="FC385"/>
      <c r="FD385"/>
      <c r="FE385"/>
      <c r="FF385"/>
      <c r="FG385"/>
      <c r="FH385"/>
      <c r="FI385"/>
    </row>
    <row r="386" spans="135:165" x14ac:dyDescent="0.25">
      <c r="EE386"/>
      <c r="EF386"/>
      <c r="EG386"/>
      <c r="EH386"/>
      <c r="EI386"/>
      <c r="EJ386"/>
      <c r="EK386"/>
      <c r="EM386"/>
      <c r="EN386"/>
      <c r="EO386"/>
      <c r="EP386"/>
      <c r="EQ386"/>
      <c r="ER386"/>
      <c r="ES386"/>
      <c r="EU386"/>
      <c r="EV386"/>
      <c r="EW386"/>
      <c r="EX386"/>
      <c r="EY386"/>
      <c r="EZ386"/>
      <c r="FA386"/>
      <c r="FC386"/>
      <c r="FD386"/>
      <c r="FE386"/>
      <c r="FF386"/>
      <c r="FG386"/>
      <c r="FH386"/>
      <c r="FI386"/>
    </row>
    <row r="387" spans="135:165" x14ac:dyDescent="0.25">
      <c r="EE387"/>
      <c r="EF387"/>
      <c r="EG387"/>
      <c r="EH387"/>
      <c r="EI387"/>
      <c r="EJ387"/>
      <c r="EK387"/>
      <c r="EM387"/>
      <c r="EN387"/>
      <c r="EO387"/>
      <c r="EP387"/>
      <c r="EQ387"/>
      <c r="ER387"/>
      <c r="ES387"/>
      <c r="EU387"/>
      <c r="EV387"/>
      <c r="EW387"/>
      <c r="EX387"/>
      <c r="EY387"/>
      <c r="EZ387"/>
      <c r="FA387"/>
      <c r="FC387"/>
      <c r="FD387"/>
      <c r="FE387"/>
      <c r="FF387"/>
      <c r="FG387"/>
      <c r="FH387"/>
      <c r="FI387"/>
    </row>
    <row r="388" spans="135:165" x14ac:dyDescent="0.25">
      <c r="EE388"/>
      <c r="EF388"/>
      <c r="EG388"/>
      <c r="EH388"/>
      <c r="EI388"/>
      <c r="EJ388"/>
      <c r="EK388"/>
      <c r="EM388"/>
      <c r="EN388"/>
      <c r="EO388"/>
      <c r="EP388"/>
      <c r="EQ388"/>
      <c r="ER388"/>
      <c r="ES388"/>
      <c r="EU388"/>
      <c r="EV388"/>
      <c r="EW388"/>
      <c r="EX388"/>
      <c r="EY388"/>
      <c r="EZ388"/>
      <c r="FA388"/>
      <c r="FC388"/>
      <c r="FD388"/>
      <c r="FE388"/>
      <c r="FF388"/>
      <c r="FG388"/>
      <c r="FH388"/>
      <c r="FI388"/>
    </row>
    <row r="389" spans="135:165" x14ac:dyDescent="0.25">
      <c r="EE389"/>
      <c r="EF389"/>
      <c r="EG389"/>
      <c r="EH389"/>
      <c r="EI389"/>
      <c r="EJ389"/>
      <c r="EK389"/>
      <c r="EM389"/>
      <c r="EN389"/>
      <c r="EO389"/>
      <c r="EP389"/>
      <c r="EQ389"/>
      <c r="ER389"/>
      <c r="ES389"/>
      <c r="EU389"/>
      <c r="EV389"/>
      <c r="EW389"/>
      <c r="EX389"/>
      <c r="EY389"/>
      <c r="EZ389"/>
      <c r="FA389"/>
      <c r="FC389"/>
      <c r="FD389"/>
      <c r="FE389"/>
      <c r="FF389"/>
      <c r="FG389"/>
      <c r="FH389"/>
      <c r="FI389"/>
    </row>
    <row r="390" spans="135:165" x14ac:dyDescent="0.25">
      <c r="EE390"/>
      <c r="EF390"/>
      <c r="EG390"/>
      <c r="EH390"/>
      <c r="EI390"/>
      <c r="EJ390"/>
      <c r="EK390"/>
      <c r="EM390"/>
      <c r="EN390"/>
      <c r="EO390"/>
      <c r="EP390"/>
      <c r="EQ390"/>
      <c r="ER390"/>
      <c r="ES390"/>
      <c r="EU390"/>
      <c r="EV390"/>
      <c r="EW390"/>
      <c r="EX390"/>
      <c r="EY390"/>
      <c r="EZ390"/>
      <c r="FA390"/>
      <c r="FC390"/>
      <c r="FD390"/>
      <c r="FE390"/>
      <c r="FF390"/>
      <c r="FG390"/>
      <c r="FH390"/>
      <c r="FI390"/>
    </row>
    <row r="391" spans="135:165" x14ac:dyDescent="0.25">
      <c r="EE391"/>
      <c r="EF391"/>
      <c r="EG391"/>
      <c r="EH391"/>
      <c r="EI391"/>
      <c r="EJ391"/>
      <c r="EK391"/>
      <c r="EM391"/>
      <c r="EN391"/>
      <c r="EO391"/>
      <c r="EP391"/>
      <c r="EQ391"/>
      <c r="ER391"/>
      <c r="ES391"/>
      <c r="EU391"/>
      <c r="EV391"/>
      <c r="EW391"/>
      <c r="EX391"/>
      <c r="EY391"/>
      <c r="EZ391"/>
      <c r="FA391"/>
      <c r="FC391"/>
      <c r="FD391"/>
      <c r="FE391"/>
      <c r="FF391"/>
      <c r="FG391"/>
      <c r="FH391"/>
      <c r="FI391"/>
    </row>
    <row r="392" spans="135:165" x14ac:dyDescent="0.25">
      <c r="EE392"/>
      <c r="EF392"/>
      <c r="EG392"/>
      <c r="EH392"/>
      <c r="EI392"/>
      <c r="EJ392"/>
      <c r="EK392"/>
      <c r="EM392"/>
      <c r="EN392"/>
      <c r="EO392"/>
      <c r="EP392"/>
      <c r="EQ392"/>
      <c r="ER392"/>
      <c r="ES392"/>
      <c r="EU392"/>
      <c r="EV392"/>
      <c r="EW392"/>
      <c r="EX392"/>
      <c r="EY392"/>
      <c r="EZ392"/>
      <c r="FA392"/>
      <c r="FC392"/>
      <c r="FD392"/>
      <c r="FE392"/>
      <c r="FF392"/>
      <c r="FG392"/>
      <c r="FH392"/>
      <c r="FI392"/>
    </row>
    <row r="393" spans="135:165" x14ac:dyDescent="0.25">
      <c r="EE393"/>
      <c r="EF393"/>
      <c r="EG393"/>
      <c r="EH393"/>
      <c r="EI393"/>
      <c r="EJ393"/>
      <c r="EK393"/>
      <c r="EM393"/>
      <c r="EN393"/>
      <c r="EO393"/>
      <c r="EP393"/>
      <c r="EQ393"/>
      <c r="ER393"/>
      <c r="ES393"/>
      <c r="EU393"/>
      <c r="EV393"/>
      <c r="EW393"/>
      <c r="EX393"/>
      <c r="EY393"/>
      <c r="EZ393"/>
      <c r="FA393"/>
      <c r="FC393"/>
      <c r="FD393"/>
      <c r="FE393"/>
      <c r="FF393"/>
      <c r="FG393"/>
      <c r="FH393"/>
      <c r="FI393"/>
    </row>
    <row r="394" spans="135:165" x14ac:dyDescent="0.25">
      <c r="EE394"/>
      <c r="EF394"/>
      <c r="EG394"/>
      <c r="EH394"/>
      <c r="EI394"/>
      <c r="EJ394"/>
      <c r="EK394"/>
      <c r="EM394"/>
      <c r="EN394"/>
      <c r="EO394"/>
      <c r="EP394"/>
      <c r="EQ394"/>
      <c r="ER394"/>
      <c r="ES394"/>
      <c r="EU394"/>
      <c r="EV394"/>
      <c r="EW394"/>
      <c r="EX394"/>
      <c r="EY394"/>
      <c r="EZ394"/>
      <c r="FA394"/>
      <c r="FC394"/>
      <c r="FD394"/>
      <c r="FE394"/>
      <c r="FF394"/>
      <c r="FG394"/>
      <c r="FH394"/>
      <c r="FI394"/>
    </row>
    <row r="395" spans="135:165" x14ac:dyDescent="0.25">
      <c r="EE395"/>
      <c r="EF395"/>
      <c r="EG395"/>
      <c r="EH395"/>
      <c r="EI395"/>
      <c r="EJ395"/>
      <c r="EK395"/>
      <c r="EM395"/>
      <c r="EN395"/>
      <c r="EO395"/>
      <c r="EP395"/>
      <c r="EQ395"/>
      <c r="ER395"/>
      <c r="ES395"/>
      <c r="EU395"/>
      <c r="EV395"/>
      <c r="EW395"/>
      <c r="EX395"/>
      <c r="EY395"/>
      <c r="EZ395"/>
      <c r="FA395"/>
      <c r="FC395"/>
      <c r="FD395"/>
      <c r="FE395"/>
      <c r="FF395"/>
      <c r="FG395"/>
      <c r="FH395"/>
      <c r="FI395"/>
    </row>
    <row r="396" spans="135:165" x14ac:dyDescent="0.25">
      <c r="EE396"/>
      <c r="EF396"/>
      <c r="EG396"/>
      <c r="EH396"/>
      <c r="EI396"/>
      <c r="EJ396"/>
      <c r="EK396"/>
      <c r="EM396"/>
      <c r="EN396"/>
      <c r="EO396"/>
      <c r="EP396"/>
      <c r="EQ396"/>
      <c r="ER396"/>
      <c r="ES396"/>
      <c r="EU396"/>
      <c r="EV396"/>
      <c r="EW396"/>
      <c r="EX396"/>
      <c r="EY396"/>
      <c r="EZ396"/>
      <c r="FA396"/>
      <c r="FC396"/>
      <c r="FD396"/>
      <c r="FE396"/>
      <c r="FF396"/>
      <c r="FG396"/>
      <c r="FH396"/>
      <c r="FI396"/>
    </row>
    <row r="397" spans="135:165" x14ac:dyDescent="0.25">
      <c r="EE397"/>
      <c r="EF397"/>
      <c r="EG397"/>
      <c r="EH397"/>
      <c r="EI397"/>
      <c r="EJ397"/>
      <c r="EK397"/>
      <c r="EM397"/>
      <c r="EN397"/>
      <c r="EO397"/>
      <c r="EP397"/>
      <c r="EQ397"/>
      <c r="ER397"/>
      <c r="ES397"/>
      <c r="EU397"/>
      <c r="EV397"/>
      <c r="EW397"/>
      <c r="EX397"/>
      <c r="EY397"/>
      <c r="EZ397"/>
      <c r="FA397"/>
      <c r="FC397"/>
      <c r="FD397"/>
      <c r="FE397"/>
      <c r="FF397"/>
      <c r="FG397"/>
      <c r="FH397"/>
      <c r="FI397"/>
    </row>
    <row r="398" spans="135:165" x14ac:dyDescent="0.25">
      <c r="EE398"/>
      <c r="EF398"/>
      <c r="EG398"/>
      <c r="EH398"/>
      <c r="EI398"/>
      <c r="EJ398"/>
      <c r="EK398"/>
      <c r="EM398"/>
      <c r="EN398"/>
      <c r="EO398"/>
      <c r="EP398"/>
      <c r="EQ398"/>
      <c r="ER398"/>
      <c r="ES398"/>
      <c r="EU398"/>
      <c r="EV398"/>
      <c r="EW398"/>
      <c r="EX398"/>
      <c r="EY398"/>
      <c r="EZ398"/>
      <c r="FA398"/>
      <c r="FC398"/>
      <c r="FD398"/>
      <c r="FE398"/>
      <c r="FF398"/>
      <c r="FG398"/>
      <c r="FH398"/>
      <c r="FI398"/>
    </row>
    <row r="399" spans="135:165" x14ac:dyDescent="0.25">
      <c r="EE399"/>
      <c r="EF399"/>
      <c r="EG399"/>
      <c r="EH399"/>
      <c r="EI399"/>
      <c r="EJ399"/>
      <c r="EK399"/>
      <c r="EM399"/>
      <c r="EN399"/>
      <c r="EO399"/>
      <c r="EP399"/>
      <c r="EQ399"/>
      <c r="ER399"/>
      <c r="ES399"/>
      <c r="EU399"/>
      <c r="EV399"/>
      <c r="EW399"/>
      <c r="EX399"/>
      <c r="EY399"/>
      <c r="EZ399"/>
      <c r="FA399"/>
      <c r="FC399"/>
      <c r="FD399"/>
      <c r="FE399"/>
      <c r="FF399"/>
      <c r="FG399"/>
      <c r="FH399"/>
      <c r="FI399"/>
    </row>
    <row r="400" spans="135:165" x14ac:dyDescent="0.25">
      <c r="EE400"/>
      <c r="EF400"/>
      <c r="EG400"/>
      <c r="EH400"/>
      <c r="EI400"/>
      <c r="EJ400"/>
      <c r="EK400"/>
      <c r="EM400"/>
      <c r="EN400"/>
      <c r="EO400"/>
      <c r="EP400"/>
      <c r="EQ400"/>
      <c r="ER400"/>
      <c r="ES400"/>
      <c r="EU400"/>
      <c r="EV400"/>
      <c r="EW400"/>
      <c r="EX400"/>
      <c r="EY400"/>
      <c r="EZ400"/>
      <c r="FA400"/>
      <c r="FC400"/>
      <c r="FD400"/>
      <c r="FE400"/>
      <c r="FF400"/>
      <c r="FG400"/>
      <c r="FH400"/>
      <c r="FI400"/>
    </row>
    <row r="401" spans="135:165" x14ac:dyDescent="0.25">
      <c r="EE401"/>
      <c r="EF401"/>
      <c r="EG401"/>
      <c r="EH401"/>
      <c r="EI401"/>
      <c r="EJ401"/>
      <c r="EK401"/>
      <c r="EM401"/>
      <c r="EN401"/>
      <c r="EO401"/>
      <c r="EP401"/>
      <c r="EQ401"/>
      <c r="ER401"/>
      <c r="ES401"/>
      <c r="EU401"/>
      <c r="EV401"/>
      <c r="EW401"/>
      <c r="EX401"/>
      <c r="EY401"/>
      <c r="EZ401"/>
      <c r="FA401"/>
      <c r="FC401"/>
      <c r="FD401"/>
      <c r="FE401"/>
      <c r="FF401"/>
      <c r="FG401"/>
      <c r="FH401"/>
      <c r="FI401"/>
    </row>
    <row r="402" spans="135:165" x14ac:dyDescent="0.25">
      <c r="EE402"/>
      <c r="EF402"/>
      <c r="EG402"/>
      <c r="EH402"/>
      <c r="EI402"/>
      <c r="EJ402"/>
      <c r="EK402"/>
      <c r="EM402"/>
      <c r="EN402"/>
      <c r="EO402"/>
      <c r="EP402"/>
      <c r="EQ402"/>
      <c r="ER402"/>
      <c r="ES402"/>
      <c r="EU402"/>
      <c r="EV402"/>
      <c r="EW402"/>
      <c r="EX402"/>
      <c r="EY402"/>
      <c r="EZ402"/>
      <c r="FA402"/>
      <c r="FC402"/>
      <c r="FD402"/>
      <c r="FE402"/>
      <c r="FF402"/>
      <c r="FG402"/>
      <c r="FH402"/>
      <c r="FI402"/>
    </row>
    <row r="403" spans="135:165" x14ac:dyDescent="0.25">
      <c r="EE403"/>
      <c r="EF403"/>
      <c r="EG403"/>
      <c r="EH403"/>
      <c r="EI403"/>
      <c r="EJ403"/>
      <c r="EK403"/>
      <c r="EM403"/>
      <c r="EN403"/>
      <c r="EO403"/>
      <c r="EP403"/>
      <c r="EQ403"/>
      <c r="ER403"/>
      <c r="ES403"/>
      <c r="EU403"/>
      <c r="EV403"/>
      <c r="EW403"/>
      <c r="EX403"/>
      <c r="EY403"/>
      <c r="EZ403"/>
      <c r="FA403"/>
      <c r="FC403"/>
      <c r="FD403"/>
      <c r="FE403"/>
      <c r="FF403"/>
      <c r="FG403"/>
      <c r="FH403"/>
      <c r="FI403"/>
    </row>
    <row r="404" spans="135:165" x14ac:dyDescent="0.25">
      <c r="EE404"/>
      <c r="EF404"/>
      <c r="EG404"/>
      <c r="EH404"/>
      <c r="EI404"/>
      <c r="EJ404"/>
      <c r="EK404"/>
      <c r="EM404"/>
      <c r="EN404"/>
      <c r="EO404"/>
      <c r="EP404"/>
      <c r="EQ404"/>
      <c r="ER404"/>
      <c r="ES404"/>
      <c r="EU404"/>
      <c r="EV404"/>
      <c r="EW404"/>
      <c r="EX404"/>
      <c r="EY404"/>
      <c r="EZ404"/>
      <c r="FA404"/>
      <c r="FC404"/>
      <c r="FD404"/>
      <c r="FE404"/>
      <c r="FF404"/>
      <c r="FG404"/>
      <c r="FH404"/>
      <c r="FI404"/>
    </row>
    <row r="405" spans="135:165" x14ac:dyDescent="0.25">
      <c r="EE405"/>
      <c r="EF405"/>
      <c r="EG405"/>
      <c r="EH405"/>
      <c r="EI405"/>
      <c r="EJ405"/>
      <c r="EK405"/>
      <c r="EM405"/>
      <c r="EN405"/>
      <c r="EO405"/>
      <c r="EP405"/>
      <c r="EQ405"/>
      <c r="ER405"/>
      <c r="ES405"/>
      <c r="EU405"/>
      <c r="EV405"/>
      <c r="EW405"/>
      <c r="EX405"/>
      <c r="EY405"/>
      <c r="EZ405"/>
      <c r="FA405"/>
      <c r="FC405"/>
      <c r="FD405"/>
      <c r="FE405"/>
      <c r="FF405"/>
      <c r="FG405"/>
      <c r="FH405"/>
      <c r="FI405"/>
    </row>
    <row r="406" spans="135:165" x14ac:dyDescent="0.25">
      <c r="EE406"/>
      <c r="EF406"/>
      <c r="EG406"/>
      <c r="EH406"/>
      <c r="EI406"/>
      <c r="EJ406"/>
      <c r="EK406"/>
      <c r="EM406"/>
      <c r="EN406"/>
      <c r="EO406"/>
      <c r="EP406"/>
      <c r="EQ406"/>
      <c r="ER406"/>
      <c r="ES406"/>
      <c r="EU406"/>
      <c r="EV406"/>
      <c r="EW406"/>
      <c r="EX406"/>
      <c r="EY406"/>
      <c r="EZ406"/>
      <c r="FA406"/>
      <c r="FC406"/>
      <c r="FD406"/>
      <c r="FE406"/>
      <c r="FF406"/>
      <c r="FG406"/>
      <c r="FH406"/>
      <c r="FI406"/>
    </row>
    <row r="407" spans="135:165" x14ac:dyDescent="0.25">
      <c r="EE407"/>
      <c r="EF407"/>
      <c r="EG407"/>
      <c r="EH407"/>
      <c r="EI407"/>
      <c r="EJ407"/>
      <c r="EK407"/>
      <c r="EM407"/>
      <c r="EN407"/>
      <c r="EO407"/>
      <c r="EP407"/>
      <c r="EQ407"/>
      <c r="ER407"/>
      <c r="ES407"/>
      <c r="EU407"/>
      <c r="EV407"/>
      <c r="EW407"/>
      <c r="EX407"/>
      <c r="EY407"/>
      <c r="EZ407"/>
      <c r="FA407"/>
      <c r="FC407"/>
      <c r="FD407"/>
      <c r="FE407"/>
      <c r="FF407"/>
      <c r="FG407"/>
      <c r="FH407"/>
      <c r="FI407"/>
    </row>
    <row r="408" spans="135:165" x14ac:dyDescent="0.25">
      <c r="EE408"/>
      <c r="EF408"/>
      <c r="EG408"/>
      <c r="EH408"/>
      <c r="EI408"/>
      <c r="EJ408"/>
      <c r="EK408"/>
      <c r="EM408"/>
      <c r="EN408"/>
      <c r="EO408"/>
      <c r="EP408"/>
      <c r="EQ408"/>
      <c r="ER408"/>
      <c r="ES408"/>
      <c r="EU408"/>
      <c r="EV408"/>
      <c r="EW408"/>
      <c r="EX408"/>
      <c r="EY408"/>
      <c r="EZ408"/>
      <c r="FA408"/>
      <c r="FC408"/>
      <c r="FD408"/>
      <c r="FE408"/>
      <c r="FF408"/>
      <c r="FG408"/>
      <c r="FH408"/>
      <c r="FI408"/>
    </row>
    <row r="409" spans="135:165" x14ac:dyDescent="0.25">
      <c r="EE409"/>
      <c r="EF409"/>
      <c r="EG409"/>
      <c r="EH409"/>
      <c r="EI409"/>
      <c r="EJ409"/>
      <c r="EK409"/>
      <c r="EM409"/>
      <c r="EN409"/>
      <c r="EO409"/>
      <c r="EP409"/>
      <c r="EQ409"/>
      <c r="ER409"/>
      <c r="ES409"/>
      <c r="EU409"/>
      <c r="EV409"/>
      <c r="EW409"/>
      <c r="EX409"/>
      <c r="EY409"/>
      <c r="EZ409"/>
      <c r="FA409"/>
      <c r="FC409"/>
      <c r="FD409"/>
      <c r="FE409"/>
      <c r="FF409"/>
      <c r="FG409"/>
      <c r="FH409"/>
      <c r="FI409"/>
    </row>
    <row r="410" spans="135:165" x14ac:dyDescent="0.25">
      <c r="EE410"/>
      <c r="EF410"/>
      <c r="EG410"/>
      <c r="EH410"/>
      <c r="EI410"/>
      <c r="EJ410"/>
      <c r="EK410"/>
      <c r="EM410"/>
      <c r="EN410"/>
      <c r="EO410"/>
      <c r="EP410"/>
      <c r="EQ410"/>
      <c r="ER410"/>
      <c r="ES410"/>
      <c r="EU410"/>
      <c r="EV410"/>
      <c r="EW410"/>
      <c r="EX410"/>
      <c r="EY410"/>
      <c r="EZ410"/>
      <c r="FA410"/>
      <c r="FC410"/>
      <c r="FD410"/>
      <c r="FE410"/>
      <c r="FF410"/>
      <c r="FG410"/>
      <c r="FH410"/>
      <c r="FI410"/>
    </row>
    <row r="411" spans="135:165" x14ac:dyDescent="0.25">
      <c r="EE411"/>
      <c r="EF411"/>
      <c r="EG411"/>
      <c r="EH411"/>
      <c r="EI411"/>
      <c r="EJ411"/>
      <c r="EK411"/>
      <c r="EM411"/>
      <c r="EN411"/>
      <c r="EO411"/>
      <c r="EP411"/>
      <c r="EQ411"/>
      <c r="ER411"/>
      <c r="ES411"/>
      <c r="EU411"/>
      <c r="EV411"/>
      <c r="EW411"/>
      <c r="EX411"/>
      <c r="EY411"/>
      <c r="EZ411"/>
      <c r="FA411"/>
      <c r="FC411"/>
      <c r="FD411"/>
      <c r="FE411"/>
      <c r="FF411"/>
      <c r="FG411"/>
      <c r="FH411"/>
      <c r="FI411"/>
    </row>
    <row r="412" spans="135:165" x14ac:dyDescent="0.25">
      <c r="EE412"/>
      <c r="EF412"/>
      <c r="EG412"/>
      <c r="EH412"/>
      <c r="EI412"/>
      <c r="EJ412"/>
      <c r="EK412"/>
      <c r="EM412"/>
      <c r="EN412"/>
      <c r="EO412"/>
      <c r="EP412"/>
      <c r="EQ412"/>
      <c r="ER412"/>
      <c r="ES412"/>
      <c r="EU412"/>
      <c r="EV412"/>
      <c r="EW412"/>
      <c r="EX412"/>
      <c r="EY412"/>
      <c r="EZ412"/>
      <c r="FA412"/>
      <c r="FC412"/>
      <c r="FD412"/>
      <c r="FE412"/>
      <c r="FF412"/>
      <c r="FG412"/>
      <c r="FH412"/>
      <c r="FI412"/>
    </row>
    <row r="413" spans="135:165" x14ac:dyDescent="0.25">
      <c r="EE413"/>
      <c r="EF413"/>
      <c r="EG413"/>
      <c r="EH413"/>
      <c r="EI413"/>
      <c r="EJ413"/>
      <c r="EK413"/>
      <c r="EM413"/>
      <c r="EN413"/>
      <c r="EO413"/>
      <c r="EP413"/>
      <c r="EQ413"/>
      <c r="ER413"/>
      <c r="ES413"/>
      <c r="EU413"/>
      <c r="EV413"/>
      <c r="EW413"/>
      <c r="EX413"/>
      <c r="EY413"/>
      <c r="EZ413"/>
      <c r="FA413"/>
      <c r="FC413"/>
      <c r="FD413"/>
      <c r="FE413"/>
      <c r="FF413"/>
      <c r="FG413"/>
      <c r="FH413"/>
      <c r="FI413"/>
    </row>
    <row r="414" spans="135:165" x14ac:dyDescent="0.25">
      <c r="EE414"/>
      <c r="EF414"/>
      <c r="EG414"/>
      <c r="EH414"/>
      <c r="EI414"/>
      <c r="EJ414"/>
      <c r="EK414"/>
      <c r="EM414"/>
      <c r="EN414"/>
      <c r="EO414"/>
      <c r="EP414"/>
      <c r="EQ414"/>
      <c r="ER414"/>
      <c r="ES414"/>
      <c r="EU414"/>
      <c r="EV414"/>
      <c r="EW414"/>
      <c r="EX414"/>
      <c r="EY414"/>
      <c r="EZ414"/>
      <c r="FA414"/>
      <c r="FC414"/>
      <c r="FD414"/>
      <c r="FE414"/>
      <c r="FF414"/>
      <c r="FG414"/>
      <c r="FH414"/>
      <c r="FI414"/>
    </row>
    <row r="415" spans="135:165" x14ac:dyDescent="0.25">
      <c r="EE415"/>
      <c r="EF415"/>
      <c r="EG415"/>
      <c r="EH415"/>
      <c r="EI415"/>
      <c r="EJ415"/>
      <c r="EK415"/>
      <c r="EM415"/>
      <c r="EN415"/>
      <c r="EO415"/>
      <c r="EP415"/>
      <c r="EQ415"/>
      <c r="ER415"/>
      <c r="ES415"/>
      <c r="EU415"/>
      <c r="EV415"/>
      <c r="EW415"/>
      <c r="EX415"/>
      <c r="EY415"/>
      <c r="EZ415"/>
      <c r="FA415"/>
      <c r="FC415"/>
      <c r="FD415"/>
      <c r="FE415"/>
      <c r="FF415"/>
      <c r="FG415"/>
      <c r="FH415"/>
      <c r="FI415"/>
    </row>
    <row r="416" spans="135:165" x14ac:dyDescent="0.25">
      <c r="EE416"/>
      <c r="EF416"/>
      <c r="EG416"/>
      <c r="EH416"/>
      <c r="EI416"/>
      <c r="EJ416"/>
      <c r="EK416"/>
      <c r="EM416"/>
      <c r="EN416"/>
      <c r="EO416"/>
      <c r="EP416"/>
      <c r="EQ416"/>
      <c r="ER416"/>
      <c r="ES416"/>
      <c r="EU416"/>
      <c r="EV416"/>
      <c r="EW416"/>
      <c r="EX416"/>
      <c r="EY416"/>
      <c r="EZ416"/>
      <c r="FA416"/>
      <c r="FC416"/>
      <c r="FD416"/>
      <c r="FE416"/>
      <c r="FF416"/>
      <c r="FG416"/>
      <c r="FH416"/>
      <c r="FI416"/>
    </row>
    <row r="417" spans="135:165" x14ac:dyDescent="0.25">
      <c r="EE417"/>
      <c r="EF417"/>
      <c r="EG417"/>
      <c r="EH417"/>
      <c r="EI417"/>
      <c r="EJ417"/>
      <c r="EK417"/>
      <c r="EM417"/>
      <c r="EN417"/>
      <c r="EO417"/>
      <c r="EP417"/>
      <c r="EQ417"/>
      <c r="ER417"/>
      <c r="ES417"/>
      <c r="EU417"/>
      <c r="EV417"/>
      <c r="EW417"/>
      <c r="EX417"/>
      <c r="EY417"/>
      <c r="EZ417"/>
      <c r="FA417"/>
      <c r="FC417"/>
      <c r="FD417"/>
      <c r="FE417"/>
      <c r="FF417"/>
      <c r="FG417"/>
      <c r="FH417"/>
      <c r="FI417"/>
    </row>
    <row r="418" spans="135:165" x14ac:dyDescent="0.25">
      <c r="EE418"/>
      <c r="EF418"/>
      <c r="EG418"/>
      <c r="EH418"/>
      <c r="EI418"/>
      <c r="EJ418"/>
      <c r="EK418"/>
      <c r="EM418"/>
      <c r="EN418"/>
      <c r="EO418"/>
      <c r="EP418"/>
      <c r="EQ418"/>
      <c r="ER418"/>
      <c r="ES418"/>
      <c r="EU418"/>
      <c r="EV418"/>
      <c r="EW418"/>
      <c r="EX418"/>
      <c r="EY418"/>
      <c r="EZ418"/>
      <c r="FA418"/>
      <c r="FC418"/>
      <c r="FD418"/>
      <c r="FE418"/>
      <c r="FF418"/>
      <c r="FG418"/>
      <c r="FH418"/>
      <c r="FI418"/>
    </row>
    <row r="419" spans="135:165" x14ac:dyDescent="0.25">
      <c r="EE419"/>
      <c r="EF419"/>
      <c r="EG419"/>
      <c r="EH419"/>
      <c r="EI419"/>
      <c r="EJ419"/>
      <c r="EK419"/>
      <c r="EM419"/>
      <c r="EN419"/>
      <c r="EO419"/>
      <c r="EP419"/>
      <c r="EQ419"/>
      <c r="ER419"/>
      <c r="ES419"/>
      <c r="EU419"/>
      <c r="EV419"/>
      <c r="EW419"/>
      <c r="EX419"/>
      <c r="EY419"/>
      <c r="EZ419"/>
      <c r="FA419"/>
      <c r="FC419"/>
      <c r="FD419"/>
      <c r="FE419"/>
      <c r="FF419"/>
      <c r="FG419"/>
      <c r="FH419"/>
      <c r="FI419"/>
    </row>
    <row r="420" spans="135:165" x14ac:dyDescent="0.25">
      <c r="EE420"/>
      <c r="EF420"/>
      <c r="EG420"/>
      <c r="EH420"/>
      <c r="EI420"/>
      <c r="EJ420"/>
      <c r="EK420"/>
      <c r="EM420"/>
      <c r="EN420"/>
      <c r="EO420"/>
      <c r="EP420"/>
      <c r="EQ420"/>
      <c r="ER420"/>
      <c r="ES420"/>
      <c r="EU420"/>
      <c r="EV420"/>
      <c r="EW420"/>
      <c r="EX420"/>
      <c r="EY420"/>
      <c r="EZ420"/>
      <c r="FA420"/>
      <c r="FC420"/>
      <c r="FD420"/>
      <c r="FE420"/>
      <c r="FF420"/>
      <c r="FG420"/>
      <c r="FH420"/>
      <c r="FI420"/>
    </row>
    <row r="421" spans="135:165" x14ac:dyDescent="0.25">
      <c r="EE421"/>
      <c r="EF421"/>
      <c r="EG421"/>
      <c r="EH421"/>
      <c r="EI421"/>
      <c r="EJ421"/>
      <c r="EK421"/>
      <c r="EM421"/>
      <c r="EN421"/>
      <c r="EO421"/>
      <c r="EP421"/>
      <c r="EQ421"/>
      <c r="ER421"/>
      <c r="ES421"/>
      <c r="EU421"/>
      <c r="EV421"/>
      <c r="EW421"/>
      <c r="EX421"/>
      <c r="EY421"/>
      <c r="EZ421"/>
      <c r="FA421"/>
      <c r="FC421"/>
      <c r="FD421"/>
      <c r="FE421"/>
      <c r="FF421"/>
      <c r="FG421"/>
      <c r="FH421"/>
      <c r="FI421"/>
    </row>
    <row r="422" spans="135:165" x14ac:dyDescent="0.25">
      <c r="EE422"/>
      <c r="EF422"/>
      <c r="EG422"/>
      <c r="EH422"/>
      <c r="EI422"/>
      <c r="EJ422"/>
      <c r="EK422"/>
      <c r="EM422"/>
      <c r="EN422"/>
      <c r="EO422"/>
      <c r="EP422"/>
      <c r="EQ422"/>
      <c r="ER422"/>
      <c r="ES422"/>
      <c r="EU422"/>
      <c r="EV422"/>
      <c r="EW422"/>
      <c r="EX422"/>
      <c r="EY422"/>
      <c r="EZ422"/>
      <c r="FA422"/>
      <c r="FC422"/>
      <c r="FD422"/>
      <c r="FE422"/>
      <c r="FF422"/>
      <c r="FG422"/>
      <c r="FH422"/>
      <c r="FI422"/>
    </row>
    <row r="423" spans="135:165" x14ac:dyDescent="0.25">
      <c r="EE423"/>
      <c r="EF423"/>
      <c r="EG423"/>
      <c r="EH423"/>
      <c r="EI423"/>
      <c r="EJ423"/>
      <c r="EK423"/>
      <c r="EM423"/>
      <c r="EN423"/>
      <c r="EO423"/>
      <c r="EP423"/>
      <c r="EQ423"/>
      <c r="ER423"/>
      <c r="ES423"/>
      <c r="EU423"/>
      <c r="EV423"/>
      <c r="EW423"/>
      <c r="EX423"/>
      <c r="EY423"/>
      <c r="EZ423"/>
      <c r="FA423"/>
      <c r="FC423"/>
      <c r="FD423"/>
      <c r="FE423"/>
      <c r="FF423"/>
      <c r="FG423"/>
      <c r="FH423"/>
      <c r="FI423"/>
    </row>
    <row r="424" spans="135:165" x14ac:dyDescent="0.25">
      <c r="EE424"/>
      <c r="EF424"/>
      <c r="EG424"/>
      <c r="EH424"/>
      <c r="EI424"/>
      <c r="EJ424"/>
      <c r="EK424"/>
      <c r="EM424"/>
      <c r="EN424"/>
      <c r="EO424"/>
      <c r="EP424"/>
      <c r="EQ424"/>
      <c r="ER424"/>
      <c r="ES424"/>
      <c r="EU424"/>
      <c r="EV424"/>
      <c r="EW424"/>
      <c r="EX424"/>
      <c r="EY424"/>
      <c r="EZ424"/>
      <c r="FA424"/>
      <c r="FC424"/>
      <c r="FD424"/>
      <c r="FE424"/>
      <c r="FF424"/>
      <c r="FG424"/>
      <c r="FH424"/>
      <c r="FI424"/>
    </row>
    <row r="425" spans="135:165" x14ac:dyDescent="0.25">
      <c r="EE425"/>
      <c r="EF425"/>
      <c r="EG425"/>
      <c r="EH425"/>
      <c r="EI425"/>
      <c r="EJ425"/>
      <c r="EK425"/>
      <c r="EM425"/>
      <c r="EN425"/>
      <c r="EO425"/>
      <c r="EP425"/>
      <c r="EQ425"/>
      <c r="ER425"/>
      <c r="ES425"/>
      <c r="EU425"/>
      <c r="EV425"/>
      <c r="EW425"/>
      <c r="EX425"/>
      <c r="EY425"/>
      <c r="EZ425"/>
      <c r="FA425"/>
      <c r="FC425"/>
      <c r="FD425"/>
      <c r="FE425"/>
      <c r="FF425"/>
      <c r="FG425"/>
      <c r="FH425"/>
      <c r="FI425"/>
    </row>
    <row r="426" spans="135:165" x14ac:dyDescent="0.25">
      <c r="EE426"/>
      <c r="EF426"/>
      <c r="EG426"/>
      <c r="EH426"/>
      <c r="EI426"/>
      <c r="EJ426"/>
      <c r="EK426"/>
      <c r="EM426"/>
      <c r="EN426"/>
      <c r="EO426"/>
      <c r="EP426"/>
      <c r="EQ426"/>
      <c r="ER426"/>
      <c r="ES426"/>
      <c r="EU426"/>
      <c r="EV426"/>
      <c r="EW426"/>
      <c r="EX426"/>
      <c r="EY426"/>
      <c r="EZ426"/>
      <c r="FA426"/>
      <c r="FC426"/>
      <c r="FD426"/>
      <c r="FE426"/>
      <c r="FF426"/>
      <c r="FG426"/>
      <c r="FH426"/>
      <c r="FI426"/>
    </row>
    <row r="427" spans="135:165" x14ac:dyDescent="0.25">
      <c r="EE427"/>
      <c r="EF427"/>
      <c r="EG427"/>
      <c r="EH427"/>
      <c r="EI427"/>
      <c r="EJ427"/>
      <c r="EK427"/>
      <c r="EM427"/>
      <c r="EN427"/>
      <c r="EO427"/>
      <c r="EP427"/>
      <c r="EQ427"/>
      <c r="ER427"/>
      <c r="ES427"/>
      <c r="EU427"/>
      <c r="EV427"/>
      <c r="EW427"/>
      <c r="EX427"/>
      <c r="EY427"/>
      <c r="EZ427"/>
      <c r="FA427"/>
      <c r="FC427"/>
      <c r="FD427"/>
      <c r="FE427"/>
      <c r="FF427"/>
      <c r="FG427"/>
      <c r="FH427"/>
      <c r="FI427"/>
    </row>
    <row r="428" spans="135:165" x14ac:dyDescent="0.25">
      <c r="EE428"/>
      <c r="EF428"/>
      <c r="EG428"/>
      <c r="EH428"/>
      <c r="EI428"/>
      <c r="EJ428"/>
      <c r="EK428"/>
      <c r="EM428"/>
      <c r="EN428"/>
      <c r="EO428"/>
      <c r="EP428"/>
      <c r="EQ428"/>
      <c r="ER428"/>
      <c r="ES428"/>
      <c r="EU428"/>
      <c r="EV428"/>
      <c r="EW428"/>
      <c r="EX428"/>
      <c r="EY428"/>
      <c r="EZ428"/>
      <c r="FA428"/>
      <c r="FC428"/>
      <c r="FD428"/>
      <c r="FE428"/>
      <c r="FF428"/>
      <c r="FG428"/>
      <c r="FH428"/>
      <c r="FI428"/>
    </row>
    <row r="429" spans="135:165" x14ac:dyDescent="0.25">
      <c r="EE429"/>
      <c r="EF429"/>
      <c r="EG429"/>
      <c r="EH429"/>
      <c r="EI429"/>
      <c r="EJ429"/>
      <c r="EK429"/>
      <c r="EM429"/>
      <c r="EN429"/>
      <c r="EO429"/>
      <c r="EP429"/>
      <c r="EQ429"/>
      <c r="ER429"/>
      <c r="ES429"/>
      <c r="EU429"/>
      <c r="EV429"/>
      <c r="EW429"/>
      <c r="EX429"/>
      <c r="EY429"/>
      <c r="EZ429"/>
      <c r="FA429"/>
      <c r="FC429"/>
      <c r="FD429"/>
      <c r="FE429"/>
      <c r="FF429"/>
      <c r="FG429"/>
      <c r="FH429"/>
      <c r="FI429"/>
    </row>
    <row r="430" spans="135:165" x14ac:dyDescent="0.25">
      <c r="EE430"/>
      <c r="EF430"/>
      <c r="EG430"/>
      <c r="EH430"/>
      <c r="EI430"/>
      <c r="EJ430"/>
      <c r="EK430"/>
      <c r="EM430"/>
      <c r="EN430"/>
      <c r="EO430"/>
      <c r="EP430"/>
      <c r="EQ430"/>
      <c r="ER430"/>
      <c r="ES430"/>
      <c r="EU430"/>
      <c r="EV430"/>
      <c r="EW430"/>
      <c r="EX430"/>
      <c r="EY430"/>
      <c r="EZ430"/>
      <c r="FA430"/>
      <c r="FC430"/>
      <c r="FD430"/>
      <c r="FE430"/>
      <c r="FF430"/>
      <c r="FG430"/>
      <c r="FH430"/>
      <c r="FI430"/>
    </row>
    <row r="431" spans="135:165" x14ac:dyDescent="0.25">
      <c r="EE431"/>
      <c r="EF431"/>
      <c r="EG431"/>
      <c r="EH431"/>
      <c r="EI431"/>
      <c r="EJ431"/>
      <c r="EK431"/>
      <c r="EM431"/>
      <c r="EN431"/>
      <c r="EO431"/>
      <c r="EP431"/>
      <c r="EQ431"/>
      <c r="ER431"/>
      <c r="ES431"/>
      <c r="EU431"/>
      <c r="EV431"/>
      <c r="EW431"/>
      <c r="EX431"/>
      <c r="EY431"/>
      <c r="EZ431"/>
      <c r="FA431"/>
      <c r="FC431"/>
      <c r="FD431"/>
      <c r="FE431"/>
      <c r="FF431"/>
      <c r="FG431"/>
      <c r="FH431"/>
      <c r="FI431"/>
    </row>
    <row r="432" spans="135:165" x14ac:dyDescent="0.25">
      <c r="EE432"/>
      <c r="EF432"/>
      <c r="EG432"/>
      <c r="EH432"/>
      <c r="EI432"/>
      <c r="EJ432"/>
      <c r="EK432"/>
      <c r="EM432"/>
      <c r="EN432"/>
      <c r="EO432"/>
      <c r="EP432"/>
      <c r="EQ432"/>
      <c r="ER432"/>
      <c r="ES432"/>
      <c r="EU432"/>
      <c r="EV432"/>
      <c r="EW432"/>
      <c r="EX432"/>
      <c r="EY432"/>
      <c r="EZ432"/>
      <c r="FA432"/>
      <c r="FC432"/>
      <c r="FD432"/>
      <c r="FE432"/>
      <c r="FF432"/>
      <c r="FG432"/>
      <c r="FH432"/>
      <c r="FI432"/>
    </row>
    <row r="433" spans="135:165" x14ac:dyDescent="0.25">
      <c r="EE433"/>
      <c r="EF433"/>
      <c r="EG433"/>
      <c r="EH433"/>
      <c r="EI433"/>
      <c r="EJ433"/>
      <c r="EK433"/>
      <c r="EM433"/>
      <c r="EN433"/>
      <c r="EO433"/>
      <c r="EP433"/>
      <c r="EQ433"/>
      <c r="ER433"/>
      <c r="ES433"/>
      <c r="EU433"/>
      <c r="EV433"/>
      <c r="EW433"/>
      <c r="EX433"/>
      <c r="EY433"/>
      <c r="EZ433"/>
      <c r="FA433"/>
      <c r="FC433"/>
      <c r="FD433"/>
      <c r="FE433"/>
      <c r="FF433"/>
      <c r="FG433"/>
      <c r="FH433"/>
      <c r="FI433"/>
    </row>
    <row r="434" spans="135:165" x14ac:dyDescent="0.25">
      <c r="EE434"/>
      <c r="EF434"/>
      <c r="EG434"/>
      <c r="EH434"/>
      <c r="EI434"/>
      <c r="EJ434"/>
      <c r="EK434"/>
      <c r="EM434"/>
      <c r="EN434"/>
      <c r="EO434"/>
      <c r="EP434"/>
      <c r="EQ434"/>
      <c r="ER434"/>
      <c r="ES434"/>
      <c r="EU434"/>
      <c r="EV434"/>
      <c r="EW434"/>
      <c r="EX434"/>
      <c r="EY434"/>
      <c r="EZ434"/>
      <c r="FA434"/>
      <c r="FC434"/>
      <c r="FD434"/>
      <c r="FE434"/>
      <c r="FF434"/>
      <c r="FG434"/>
      <c r="FH434"/>
      <c r="FI434"/>
    </row>
    <row r="435" spans="135:165" x14ac:dyDescent="0.25">
      <c r="EE435"/>
      <c r="EF435"/>
      <c r="EG435"/>
      <c r="EH435"/>
      <c r="EI435"/>
      <c r="EJ435"/>
      <c r="EK435"/>
      <c r="EM435"/>
      <c r="EN435"/>
      <c r="EO435"/>
      <c r="EP435"/>
      <c r="EQ435"/>
      <c r="ER435"/>
      <c r="ES435"/>
      <c r="EU435"/>
      <c r="EV435"/>
      <c r="EW435"/>
      <c r="EX435"/>
      <c r="EY435"/>
      <c r="EZ435"/>
      <c r="FA435"/>
      <c r="FC435"/>
      <c r="FD435"/>
      <c r="FE435"/>
      <c r="FF435"/>
      <c r="FG435"/>
      <c r="FH435"/>
      <c r="FI435"/>
    </row>
    <row r="436" spans="135:165" x14ac:dyDescent="0.25">
      <c r="EE436"/>
      <c r="EF436"/>
      <c r="EG436"/>
      <c r="EH436"/>
      <c r="EI436"/>
      <c r="EJ436"/>
      <c r="EK436"/>
      <c r="EM436"/>
      <c r="EN436"/>
      <c r="EO436"/>
      <c r="EP436"/>
      <c r="EQ436"/>
      <c r="ER436"/>
      <c r="ES436"/>
      <c r="EU436"/>
      <c r="EV436"/>
      <c r="EW436"/>
      <c r="EX436"/>
      <c r="EY436"/>
      <c r="EZ436"/>
      <c r="FA436"/>
      <c r="FC436"/>
      <c r="FD436"/>
      <c r="FE436"/>
      <c r="FF436"/>
      <c r="FG436"/>
      <c r="FH436"/>
      <c r="FI436"/>
    </row>
    <row r="437" spans="135:165" x14ac:dyDescent="0.25">
      <c r="EE437"/>
      <c r="EF437"/>
      <c r="EG437"/>
      <c r="EH437"/>
      <c r="EI437"/>
      <c r="EJ437"/>
      <c r="EK437"/>
      <c r="EM437"/>
      <c r="EN437"/>
      <c r="EO437"/>
      <c r="EP437"/>
      <c r="EQ437"/>
      <c r="ER437"/>
      <c r="ES437"/>
      <c r="EU437"/>
      <c r="EV437"/>
      <c r="EW437"/>
      <c r="EX437"/>
      <c r="EY437"/>
      <c r="EZ437"/>
      <c r="FA437"/>
      <c r="FC437"/>
      <c r="FD437"/>
      <c r="FE437"/>
      <c r="FF437"/>
      <c r="FG437"/>
      <c r="FH437"/>
      <c r="FI437"/>
    </row>
    <row r="438" spans="135:165" x14ac:dyDescent="0.25">
      <c r="EE438"/>
      <c r="EF438"/>
      <c r="EG438"/>
      <c r="EH438"/>
      <c r="EI438"/>
      <c r="EJ438"/>
      <c r="EK438"/>
      <c r="EM438"/>
      <c r="EN438"/>
      <c r="EO438"/>
      <c r="EP438"/>
      <c r="EQ438"/>
      <c r="ER438"/>
      <c r="ES438"/>
      <c r="EU438"/>
      <c r="EV438"/>
      <c r="EW438"/>
      <c r="EX438"/>
      <c r="EY438"/>
      <c r="EZ438"/>
      <c r="FA438"/>
      <c r="FC438"/>
      <c r="FD438"/>
      <c r="FE438"/>
      <c r="FF438"/>
      <c r="FG438"/>
      <c r="FH438"/>
      <c r="FI438"/>
    </row>
    <row r="439" spans="135:165" x14ac:dyDescent="0.25">
      <c r="EE439"/>
      <c r="EF439"/>
      <c r="EG439"/>
      <c r="EH439"/>
      <c r="EI439"/>
      <c r="EJ439"/>
      <c r="EK439"/>
      <c r="EM439"/>
      <c r="EN439"/>
      <c r="EO439"/>
      <c r="EP439"/>
      <c r="EQ439"/>
      <c r="ER439"/>
      <c r="ES439"/>
      <c r="EU439"/>
      <c r="EV439"/>
      <c r="EW439"/>
      <c r="EX439"/>
      <c r="EY439"/>
      <c r="EZ439"/>
      <c r="FA439"/>
      <c r="FC439"/>
      <c r="FD439"/>
      <c r="FE439"/>
      <c r="FF439"/>
      <c r="FG439"/>
      <c r="FH439"/>
      <c r="FI439"/>
    </row>
    <row r="440" spans="135:165" x14ac:dyDescent="0.25">
      <c r="EE440"/>
      <c r="EF440"/>
      <c r="EG440"/>
      <c r="EH440"/>
      <c r="EI440"/>
      <c r="EJ440"/>
      <c r="EK440"/>
      <c r="EM440"/>
      <c r="EN440"/>
      <c r="EO440"/>
      <c r="EP440"/>
      <c r="EQ440"/>
      <c r="ER440"/>
      <c r="ES440"/>
      <c r="EU440"/>
      <c r="EV440"/>
      <c r="EW440"/>
      <c r="EX440"/>
      <c r="EY440"/>
      <c r="EZ440"/>
      <c r="FA440"/>
      <c r="FC440"/>
      <c r="FD440"/>
      <c r="FE440"/>
      <c r="FF440"/>
      <c r="FG440"/>
      <c r="FH440"/>
      <c r="FI440"/>
    </row>
    <row r="441" spans="135:165" x14ac:dyDescent="0.25">
      <c r="EE441"/>
      <c r="EF441"/>
      <c r="EG441"/>
      <c r="EH441"/>
      <c r="EI441"/>
      <c r="EJ441"/>
      <c r="EK441"/>
      <c r="EM441"/>
      <c r="EN441"/>
      <c r="EO441"/>
      <c r="EP441"/>
      <c r="EQ441"/>
      <c r="ER441"/>
      <c r="ES441"/>
      <c r="EU441"/>
      <c r="EV441"/>
      <c r="EW441"/>
      <c r="EX441"/>
      <c r="EY441"/>
      <c r="EZ441"/>
      <c r="FA441"/>
      <c r="FC441"/>
      <c r="FD441"/>
      <c r="FE441"/>
      <c r="FF441"/>
      <c r="FG441"/>
      <c r="FH441"/>
      <c r="FI441"/>
    </row>
    <row r="442" spans="135:165" x14ac:dyDescent="0.25">
      <c r="EE442"/>
      <c r="EF442"/>
      <c r="EG442"/>
      <c r="EH442"/>
      <c r="EI442"/>
      <c r="EJ442"/>
      <c r="EK442"/>
      <c r="EM442"/>
      <c r="EN442"/>
      <c r="EO442"/>
      <c r="EP442"/>
      <c r="EQ442"/>
      <c r="ER442"/>
      <c r="ES442"/>
      <c r="EU442"/>
      <c r="EV442"/>
      <c r="EW442"/>
      <c r="EX442"/>
      <c r="EY442"/>
      <c r="EZ442"/>
      <c r="FA442"/>
      <c r="FC442"/>
      <c r="FD442"/>
      <c r="FE442"/>
      <c r="FF442"/>
      <c r="FG442"/>
      <c r="FH442"/>
      <c r="FI442"/>
    </row>
    <row r="443" spans="135:165" x14ac:dyDescent="0.25">
      <c r="EE443"/>
      <c r="EF443"/>
      <c r="EG443"/>
      <c r="EH443"/>
      <c r="EI443"/>
      <c r="EJ443"/>
      <c r="EK443"/>
      <c r="EM443"/>
      <c r="EN443"/>
      <c r="EO443"/>
      <c r="EP443"/>
      <c r="EQ443"/>
      <c r="ER443"/>
      <c r="ES443"/>
      <c r="EU443"/>
      <c r="EV443"/>
      <c r="EW443"/>
      <c r="EX443"/>
      <c r="EY443"/>
      <c r="EZ443"/>
      <c r="FA443"/>
      <c r="FC443"/>
      <c r="FD443"/>
      <c r="FE443"/>
      <c r="FF443"/>
      <c r="FG443"/>
      <c r="FH443"/>
      <c r="FI443"/>
    </row>
    <row r="444" spans="135:165" x14ac:dyDescent="0.25">
      <c r="EE444"/>
      <c r="EF444"/>
      <c r="EG444"/>
      <c r="EH444"/>
      <c r="EI444"/>
      <c r="EJ444"/>
      <c r="EK444"/>
      <c r="EM444"/>
      <c r="EN444"/>
      <c r="EO444"/>
      <c r="EP444"/>
      <c r="EQ444"/>
      <c r="ER444"/>
      <c r="ES444"/>
      <c r="EU444"/>
      <c r="EV444"/>
      <c r="EW444"/>
      <c r="EX444"/>
      <c r="EY444"/>
      <c r="EZ444"/>
      <c r="FA444"/>
      <c r="FC444"/>
      <c r="FD444"/>
      <c r="FE444"/>
      <c r="FF444"/>
      <c r="FG444"/>
      <c r="FH444"/>
      <c r="FI444"/>
    </row>
    <row r="445" spans="135:165" x14ac:dyDescent="0.25">
      <c r="EE445"/>
      <c r="EF445"/>
      <c r="EG445"/>
      <c r="EH445"/>
      <c r="EI445"/>
      <c r="EJ445"/>
      <c r="EK445"/>
      <c r="EM445"/>
      <c r="EN445"/>
      <c r="EO445"/>
      <c r="EP445"/>
      <c r="EQ445"/>
      <c r="ER445"/>
      <c r="ES445"/>
      <c r="EU445"/>
      <c r="EV445"/>
      <c r="EW445"/>
      <c r="EX445"/>
      <c r="EY445"/>
      <c r="EZ445"/>
      <c r="FA445"/>
      <c r="FC445"/>
      <c r="FD445"/>
      <c r="FE445"/>
      <c r="FF445"/>
      <c r="FG445"/>
      <c r="FH445"/>
      <c r="FI445"/>
    </row>
    <row r="446" spans="135:165" x14ac:dyDescent="0.25">
      <c r="EE446"/>
      <c r="EF446"/>
      <c r="EG446"/>
      <c r="EH446"/>
      <c r="EI446"/>
      <c r="EJ446"/>
      <c r="EK446"/>
      <c r="EM446"/>
      <c r="EN446"/>
      <c r="EO446"/>
      <c r="EP446"/>
      <c r="EQ446"/>
      <c r="ER446"/>
      <c r="ES446"/>
      <c r="EU446"/>
      <c r="EV446"/>
      <c r="EW446"/>
      <c r="EX446"/>
      <c r="EY446"/>
      <c r="EZ446"/>
      <c r="FA446"/>
      <c r="FC446"/>
      <c r="FD446"/>
      <c r="FE446"/>
      <c r="FF446"/>
      <c r="FG446"/>
      <c r="FH446"/>
      <c r="FI446"/>
    </row>
    <row r="447" spans="135:165" x14ac:dyDescent="0.25">
      <c r="EE447"/>
      <c r="EF447"/>
      <c r="EG447"/>
      <c r="EH447"/>
      <c r="EI447"/>
      <c r="EJ447"/>
      <c r="EK447"/>
      <c r="EM447"/>
      <c r="EN447"/>
      <c r="EO447"/>
      <c r="EP447"/>
      <c r="EQ447"/>
      <c r="ER447"/>
      <c r="ES447"/>
      <c r="EU447"/>
      <c r="EV447"/>
      <c r="EW447"/>
      <c r="EX447"/>
      <c r="EY447"/>
      <c r="EZ447"/>
      <c r="FA447"/>
      <c r="FC447"/>
      <c r="FD447"/>
      <c r="FE447"/>
      <c r="FF447"/>
      <c r="FG447"/>
      <c r="FH447"/>
      <c r="FI447"/>
    </row>
    <row r="448" spans="135:165" x14ac:dyDescent="0.25">
      <c r="EE448"/>
      <c r="EF448"/>
      <c r="EG448"/>
      <c r="EH448"/>
      <c r="EI448"/>
      <c r="EJ448"/>
      <c r="EK448"/>
      <c r="EM448"/>
      <c r="EN448"/>
      <c r="EO448"/>
      <c r="EP448"/>
      <c r="EQ448"/>
      <c r="ER448"/>
      <c r="ES448"/>
      <c r="EU448"/>
      <c r="EV448"/>
      <c r="EW448"/>
      <c r="EX448"/>
      <c r="EY448"/>
      <c r="EZ448"/>
      <c r="FA448"/>
      <c r="FC448"/>
      <c r="FD448"/>
      <c r="FE448"/>
      <c r="FF448"/>
      <c r="FG448"/>
      <c r="FH448"/>
      <c r="FI448"/>
    </row>
    <row r="449" spans="135:165" x14ac:dyDescent="0.25">
      <c r="EE449"/>
      <c r="EF449"/>
      <c r="EG449"/>
      <c r="EH449"/>
      <c r="EI449"/>
      <c r="EJ449"/>
      <c r="EK449"/>
      <c r="EM449"/>
      <c r="EN449"/>
      <c r="EO449"/>
      <c r="EP449"/>
      <c r="EQ449"/>
      <c r="ER449"/>
      <c r="ES449"/>
      <c r="EU449"/>
      <c r="EV449"/>
      <c r="EW449"/>
      <c r="EX449"/>
      <c r="EY449"/>
      <c r="EZ449"/>
      <c r="FA449"/>
      <c r="FC449"/>
      <c r="FD449"/>
      <c r="FE449"/>
      <c r="FF449"/>
      <c r="FG449"/>
      <c r="FH449"/>
      <c r="FI449"/>
    </row>
    <row r="450" spans="135:165" x14ac:dyDescent="0.25">
      <c r="EE450"/>
      <c r="EF450"/>
      <c r="EG450"/>
      <c r="EH450"/>
      <c r="EI450"/>
      <c r="EJ450"/>
      <c r="EK450"/>
      <c r="EM450"/>
      <c r="EN450"/>
      <c r="EO450"/>
      <c r="EP450"/>
      <c r="EQ450"/>
      <c r="ER450"/>
      <c r="ES450"/>
      <c r="EU450"/>
      <c r="EV450"/>
      <c r="EW450"/>
      <c r="EX450"/>
      <c r="EY450"/>
      <c r="EZ450"/>
      <c r="FA450"/>
      <c r="FC450"/>
      <c r="FD450"/>
      <c r="FE450"/>
      <c r="FF450"/>
      <c r="FG450"/>
      <c r="FH450"/>
      <c r="FI450"/>
    </row>
    <row r="451" spans="135:165" x14ac:dyDescent="0.25">
      <c r="EE451"/>
      <c r="EF451"/>
      <c r="EG451"/>
      <c r="EH451"/>
      <c r="EI451"/>
      <c r="EJ451"/>
      <c r="EK451"/>
      <c r="EM451"/>
      <c r="EN451"/>
      <c r="EO451"/>
      <c r="EP451"/>
      <c r="EQ451"/>
      <c r="ER451"/>
      <c r="ES451"/>
      <c r="EU451"/>
      <c r="EV451"/>
      <c r="EW451"/>
      <c r="EX451"/>
      <c r="EY451"/>
      <c r="EZ451"/>
      <c r="FA451"/>
      <c r="FC451"/>
      <c r="FD451"/>
      <c r="FE451"/>
      <c r="FF451"/>
      <c r="FG451"/>
      <c r="FH451"/>
      <c r="FI451"/>
    </row>
    <row r="452" spans="135:165" x14ac:dyDescent="0.25">
      <c r="EE452"/>
      <c r="EF452"/>
      <c r="EG452"/>
      <c r="EH452"/>
      <c r="EI452"/>
      <c r="EJ452"/>
      <c r="EK452"/>
      <c r="EM452"/>
      <c r="EN452"/>
      <c r="EO452"/>
      <c r="EP452"/>
      <c r="EQ452"/>
      <c r="ER452"/>
      <c r="ES452"/>
      <c r="EU452"/>
      <c r="EV452"/>
      <c r="EW452"/>
      <c r="EX452"/>
      <c r="EY452"/>
      <c r="EZ452"/>
      <c r="FA452"/>
      <c r="FC452"/>
      <c r="FD452"/>
      <c r="FE452"/>
      <c r="FF452"/>
      <c r="FG452"/>
      <c r="FH452"/>
      <c r="FI452"/>
    </row>
    <row r="453" spans="135:165" x14ac:dyDescent="0.25">
      <c r="EE453"/>
      <c r="EF453"/>
      <c r="EG453"/>
      <c r="EH453"/>
      <c r="EI453"/>
      <c r="EJ453"/>
      <c r="EK453"/>
      <c r="EM453"/>
      <c r="EN453"/>
      <c r="EO453"/>
      <c r="EP453"/>
      <c r="EQ453"/>
      <c r="ER453"/>
      <c r="ES453"/>
      <c r="EU453"/>
      <c r="EV453"/>
      <c r="EW453"/>
      <c r="EX453"/>
      <c r="EY453"/>
      <c r="EZ453"/>
      <c r="FA453"/>
      <c r="FC453"/>
      <c r="FD453"/>
      <c r="FE453"/>
      <c r="FF453"/>
      <c r="FG453"/>
      <c r="FH453"/>
      <c r="FI453"/>
    </row>
    <row r="454" spans="135:165" x14ac:dyDescent="0.25">
      <c r="EE454"/>
      <c r="EF454"/>
      <c r="EG454"/>
      <c r="EH454"/>
      <c r="EI454"/>
      <c r="EJ454"/>
      <c r="EK454"/>
      <c r="EM454"/>
      <c r="EN454"/>
      <c r="EO454"/>
      <c r="EP454"/>
      <c r="EQ454"/>
      <c r="ER454"/>
      <c r="ES454"/>
      <c r="EU454"/>
      <c r="EV454"/>
      <c r="EW454"/>
      <c r="EX454"/>
      <c r="EY454"/>
      <c r="EZ454"/>
      <c r="FA454"/>
      <c r="FC454"/>
      <c r="FD454"/>
      <c r="FE454"/>
      <c r="FF454"/>
      <c r="FG454"/>
      <c r="FH454"/>
      <c r="FI454"/>
    </row>
    <row r="455" spans="135:165" x14ac:dyDescent="0.25">
      <c r="EE455"/>
      <c r="EF455"/>
      <c r="EG455"/>
      <c r="EH455"/>
      <c r="EI455"/>
      <c r="EJ455"/>
      <c r="EK455"/>
      <c r="EM455"/>
      <c r="EN455"/>
      <c r="EO455"/>
      <c r="EP455"/>
      <c r="EQ455"/>
      <c r="ER455"/>
      <c r="ES455"/>
      <c r="EU455"/>
      <c r="EV455"/>
      <c r="EW455"/>
      <c r="EX455"/>
      <c r="EY455"/>
      <c r="EZ455"/>
      <c r="FA455"/>
      <c r="FC455"/>
      <c r="FD455"/>
      <c r="FE455"/>
      <c r="FF455"/>
      <c r="FG455"/>
      <c r="FH455"/>
      <c r="FI455"/>
    </row>
    <row r="456" spans="135:165" x14ac:dyDescent="0.25">
      <c r="EE456"/>
      <c r="EF456"/>
      <c r="EG456"/>
      <c r="EH456"/>
      <c r="EI456"/>
      <c r="EJ456"/>
      <c r="EK456"/>
      <c r="EM456"/>
      <c r="EN456"/>
      <c r="EO456"/>
      <c r="EP456"/>
      <c r="EQ456"/>
      <c r="ER456"/>
      <c r="ES456"/>
      <c r="EU456"/>
      <c r="EV456"/>
      <c r="EW456"/>
      <c r="EX456"/>
      <c r="EY456"/>
      <c r="EZ456"/>
      <c r="FA456"/>
      <c r="FC456"/>
      <c r="FD456"/>
      <c r="FE456"/>
      <c r="FF456"/>
      <c r="FG456"/>
      <c r="FH456"/>
      <c r="FI456"/>
    </row>
    <row r="457" spans="135:165" x14ac:dyDescent="0.25">
      <c r="EE457"/>
      <c r="EF457"/>
      <c r="EG457"/>
      <c r="EH457"/>
      <c r="EI457"/>
      <c r="EJ457"/>
      <c r="EK457"/>
      <c r="EM457"/>
      <c r="EN457"/>
      <c r="EO457"/>
      <c r="EP457"/>
      <c r="EQ457"/>
      <c r="ER457"/>
      <c r="ES457"/>
      <c r="EU457"/>
      <c r="EV457"/>
      <c r="EW457"/>
      <c r="EX457"/>
      <c r="EY457"/>
      <c r="EZ457"/>
      <c r="FA457"/>
      <c r="FC457"/>
      <c r="FD457"/>
      <c r="FE457"/>
      <c r="FF457"/>
      <c r="FG457"/>
      <c r="FH457"/>
      <c r="FI457"/>
    </row>
    <row r="458" spans="135:165" x14ac:dyDescent="0.25">
      <c r="EE458"/>
      <c r="EF458"/>
      <c r="EG458"/>
      <c r="EH458"/>
      <c r="EI458"/>
      <c r="EJ458"/>
      <c r="EK458"/>
      <c r="EM458"/>
      <c r="EN458"/>
      <c r="EO458"/>
      <c r="EP458"/>
      <c r="EQ458"/>
      <c r="ER458"/>
      <c r="ES458"/>
      <c r="EU458"/>
      <c r="EV458"/>
      <c r="EW458"/>
      <c r="EX458"/>
      <c r="EY458"/>
      <c r="EZ458"/>
      <c r="FA458"/>
      <c r="FC458"/>
      <c r="FD458"/>
      <c r="FE458"/>
      <c r="FF458"/>
      <c r="FG458"/>
      <c r="FH458"/>
      <c r="FI458"/>
    </row>
    <row r="459" spans="135:165" x14ac:dyDescent="0.25">
      <c r="EE459"/>
      <c r="EF459"/>
      <c r="EG459"/>
      <c r="EH459"/>
      <c r="EI459"/>
      <c r="EJ459"/>
      <c r="EK459"/>
      <c r="EM459"/>
      <c r="EN459"/>
      <c r="EO459"/>
      <c r="EP459"/>
      <c r="EQ459"/>
      <c r="ER459"/>
      <c r="ES459"/>
      <c r="EU459"/>
      <c r="EV459"/>
      <c r="EW459"/>
      <c r="EX459"/>
      <c r="EY459"/>
      <c r="EZ459"/>
      <c r="FA459"/>
      <c r="FC459"/>
      <c r="FD459"/>
      <c r="FE459"/>
      <c r="FF459"/>
      <c r="FG459"/>
      <c r="FH459"/>
      <c r="FI459"/>
    </row>
    <row r="460" spans="135:165" x14ac:dyDescent="0.25">
      <c r="EE460"/>
      <c r="EF460"/>
      <c r="EG460"/>
      <c r="EH460"/>
      <c r="EI460"/>
      <c r="EJ460"/>
      <c r="EK460"/>
      <c r="EM460"/>
      <c r="EN460"/>
      <c r="EO460"/>
      <c r="EP460"/>
      <c r="EQ460"/>
      <c r="ER460"/>
      <c r="ES460"/>
      <c r="EU460"/>
      <c r="EV460"/>
      <c r="EW460"/>
      <c r="EX460"/>
      <c r="EY460"/>
      <c r="EZ460"/>
      <c r="FA460"/>
      <c r="FC460"/>
      <c r="FD460"/>
      <c r="FE460"/>
      <c r="FF460"/>
      <c r="FG460"/>
      <c r="FH460"/>
      <c r="FI460"/>
    </row>
    <row r="461" spans="135:165" x14ac:dyDescent="0.25">
      <c r="EE461"/>
      <c r="EF461"/>
      <c r="EG461"/>
      <c r="EH461"/>
      <c r="EI461"/>
      <c r="EJ461"/>
      <c r="EK461"/>
      <c r="EM461"/>
      <c r="EN461"/>
      <c r="EO461"/>
      <c r="EP461"/>
      <c r="EQ461"/>
      <c r="ER461"/>
      <c r="ES461"/>
      <c r="EU461"/>
      <c r="EV461"/>
      <c r="EW461"/>
      <c r="EX461"/>
      <c r="EY461"/>
      <c r="EZ461"/>
      <c r="FA461"/>
      <c r="FC461"/>
      <c r="FD461"/>
      <c r="FE461"/>
      <c r="FF461"/>
      <c r="FG461"/>
      <c r="FH461"/>
      <c r="FI461"/>
    </row>
    <row r="462" spans="135:165" x14ac:dyDescent="0.25">
      <c r="EE462"/>
      <c r="EF462"/>
      <c r="EG462"/>
      <c r="EH462"/>
      <c r="EI462"/>
      <c r="EJ462"/>
      <c r="EK462"/>
      <c r="EM462"/>
      <c r="EN462"/>
      <c r="EO462"/>
      <c r="EP462"/>
      <c r="EQ462"/>
      <c r="ER462"/>
      <c r="ES462"/>
      <c r="EU462"/>
      <c r="EV462"/>
      <c r="EW462"/>
      <c r="EX462"/>
      <c r="EY462"/>
      <c r="EZ462"/>
      <c r="FA462"/>
      <c r="FC462"/>
      <c r="FD462"/>
      <c r="FE462"/>
      <c r="FF462"/>
      <c r="FG462"/>
      <c r="FH462"/>
      <c r="FI462"/>
    </row>
    <row r="463" spans="135:165" x14ac:dyDescent="0.25">
      <c r="EE463"/>
      <c r="EF463"/>
      <c r="EG463"/>
      <c r="EH463"/>
      <c r="EI463"/>
      <c r="EJ463"/>
      <c r="EK463"/>
      <c r="EM463"/>
      <c r="EN463"/>
      <c r="EO463"/>
      <c r="EP463"/>
      <c r="EQ463"/>
      <c r="ER463"/>
      <c r="ES463"/>
      <c r="EU463"/>
      <c r="EV463"/>
      <c r="EW463"/>
      <c r="EX463"/>
      <c r="EY463"/>
      <c r="EZ463"/>
      <c r="FA463"/>
      <c r="FC463"/>
      <c r="FD463"/>
      <c r="FE463"/>
      <c r="FF463"/>
      <c r="FG463"/>
      <c r="FH463"/>
      <c r="FI463"/>
    </row>
    <row r="464" spans="135:165" x14ac:dyDescent="0.25">
      <c r="EE464"/>
      <c r="EF464"/>
      <c r="EG464"/>
      <c r="EH464"/>
      <c r="EI464"/>
      <c r="EJ464"/>
      <c r="EK464"/>
      <c r="EM464"/>
      <c r="EN464"/>
      <c r="EO464"/>
      <c r="EP464"/>
      <c r="EQ464"/>
      <c r="ER464"/>
      <c r="ES464"/>
      <c r="EU464"/>
      <c r="EV464"/>
      <c r="EW464"/>
      <c r="EX464"/>
      <c r="EY464"/>
      <c r="EZ464"/>
      <c r="FA464"/>
      <c r="FC464"/>
      <c r="FD464"/>
      <c r="FE464"/>
      <c r="FF464"/>
      <c r="FG464"/>
      <c r="FH464"/>
      <c r="FI464"/>
    </row>
    <row r="465" spans="135:165" x14ac:dyDescent="0.25">
      <c r="EE465"/>
      <c r="EF465"/>
      <c r="EG465"/>
      <c r="EH465"/>
      <c r="EI465"/>
      <c r="EJ465"/>
      <c r="EK465"/>
      <c r="EM465"/>
      <c r="EN465"/>
      <c r="EO465"/>
      <c r="EP465"/>
      <c r="EQ465"/>
      <c r="ER465"/>
      <c r="ES465"/>
      <c r="EU465"/>
      <c r="EV465"/>
      <c r="EW465"/>
      <c r="EX465"/>
      <c r="EY465"/>
      <c r="EZ465"/>
      <c r="FA465"/>
      <c r="FC465"/>
      <c r="FD465"/>
      <c r="FE465"/>
      <c r="FF465"/>
      <c r="FG465"/>
      <c r="FH465"/>
      <c r="FI465"/>
    </row>
    <row r="466" spans="135:165" x14ac:dyDescent="0.25">
      <c r="EE466"/>
      <c r="EF466"/>
      <c r="EG466"/>
      <c r="EH466"/>
      <c r="EI466"/>
      <c r="EJ466"/>
      <c r="EK466"/>
      <c r="EM466"/>
      <c r="EN466"/>
      <c r="EO466"/>
      <c r="EP466"/>
      <c r="EQ466"/>
      <c r="ER466"/>
      <c r="ES466"/>
      <c r="EU466"/>
      <c r="EV466"/>
      <c r="EW466"/>
      <c r="EX466"/>
      <c r="EY466"/>
      <c r="EZ466"/>
      <c r="FA466"/>
      <c r="FC466"/>
      <c r="FD466"/>
      <c r="FE466"/>
      <c r="FF466"/>
      <c r="FG466"/>
      <c r="FH466"/>
      <c r="FI466"/>
    </row>
    <row r="467" spans="135:165" x14ac:dyDescent="0.25">
      <c r="EE467"/>
      <c r="EF467"/>
      <c r="EG467"/>
      <c r="EH467"/>
      <c r="EI467"/>
      <c r="EJ467"/>
      <c r="EK467"/>
      <c r="EM467"/>
      <c r="EN467"/>
      <c r="EO467"/>
      <c r="EP467"/>
      <c r="EQ467"/>
      <c r="ER467"/>
      <c r="ES467"/>
      <c r="EU467"/>
      <c r="EV467"/>
      <c r="EW467"/>
      <c r="EX467"/>
      <c r="EY467"/>
      <c r="EZ467"/>
      <c r="FA467"/>
      <c r="FC467"/>
      <c r="FD467"/>
      <c r="FE467"/>
      <c r="FF467"/>
      <c r="FG467"/>
      <c r="FH467"/>
      <c r="FI467"/>
    </row>
    <row r="468" spans="135:165" x14ac:dyDescent="0.25">
      <c r="EE468"/>
      <c r="EF468"/>
      <c r="EG468"/>
      <c r="EH468"/>
      <c r="EI468"/>
      <c r="EJ468"/>
      <c r="EK468"/>
      <c r="EM468"/>
      <c r="EN468"/>
      <c r="EO468"/>
      <c r="EP468"/>
      <c r="EQ468"/>
      <c r="ER468"/>
      <c r="ES468"/>
      <c r="EU468"/>
      <c r="EV468"/>
      <c r="EW468"/>
      <c r="EX468"/>
      <c r="EY468"/>
      <c r="EZ468"/>
      <c r="FA468"/>
      <c r="FC468"/>
      <c r="FD468"/>
      <c r="FE468"/>
      <c r="FF468"/>
      <c r="FG468"/>
      <c r="FH468"/>
      <c r="FI468"/>
    </row>
    <row r="469" spans="135:165" x14ac:dyDescent="0.25">
      <c r="EE469"/>
      <c r="EF469"/>
      <c r="EG469"/>
      <c r="EH469"/>
      <c r="EI469"/>
      <c r="EJ469"/>
      <c r="EK469"/>
      <c r="EM469"/>
      <c r="EN469"/>
      <c r="EO469"/>
      <c r="EP469"/>
      <c r="EQ469"/>
      <c r="ER469"/>
      <c r="ES469"/>
      <c r="EU469"/>
      <c r="EV469"/>
      <c r="EW469"/>
      <c r="EX469"/>
      <c r="EY469"/>
      <c r="EZ469"/>
      <c r="FA469"/>
      <c r="FC469"/>
      <c r="FD469"/>
      <c r="FE469"/>
      <c r="FF469"/>
      <c r="FG469"/>
      <c r="FH469"/>
      <c r="FI469"/>
    </row>
    <row r="470" spans="135:165" x14ac:dyDescent="0.25">
      <c r="EE470"/>
      <c r="EF470"/>
      <c r="EG470"/>
      <c r="EH470"/>
      <c r="EI470"/>
      <c r="EJ470"/>
      <c r="EK470"/>
      <c r="EM470"/>
      <c r="EN470"/>
      <c r="EO470"/>
      <c r="EP470"/>
      <c r="EQ470"/>
      <c r="ER470"/>
      <c r="ES470"/>
      <c r="EU470"/>
      <c r="EV470"/>
      <c r="EW470"/>
      <c r="EX470"/>
      <c r="EY470"/>
      <c r="EZ470"/>
      <c r="FA470"/>
      <c r="FC470"/>
      <c r="FD470"/>
      <c r="FE470"/>
      <c r="FF470"/>
      <c r="FG470"/>
      <c r="FH470"/>
      <c r="FI470"/>
    </row>
    <row r="471" spans="135:165" x14ac:dyDescent="0.25">
      <c r="EE471"/>
      <c r="EF471"/>
      <c r="EG471"/>
      <c r="EH471"/>
      <c r="EI471"/>
      <c r="EJ471"/>
      <c r="EK471"/>
      <c r="EM471"/>
      <c r="EN471"/>
      <c r="EO471"/>
      <c r="EP471"/>
      <c r="EQ471"/>
      <c r="ER471"/>
      <c r="ES471"/>
      <c r="EU471"/>
      <c r="EV471"/>
      <c r="EW471"/>
      <c r="EX471"/>
      <c r="EY471"/>
      <c r="EZ471"/>
      <c r="FA471"/>
      <c r="FC471"/>
      <c r="FD471"/>
      <c r="FE471"/>
      <c r="FF471"/>
      <c r="FG471"/>
      <c r="FH471"/>
      <c r="FI471"/>
    </row>
    <row r="472" spans="135:165" x14ac:dyDescent="0.25">
      <c r="EE472"/>
      <c r="EF472"/>
      <c r="EG472"/>
      <c r="EH472"/>
      <c r="EI472"/>
      <c r="EJ472"/>
      <c r="EK472"/>
      <c r="EM472"/>
      <c r="EN472"/>
      <c r="EO472"/>
      <c r="EP472"/>
      <c r="EQ472"/>
      <c r="ER472"/>
      <c r="ES472"/>
      <c r="EU472"/>
      <c r="EV472"/>
      <c r="EW472"/>
      <c r="EX472"/>
      <c r="EY472"/>
      <c r="EZ472"/>
      <c r="FA472"/>
      <c r="FC472"/>
      <c r="FD472"/>
      <c r="FE472"/>
      <c r="FF472"/>
      <c r="FG472"/>
      <c r="FH472"/>
      <c r="FI472"/>
    </row>
    <row r="473" spans="135:165" x14ac:dyDescent="0.25">
      <c r="EE473"/>
      <c r="EF473"/>
      <c r="EG473"/>
      <c r="EH473"/>
      <c r="EI473"/>
      <c r="EJ473"/>
      <c r="EK473"/>
      <c r="EM473"/>
      <c r="EN473"/>
      <c r="EO473"/>
      <c r="EP473"/>
      <c r="EQ473"/>
      <c r="ER473"/>
      <c r="ES473"/>
      <c r="EU473"/>
      <c r="EV473"/>
      <c r="EW473"/>
      <c r="EX473"/>
      <c r="EY473"/>
      <c r="EZ473"/>
      <c r="FA473"/>
      <c r="FC473"/>
      <c r="FD473"/>
      <c r="FE473"/>
      <c r="FF473"/>
      <c r="FG473"/>
      <c r="FH473"/>
      <c r="FI473"/>
    </row>
    <row r="474" spans="135:165" x14ac:dyDescent="0.25">
      <c r="EE474"/>
      <c r="EF474"/>
      <c r="EG474"/>
      <c r="EH474"/>
      <c r="EI474"/>
      <c r="EJ474"/>
      <c r="EK474"/>
      <c r="EM474"/>
      <c r="EN474"/>
      <c r="EO474"/>
      <c r="EP474"/>
      <c r="EQ474"/>
      <c r="ER474"/>
      <c r="ES474"/>
      <c r="EU474"/>
      <c r="EV474"/>
      <c r="EW474"/>
      <c r="EX474"/>
      <c r="EY474"/>
      <c r="EZ474"/>
      <c r="FA474"/>
      <c r="FC474"/>
      <c r="FD474"/>
      <c r="FE474"/>
      <c r="FF474"/>
      <c r="FG474"/>
      <c r="FH474"/>
      <c r="FI474"/>
    </row>
    <row r="475" spans="135:165" x14ac:dyDescent="0.25">
      <c r="EE475"/>
      <c r="EF475"/>
      <c r="EG475"/>
      <c r="EH475"/>
      <c r="EI475"/>
      <c r="EJ475"/>
      <c r="EK475"/>
      <c r="EM475"/>
      <c r="EN475"/>
      <c r="EO475"/>
      <c r="EP475"/>
      <c r="EQ475"/>
      <c r="ER475"/>
      <c r="ES475"/>
      <c r="EU475"/>
      <c r="EV475"/>
      <c r="EW475"/>
      <c r="EX475"/>
      <c r="EY475"/>
      <c r="EZ475"/>
      <c r="FA475"/>
      <c r="FC475"/>
      <c r="FD475"/>
      <c r="FE475"/>
      <c r="FF475"/>
      <c r="FG475"/>
      <c r="FH475"/>
      <c r="FI475"/>
    </row>
    <row r="476" spans="135:165" x14ac:dyDescent="0.25">
      <c r="EE476"/>
      <c r="EF476"/>
      <c r="EG476"/>
      <c r="EH476"/>
      <c r="EI476"/>
      <c r="EJ476"/>
      <c r="EK476"/>
      <c r="EM476"/>
      <c r="EN476"/>
      <c r="EO476"/>
      <c r="EP476"/>
      <c r="EQ476"/>
      <c r="ER476"/>
      <c r="ES476"/>
      <c r="EU476"/>
      <c r="EV476"/>
      <c r="EW476"/>
      <c r="EX476"/>
      <c r="EY476"/>
      <c r="EZ476"/>
      <c r="FA476"/>
      <c r="FC476"/>
      <c r="FD476"/>
      <c r="FE476"/>
      <c r="FF476"/>
      <c r="FG476"/>
      <c r="FH476"/>
      <c r="FI476"/>
    </row>
    <row r="477" spans="135:165" x14ac:dyDescent="0.25">
      <c r="EE477"/>
      <c r="EF477"/>
      <c r="EG477"/>
      <c r="EH477"/>
      <c r="EI477"/>
      <c r="EJ477"/>
      <c r="EK477"/>
      <c r="EM477"/>
      <c r="EN477"/>
      <c r="EO477"/>
      <c r="EP477"/>
      <c r="EQ477"/>
      <c r="ER477"/>
      <c r="ES477"/>
      <c r="EU477"/>
      <c r="EV477"/>
      <c r="EW477"/>
      <c r="EX477"/>
      <c r="EY477"/>
      <c r="EZ477"/>
      <c r="FA477"/>
      <c r="FC477"/>
      <c r="FD477"/>
      <c r="FE477"/>
      <c r="FF477"/>
      <c r="FG477"/>
      <c r="FH477"/>
      <c r="FI477"/>
    </row>
    <row r="478" spans="135:165" x14ac:dyDescent="0.25">
      <c r="EE478"/>
      <c r="EF478"/>
      <c r="EG478"/>
      <c r="EH478"/>
      <c r="EI478"/>
      <c r="EJ478"/>
      <c r="EK478"/>
      <c r="EM478"/>
      <c r="EN478"/>
      <c r="EO478"/>
      <c r="EP478"/>
      <c r="EQ478"/>
      <c r="ER478"/>
      <c r="ES478"/>
      <c r="EU478"/>
      <c r="EV478"/>
      <c r="EW478"/>
      <c r="EX478"/>
      <c r="EY478"/>
      <c r="EZ478"/>
      <c r="FA478"/>
      <c r="FC478"/>
      <c r="FD478"/>
      <c r="FE478"/>
      <c r="FF478"/>
      <c r="FG478"/>
      <c r="FH478"/>
      <c r="FI478"/>
    </row>
    <row r="479" spans="135:165" x14ac:dyDescent="0.25">
      <c r="EE479"/>
      <c r="EF479"/>
      <c r="EG479"/>
      <c r="EH479"/>
      <c r="EI479"/>
      <c r="EJ479"/>
      <c r="EK479"/>
      <c r="EM479"/>
      <c r="EN479"/>
      <c r="EO479"/>
      <c r="EP479"/>
      <c r="EQ479"/>
      <c r="ER479"/>
      <c r="ES479"/>
      <c r="EU479"/>
      <c r="EV479"/>
      <c r="EW479"/>
      <c r="EX479"/>
      <c r="EY479"/>
      <c r="EZ479"/>
      <c r="FA479"/>
      <c r="FC479"/>
      <c r="FD479"/>
      <c r="FE479"/>
      <c r="FF479"/>
      <c r="FG479"/>
      <c r="FH479"/>
      <c r="FI479"/>
    </row>
    <row r="480" spans="135:165" x14ac:dyDescent="0.25">
      <c r="EE480"/>
      <c r="EF480"/>
      <c r="EG480"/>
      <c r="EH480"/>
      <c r="EI480"/>
      <c r="EJ480"/>
      <c r="EK480"/>
      <c r="EM480"/>
      <c r="EN480"/>
      <c r="EO480"/>
      <c r="EP480"/>
      <c r="EQ480"/>
      <c r="ER480"/>
      <c r="ES480"/>
      <c r="EU480"/>
      <c r="EV480"/>
      <c r="EW480"/>
      <c r="EX480"/>
      <c r="EY480"/>
      <c r="EZ480"/>
      <c r="FA480"/>
      <c r="FC480"/>
      <c r="FD480"/>
      <c r="FE480"/>
      <c r="FF480"/>
      <c r="FG480"/>
      <c r="FH480"/>
      <c r="FI480"/>
    </row>
    <row r="481" spans="135:165" x14ac:dyDescent="0.25">
      <c r="EE481"/>
      <c r="EF481"/>
      <c r="EG481"/>
      <c r="EH481"/>
      <c r="EI481"/>
      <c r="EJ481"/>
      <c r="EK481"/>
      <c r="EM481"/>
      <c r="EN481"/>
      <c r="EO481"/>
      <c r="EP481"/>
      <c r="EQ481"/>
      <c r="ER481"/>
      <c r="ES481"/>
      <c r="EU481"/>
      <c r="EV481"/>
      <c r="EW481"/>
      <c r="EX481"/>
      <c r="EY481"/>
      <c r="EZ481"/>
      <c r="FA481"/>
      <c r="FC481"/>
      <c r="FD481"/>
      <c r="FE481"/>
      <c r="FF481"/>
      <c r="FG481"/>
      <c r="FH481"/>
      <c r="FI481"/>
    </row>
    <row r="482" spans="135:165" x14ac:dyDescent="0.25">
      <c r="EE482"/>
      <c r="EF482"/>
      <c r="EG482"/>
      <c r="EH482"/>
      <c r="EI482"/>
      <c r="EJ482"/>
      <c r="EK482"/>
      <c r="EM482"/>
      <c r="EN482"/>
      <c r="EO482"/>
      <c r="EP482"/>
      <c r="EQ482"/>
      <c r="ER482"/>
      <c r="ES482"/>
      <c r="EU482"/>
      <c r="EV482"/>
      <c r="EW482"/>
      <c r="EX482"/>
      <c r="EY482"/>
      <c r="EZ482"/>
      <c r="FA482"/>
      <c r="FC482"/>
      <c r="FD482"/>
      <c r="FE482"/>
      <c r="FF482"/>
      <c r="FG482"/>
      <c r="FH482"/>
      <c r="FI482"/>
    </row>
    <row r="483" spans="135:165" x14ac:dyDescent="0.25">
      <c r="EE483"/>
      <c r="EF483"/>
      <c r="EG483"/>
      <c r="EH483"/>
      <c r="EI483"/>
      <c r="EJ483"/>
      <c r="EK483"/>
      <c r="EM483"/>
      <c r="EN483"/>
      <c r="EO483"/>
      <c r="EP483"/>
      <c r="EQ483"/>
      <c r="ER483"/>
      <c r="ES483"/>
      <c r="EU483"/>
      <c r="EV483"/>
      <c r="EW483"/>
      <c r="EX483"/>
      <c r="EY483"/>
      <c r="EZ483"/>
      <c r="FA483"/>
      <c r="FC483"/>
      <c r="FD483"/>
      <c r="FE483"/>
      <c r="FF483"/>
      <c r="FG483"/>
      <c r="FH483"/>
      <c r="FI483"/>
    </row>
    <row r="484" spans="135:165" x14ac:dyDescent="0.25">
      <c r="EE484"/>
      <c r="EF484"/>
      <c r="EG484"/>
      <c r="EH484"/>
      <c r="EI484"/>
      <c r="EJ484"/>
      <c r="EK484"/>
      <c r="EM484"/>
      <c r="EN484"/>
      <c r="EO484"/>
      <c r="EP484"/>
      <c r="EQ484"/>
      <c r="ER484"/>
      <c r="ES484"/>
      <c r="EU484"/>
      <c r="EV484"/>
      <c r="EW484"/>
      <c r="EX484"/>
      <c r="EY484"/>
      <c r="EZ484"/>
      <c r="FA484"/>
      <c r="FC484"/>
      <c r="FD484"/>
      <c r="FE484"/>
      <c r="FF484"/>
      <c r="FG484"/>
      <c r="FH484"/>
      <c r="FI484"/>
    </row>
    <row r="485" spans="135:165" x14ac:dyDescent="0.25">
      <c r="EE485"/>
      <c r="EF485"/>
      <c r="EG485"/>
      <c r="EH485"/>
      <c r="EI485"/>
      <c r="EJ485"/>
      <c r="EK485"/>
      <c r="EM485"/>
      <c r="EN485"/>
      <c r="EO485"/>
      <c r="EP485"/>
      <c r="EQ485"/>
      <c r="ER485"/>
      <c r="ES485"/>
      <c r="EU485"/>
      <c r="EV485"/>
      <c r="EW485"/>
      <c r="EX485"/>
      <c r="EY485"/>
      <c r="EZ485"/>
      <c r="FA485"/>
      <c r="FC485"/>
      <c r="FD485"/>
      <c r="FE485"/>
      <c r="FF485"/>
      <c r="FG485"/>
      <c r="FH485"/>
      <c r="FI485"/>
    </row>
    <row r="486" spans="135:165" x14ac:dyDescent="0.25">
      <c r="EE486"/>
      <c r="EF486"/>
      <c r="EG486"/>
      <c r="EH486"/>
      <c r="EI486"/>
      <c r="EJ486"/>
      <c r="EK486"/>
      <c r="EM486"/>
      <c r="EN486"/>
      <c r="EO486"/>
      <c r="EP486"/>
      <c r="EQ486"/>
      <c r="ER486"/>
      <c r="ES486"/>
      <c r="EU486"/>
      <c r="EV486"/>
      <c r="EW486"/>
      <c r="EX486"/>
      <c r="EY486"/>
      <c r="EZ486"/>
      <c r="FA486"/>
      <c r="FC486"/>
      <c r="FD486"/>
      <c r="FE486"/>
      <c r="FF486"/>
      <c r="FG486"/>
      <c r="FH486"/>
      <c r="FI486"/>
    </row>
    <row r="487" spans="135:165" x14ac:dyDescent="0.25">
      <c r="EE487"/>
      <c r="EF487"/>
      <c r="EG487"/>
      <c r="EH487"/>
      <c r="EI487"/>
      <c r="EJ487"/>
      <c r="EK487"/>
      <c r="EM487"/>
      <c r="EN487"/>
      <c r="EO487"/>
      <c r="EP487"/>
      <c r="EQ487"/>
      <c r="ER487"/>
      <c r="ES487"/>
      <c r="EU487"/>
      <c r="EV487"/>
      <c r="EW487"/>
      <c r="EX487"/>
      <c r="EY487"/>
      <c r="EZ487"/>
      <c r="FA487"/>
      <c r="FC487"/>
      <c r="FD487"/>
      <c r="FE487"/>
      <c r="FF487"/>
      <c r="FG487"/>
      <c r="FH487"/>
      <c r="FI487"/>
    </row>
    <row r="488" spans="135:165" x14ac:dyDescent="0.25">
      <c r="EE488"/>
      <c r="EF488"/>
      <c r="EG488"/>
      <c r="EH488"/>
      <c r="EI488"/>
      <c r="EJ488"/>
      <c r="EK488"/>
      <c r="EM488"/>
      <c r="EN488"/>
      <c r="EO488"/>
      <c r="EP488"/>
      <c r="EQ488"/>
      <c r="ER488"/>
      <c r="ES488"/>
      <c r="EU488"/>
      <c r="EV488"/>
      <c r="EW488"/>
      <c r="EX488"/>
      <c r="EY488"/>
      <c r="EZ488"/>
      <c r="FA488"/>
      <c r="FC488"/>
      <c r="FD488"/>
      <c r="FE488"/>
      <c r="FF488"/>
      <c r="FG488"/>
      <c r="FH488"/>
      <c r="FI488"/>
    </row>
    <row r="489" spans="135:165" x14ac:dyDescent="0.25">
      <c r="EE489"/>
      <c r="EF489"/>
      <c r="EG489"/>
      <c r="EH489"/>
      <c r="EI489"/>
      <c r="EJ489"/>
      <c r="EK489"/>
      <c r="EM489"/>
      <c r="EN489"/>
      <c r="EO489"/>
      <c r="EP489"/>
      <c r="EQ489"/>
      <c r="ER489"/>
      <c r="ES489"/>
      <c r="EU489"/>
      <c r="EV489"/>
      <c r="EW489"/>
      <c r="EX489"/>
      <c r="EY489"/>
      <c r="EZ489"/>
      <c r="FA489"/>
      <c r="FC489"/>
      <c r="FD489"/>
      <c r="FE489"/>
      <c r="FF489"/>
      <c r="FG489"/>
      <c r="FH489"/>
      <c r="FI489"/>
    </row>
    <row r="490" spans="135:165" x14ac:dyDescent="0.25">
      <c r="EE490"/>
      <c r="EF490"/>
      <c r="EG490"/>
      <c r="EH490"/>
      <c r="EI490"/>
      <c r="EJ490"/>
      <c r="EK490"/>
      <c r="EM490"/>
      <c r="EN490"/>
      <c r="EO490"/>
      <c r="EP490"/>
      <c r="EQ490"/>
      <c r="ER490"/>
      <c r="ES490"/>
      <c r="EU490"/>
      <c r="EV490"/>
      <c r="EW490"/>
      <c r="EX490"/>
      <c r="EY490"/>
      <c r="EZ490"/>
      <c r="FA490"/>
      <c r="FC490"/>
      <c r="FD490"/>
      <c r="FE490"/>
      <c r="FF490"/>
      <c r="FG490"/>
      <c r="FH490"/>
      <c r="FI490"/>
    </row>
    <row r="491" spans="135:165" x14ac:dyDescent="0.25">
      <c r="EE491"/>
      <c r="EF491"/>
      <c r="EG491"/>
      <c r="EH491"/>
      <c r="EI491"/>
      <c r="EJ491"/>
      <c r="EK491"/>
      <c r="EM491"/>
      <c r="EN491"/>
      <c r="EO491"/>
      <c r="EP491"/>
      <c r="EQ491"/>
      <c r="ER491"/>
      <c r="ES491"/>
      <c r="EU491"/>
      <c r="EV491"/>
      <c r="EW491"/>
      <c r="EX491"/>
      <c r="EY491"/>
      <c r="EZ491"/>
      <c r="FA491"/>
      <c r="FC491"/>
      <c r="FD491"/>
      <c r="FE491"/>
      <c r="FF491"/>
      <c r="FG491"/>
      <c r="FH491"/>
      <c r="FI491"/>
    </row>
    <row r="492" spans="135:165" x14ac:dyDescent="0.25">
      <c r="EE492"/>
      <c r="EF492"/>
      <c r="EG492"/>
      <c r="EH492"/>
      <c r="EI492"/>
      <c r="EJ492"/>
      <c r="EK492"/>
      <c r="EM492"/>
      <c r="EN492"/>
      <c r="EO492"/>
      <c r="EP492"/>
      <c r="EQ492"/>
      <c r="ER492"/>
      <c r="ES492"/>
      <c r="EU492"/>
      <c r="EV492"/>
      <c r="EW492"/>
      <c r="EX492"/>
      <c r="EY492"/>
      <c r="EZ492"/>
      <c r="FA492"/>
      <c r="FC492"/>
      <c r="FD492"/>
      <c r="FE492"/>
      <c r="FF492"/>
      <c r="FG492"/>
      <c r="FH492"/>
      <c r="FI492"/>
    </row>
    <row r="493" spans="135:165" x14ac:dyDescent="0.25">
      <c r="EE493"/>
      <c r="EF493"/>
      <c r="EG493"/>
      <c r="EH493"/>
      <c r="EI493"/>
      <c r="EJ493"/>
      <c r="EK493"/>
      <c r="EM493"/>
      <c r="EN493"/>
      <c r="EO493"/>
      <c r="EP493"/>
      <c r="EQ493"/>
      <c r="ER493"/>
      <c r="ES493"/>
      <c r="EU493"/>
      <c r="EV493"/>
      <c r="EW493"/>
      <c r="EX493"/>
      <c r="EY493"/>
      <c r="EZ493"/>
      <c r="FA493"/>
      <c r="FC493"/>
      <c r="FD493"/>
      <c r="FE493"/>
      <c r="FF493"/>
      <c r="FG493"/>
      <c r="FH493"/>
      <c r="FI493"/>
    </row>
    <row r="494" spans="135:165" x14ac:dyDescent="0.25">
      <c r="EE494"/>
      <c r="EF494"/>
      <c r="EG494"/>
      <c r="EH494"/>
      <c r="EI494"/>
      <c r="EJ494"/>
      <c r="EK494"/>
      <c r="EM494"/>
      <c r="EN494"/>
      <c r="EO494"/>
      <c r="EP494"/>
      <c r="EQ494"/>
      <c r="ER494"/>
      <c r="ES494"/>
      <c r="EU494"/>
      <c r="EV494"/>
      <c r="EW494"/>
      <c r="EX494"/>
      <c r="EY494"/>
      <c r="EZ494"/>
      <c r="FA494"/>
      <c r="FC494"/>
      <c r="FD494"/>
      <c r="FE494"/>
      <c r="FF494"/>
      <c r="FG494"/>
      <c r="FH494"/>
      <c r="FI494"/>
    </row>
    <row r="495" spans="135:165" x14ac:dyDescent="0.25">
      <c r="EE495"/>
      <c r="EF495"/>
      <c r="EG495"/>
      <c r="EH495"/>
      <c r="EI495"/>
      <c r="EJ495"/>
      <c r="EK495"/>
      <c r="EM495"/>
      <c r="EN495"/>
      <c r="EO495"/>
      <c r="EP495"/>
      <c r="EQ495"/>
      <c r="ER495"/>
      <c r="ES495"/>
      <c r="EU495"/>
      <c r="EV495"/>
      <c r="EW495"/>
      <c r="EX495"/>
      <c r="EY495"/>
      <c r="EZ495"/>
      <c r="FA495"/>
      <c r="FC495"/>
      <c r="FD495"/>
      <c r="FE495"/>
      <c r="FF495"/>
      <c r="FG495"/>
      <c r="FH495"/>
      <c r="FI495"/>
    </row>
    <row r="496" spans="135:165" x14ac:dyDescent="0.25">
      <c r="EE496"/>
      <c r="EF496"/>
      <c r="EG496"/>
      <c r="EH496"/>
      <c r="EI496"/>
      <c r="EJ496"/>
      <c r="EK496"/>
      <c r="EM496"/>
      <c r="EN496"/>
      <c r="EO496"/>
      <c r="EP496"/>
      <c r="EQ496"/>
      <c r="ER496"/>
      <c r="ES496"/>
      <c r="EU496"/>
      <c r="EV496"/>
      <c r="EW496"/>
      <c r="EX496"/>
      <c r="EY496"/>
      <c r="EZ496"/>
      <c r="FA496"/>
      <c r="FC496"/>
      <c r="FD496"/>
      <c r="FE496"/>
      <c r="FF496"/>
      <c r="FG496"/>
      <c r="FH496"/>
      <c r="FI496"/>
    </row>
    <row r="497" spans="135:165" x14ac:dyDescent="0.25">
      <c r="EE497"/>
      <c r="EF497"/>
      <c r="EG497"/>
      <c r="EH497"/>
      <c r="EI497"/>
      <c r="EJ497"/>
      <c r="EK497"/>
      <c r="EM497"/>
      <c r="EN497"/>
      <c r="EO497"/>
      <c r="EP497"/>
      <c r="EQ497"/>
      <c r="ER497"/>
      <c r="ES497"/>
      <c r="EU497"/>
      <c r="EV497"/>
      <c r="EW497"/>
      <c r="EX497"/>
      <c r="EY497"/>
      <c r="EZ497"/>
      <c r="FA497"/>
      <c r="FC497"/>
      <c r="FD497"/>
      <c r="FE497"/>
      <c r="FF497"/>
      <c r="FG497"/>
      <c r="FH497"/>
      <c r="FI497"/>
    </row>
    <row r="498" spans="135:165" x14ac:dyDescent="0.25">
      <c r="EE498"/>
      <c r="EF498"/>
      <c r="EG498"/>
      <c r="EH498"/>
      <c r="EI498"/>
      <c r="EJ498"/>
      <c r="EK498"/>
      <c r="EM498"/>
      <c r="EN498"/>
      <c r="EO498"/>
      <c r="EP498"/>
      <c r="EQ498"/>
      <c r="ER498"/>
      <c r="ES498"/>
      <c r="EU498"/>
      <c r="EV498"/>
      <c r="EW498"/>
      <c r="EX498"/>
      <c r="EY498"/>
      <c r="EZ498"/>
      <c r="FA498"/>
      <c r="FC498"/>
      <c r="FD498"/>
      <c r="FE498"/>
      <c r="FF498"/>
      <c r="FG498"/>
      <c r="FH498"/>
      <c r="FI498"/>
    </row>
    <row r="499" spans="135:165" x14ac:dyDescent="0.25">
      <c r="EE499"/>
      <c r="EF499"/>
      <c r="EG499"/>
      <c r="EH499"/>
      <c r="EI499"/>
      <c r="EJ499"/>
      <c r="EK499"/>
      <c r="EM499"/>
      <c r="EN499"/>
      <c r="EO499"/>
      <c r="EP499"/>
      <c r="EQ499"/>
      <c r="ER499"/>
      <c r="ES499"/>
      <c r="EU499"/>
      <c r="EV499"/>
      <c r="EW499"/>
      <c r="EX499"/>
      <c r="EY499"/>
      <c r="EZ499"/>
      <c r="FA499"/>
      <c r="FC499"/>
      <c r="FD499"/>
      <c r="FE499"/>
      <c r="FF499"/>
      <c r="FG499"/>
      <c r="FH499"/>
      <c r="FI499"/>
    </row>
    <row r="500" spans="135:165" x14ac:dyDescent="0.25">
      <c r="EE500"/>
      <c r="EF500"/>
      <c r="EG500"/>
      <c r="EH500"/>
      <c r="EI500"/>
      <c r="EJ500"/>
      <c r="EK500"/>
      <c r="EM500"/>
      <c r="EN500"/>
      <c r="EO500"/>
      <c r="EP500"/>
      <c r="EQ500"/>
      <c r="ER500"/>
      <c r="ES500"/>
      <c r="EU500"/>
      <c r="EV500"/>
      <c r="EW500"/>
      <c r="EX500"/>
      <c r="EY500"/>
      <c r="EZ500"/>
      <c r="FA500"/>
      <c r="FC500"/>
      <c r="FD500"/>
      <c r="FE500"/>
      <c r="FF500"/>
      <c r="FG500"/>
      <c r="FH500"/>
      <c r="FI500"/>
    </row>
    <row r="501" spans="135:165" x14ac:dyDescent="0.25">
      <c r="EE501"/>
      <c r="EF501"/>
      <c r="EG501"/>
      <c r="EH501"/>
      <c r="EI501"/>
      <c r="EJ501"/>
      <c r="EK501"/>
      <c r="EM501"/>
      <c r="EN501"/>
      <c r="EO501"/>
      <c r="EP501"/>
      <c r="EQ501"/>
      <c r="ER501"/>
      <c r="ES501"/>
      <c r="EU501"/>
      <c r="EV501"/>
      <c r="EW501"/>
      <c r="EX501"/>
      <c r="EY501"/>
      <c r="EZ501"/>
      <c r="FA501"/>
      <c r="FC501"/>
      <c r="FD501"/>
      <c r="FE501"/>
      <c r="FF501"/>
      <c r="FG501"/>
      <c r="FH501"/>
      <c r="FI501"/>
    </row>
    <row r="502" spans="135:165" x14ac:dyDescent="0.25">
      <c r="EE502"/>
      <c r="EF502"/>
      <c r="EG502"/>
      <c r="EH502"/>
      <c r="EI502"/>
      <c r="EJ502"/>
      <c r="EK502"/>
      <c r="EM502"/>
      <c r="EN502"/>
      <c r="EO502"/>
      <c r="EP502"/>
      <c r="EQ502"/>
      <c r="ER502"/>
      <c r="ES502"/>
      <c r="EU502"/>
      <c r="EV502"/>
      <c r="EW502"/>
      <c r="EX502"/>
      <c r="EY502"/>
      <c r="EZ502"/>
      <c r="FA502"/>
      <c r="FC502"/>
      <c r="FD502"/>
      <c r="FE502"/>
      <c r="FF502"/>
      <c r="FG502"/>
      <c r="FH502"/>
      <c r="FI502"/>
    </row>
    <row r="503" spans="135:165" x14ac:dyDescent="0.25">
      <c r="EE503"/>
      <c r="EF503"/>
      <c r="EG503"/>
      <c r="EH503"/>
      <c r="EI503"/>
      <c r="EJ503"/>
      <c r="EK503"/>
      <c r="EM503"/>
      <c r="EN503"/>
      <c r="EO503"/>
      <c r="EP503"/>
      <c r="EQ503"/>
      <c r="ER503"/>
      <c r="ES503"/>
      <c r="EU503"/>
      <c r="EV503"/>
      <c r="EW503"/>
      <c r="EX503"/>
      <c r="EY503"/>
      <c r="EZ503"/>
      <c r="FA503"/>
      <c r="FC503"/>
      <c r="FD503"/>
      <c r="FE503"/>
      <c r="FF503"/>
      <c r="FG503"/>
      <c r="FH503"/>
      <c r="FI503"/>
    </row>
    <row r="504" spans="135:165" x14ac:dyDescent="0.25">
      <c r="EE504"/>
      <c r="EF504"/>
      <c r="EG504"/>
      <c r="EH504"/>
      <c r="EI504"/>
      <c r="EJ504"/>
      <c r="EK504"/>
      <c r="EM504"/>
      <c r="EN504"/>
      <c r="EO504"/>
      <c r="EP504"/>
      <c r="EQ504"/>
      <c r="ER504"/>
      <c r="ES504"/>
      <c r="EU504"/>
      <c r="EV504"/>
      <c r="EW504"/>
      <c r="EX504"/>
      <c r="EY504"/>
      <c r="EZ504"/>
      <c r="FA504"/>
      <c r="FC504"/>
      <c r="FD504"/>
      <c r="FE504"/>
      <c r="FF504"/>
      <c r="FG504"/>
      <c r="FH504"/>
      <c r="FI504"/>
    </row>
    <row r="505" spans="135:165" x14ac:dyDescent="0.25">
      <c r="EE505"/>
      <c r="EF505"/>
      <c r="EG505"/>
      <c r="EH505"/>
      <c r="EI505"/>
      <c r="EJ505"/>
      <c r="EK505"/>
      <c r="EM505"/>
      <c r="EN505"/>
      <c r="EO505"/>
      <c r="EP505"/>
      <c r="EQ505"/>
      <c r="ER505"/>
      <c r="ES505"/>
      <c r="EU505"/>
      <c r="EV505"/>
      <c r="EW505"/>
      <c r="EX505"/>
      <c r="EY505"/>
      <c r="EZ505"/>
      <c r="FA505"/>
      <c r="FC505"/>
      <c r="FD505"/>
      <c r="FE505"/>
      <c r="FF505"/>
      <c r="FG505"/>
      <c r="FH505"/>
      <c r="FI505"/>
    </row>
    <row r="506" spans="135:165" x14ac:dyDescent="0.25">
      <c r="EE506"/>
      <c r="EF506"/>
      <c r="EG506"/>
      <c r="EH506"/>
      <c r="EI506"/>
      <c r="EJ506"/>
      <c r="EK506"/>
      <c r="EM506"/>
      <c r="EN506"/>
      <c r="EO506"/>
      <c r="EP506"/>
      <c r="EQ506"/>
      <c r="ER506"/>
      <c r="ES506"/>
      <c r="EU506"/>
      <c r="EV506"/>
      <c r="EW506"/>
      <c r="EX506"/>
      <c r="EY506"/>
      <c r="EZ506"/>
      <c r="FA506"/>
      <c r="FC506"/>
      <c r="FD506"/>
      <c r="FE506"/>
      <c r="FF506"/>
      <c r="FG506"/>
      <c r="FH506"/>
      <c r="FI506"/>
    </row>
    <row r="507" spans="135:165" x14ac:dyDescent="0.25">
      <c r="EE507"/>
      <c r="EF507"/>
      <c r="EG507"/>
      <c r="EH507"/>
      <c r="EI507"/>
      <c r="EJ507"/>
      <c r="EK507"/>
      <c r="EM507"/>
      <c r="EN507"/>
      <c r="EO507"/>
      <c r="EP507"/>
      <c r="EQ507"/>
      <c r="ER507"/>
      <c r="ES507"/>
      <c r="EU507"/>
      <c r="EV507"/>
      <c r="EW507"/>
      <c r="EX507"/>
      <c r="EY507"/>
      <c r="EZ507"/>
      <c r="FA507"/>
      <c r="FC507"/>
      <c r="FD507"/>
      <c r="FE507"/>
      <c r="FF507"/>
      <c r="FG507"/>
      <c r="FH507"/>
      <c r="FI507"/>
    </row>
    <row r="508" spans="135:165" x14ac:dyDescent="0.25">
      <c r="EE508"/>
      <c r="EF508"/>
      <c r="EG508"/>
      <c r="EH508"/>
      <c r="EI508"/>
      <c r="EJ508"/>
      <c r="EK508"/>
      <c r="EM508"/>
      <c r="EN508"/>
      <c r="EO508"/>
      <c r="EP508"/>
      <c r="EQ508"/>
      <c r="ER508"/>
      <c r="ES508"/>
      <c r="EU508"/>
      <c r="EV508"/>
      <c r="EW508"/>
      <c r="EX508"/>
      <c r="EY508"/>
      <c r="EZ508"/>
      <c r="FA508"/>
      <c r="FC508"/>
      <c r="FD508"/>
      <c r="FE508"/>
      <c r="FF508"/>
      <c r="FG508"/>
      <c r="FH508"/>
      <c r="FI508"/>
    </row>
    <row r="509" spans="135:165" x14ac:dyDescent="0.25">
      <c r="EE509"/>
      <c r="EF509"/>
      <c r="EG509"/>
      <c r="EH509"/>
      <c r="EI509"/>
      <c r="EJ509"/>
      <c r="EK509"/>
      <c r="EM509"/>
      <c r="EN509"/>
      <c r="EO509"/>
      <c r="EP509"/>
      <c r="EQ509"/>
      <c r="ER509"/>
      <c r="ES509"/>
      <c r="EU509"/>
      <c r="EV509"/>
      <c r="EW509"/>
      <c r="EX509"/>
      <c r="EY509"/>
      <c r="EZ509"/>
      <c r="FA509"/>
      <c r="FC509"/>
      <c r="FD509"/>
      <c r="FE509"/>
      <c r="FF509"/>
      <c r="FG509"/>
      <c r="FH509"/>
      <c r="FI509"/>
    </row>
    <row r="510" spans="135:165" x14ac:dyDescent="0.25">
      <c r="EE510"/>
      <c r="EF510"/>
      <c r="EG510"/>
      <c r="EH510"/>
      <c r="EI510"/>
      <c r="EJ510"/>
      <c r="EK510"/>
      <c r="EM510"/>
      <c r="EN510"/>
      <c r="EO510"/>
      <c r="EP510"/>
      <c r="EQ510"/>
      <c r="ER510"/>
      <c r="ES510"/>
      <c r="EU510"/>
      <c r="EV510"/>
      <c r="EW510"/>
      <c r="EX510"/>
      <c r="EY510"/>
      <c r="EZ510"/>
      <c r="FA510"/>
      <c r="FC510"/>
      <c r="FD510"/>
      <c r="FE510"/>
      <c r="FF510"/>
      <c r="FG510"/>
      <c r="FH510"/>
      <c r="FI510"/>
    </row>
    <row r="511" spans="135:165" x14ac:dyDescent="0.25">
      <c r="EE511"/>
      <c r="EF511"/>
      <c r="EG511"/>
      <c r="EH511"/>
      <c r="EI511"/>
      <c r="EJ511"/>
      <c r="EK511"/>
      <c r="EM511"/>
      <c r="EN511"/>
      <c r="EO511"/>
      <c r="EP511"/>
      <c r="EQ511"/>
      <c r="ER511"/>
      <c r="ES511"/>
      <c r="EU511"/>
      <c r="EV511"/>
      <c r="EW511"/>
      <c r="EX511"/>
      <c r="EY511"/>
      <c r="EZ511"/>
      <c r="FA511"/>
      <c r="FC511"/>
      <c r="FD511"/>
      <c r="FE511"/>
      <c r="FF511"/>
      <c r="FG511"/>
      <c r="FH511"/>
      <c r="FI511"/>
    </row>
    <row r="512" spans="135:165" x14ac:dyDescent="0.25">
      <c r="EE512"/>
      <c r="EF512"/>
      <c r="EG512"/>
      <c r="EH512"/>
      <c r="EI512"/>
      <c r="EJ512"/>
      <c r="EK512"/>
      <c r="EM512"/>
      <c r="EN512"/>
      <c r="EO512"/>
      <c r="EP512"/>
      <c r="EQ512"/>
      <c r="ER512"/>
      <c r="ES512"/>
      <c r="EU512"/>
      <c r="EV512"/>
      <c r="EW512"/>
      <c r="EX512"/>
      <c r="EY512"/>
      <c r="EZ512"/>
      <c r="FA512"/>
      <c r="FC512"/>
      <c r="FD512"/>
      <c r="FE512"/>
      <c r="FF512"/>
      <c r="FG512"/>
      <c r="FH512"/>
      <c r="FI512"/>
    </row>
    <row r="513" spans="135:165" x14ac:dyDescent="0.25">
      <c r="EE513"/>
      <c r="EF513"/>
      <c r="EG513"/>
      <c r="EH513"/>
      <c r="EI513"/>
      <c r="EJ513"/>
      <c r="EK513"/>
      <c r="EM513"/>
      <c r="EN513"/>
      <c r="EO513"/>
      <c r="EP513"/>
      <c r="EQ513"/>
      <c r="ER513"/>
      <c r="ES513"/>
      <c r="EU513"/>
      <c r="EV513"/>
      <c r="EW513"/>
      <c r="EX513"/>
      <c r="EY513"/>
      <c r="EZ513"/>
      <c r="FA513"/>
      <c r="FC513"/>
      <c r="FD513"/>
      <c r="FE513"/>
      <c r="FF513"/>
      <c r="FG513"/>
      <c r="FH513"/>
      <c r="FI513"/>
    </row>
    <row r="514" spans="135:165" x14ac:dyDescent="0.25">
      <c r="EE514"/>
      <c r="EF514"/>
      <c r="EG514"/>
      <c r="EH514"/>
      <c r="EI514"/>
      <c r="EJ514"/>
      <c r="EK514"/>
      <c r="EM514"/>
      <c r="EN514"/>
      <c r="EO514"/>
      <c r="EP514"/>
      <c r="EQ514"/>
      <c r="ER514"/>
      <c r="ES514"/>
      <c r="EU514"/>
      <c r="EV514"/>
      <c r="EW514"/>
      <c r="EX514"/>
      <c r="EY514"/>
      <c r="EZ514"/>
      <c r="FA514"/>
      <c r="FC514"/>
      <c r="FD514"/>
      <c r="FE514"/>
      <c r="FF514"/>
      <c r="FG514"/>
      <c r="FH514"/>
      <c r="FI514"/>
    </row>
    <row r="515" spans="135:165" x14ac:dyDescent="0.25">
      <c r="EE515"/>
      <c r="EF515"/>
      <c r="EG515"/>
      <c r="EH515"/>
      <c r="EI515"/>
      <c r="EJ515"/>
      <c r="EK515"/>
      <c r="EM515"/>
      <c r="EN515"/>
      <c r="EO515"/>
      <c r="EP515"/>
      <c r="EQ515"/>
      <c r="ER515"/>
      <c r="ES515"/>
      <c r="EU515"/>
      <c r="EV515"/>
      <c r="EW515"/>
      <c r="EX515"/>
      <c r="EY515"/>
      <c r="EZ515"/>
      <c r="FA515"/>
      <c r="FC515"/>
      <c r="FD515"/>
      <c r="FE515"/>
      <c r="FF515"/>
      <c r="FG515"/>
      <c r="FH515"/>
      <c r="FI515"/>
    </row>
    <row r="516" spans="135:165" x14ac:dyDescent="0.25">
      <c r="EE516"/>
      <c r="EF516"/>
      <c r="EG516"/>
      <c r="EH516"/>
      <c r="EI516"/>
      <c r="EJ516"/>
      <c r="EK516"/>
      <c r="EM516"/>
      <c r="EN516"/>
      <c r="EO516"/>
      <c r="EP516"/>
      <c r="EQ516"/>
      <c r="ER516"/>
      <c r="ES516"/>
      <c r="EU516"/>
      <c r="EV516"/>
      <c r="EW516"/>
      <c r="EX516"/>
      <c r="EY516"/>
      <c r="EZ516"/>
      <c r="FA516"/>
      <c r="FC516"/>
      <c r="FD516"/>
      <c r="FE516"/>
      <c r="FF516"/>
      <c r="FG516"/>
      <c r="FH516"/>
      <c r="FI516"/>
    </row>
    <row r="517" spans="135:165" x14ac:dyDescent="0.25">
      <c r="EE517"/>
      <c r="EF517"/>
      <c r="EG517"/>
      <c r="EH517"/>
      <c r="EI517"/>
      <c r="EJ517"/>
      <c r="EK517"/>
      <c r="EM517"/>
      <c r="EN517"/>
      <c r="EO517"/>
      <c r="EP517"/>
      <c r="EQ517"/>
      <c r="ER517"/>
      <c r="ES517"/>
      <c r="EU517"/>
      <c r="EV517"/>
      <c r="EW517"/>
      <c r="EX517"/>
      <c r="EY517"/>
      <c r="EZ517"/>
      <c r="FA517"/>
      <c r="FC517"/>
      <c r="FD517"/>
      <c r="FE517"/>
      <c r="FF517"/>
      <c r="FG517"/>
      <c r="FH517"/>
      <c r="FI517"/>
    </row>
    <row r="518" spans="135:165" x14ac:dyDescent="0.25">
      <c r="EE518"/>
      <c r="EF518"/>
      <c r="EG518"/>
      <c r="EH518"/>
      <c r="EI518"/>
      <c r="EJ518"/>
      <c r="EK518"/>
      <c r="EM518"/>
      <c r="EN518"/>
      <c r="EO518"/>
      <c r="EP518"/>
      <c r="EQ518"/>
      <c r="ER518"/>
      <c r="ES518"/>
      <c r="EU518"/>
      <c r="EV518"/>
      <c r="EW518"/>
      <c r="EX518"/>
      <c r="EY518"/>
      <c r="EZ518"/>
      <c r="FA518"/>
      <c r="FC518"/>
      <c r="FD518"/>
      <c r="FE518"/>
      <c r="FF518"/>
      <c r="FG518"/>
      <c r="FH518"/>
      <c r="FI518"/>
    </row>
    <row r="519" spans="135:165" x14ac:dyDescent="0.25">
      <c r="EE519"/>
      <c r="EF519"/>
      <c r="EG519"/>
      <c r="EH519"/>
      <c r="EI519"/>
      <c r="EJ519"/>
      <c r="EK519"/>
      <c r="EM519"/>
      <c r="EN519"/>
      <c r="EO519"/>
      <c r="EP519"/>
      <c r="EQ519"/>
      <c r="ER519"/>
      <c r="ES519"/>
      <c r="EU519"/>
      <c r="EV519"/>
      <c r="EW519"/>
      <c r="EX519"/>
      <c r="EY519"/>
      <c r="EZ519"/>
      <c r="FA519"/>
      <c r="FC519"/>
      <c r="FD519"/>
      <c r="FE519"/>
      <c r="FF519"/>
      <c r="FG519"/>
      <c r="FH519"/>
      <c r="FI519"/>
    </row>
    <row r="520" spans="135:165" x14ac:dyDescent="0.25">
      <c r="EE520"/>
      <c r="EF520"/>
      <c r="EG520"/>
      <c r="EH520"/>
      <c r="EI520"/>
      <c r="EJ520"/>
      <c r="EK520"/>
      <c r="EM520"/>
      <c r="EN520"/>
      <c r="EO520"/>
      <c r="EP520"/>
      <c r="EQ520"/>
      <c r="ER520"/>
      <c r="ES520"/>
      <c r="EU520"/>
      <c r="EV520"/>
      <c r="EW520"/>
      <c r="EX520"/>
      <c r="EY520"/>
      <c r="EZ520"/>
      <c r="FA520"/>
      <c r="FC520"/>
      <c r="FD520"/>
      <c r="FE520"/>
      <c r="FF520"/>
      <c r="FG520"/>
      <c r="FH520"/>
      <c r="FI520"/>
    </row>
    <row r="521" spans="135:165" x14ac:dyDescent="0.25">
      <c r="EE521"/>
      <c r="EF521"/>
      <c r="EG521"/>
      <c r="EH521"/>
      <c r="EI521"/>
      <c r="EJ521"/>
      <c r="EK521"/>
      <c r="EM521"/>
      <c r="EN521"/>
      <c r="EO521"/>
      <c r="EP521"/>
      <c r="EQ521"/>
      <c r="ER521"/>
      <c r="ES521"/>
      <c r="EU521"/>
      <c r="EV521"/>
      <c r="EW521"/>
      <c r="EX521"/>
      <c r="EY521"/>
      <c r="EZ521"/>
      <c r="FA521"/>
      <c r="FC521"/>
      <c r="FD521"/>
      <c r="FE521"/>
      <c r="FF521"/>
      <c r="FG521"/>
      <c r="FH521"/>
      <c r="FI521"/>
    </row>
    <row r="522" spans="135:165" x14ac:dyDescent="0.25">
      <c r="EE522"/>
      <c r="EF522"/>
      <c r="EG522"/>
      <c r="EH522"/>
      <c r="EI522"/>
      <c r="EJ522"/>
      <c r="EK522"/>
      <c r="EM522"/>
      <c r="EN522"/>
      <c r="EO522"/>
      <c r="EP522"/>
      <c r="EQ522"/>
      <c r="ER522"/>
      <c r="ES522"/>
      <c r="EU522"/>
      <c r="EV522"/>
      <c r="EW522"/>
      <c r="EX522"/>
      <c r="EY522"/>
      <c r="EZ522"/>
      <c r="FA522"/>
      <c r="FC522"/>
      <c r="FD522"/>
      <c r="FE522"/>
      <c r="FF522"/>
      <c r="FG522"/>
      <c r="FH522"/>
      <c r="FI522"/>
    </row>
    <row r="523" spans="135:165" x14ac:dyDescent="0.25">
      <c r="EE523"/>
      <c r="EF523"/>
      <c r="EG523"/>
      <c r="EH523"/>
      <c r="EI523"/>
      <c r="EJ523"/>
      <c r="EK523"/>
      <c r="EM523"/>
      <c r="EN523"/>
      <c r="EO523"/>
      <c r="EP523"/>
      <c r="EQ523"/>
      <c r="ER523"/>
      <c r="ES523"/>
      <c r="EU523"/>
      <c r="EV523"/>
      <c r="EW523"/>
      <c r="EX523"/>
      <c r="EY523"/>
      <c r="EZ523"/>
      <c r="FA523"/>
      <c r="FC523"/>
      <c r="FD523"/>
      <c r="FE523"/>
      <c r="FF523"/>
      <c r="FG523"/>
      <c r="FH523"/>
      <c r="FI523"/>
    </row>
    <row r="524" spans="135:165" x14ac:dyDescent="0.25">
      <c r="EE524"/>
      <c r="EF524"/>
      <c r="EG524"/>
      <c r="EH524"/>
      <c r="EI524"/>
      <c r="EJ524"/>
      <c r="EK524"/>
      <c r="EM524"/>
      <c r="EN524"/>
      <c r="EO524"/>
      <c r="EP524"/>
      <c r="EQ524"/>
      <c r="ER524"/>
      <c r="ES524"/>
      <c r="EU524"/>
      <c r="EV524"/>
      <c r="EW524"/>
      <c r="EX524"/>
      <c r="EY524"/>
      <c r="EZ524"/>
      <c r="FA524"/>
      <c r="FC524"/>
      <c r="FD524"/>
      <c r="FE524"/>
      <c r="FF524"/>
      <c r="FG524"/>
      <c r="FH524"/>
      <c r="FI524"/>
    </row>
    <row r="525" spans="135:165" x14ac:dyDescent="0.25">
      <c r="EE525"/>
      <c r="EF525"/>
      <c r="EG525"/>
      <c r="EH525"/>
      <c r="EI525"/>
      <c r="EJ525"/>
      <c r="EK525"/>
      <c r="EM525"/>
      <c r="EN525"/>
      <c r="EO525"/>
      <c r="EP525"/>
      <c r="EQ525"/>
      <c r="ER525"/>
      <c r="ES525"/>
      <c r="EU525"/>
      <c r="EV525"/>
      <c r="EW525"/>
      <c r="EX525"/>
      <c r="EY525"/>
      <c r="EZ525"/>
      <c r="FA525"/>
      <c r="FC525"/>
      <c r="FD525"/>
      <c r="FE525"/>
      <c r="FF525"/>
      <c r="FG525"/>
      <c r="FH525"/>
      <c r="FI525"/>
    </row>
    <row r="526" spans="135:165" x14ac:dyDescent="0.25">
      <c r="EE526"/>
      <c r="EF526"/>
      <c r="EG526"/>
      <c r="EH526"/>
      <c r="EI526"/>
      <c r="EJ526"/>
      <c r="EK526"/>
      <c r="EM526"/>
      <c r="EN526"/>
      <c r="EO526"/>
      <c r="EP526"/>
      <c r="EQ526"/>
      <c r="ER526"/>
      <c r="ES526"/>
      <c r="EU526"/>
      <c r="EV526"/>
      <c r="EW526"/>
      <c r="EX526"/>
      <c r="EY526"/>
      <c r="EZ526"/>
      <c r="FA526"/>
      <c r="FC526"/>
      <c r="FD526"/>
      <c r="FE526"/>
      <c r="FF526"/>
      <c r="FG526"/>
      <c r="FH526"/>
      <c r="FI526"/>
    </row>
    <row r="527" spans="135:165" x14ac:dyDescent="0.25">
      <c r="EE527"/>
      <c r="EF527"/>
      <c r="EG527"/>
      <c r="EH527"/>
      <c r="EI527"/>
      <c r="EJ527"/>
      <c r="EK527"/>
      <c r="EM527"/>
      <c r="EN527"/>
      <c r="EO527"/>
      <c r="EP527"/>
      <c r="EQ527"/>
      <c r="ER527"/>
      <c r="ES527"/>
      <c r="EU527"/>
      <c r="EV527"/>
      <c r="EW527"/>
      <c r="EX527"/>
      <c r="EY527"/>
      <c r="EZ527"/>
      <c r="FA527"/>
      <c r="FC527"/>
      <c r="FD527"/>
      <c r="FE527"/>
      <c r="FF527"/>
      <c r="FG527"/>
      <c r="FH527"/>
      <c r="FI527"/>
    </row>
    <row r="528" spans="135:165" x14ac:dyDescent="0.25">
      <c r="EE528"/>
      <c r="EF528"/>
      <c r="EG528"/>
      <c r="EH528"/>
      <c r="EI528"/>
      <c r="EJ528"/>
      <c r="EK528"/>
      <c r="EM528"/>
      <c r="EN528"/>
      <c r="EO528"/>
      <c r="EP528"/>
      <c r="EQ528"/>
      <c r="ER528"/>
      <c r="ES528"/>
      <c r="EU528"/>
      <c r="EV528"/>
      <c r="EW528"/>
      <c r="EX528"/>
      <c r="EY528"/>
      <c r="EZ528"/>
      <c r="FA528"/>
      <c r="FC528"/>
      <c r="FD528"/>
      <c r="FE528"/>
      <c r="FF528"/>
      <c r="FG528"/>
      <c r="FH528"/>
      <c r="FI528"/>
    </row>
    <row r="529" spans="135:165" x14ac:dyDescent="0.25">
      <c r="EE529"/>
      <c r="EF529"/>
      <c r="EG529"/>
      <c r="EH529"/>
      <c r="EI529"/>
      <c r="EJ529"/>
      <c r="EK529"/>
      <c r="EM529"/>
      <c r="EN529"/>
      <c r="EO529"/>
      <c r="EP529"/>
      <c r="EQ529"/>
      <c r="ER529"/>
      <c r="ES529"/>
      <c r="EU529"/>
      <c r="EV529"/>
      <c r="EW529"/>
      <c r="EX529"/>
      <c r="EY529"/>
      <c r="EZ529"/>
      <c r="FA529"/>
      <c r="FC529"/>
      <c r="FD529"/>
      <c r="FE529"/>
      <c r="FF529"/>
      <c r="FG529"/>
      <c r="FH529"/>
      <c r="FI529"/>
    </row>
    <row r="530" spans="135:165" x14ac:dyDescent="0.25">
      <c r="EE530"/>
      <c r="EF530"/>
      <c r="EG530"/>
      <c r="EH530"/>
      <c r="EI530"/>
      <c r="EJ530"/>
      <c r="EK530"/>
      <c r="EM530"/>
      <c r="EN530"/>
      <c r="EO530"/>
      <c r="EP530"/>
      <c r="EQ530"/>
      <c r="ER530"/>
      <c r="ES530"/>
      <c r="EU530"/>
      <c r="EV530"/>
      <c r="EW530"/>
      <c r="EX530"/>
      <c r="EY530"/>
      <c r="EZ530"/>
      <c r="FA530"/>
      <c r="FC530"/>
      <c r="FD530"/>
      <c r="FE530"/>
      <c r="FF530"/>
      <c r="FG530"/>
      <c r="FH530"/>
      <c r="FI530"/>
    </row>
    <row r="531" spans="135:165" x14ac:dyDescent="0.25">
      <c r="EE531"/>
      <c r="EF531"/>
      <c r="EG531"/>
      <c r="EH531"/>
      <c r="EI531"/>
      <c r="EJ531"/>
      <c r="EK531"/>
      <c r="EM531"/>
      <c r="EN531"/>
      <c r="EO531"/>
      <c r="EP531"/>
      <c r="EQ531"/>
      <c r="ER531"/>
      <c r="ES531"/>
      <c r="EU531"/>
      <c r="EV531"/>
      <c r="EW531"/>
      <c r="EX531"/>
      <c r="EY531"/>
      <c r="EZ531"/>
      <c r="FA531"/>
      <c r="FC531"/>
      <c r="FD531"/>
      <c r="FE531"/>
      <c r="FF531"/>
      <c r="FG531"/>
      <c r="FH531"/>
      <c r="FI531"/>
    </row>
    <row r="532" spans="135:165" x14ac:dyDescent="0.25">
      <c r="EE532"/>
      <c r="EF532"/>
      <c r="EG532"/>
      <c r="EH532"/>
      <c r="EI532"/>
      <c r="EJ532"/>
      <c r="EK532"/>
      <c r="EM532"/>
      <c r="EN532"/>
      <c r="EO532"/>
      <c r="EP532"/>
      <c r="EQ532"/>
      <c r="ER532"/>
      <c r="ES532"/>
      <c r="EU532"/>
      <c r="EV532"/>
      <c r="EW532"/>
      <c r="EX532"/>
      <c r="EY532"/>
      <c r="EZ532"/>
      <c r="FA532"/>
      <c r="FC532"/>
      <c r="FD532"/>
      <c r="FE532"/>
      <c r="FF532"/>
      <c r="FG532"/>
      <c r="FH532"/>
      <c r="FI532"/>
    </row>
    <row r="533" spans="135:165" x14ac:dyDescent="0.25">
      <c r="EE533"/>
      <c r="EF533"/>
      <c r="EG533"/>
      <c r="EH533"/>
      <c r="EI533"/>
      <c r="EJ533"/>
      <c r="EK533"/>
      <c r="EM533"/>
      <c r="EN533"/>
      <c r="EO533"/>
      <c r="EP533"/>
      <c r="EQ533"/>
      <c r="ER533"/>
      <c r="ES533"/>
      <c r="EU533"/>
      <c r="EV533"/>
      <c r="EW533"/>
      <c r="EX533"/>
      <c r="EY533"/>
      <c r="EZ533"/>
      <c r="FA533"/>
      <c r="FC533"/>
      <c r="FD533"/>
      <c r="FE533"/>
      <c r="FF533"/>
      <c r="FG533"/>
      <c r="FH533"/>
      <c r="FI533"/>
    </row>
    <row r="534" spans="135:165" x14ac:dyDescent="0.25">
      <c r="EE534"/>
      <c r="EF534"/>
      <c r="EG534"/>
      <c r="EH534"/>
      <c r="EI534"/>
      <c r="EJ534"/>
      <c r="EK534"/>
      <c r="EM534"/>
      <c r="EN534"/>
      <c r="EO534"/>
      <c r="EP534"/>
      <c r="EQ534"/>
      <c r="ER534"/>
      <c r="ES534"/>
      <c r="EU534"/>
      <c r="EV534"/>
      <c r="EW534"/>
      <c r="EX534"/>
      <c r="EY534"/>
      <c r="EZ534"/>
      <c r="FA534"/>
      <c r="FC534"/>
      <c r="FD534"/>
      <c r="FE534"/>
      <c r="FF534"/>
      <c r="FG534"/>
      <c r="FH534"/>
      <c r="FI534"/>
    </row>
    <row r="535" spans="135:165" x14ac:dyDescent="0.25">
      <c r="EE535"/>
      <c r="EF535"/>
      <c r="EG535"/>
      <c r="EH535"/>
      <c r="EI535"/>
      <c r="EJ535"/>
      <c r="EK535"/>
      <c r="EM535"/>
      <c r="EN535"/>
      <c r="EO535"/>
      <c r="EP535"/>
      <c r="EQ535"/>
      <c r="ER535"/>
      <c r="ES535"/>
      <c r="EU535"/>
      <c r="EV535"/>
      <c r="EW535"/>
      <c r="EX535"/>
      <c r="EY535"/>
      <c r="EZ535"/>
      <c r="FA535"/>
      <c r="FC535"/>
      <c r="FD535"/>
      <c r="FE535"/>
      <c r="FF535"/>
      <c r="FG535"/>
      <c r="FH535"/>
      <c r="FI535"/>
    </row>
    <row r="536" spans="135:165" x14ac:dyDescent="0.25">
      <c r="EE536"/>
      <c r="EF536"/>
      <c r="EG536"/>
      <c r="EH536"/>
      <c r="EI536"/>
      <c r="EJ536"/>
      <c r="EK536"/>
      <c r="EM536"/>
      <c r="EN536"/>
      <c r="EO536"/>
      <c r="EP536"/>
      <c r="EQ536"/>
      <c r="ER536"/>
      <c r="ES536"/>
      <c r="EU536"/>
      <c r="EV536"/>
      <c r="EW536"/>
      <c r="EX536"/>
      <c r="EY536"/>
      <c r="EZ536"/>
      <c r="FA536"/>
      <c r="FC536"/>
      <c r="FD536"/>
      <c r="FE536"/>
      <c r="FF536"/>
      <c r="FG536"/>
      <c r="FH536"/>
      <c r="FI536"/>
    </row>
    <row r="537" spans="135:165" x14ac:dyDescent="0.25">
      <c r="EE537"/>
      <c r="EF537"/>
      <c r="EG537"/>
      <c r="EH537"/>
      <c r="EI537"/>
      <c r="EJ537"/>
      <c r="EK537"/>
      <c r="EM537"/>
      <c r="EN537"/>
      <c r="EO537"/>
      <c r="EP537"/>
      <c r="EQ537"/>
      <c r="ER537"/>
      <c r="ES537"/>
      <c r="EU537"/>
      <c r="EV537"/>
      <c r="EW537"/>
      <c r="EX537"/>
      <c r="EY537"/>
      <c r="EZ537"/>
      <c r="FA537"/>
      <c r="FC537"/>
      <c r="FD537"/>
      <c r="FE537"/>
      <c r="FF537"/>
      <c r="FG537"/>
      <c r="FH537"/>
      <c r="FI537"/>
    </row>
    <row r="538" spans="135:165" x14ac:dyDescent="0.25">
      <c r="EE538"/>
      <c r="EF538"/>
      <c r="EG538"/>
      <c r="EH538"/>
      <c r="EI538"/>
      <c r="EJ538"/>
      <c r="EK538"/>
      <c r="EM538"/>
      <c r="EN538"/>
      <c r="EO538"/>
      <c r="EP538"/>
      <c r="EQ538"/>
      <c r="ER538"/>
      <c r="ES538"/>
      <c r="EU538"/>
      <c r="EV538"/>
      <c r="EW538"/>
      <c r="EX538"/>
      <c r="EY538"/>
      <c r="EZ538"/>
      <c r="FA538"/>
      <c r="FC538"/>
      <c r="FD538"/>
      <c r="FE538"/>
      <c r="FF538"/>
      <c r="FG538"/>
      <c r="FH538"/>
      <c r="FI538"/>
    </row>
    <row r="539" spans="135:165" x14ac:dyDescent="0.25">
      <c r="EE539"/>
      <c r="EF539"/>
      <c r="EG539"/>
      <c r="EH539"/>
      <c r="EI539"/>
      <c r="EJ539"/>
      <c r="EK539"/>
      <c r="EM539"/>
      <c r="EN539"/>
      <c r="EO539"/>
      <c r="EP539"/>
      <c r="EQ539"/>
      <c r="ER539"/>
      <c r="ES539"/>
      <c r="EU539"/>
      <c r="EV539"/>
      <c r="EW539"/>
      <c r="EX539"/>
      <c r="EY539"/>
      <c r="EZ539"/>
      <c r="FA539"/>
      <c r="FC539"/>
      <c r="FD539"/>
      <c r="FE539"/>
      <c r="FF539"/>
      <c r="FG539"/>
      <c r="FH539"/>
      <c r="FI539"/>
    </row>
    <row r="540" spans="135:165" x14ac:dyDescent="0.25">
      <c r="EE540"/>
      <c r="EF540"/>
      <c r="EG540"/>
      <c r="EH540"/>
      <c r="EI540"/>
      <c r="EJ540"/>
      <c r="EK540"/>
      <c r="EM540"/>
      <c r="EN540"/>
      <c r="EO540"/>
      <c r="EP540"/>
      <c r="EQ540"/>
      <c r="ER540"/>
      <c r="ES540"/>
      <c r="EU540"/>
      <c r="EV540"/>
      <c r="EW540"/>
      <c r="EX540"/>
      <c r="EY540"/>
      <c r="EZ540"/>
      <c r="FA540"/>
      <c r="FC540"/>
      <c r="FD540"/>
      <c r="FE540"/>
      <c r="FF540"/>
      <c r="FG540"/>
      <c r="FH540"/>
      <c r="FI540"/>
    </row>
    <row r="541" spans="135:165" x14ac:dyDescent="0.25">
      <c r="EE541"/>
      <c r="EF541"/>
      <c r="EG541"/>
      <c r="EH541"/>
      <c r="EI541"/>
      <c r="EJ541"/>
      <c r="EK541"/>
      <c r="EM541"/>
      <c r="EN541"/>
      <c r="EO541"/>
      <c r="EP541"/>
      <c r="EQ541"/>
      <c r="ER541"/>
      <c r="ES541"/>
      <c r="EU541"/>
      <c r="EV541"/>
      <c r="EW541"/>
      <c r="EX541"/>
      <c r="EY541"/>
      <c r="EZ541"/>
      <c r="FA541"/>
      <c r="FC541"/>
      <c r="FD541"/>
      <c r="FE541"/>
      <c r="FF541"/>
      <c r="FG541"/>
      <c r="FH541"/>
      <c r="FI541"/>
    </row>
    <row r="542" spans="135:165" x14ac:dyDescent="0.25">
      <c r="EE542"/>
      <c r="EF542"/>
      <c r="EG542"/>
      <c r="EH542"/>
      <c r="EI542"/>
      <c r="EJ542"/>
      <c r="EK542"/>
      <c r="EM542"/>
      <c r="EN542"/>
      <c r="EO542"/>
      <c r="EP542"/>
      <c r="EQ542"/>
      <c r="ER542"/>
      <c r="ES542"/>
      <c r="EU542"/>
      <c r="EV542"/>
      <c r="EW542"/>
      <c r="EX542"/>
      <c r="EY542"/>
      <c r="EZ542"/>
      <c r="FA542"/>
      <c r="FC542"/>
      <c r="FD542"/>
      <c r="FE542"/>
      <c r="FF542"/>
      <c r="FG542"/>
      <c r="FH542"/>
      <c r="FI542"/>
    </row>
    <row r="543" spans="135:165" x14ac:dyDescent="0.25">
      <c r="EE543"/>
      <c r="EF543"/>
      <c r="EG543"/>
      <c r="EH543"/>
      <c r="EI543"/>
      <c r="EJ543"/>
      <c r="EK543"/>
      <c r="EM543"/>
      <c r="EN543"/>
      <c r="EO543"/>
      <c r="EP543"/>
      <c r="EQ543"/>
      <c r="ER543"/>
      <c r="ES543"/>
      <c r="EU543"/>
      <c r="EV543"/>
      <c r="EW543"/>
      <c r="EX543"/>
      <c r="EY543"/>
      <c r="EZ543"/>
      <c r="FA543"/>
      <c r="FC543"/>
      <c r="FD543"/>
      <c r="FE543"/>
      <c r="FF543"/>
      <c r="FG543"/>
      <c r="FH543"/>
      <c r="FI543"/>
    </row>
    <row r="544" spans="135:165" x14ac:dyDescent="0.25">
      <c r="EE544"/>
      <c r="EF544"/>
      <c r="EG544"/>
      <c r="EH544"/>
      <c r="EI544"/>
      <c r="EJ544"/>
      <c r="EK544"/>
      <c r="EM544"/>
      <c r="EN544"/>
      <c r="EO544"/>
      <c r="EP544"/>
      <c r="EQ544"/>
      <c r="ER544"/>
      <c r="ES544"/>
      <c r="EU544"/>
      <c r="EV544"/>
      <c r="EW544"/>
      <c r="EX544"/>
      <c r="EY544"/>
      <c r="EZ544"/>
      <c r="FA544"/>
      <c r="FC544"/>
      <c r="FD544"/>
      <c r="FE544"/>
      <c r="FF544"/>
      <c r="FG544"/>
      <c r="FH544"/>
      <c r="FI544"/>
    </row>
    <row r="545" spans="135:165" x14ac:dyDescent="0.25">
      <c r="EE545"/>
      <c r="EF545"/>
      <c r="EG545"/>
      <c r="EH545"/>
      <c r="EI545"/>
      <c r="EJ545"/>
      <c r="EK545"/>
      <c r="EM545"/>
      <c r="EN545"/>
      <c r="EO545"/>
      <c r="EP545"/>
      <c r="EQ545"/>
      <c r="ER545"/>
      <c r="ES545"/>
      <c r="EU545"/>
      <c r="EV545"/>
      <c r="EW545"/>
      <c r="EX545"/>
      <c r="EY545"/>
      <c r="EZ545"/>
      <c r="FA545"/>
      <c r="FC545"/>
      <c r="FD545"/>
      <c r="FE545"/>
      <c r="FF545"/>
      <c r="FG545"/>
      <c r="FH545"/>
      <c r="FI545"/>
    </row>
    <row r="546" spans="135:165" x14ac:dyDescent="0.25">
      <c r="EE546"/>
      <c r="EF546"/>
      <c r="EG546"/>
      <c r="EH546"/>
      <c r="EI546"/>
      <c r="EJ546"/>
      <c r="EK546"/>
      <c r="EM546"/>
      <c r="EN546"/>
      <c r="EO546"/>
      <c r="EP546"/>
      <c r="EQ546"/>
      <c r="ER546"/>
      <c r="ES546"/>
      <c r="EU546"/>
      <c r="EV546"/>
      <c r="EW546"/>
      <c r="EX546"/>
      <c r="EY546"/>
      <c r="EZ546"/>
      <c r="FA546"/>
      <c r="FC546"/>
      <c r="FD546"/>
      <c r="FE546"/>
      <c r="FF546"/>
      <c r="FG546"/>
      <c r="FH546"/>
      <c r="FI546"/>
    </row>
    <row r="547" spans="135:165" x14ac:dyDescent="0.25">
      <c r="EE547"/>
      <c r="EF547"/>
      <c r="EG547"/>
      <c r="EH547"/>
      <c r="EI547"/>
      <c r="EJ547"/>
      <c r="EK547"/>
      <c r="EM547"/>
      <c r="EN547"/>
      <c r="EO547"/>
      <c r="EP547"/>
      <c r="EQ547"/>
      <c r="ER547"/>
      <c r="ES547"/>
      <c r="EU547"/>
      <c r="EV547"/>
      <c r="EW547"/>
      <c r="EX547"/>
      <c r="EY547"/>
      <c r="EZ547"/>
      <c r="FA547"/>
      <c r="FC547"/>
      <c r="FD547"/>
      <c r="FE547"/>
      <c r="FF547"/>
      <c r="FG547"/>
      <c r="FH547"/>
      <c r="FI547"/>
    </row>
    <row r="548" spans="135:165" x14ac:dyDescent="0.25">
      <c r="EE548"/>
      <c r="EF548"/>
      <c r="EG548"/>
      <c r="EH548"/>
      <c r="EI548"/>
      <c r="EJ548"/>
      <c r="EK548"/>
      <c r="EM548"/>
      <c r="EN548"/>
      <c r="EO548"/>
      <c r="EP548"/>
      <c r="EQ548"/>
      <c r="ER548"/>
      <c r="ES548"/>
      <c r="EU548"/>
      <c r="EV548"/>
      <c r="EW548"/>
      <c r="EX548"/>
      <c r="EY548"/>
      <c r="EZ548"/>
      <c r="FA548"/>
      <c r="FC548"/>
      <c r="FD548"/>
      <c r="FE548"/>
      <c r="FF548"/>
      <c r="FG548"/>
      <c r="FH548"/>
      <c r="FI548"/>
    </row>
    <row r="549" spans="135:165" x14ac:dyDescent="0.25">
      <c r="EE549"/>
      <c r="EF549"/>
      <c r="EG549"/>
      <c r="EH549"/>
      <c r="EI549"/>
      <c r="EJ549"/>
      <c r="EK549"/>
      <c r="EM549"/>
      <c r="EN549"/>
      <c r="EO549"/>
      <c r="EP549"/>
      <c r="EQ549"/>
      <c r="ER549"/>
      <c r="ES549"/>
      <c r="EU549"/>
      <c r="EV549"/>
      <c r="EW549"/>
      <c r="EX549"/>
      <c r="EY549"/>
      <c r="EZ549"/>
      <c r="FA549"/>
      <c r="FC549"/>
      <c r="FD549"/>
      <c r="FE549"/>
      <c r="FF549"/>
      <c r="FG549"/>
      <c r="FH549"/>
      <c r="FI549"/>
    </row>
    <row r="550" spans="135:165" x14ac:dyDescent="0.25">
      <c r="EE550"/>
      <c r="EF550"/>
      <c r="EG550"/>
      <c r="EH550"/>
      <c r="EI550"/>
      <c r="EJ550"/>
      <c r="EK550"/>
      <c r="EM550"/>
      <c r="EN550"/>
      <c r="EO550"/>
      <c r="EP550"/>
      <c r="EQ550"/>
      <c r="ER550"/>
      <c r="ES550"/>
      <c r="EU550"/>
      <c r="EV550"/>
      <c r="EW550"/>
      <c r="EX550"/>
      <c r="EY550"/>
      <c r="EZ550"/>
      <c r="FA550"/>
      <c r="FC550"/>
      <c r="FD550"/>
      <c r="FE550"/>
      <c r="FF550"/>
      <c r="FG550"/>
      <c r="FH550"/>
      <c r="FI550"/>
    </row>
    <row r="551" spans="135:165" x14ac:dyDescent="0.25">
      <c r="EE551"/>
      <c r="EF551"/>
      <c r="EG551"/>
      <c r="EH551"/>
      <c r="EI551"/>
      <c r="EJ551"/>
      <c r="EK551"/>
      <c r="EM551"/>
      <c r="EN551"/>
      <c r="EO551"/>
      <c r="EP551"/>
      <c r="EQ551"/>
      <c r="ER551"/>
      <c r="ES551"/>
      <c r="EU551"/>
      <c r="EV551"/>
      <c r="EW551"/>
      <c r="EX551"/>
      <c r="EY551"/>
      <c r="EZ551"/>
      <c r="FA551"/>
      <c r="FC551"/>
      <c r="FD551"/>
      <c r="FE551"/>
      <c r="FF551"/>
      <c r="FG551"/>
      <c r="FH551"/>
      <c r="FI551"/>
    </row>
    <row r="552" spans="135:165" x14ac:dyDescent="0.25">
      <c r="EE552"/>
      <c r="EF552"/>
      <c r="EG552"/>
      <c r="EH552"/>
      <c r="EI552"/>
      <c r="EJ552"/>
      <c r="EK552"/>
      <c r="EM552"/>
      <c r="EN552"/>
      <c r="EO552"/>
      <c r="EP552"/>
      <c r="EQ552"/>
      <c r="ER552"/>
      <c r="ES552"/>
      <c r="EU552"/>
      <c r="EV552"/>
      <c r="EW552"/>
      <c r="EX552"/>
      <c r="EY552"/>
      <c r="EZ552"/>
      <c r="FA552"/>
      <c r="FC552"/>
      <c r="FD552"/>
      <c r="FE552"/>
      <c r="FF552"/>
      <c r="FG552"/>
      <c r="FH552"/>
      <c r="FI552"/>
    </row>
    <row r="553" spans="135:165" x14ac:dyDescent="0.25">
      <c r="EE553"/>
      <c r="EF553"/>
      <c r="EG553"/>
      <c r="EH553"/>
      <c r="EI553"/>
      <c r="EJ553"/>
      <c r="EK553"/>
      <c r="EM553"/>
      <c r="EN553"/>
      <c r="EO553"/>
      <c r="EP553"/>
      <c r="EQ553"/>
      <c r="ER553"/>
      <c r="ES553"/>
      <c r="EU553"/>
      <c r="EV553"/>
      <c r="EW553"/>
      <c r="EX553"/>
      <c r="EY553"/>
      <c r="EZ553"/>
      <c r="FA553"/>
      <c r="FC553"/>
      <c r="FD553"/>
      <c r="FE553"/>
      <c r="FF553"/>
      <c r="FG553"/>
      <c r="FH553"/>
      <c r="FI553"/>
    </row>
    <row r="554" spans="135:165" x14ac:dyDescent="0.25">
      <c r="EE554"/>
      <c r="EF554"/>
      <c r="EG554"/>
      <c r="EH554"/>
      <c r="EI554"/>
      <c r="EJ554"/>
      <c r="EK554"/>
      <c r="EM554"/>
      <c r="EN554"/>
      <c r="EO554"/>
      <c r="EP554"/>
      <c r="EQ554"/>
      <c r="ER554"/>
      <c r="ES554"/>
      <c r="EU554"/>
      <c r="EV554"/>
      <c r="EW554"/>
      <c r="EX554"/>
      <c r="EY554"/>
      <c r="EZ554"/>
      <c r="FA554"/>
      <c r="FC554"/>
      <c r="FD554"/>
      <c r="FE554"/>
      <c r="FF554"/>
      <c r="FG554"/>
      <c r="FH554"/>
      <c r="FI554"/>
    </row>
    <row r="555" spans="135:165" x14ac:dyDescent="0.25">
      <c r="EE555"/>
      <c r="EF555"/>
      <c r="EG555"/>
      <c r="EH555"/>
      <c r="EI555"/>
      <c r="EJ555"/>
      <c r="EK555"/>
      <c r="EM555"/>
      <c r="EN555"/>
      <c r="EO555"/>
      <c r="EP555"/>
      <c r="EQ555"/>
      <c r="ER555"/>
      <c r="ES555"/>
      <c r="EU555"/>
      <c r="EV555"/>
      <c r="EW555"/>
      <c r="EX555"/>
      <c r="EY555"/>
      <c r="EZ555"/>
      <c r="FA555"/>
      <c r="FC555"/>
      <c r="FD555"/>
      <c r="FE555"/>
      <c r="FF555"/>
      <c r="FG555"/>
      <c r="FH555"/>
      <c r="FI555"/>
    </row>
    <row r="556" spans="135:165" x14ac:dyDescent="0.25">
      <c r="EE556"/>
      <c r="EF556"/>
      <c r="EG556"/>
      <c r="EH556"/>
      <c r="EI556"/>
      <c r="EJ556"/>
      <c r="EK556"/>
      <c r="EM556"/>
      <c r="EN556"/>
      <c r="EO556"/>
      <c r="EP556"/>
      <c r="EQ556"/>
      <c r="ER556"/>
      <c r="ES556"/>
      <c r="EU556"/>
      <c r="EV556"/>
      <c r="EW556"/>
      <c r="EX556"/>
      <c r="EY556"/>
      <c r="EZ556"/>
      <c r="FA556"/>
      <c r="FC556"/>
      <c r="FD556"/>
      <c r="FE556"/>
      <c r="FF556"/>
      <c r="FG556"/>
      <c r="FH556"/>
      <c r="FI556"/>
    </row>
    <row r="557" spans="135:165" x14ac:dyDescent="0.25">
      <c r="EE557"/>
      <c r="EF557"/>
      <c r="EG557"/>
      <c r="EH557"/>
      <c r="EI557"/>
      <c r="EJ557"/>
      <c r="EK557"/>
      <c r="EM557"/>
      <c r="EN557"/>
      <c r="EO557"/>
      <c r="EP557"/>
      <c r="EQ557"/>
      <c r="ER557"/>
      <c r="ES557"/>
      <c r="EU557"/>
      <c r="EV557"/>
      <c r="EW557"/>
      <c r="EX557"/>
      <c r="EY557"/>
      <c r="EZ557"/>
      <c r="FA557"/>
      <c r="FC557"/>
      <c r="FD557"/>
      <c r="FE557"/>
      <c r="FF557"/>
      <c r="FG557"/>
      <c r="FH557"/>
      <c r="FI557"/>
    </row>
    <row r="558" spans="135:165" x14ac:dyDescent="0.25">
      <c r="EE558"/>
      <c r="EF558"/>
      <c r="EG558"/>
      <c r="EH558"/>
      <c r="EI558"/>
      <c r="EJ558"/>
      <c r="EK558"/>
      <c r="EM558"/>
      <c r="EN558"/>
      <c r="EO558"/>
      <c r="EP558"/>
      <c r="EQ558"/>
      <c r="ER558"/>
      <c r="ES558"/>
      <c r="EU558"/>
      <c r="EV558"/>
      <c r="EW558"/>
      <c r="EX558"/>
      <c r="EY558"/>
      <c r="EZ558"/>
      <c r="FA558"/>
      <c r="FC558"/>
      <c r="FD558"/>
      <c r="FE558"/>
      <c r="FF558"/>
      <c r="FG558"/>
      <c r="FH558"/>
      <c r="FI558"/>
    </row>
    <row r="559" spans="135:165" x14ac:dyDescent="0.25">
      <c r="EE559"/>
      <c r="EF559"/>
      <c r="EG559"/>
      <c r="EH559"/>
      <c r="EI559"/>
      <c r="EJ559"/>
      <c r="EK559"/>
      <c r="EM559"/>
      <c r="EN559"/>
      <c r="EO559"/>
      <c r="EP559"/>
      <c r="EQ559"/>
      <c r="ER559"/>
      <c r="ES559"/>
      <c r="EU559"/>
      <c r="EV559"/>
      <c r="EW559"/>
      <c r="EX559"/>
      <c r="EY559"/>
      <c r="EZ559"/>
      <c r="FA559"/>
      <c r="FC559"/>
      <c r="FD559"/>
      <c r="FE559"/>
      <c r="FF559"/>
      <c r="FG559"/>
      <c r="FH559"/>
      <c r="FI559"/>
    </row>
    <row r="560" spans="135:165" x14ac:dyDescent="0.25">
      <c r="EE560"/>
      <c r="EF560"/>
      <c r="EG560"/>
      <c r="EH560"/>
      <c r="EI560"/>
      <c r="EJ560"/>
      <c r="EK560"/>
      <c r="EM560"/>
      <c r="EN560"/>
      <c r="EO560"/>
      <c r="EP560"/>
      <c r="EQ560"/>
      <c r="ER560"/>
      <c r="ES560"/>
      <c r="EU560"/>
      <c r="EV560"/>
      <c r="EW560"/>
      <c r="EX560"/>
      <c r="EY560"/>
      <c r="EZ560"/>
      <c r="FA560"/>
      <c r="FC560"/>
      <c r="FD560"/>
      <c r="FE560"/>
      <c r="FF560"/>
      <c r="FG560"/>
      <c r="FH560"/>
      <c r="FI560"/>
    </row>
    <row r="561" spans="135:165" x14ac:dyDescent="0.25">
      <c r="EE561"/>
      <c r="EF561"/>
      <c r="EG561"/>
      <c r="EH561"/>
      <c r="EI561"/>
      <c r="EJ561"/>
      <c r="EK561"/>
      <c r="EM561"/>
      <c r="EN561"/>
      <c r="EO561"/>
      <c r="EP561"/>
      <c r="EQ561"/>
      <c r="ER561"/>
      <c r="ES561"/>
      <c r="EU561"/>
      <c r="EV561"/>
      <c r="EW561"/>
      <c r="EX561"/>
      <c r="EY561"/>
      <c r="EZ561"/>
      <c r="FA561"/>
      <c r="FC561"/>
      <c r="FD561"/>
      <c r="FE561"/>
      <c r="FF561"/>
      <c r="FG561"/>
      <c r="FH561"/>
      <c r="FI561"/>
    </row>
    <row r="562" spans="135:165" x14ac:dyDescent="0.25">
      <c r="EE562"/>
      <c r="EF562"/>
      <c r="EG562"/>
      <c r="EH562"/>
      <c r="EI562"/>
      <c r="EJ562"/>
      <c r="EK562"/>
      <c r="EM562"/>
      <c r="EN562"/>
      <c r="EO562"/>
      <c r="EP562"/>
      <c r="EQ562"/>
      <c r="ER562"/>
      <c r="ES562"/>
      <c r="EU562"/>
      <c r="EV562"/>
      <c r="EW562"/>
      <c r="EX562"/>
      <c r="EY562"/>
      <c r="EZ562"/>
      <c r="FA562"/>
      <c r="FC562"/>
      <c r="FD562"/>
      <c r="FE562"/>
      <c r="FF562"/>
      <c r="FG562"/>
      <c r="FH562"/>
      <c r="FI562"/>
    </row>
    <row r="563" spans="135:165" x14ac:dyDescent="0.25">
      <c r="EE563"/>
      <c r="EF563"/>
      <c r="EG563"/>
      <c r="EH563"/>
      <c r="EI563"/>
      <c r="EJ563"/>
      <c r="EK563"/>
      <c r="EM563"/>
      <c r="EN563"/>
      <c r="EO563"/>
      <c r="EP563"/>
      <c r="EQ563"/>
      <c r="ER563"/>
      <c r="ES563"/>
      <c r="EU563"/>
      <c r="EV563"/>
      <c r="EW563"/>
      <c r="EX563"/>
      <c r="EY563"/>
      <c r="EZ563"/>
      <c r="FA563"/>
      <c r="FC563"/>
      <c r="FD563"/>
      <c r="FE563"/>
      <c r="FF563"/>
      <c r="FG563"/>
      <c r="FH563"/>
      <c r="FI563"/>
    </row>
    <row r="564" spans="135:165" x14ac:dyDescent="0.25">
      <c r="EE564"/>
      <c r="EF564"/>
      <c r="EG564"/>
      <c r="EH564"/>
      <c r="EI564"/>
      <c r="EJ564"/>
      <c r="EK564"/>
      <c r="EM564"/>
      <c r="EN564"/>
      <c r="EO564"/>
      <c r="EP564"/>
      <c r="EQ564"/>
      <c r="ER564"/>
      <c r="ES564"/>
      <c r="EU564"/>
      <c r="EV564"/>
      <c r="EW564"/>
      <c r="EX564"/>
      <c r="EY564"/>
      <c r="EZ564"/>
      <c r="FA564"/>
      <c r="FC564"/>
      <c r="FD564"/>
      <c r="FE564"/>
      <c r="FF564"/>
      <c r="FG564"/>
      <c r="FH564"/>
      <c r="FI564"/>
    </row>
    <row r="565" spans="135:165" x14ac:dyDescent="0.25">
      <c r="EE565"/>
      <c r="EF565"/>
      <c r="EG565"/>
      <c r="EH565"/>
      <c r="EI565"/>
      <c r="EJ565"/>
      <c r="EK565"/>
      <c r="EM565"/>
      <c r="EN565"/>
      <c r="EO565"/>
      <c r="EP565"/>
      <c r="EQ565"/>
      <c r="ER565"/>
      <c r="ES565"/>
      <c r="EU565"/>
      <c r="EV565"/>
      <c r="EW565"/>
      <c r="EX565"/>
      <c r="EY565"/>
      <c r="EZ565"/>
      <c r="FA565"/>
      <c r="FC565"/>
      <c r="FD565"/>
      <c r="FE565"/>
      <c r="FF565"/>
      <c r="FG565"/>
      <c r="FH565"/>
      <c r="FI565"/>
    </row>
    <row r="566" spans="135:165" x14ac:dyDescent="0.25">
      <c r="EE566"/>
      <c r="EF566"/>
      <c r="EG566"/>
      <c r="EH566"/>
      <c r="EI566"/>
      <c r="EJ566"/>
      <c r="EK566"/>
      <c r="EM566"/>
      <c r="EN566"/>
      <c r="EO566"/>
      <c r="EP566"/>
      <c r="EQ566"/>
      <c r="ER566"/>
      <c r="ES566"/>
      <c r="EU566"/>
      <c r="EV566"/>
      <c r="EW566"/>
      <c r="EX566"/>
      <c r="EY566"/>
      <c r="EZ566"/>
      <c r="FA566"/>
      <c r="FC566"/>
      <c r="FD566"/>
      <c r="FE566"/>
      <c r="FF566"/>
      <c r="FG566"/>
      <c r="FH566"/>
      <c r="FI566"/>
    </row>
    <row r="567" spans="135:165" x14ac:dyDescent="0.25">
      <c r="EE567"/>
      <c r="EF567"/>
      <c r="EG567"/>
      <c r="EH567"/>
      <c r="EI567"/>
      <c r="EJ567"/>
      <c r="EK567"/>
      <c r="EM567"/>
      <c r="EN567"/>
      <c r="EO567"/>
      <c r="EP567"/>
      <c r="EQ567"/>
      <c r="ER567"/>
      <c r="ES567"/>
      <c r="EU567"/>
      <c r="EV567"/>
      <c r="EW567"/>
      <c r="EX567"/>
      <c r="EY567"/>
      <c r="EZ567"/>
      <c r="FA567"/>
      <c r="FC567"/>
      <c r="FD567"/>
      <c r="FE567"/>
      <c r="FF567"/>
      <c r="FG567"/>
      <c r="FH567"/>
      <c r="FI567"/>
    </row>
    <row r="568" spans="135:165" x14ac:dyDescent="0.25">
      <c r="EE568"/>
      <c r="EF568"/>
      <c r="EG568"/>
      <c r="EH568"/>
      <c r="EI568"/>
      <c r="EJ568"/>
      <c r="EK568"/>
      <c r="EM568"/>
      <c r="EN568"/>
      <c r="EO568"/>
      <c r="EP568"/>
      <c r="EQ568"/>
      <c r="ER568"/>
      <c r="ES568"/>
      <c r="EU568"/>
      <c r="EV568"/>
      <c r="EW568"/>
      <c r="EX568"/>
      <c r="EY568"/>
      <c r="EZ568"/>
      <c r="FA568"/>
      <c r="FC568"/>
      <c r="FD568"/>
      <c r="FE568"/>
      <c r="FF568"/>
      <c r="FG568"/>
      <c r="FH568"/>
      <c r="FI568"/>
    </row>
    <row r="569" spans="135:165" x14ac:dyDescent="0.25">
      <c r="EE569"/>
      <c r="EF569"/>
      <c r="EG569"/>
      <c r="EH569"/>
      <c r="EI569"/>
      <c r="EJ569"/>
      <c r="EK569"/>
      <c r="EM569"/>
      <c r="EN569"/>
      <c r="EO569"/>
      <c r="EP569"/>
      <c r="EQ569"/>
      <c r="ER569"/>
      <c r="ES569"/>
      <c r="EU569"/>
      <c r="EV569"/>
      <c r="EW569"/>
      <c r="EX569"/>
      <c r="EY569"/>
      <c r="EZ569"/>
      <c r="FA569"/>
      <c r="FC569"/>
      <c r="FD569"/>
      <c r="FE569"/>
      <c r="FF569"/>
      <c r="FG569"/>
      <c r="FH569"/>
      <c r="FI569"/>
    </row>
    <row r="570" spans="135:165" x14ac:dyDescent="0.25">
      <c r="EE570"/>
      <c r="EF570"/>
      <c r="EG570"/>
      <c r="EH570"/>
      <c r="EI570"/>
      <c r="EJ570"/>
      <c r="EK570"/>
      <c r="EM570"/>
      <c r="EN570"/>
      <c r="EO570"/>
      <c r="EP570"/>
      <c r="EQ570"/>
      <c r="ER570"/>
      <c r="ES570"/>
      <c r="EU570"/>
      <c r="EV570"/>
      <c r="EW570"/>
      <c r="EX570"/>
      <c r="EY570"/>
      <c r="EZ570"/>
      <c r="FA570"/>
      <c r="FC570"/>
      <c r="FD570"/>
      <c r="FE570"/>
      <c r="FF570"/>
      <c r="FG570"/>
      <c r="FH570"/>
      <c r="FI570"/>
    </row>
    <row r="571" spans="135:165" x14ac:dyDescent="0.25">
      <c r="EE571"/>
      <c r="EF571"/>
      <c r="EG571"/>
      <c r="EH571"/>
      <c r="EI571"/>
      <c r="EJ571"/>
      <c r="EK571"/>
      <c r="EM571"/>
      <c r="EN571"/>
      <c r="EO571"/>
      <c r="EP571"/>
      <c r="EQ571"/>
      <c r="ER571"/>
      <c r="ES571"/>
      <c r="EU571"/>
      <c r="EV571"/>
      <c r="EW571"/>
      <c r="EX571"/>
      <c r="EY571"/>
      <c r="EZ571"/>
      <c r="FA571"/>
      <c r="FC571"/>
      <c r="FD571"/>
      <c r="FE571"/>
      <c r="FF571"/>
      <c r="FG571"/>
      <c r="FH571"/>
      <c r="FI571"/>
    </row>
    <row r="572" spans="135:165" x14ac:dyDescent="0.25">
      <c r="EE572"/>
      <c r="EF572"/>
      <c r="EG572"/>
      <c r="EH572"/>
      <c r="EI572"/>
      <c r="EJ572"/>
      <c r="EK572"/>
      <c r="EM572"/>
      <c r="EN572"/>
      <c r="EO572"/>
      <c r="EP572"/>
      <c r="EQ572"/>
      <c r="ER572"/>
      <c r="ES572"/>
      <c r="EU572"/>
      <c r="EV572"/>
      <c r="EW572"/>
      <c r="EX572"/>
      <c r="EY572"/>
      <c r="EZ572"/>
      <c r="FA572"/>
      <c r="FC572"/>
      <c r="FD572"/>
      <c r="FE572"/>
      <c r="FF572"/>
      <c r="FG572"/>
      <c r="FH572"/>
      <c r="FI572"/>
    </row>
    <row r="573" spans="135:165" x14ac:dyDescent="0.25">
      <c r="EE573"/>
      <c r="EF573"/>
      <c r="EG573"/>
      <c r="EH573"/>
      <c r="EI573"/>
      <c r="EJ573"/>
      <c r="EK573"/>
      <c r="EM573"/>
      <c r="EN573"/>
      <c r="EO573"/>
      <c r="EP573"/>
      <c r="EQ573"/>
      <c r="ER573"/>
      <c r="ES573"/>
      <c r="EU573"/>
      <c r="EV573"/>
      <c r="EW573"/>
      <c r="EX573"/>
      <c r="EY573"/>
      <c r="EZ573"/>
      <c r="FA573"/>
      <c r="FC573"/>
      <c r="FD573"/>
      <c r="FE573"/>
      <c r="FF573"/>
      <c r="FG573"/>
      <c r="FH573"/>
      <c r="FI573"/>
    </row>
    <row r="574" spans="135:165" x14ac:dyDescent="0.25">
      <c r="EE574"/>
      <c r="EF574"/>
      <c r="EG574"/>
      <c r="EH574"/>
      <c r="EI574"/>
      <c r="EJ574"/>
      <c r="EK574"/>
      <c r="EM574"/>
      <c r="EN574"/>
      <c r="EO574"/>
      <c r="EP574"/>
      <c r="EQ574"/>
      <c r="ER574"/>
      <c r="ES574"/>
      <c r="EU574"/>
      <c r="EV574"/>
      <c r="EW574"/>
      <c r="EX574"/>
      <c r="EY574"/>
      <c r="EZ574"/>
      <c r="FA574"/>
      <c r="FC574"/>
      <c r="FD574"/>
      <c r="FE574"/>
      <c r="FF574"/>
      <c r="FG574"/>
      <c r="FH574"/>
      <c r="FI574"/>
    </row>
    <row r="575" spans="135:165" x14ac:dyDescent="0.25">
      <c r="EE575"/>
      <c r="EF575"/>
      <c r="EG575"/>
      <c r="EH575"/>
      <c r="EI575"/>
      <c r="EJ575"/>
      <c r="EK575"/>
      <c r="EM575"/>
      <c r="EN575"/>
      <c r="EO575"/>
      <c r="EP575"/>
      <c r="EQ575"/>
      <c r="ER575"/>
      <c r="ES575"/>
      <c r="EU575"/>
      <c r="EV575"/>
      <c r="EW575"/>
      <c r="EX575"/>
      <c r="EY575"/>
      <c r="EZ575"/>
      <c r="FA575"/>
      <c r="FC575"/>
      <c r="FD575"/>
      <c r="FE575"/>
      <c r="FF575"/>
      <c r="FG575"/>
      <c r="FH575"/>
      <c r="FI575"/>
    </row>
    <row r="576" spans="135:165" x14ac:dyDescent="0.25">
      <c r="EE576"/>
      <c r="EF576"/>
      <c r="EG576"/>
      <c r="EH576"/>
      <c r="EI576"/>
      <c r="EJ576"/>
      <c r="EK576"/>
      <c r="EM576"/>
      <c r="EN576"/>
      <c r="EO576"/>
      <c r="EP576"/>
      <c r="EQ576"/>
      <c r="ER576"/>
      <c r="ES576"/>
      <c r="EU576"/>
      <c r="EV576"/>
      <c r="EW576"/>
      <c r="EX576"/>
      <c r="EY576"/>
      <c r="EZ576"/>
      <c r="FA576"/>
      <c r="FC576"/>
      <c r="FD576"/>
      <c r="FE576"/>
      <c r="FF576"/>
      <c r="FG576"/>
      <c r="FH576"/>
      <c r="FI576"/>
    </row>
    <row r="577" spans="135:165" x14ac:dyDescent="0.25">
      <c r="EE577"/>
      <c r="EF577"/>
      <c r="EG577"/>
      <c r="EH577"/>
      <c r="EI577"/>
      <c r="EJ577"/>
      <c r="EK577"/>
      <c r="EM577"/>
      <c r="EN577"/>
      <c r="EO577"/>
      <c r="EP577"/>
      <c r="EQ577"/>
      <c r="ER577"/>
      <c r="ES577"/>
      <c r="EU577"/>
      <c r="EV577"/>
      <c r="EW577"/>
      <c r="EX577"/>
      <c r="EY577"/>
      <c r="EZ577"/>
      <c r="FA577"/>
      <c r="FC577"/>
      <c r="FD577"/>
      <c r="FE577"/>
      <c r="FF577"/>
      <c r="FG577"/>
      <c r="FH577"/>
      <c r="FI577"/>
    </row>
    <row r="578" spans="135:165" x14ac:dyDescent="0.25">
      <c r="EE578"/>
      <c r="EF578"/>
      <c r="EG578"/>
      <c r="EH578"/>
      <c r="EI578"/>
      <c r="EJ578"/>
      <c r="EK578"/>
      <c r="EM578"/>
      <c r="EN578"/>
      <c r="EO578"/>
      <c r="EP578"/>
      <c r="EQ578"/>
      <c r="ER578"/>
      <c r="ES578"/>
      <c r="EU578"/>
      <c r="EV578"/>
      <c r="EW578"/>
      <c r="EX578"/>
      <c r="EY578"/>
      <c r="EZ578"/>
      <c r="FA578"/>
      <c r="FC578"/>
      <c r="FD578"/>
      <c r="FE578"/>
      <c r="FF578"/>
      <c r="FG578"/>
      <c r="FH578"/>
      <c r="FI578"/>
    </row>
    <row r="579" spans="135:165" x14ac:dyDescent="0.25">
      <c r="EE579"/>
      <c r="EF579"/>
      <c r="EG579"/>
      <c r="EH579"/>
      <c r="EI579"/>
      <c r="EJ579"/>
      <c r="EK579"/>
      <c r="EM579"/>
      <c r="EN579"/>
      <c r="EO579"/>
      <c r="EP579"/>
      <c r="EQ579"/>
      <c r="ER579"/>
      <c r="ES579"/>
      <c r="EU579"/>
      <c r="EV579"/>
      <c r="EW579"/>
      <c r="EX579"/>
      <c r="EY579"/>
      <c r="EZ579"/>
      <c r="FA579"/>
      <c r="FC579"/>
      <c r="FD579"/>
      <c r="FE579"/>
      <c r="FF579"/>
      <c r="FG579"/>
      <c r="FH579"/>
      <c r="FI579"/>
    </row>
    <row r="580" spans="135:165" x14ac:dyDescent="0.25">
      <c r="EE580"/>
      <c r="EF580"/>
      <c r="EG580"/>
      <c r="EH580"/>
      <c r="EI580"/>
      <c r="EJ580"/>
      <c r="EK580"/>
      <c r="EM580"/>
      <c r="EN580"/>
      <c r="EO580"/>
      <c r="EP580"/>
      <c r="EQ580"/>
      <c r="ER580"/>
      <c r="ES580"/>
      <c r="EU580"/>
      <c r="EV580"/>
      <c r="EW580"/>
      <c r="EX580"/>
      <c r="EY580"/>
      <c r="EZ580"/>
      <c r="FA580"/>
      <c r="FC580"/>
      <c r="FD580"/>
      <c r="FE580"/>
      <c r="FF580"/>
      <c r="FG580"/>
      <c r="FH580"/>
      <c r="FI580"/>
    </row>
    <row r="581" spans="135:165" x14ac:dyDescent="0.25">
      <c r="EE581"/>
      <c r="EF581"/>
      <c r="EG581"/>
      <c r="EH581"/>
      <c r="EI581"/>
      <c r="EJ581"/>
      <c r="EK581"/>
      <c r="EM581"/>
      <c r="EN581"/>
      <c r="EO581"/>
      <c r="EP581"/>
      <c r="EQ581"/>
      <c r="ER581"/>
      <c r="ES581"/>
      <c r="EU581"/>
      <c r="EV581"/>
      <c r="EW581"/>
      <c r="EX581"/>
      <c r="EY581"/>
      <c r="EZ581"/>
      <c r="FA581"/>
      <c r="FC581"/>
      <c r="FD581"/>
      <c r="FE581"/>
      <c r="FF581"/>
      <c r="FG581"/>
      <c r="FH581"/>
      <c r="FI581"/>
    </row>
    <row r="582" spans="135:165" x14ac:dyDescent="0.25">
      <c r="EE582"/>
      <c r="EF582"/>
      <c r="EG582"/>
      <c r="EH582"/>
      <c r="EI582"/>
      <c r="EJ582"/>
      <c r="EK582"/>
      <c r="EM582"/>
      <c r="EN582"/>
      <c r="EO582"/>
      <c r="EP582"/>
      <c r="EQ582"/>
      <c r="ER582"/>
      <c r="ES582"/>
      <c r="EU582"/>
      <c r="EV582"/>
      <c r="EW582"/>
      <c r="EX582"/>
      <c r="EY582"/>
      <c r="EZ582"/>
      <c r="FA582"/>
      <c r="FC582"/>
      <c r="FD582"/>
      <c r="FE582"/>
      <c r="FF582"/>
      <c r="FG582"/>
      <c r="FH582"/>
      <c r="FI582"/>
    </row>
    <row r="583" spans="135:165" x14ac:dyDescent="0.25">
      <c r="EE583"/>
      <c r="EF583"/>
      <c r="EG583"/>
      <c r="EH583"/>
      <c r="EI583"/>
      <c r="EJ583"/>
      <c r="EK583"/>
      <c r="EM583"/>
      <c r="EN583"/>
      <c r="EO583"/>
      <c r="EP583"/>
      <c r="EQ583"/>
      <c r="ER583"/>
      <c r="ES583"/>
      <c r="EU583"/>
      <c r="EV583"/>
      <c r="EW583"/>
      <c r="EX583"/>
      <c r="EY583"/>
      <c r="EZ583"/>
      <c r="FA583"/>
      <c r="FC583"/>
      <c r="FD583"/>
      <c r="FE583"/>
      <c r="FF583"/>
      <c r="FG583"/>
      <c r="FH583"/>
      <c r="FI583"/>
    </row>
    <row r="584" spans="135:165" x14ac:dyDescent="0.25">
      <c r="EE584"/>
      <c r="EF584"/>
      <c r="EG584"/>
      <c r="EH584"/>
      <c r="EI584"/>
      <c r="EJ584"/>
      <c r="EK584"/>
      <c r="EM584"/>
      <c r="EN584"/>
      <c r="EO584"/>
      <c r="EP584"/>
      <c r="EQ584"/>
      <c r="ER584"/>
      <c r="ES584"/>
      <c r="EU584"/>
      <c r="EV584"/>
      <c r="EW584"/>
      <c r="EX584"/>
      <c r="EY584"/>
      <c r="EZ584"/>
      <c r="FA584"/>
      <c r="FC584"/>
      <c r="FD584"/>
      <c r="FE584"/>
      <c r="FF584"/>
      <c r="FG584"/>
      <c r="FH584"/>
      <c r="FI584"/>
    </row>
    <row r="585" spans="135:165" x14ac:dyDescent="0.25">
      <c r="EE585"/>
      <c r="EF585"/>
      <c r="EG585"/>
      <c r="EH585"/>
      <c r="EI585"/>
      <c r="EJ585"/>
      <c r="EK585"/>
      <c r="EM585"/>
      <c r="EN585"/>
      <c r="EO585"/>
      <c r="EP585"/>
      <c r="EQ585"/>
      <c r="ER585"/>
      <c r="ES585"/>
      <c r="EU585"/>
      <c r="EV585"/>
      <c r="EW585"/>
      <c r="EX585"/>
      <c r="EY585"/>
      <c r="EZ585"/>
      <c r="FA585"/>
      <c r="FC585"/>
      <c r="FD585"/>
      <c r="FE585"/>
      <c r="FF585"/>
      <c r="FG585"/>
      <c r="FH585"/>
      <c r="FI585"/>
    </row>
    <row r="586" spans="135:165" x14ac:dyDescent="0.25">
      <c r="EE586"/>
      <c r="EF586"/>
      <c r="EG586"/>
      <c r="EH586"/>
      <c r="EI586"/>
      <c r="EJ586"/>
      <c r="EK586"/>
      <c r="EM586"/>
      <c r="EN586"/>
      <c r="EO586"/>
      <c r="EP586"/>
      <c r="EQ586"/>
      <c r="ER586"/>
      <c r="ES586"/>
      <c r="EU586"/>
      <c r="EV586"/>
      <c r="EW586"/>
      <c r="EX586"/>
      <c r="EY586"/>
      <c r="EZ586"/>
      <c r="FA586"/>
      <c r="FC586"/>
      <c r="FD586"/>
      <c r="FE586"/>
      <c r="FF586"/>
      <c r="FG586"/>
      <c r="FH586"/>
      <c r="FI586"/>
    </row>
    <row r="587" spans="135:165" x14ac:dyDescent="0.25">
      <c r="EE587"/>
      <c r="EF587"/>
      <c r="EG587"/>
      <c r="EH587"/>
      <c r="EI587"/>
      <c r="EJ587"/>
      <c r="EK587"/>
      <c r="EM587"/>
      <c r="EN587"/>
      <c r="EO587"/>
      <c r="EP587"/>
      <c r="EQ587"/>
      <c r="ER587"/>
      <c r="ES587"/>
      <c r="EU587"/>
      <c r="EV587"/>
      <c r="EW587"/>
      <c r="EX587"/>
      <c r="EY587"/>
      <c r="EZ587"/>
      <c r="FA587"/>
      <c r="FC587"/>
      <c r="FD587"/>
      <c r="FE587"/>
      <c r="FF587"/>
      <c r="FG587"/>
      <c r="FH587"/>
      <c r="FI587"/>
    </row>
    <row r="588" spans="135:165" x14ac:dyDescent="0.25">
      <c r="EE588"/>
      <c r="EF588"/>
      <c r="EG588"/>
      <c r="EH588"/>
      <c r="EI588"/>
      <c r="EJ588"/>
      <c r="EK588"/>
      <c r="EM588"/>
      <c r="EN588"/>
      <c r="EO588"/>
      <c r="EP588"/>
      <c r="EQ588"/>
      <c r="ER588"/>
      <c r="ES588"/>
      <c r="EU588"/>
      <c r="EV588"/>
      <c r="EW588"/>
      <c r="EX588"/>
      <c r="EY588"/>
      <c r="EZ588"/>
      <c r="FA588"/>
      <c r="FC588"/>
      <c r="FD588"/>
      <c r="FE588"/>
      <c r="FF588"/>
      <c r="FG588"/>
      <c r="FH588"/>
      <c r="FI588"/>
    </row>
    <row r="589" spans="135:165" x14ac:dyDescent="0.25">
      <c r="EE589"/>
      <c r="EF589"/>
      <c r="EG589"/>
      <c r="EH589"/>
      <c r="EI589"/>
      <c r="EJ589"/>
      <c r="EK589"/>
      <c r="EM589"/>
      <c r="EN589"/>
      <c r="EO589"/>
      <c r="EP589"/>
      <c r="EQ589"/>
      <c r="ER589"/>
      <c r="ES589"/>
      <c r="EU589"/>
      <c r="EV589"/>
      <c r="EW589"/>
      <c r="EX589"/>
      <c r="EY589"/>
      <c r="EZ589"/>
      <c r="FA589"/>
      <c r="FC589"/>
      <c r="FD589"/>
      <c r="FE589"/>
      <c r="FF589"/>
      <c r="FG589"/>
      <c r="FH589"/>
      <c r="FI589"/>
    </row>
    <row r="590" spans="135:165" x14ac:dyDescent="0.25">
      <c r="EE590"/>
      <c r="EF590"/>
      <c r="EG590"/>
      <c r="EH590"/>
      <c r="EI590"/>
      <c r="EJ590"/>
      <c r="EK590"/>
      <c r="EM590"/>
      <c r="EN590"/>
      <c r="EO590"/>
      <c r="EP590"/>
      <c r="EQ590"/>
      <c r="ER590"/>
      <c r="ES590"/>
      <c r="EU590"/>
      <c r="EV590"/>
      <c r="EW590"/>
      <c r="EX590"/>
      <c r="EY590"/>
      <c r="EZ590"/>
      <c r="FA590"/>
      <c r="FC590"/>
      <c r="FD590"/>
      <c r="FE590"/>
      <c r="FF590"/>
      <c r="FG590"/>
      <c r="FH590"/>
      <c r="FI590"/>
    </row>
    <row r="591" spans="135:165" x14ac:dyDescent="0.25">
      <c r="EE591"/>
      <c r="EF591"/>
      <c r="EG591"/>
      <c r="EH591"/>
      <c r="EI591"/>
      <c r="EJ591"/>
      <c r="EK591"/>
      <c r="EM591"/>
      <c r="EN591"/>
      <c r="EO591"/>
      <c r="EP591"/>
      <c r="EQ591"/>
      <c r="ER591"/>
      <c r="ES591"/>
      <c r="EU591"/>
      <c r="EV591"/>
      <c r="EW591"/>
      <c r="EX591"/>
      <c r="EY591"/>
      <c r="EZ591"/>
      <c r="FA591"/>
      <c r="FC591"/>
      <c r="FD591"/>
      <c r="FE591"/>
      <c r="FF591"/>
      <c r="FG591"/>
      <c r="FH591"/>
      <c r="FI591"/>
    </row>
    <row r="592" spans="135:165" x14ac:dyDescent="0.25">
      <c r="EE592"/>
      <c r="EF592"/>
      <c r="EG592"/>
      <c r="EH592"/>
      <c r="EI592"/>
      <c r="EJ592"/>
      <c r="EK592"/>
      <c r="EM592"/>
      <c r="EN592"/>
      <c r="EO592"/>
      <c r="EP592"/>
      <c r="EQ592"/>
      <c r="ER592"/>
      <c r="ES592"/>
      <c r="EU592"/>
      <c r="EV592"/>
      <c r="EW592"/>
      <c r="EX592"/>
      <c r="EY592"/>
      <c r="EZ592"/>
      <c r="FA592"/>
      <c r="FC592"/>
      <c r="FD592"/>
      <c r="FE592"/>
      <c r="FF592"/>
      <c r="FG592"/>
      <c r="FH592"/>
      <c r="FI592"/>
    </row>
    <row r="593" spans="135:165" x14ac:dyDescent="0.25">
      <c r="EE593"/>
      <c r="EF593"/>
      <c r="EG593"/>
      <c r="EH593"/>
      <c r="EI593"/>
      <c r="EJ593"/>
      <c r="EK593"/>
      <c r="EM593"/>
      <c r="EN593"/>
      <c r="EO593"/>
      <c r="EP593"/>
      <c r="EQ593"/>
      <c r="ER593"/>
      <c r="ES593"/>
      <c r="EU593"/>
      <c r="EV593"/>
      <c r="EW593"/>
      <c r="EX593"/>
      <c r="EY593"/>
      <c r="EZ593"/>
      <c r="FA593"/>
      <c r="FC593"/>
      <c r="FD593"/>
      <c r="FE593"/>
      <c r="FF593"/>
      <c r="FG593"/>
      <c r="FH593"/>
      <c r="FI593"/>
    </row>
    <row r="594" spans="135:165" x14ac:dyDescent="0.25">
      <c r="EE594"/>
      <c r="EF594"/>
      <c r="EG594"/>
      <c r="EH594"/>
      <c r="EI594"/>
      <c r="EJ594"/>
      <c r="EK594"/>
      <c r="EM594"/>
      <c r="EN594"/>
      <c r="EO594"/>
      <c r="EP594"/>
      <c r="EQ594"/>
      <c r="ER594"/>
      <c r="ES594"/>
      <c r="EU594"/>
      <c r="EV594"/>
      <c r="EW594"/>
      <c r="EX594"/>
      <c r="EY594"/>
      <c r="EZ594"/>
      <c r="FA594"/>
      <c r="FC594"/>
      <c r="FD594"/>
      <c r="FE594"/>
      <c r="FF594"/>
      <c r="FG594"/>
      <c r="FH594"/>
      <c r="FI594"/>
    </row>
    <row r="595" spans="135:165" x14ac:dyDescent="0.25">
      <c r="EE595"/>
      <c r="EF595"/>
      <c r="EG595"/>
      <c r="EH595"/>
      <c r="EI595"/>
      <c r="EJ595"/>
      <c r="EK595"/>
      <c r="EM595"/>
      <c r="EN595"/>
      <c r="EO595"/>
      <c r="EP595"/>
      <c r="EQ595"/>
      <c r="ER595"/>
      <c r="ES595"/>
      <c r="EU595"/>
      <c r="EV595"/>
      <c r="EW595"/>
      <c r="EX595"/>
      <c r="EY595"/>
      <c r="EZ595"/>
      <c r="FA595"/>
      <c r="FC595"/>
      <c r="FD595"/>
      <c r="FE595"/>
      <c r="FF595"/>
      <c r="FG595"/>
      <c r="FH595"/>
      <c r="FI595"/>
    </row>
    <row r="596" spans="135:165" x14ac:dyDescent="0.25">
      <c r="EE596"/>
      <c r="EF596"/>
      <c r="EG596"/>
      <c r="EH596"/>
      <c r="EI596"/>
      <c r="EJ596"/>
      <c r="EK596"/>
      <c r="EM596"/>
      <c r="EN596"/>
      <c r="EO596"/>
      <c r="EP596"/>
      <c r="EQ596"/>
      <c r="ER596"/>
      <c r="ES596"/>
      <c r="EU596"/>
      <c r="EV596"/>
      <c r="EW596"/>
      <c r="EX596"/>
      <c r="EY596"/>
      <c r="EZ596"/>
      <c r="FA596"/>
      <c r="FC596"/>
      <c r="FD596"/>
      <c r="FE596"/>
      <c r="FF596"/>
      <c r="FG596"/>
      <c r="FH596"/>
      <c r="FI596"/>
    </row>
    <row r="597" spans="135:165" x14ac:dyDescent="0.25">
      <c r="EE597"/>
      <c r="EF597"/>
      <c r="EG597"/>
      <c r="EH597"/>
      <c r="EI597"/>
      <c r="EJ597"/>
      <c r="EK597"/>
      <c r="EM597"/>
      <c r="EN597"/>
      <c r="EO597"/>
      <c r="EP597"/>
      <c r="EQ597"/>
      <c r="ER597"/>
      <c r="ES597"/>
      <c r="EU597"/>
      <c r="EV597"/>
      <c r="EW597"/>
      <c r="EX597"/>
      <c r="EY597"/>
      <c r="EZ597"/>
      <c r="FA597"/>
      <c r="FC597"/>
      <c r="FD597"/>
      <c r="FE597"/>
      <c r="FF597"/>
      <c r="FG597"/>
      <c r="FH597"/>
      <c r="FI597"/>
    </row>
    <row r="598" spans="135:165" x14ac:dyDescent="0.25">
      <c r="EE598"/>
      <c r="EF598"/>
      <c r="EG598"/>
      <c r="EH598"/>
      <c r="EI598"/>
      <c r="EJ598"/>
      <c r="EK598"/>
      <c r="EM598"/>
      <c r="EN598"/>
      <c r="EO598"/>
      <c r="EP598"/>
      <c r="EQ598"/>
      <c r="ER598"/>
      <c r="ES598"/>
      <c r="EU598"/>
      <c r="EV598"/>
      <c r="EW598"/>
      <c r="EX598"/>
      <c r="EY598"/>
      <c r="EZ598"/>
      <c r="FA598"/>
      <c r="FC598"/>
      <c r="FD598"/>
      <c r="FE598"/>
      <c r="FF598"/>
      <c r="FG598"/>
      <c r="FH598"/>
      <c r="FI598"/>
    </row>
    <row r="599" spans="135:165" x14ac:dyDescent="0.25">
      <c r="EE599"/>
      <c r="EF599"/>
      <c r="EG599"/>
      <c r="EH599"/>
      <c r="EI599"/>
      <c r="EJ599"/>
      <c r="EK599"/>
      <c r="EM599"/>
      <c r="EN599"/>
      <c r="EO599"/>
      <c r="EP599"/>
      <c r="EQ599"/>
      <c r="ER599"/>
      <c r="ES599"/>
      <c r="EU599"/>
      <c r="EV599"/>
      <c r="EW599"/>
      <c r="EX599"/>
      <c r="EY599"/>
      <c r="EZ599"/>
      <c r="FA599"/>
      <c r="FC599"/>
      <c r="FD599"/>
      <c r="FE599"/>
      <c r="FF599"/>
      <c r="FG599"/>
      <c r="FH599"/>
      <c r="FI599"/>
    </row>
    <row r="600" spans="135:165" x14ac:dyDescent="0.25">
      <c r="EE600"/>
      <c r="EF600"/>
      <c r="EG600"/>
      <c r="EH600"/>
      <c r="EI600"/>
      <c r="EJ600"/>
      <c r="EK600"/>
      <c r="EM600"/>
      <c r="EN600"/>
      <c r="EO600"/>
      <c r="EP600"/>
      <c r="EQ600"/>
      <c r="ER600"/>
      <c r="ES600"/>
      <c r="EU600"/>
      <c r="EV600"/>
      <c r="EW600"/>
      <c r="EX600"/>
      <c r="EY600"/>
      <c r="EZ600"/>
      <c r="FA600"/>
      <c r="FC600"/>
      <c r="FD600"/>
      <c r="FE600"/>
      <c r="FF600"/>
      <c r="FG600"/>
      <c r="FH600"/>
      <c r="FI600"/>
    </row>
    <row r="601" spans="135:165" x14ac:dyDescent="0.25">
      <c r="EE601"/>
      <c r="EF601"/>
      <c r="EG601"/>
      <c r="EH601"/>
      <c r="EI601"/>
      <c r="EJ601"/>
      <c r="EK601"/>
      <c r="EM601"/>
      <c r="EN601"/>
      <c r="EO601"/>
      <c r="EP601"/>
      <c r="EQ601"/>
      <c r="ER601"/>
      <c r="ES601"/>
      <c r="EU601"/>
      <c r="EV601"/>
      <c r="EW601"/>
      <c r="EX601"/>
      <c r="EY601"/>
      <c r="EZ601"/>
      <c r="FA601"/>
      <c r="FC601"/>
      <c r="FD601"/>
      <c r="FE601"/>
      <c r="FF601"/>
      <c r="FG601"/>
      <c r="FH601"/>
      <c r="FI601"/>
    </row>
    <row r="602" spans="135:165" x14ac:dyDescent="0.25">
      <c r="EE602"/>
      <c r="EF602"/>
      <c r="EG602"/>
      <c r="EH602"/>
      <c r="EI602"/>
      <c r="EJ602"/>
      <c r="EK602"/>
      <c r="EM602"/>
      <c r="EN602"/>
      <c r="EO602"/>
      <c r="EP602"/>
      <c r="EQ602"/>
      <c r="ER602"/>
      <c r="ES602"/>
      <c r="EU602"/>
      <c r="EV602"/>
      <c r="EW602"/>
      <c r="EX602"/>
      <c r="EY602"/>
      <c r="EZ602"/>
      <c r="FA602"/>
      <c r="FC602"/>
      <c r="FD602"/>
      <c r="FE602"/>
      <c r="FF602"/>
      <c r="FG602"/>
      <c r="FH602"/>
      <c r="FI602"/>
    </row>
    <row r="603" spans="135:165" x14ac:dyDescent="0.25">
      <c r="EE603"/>
      <c r="EF603"/>
      <c r="EG603"/>
      <c r="EH603"/>
      <c r="EI603"/>
      <c r="EJ603"/>
      <c r="EK603"/>
      <c r="EM603"/>
      <c r="EN603"/>
      <c r="EO603"/>
      <c r="EP603"/>
      <c r="EQ603"/>
      <c r="ER603"/>
      <c r="ES603"/>
      <c r="EU603"/>
      <c r="EV603"/>
      <c r="EW603"/>
      <c r="EX603"/>
      <c r="EY603"/>
      <c r="EZ603"/>
      <c r="FA603"/>
      <c r="FC603"/>
      <c r="FD603"/>
      <c r="FE603"/>
      <c r="FF603"/>
      <c r="FG603"/>
      <c r="FH603"/>
      <c r="FI603"/>
    </row>
    <row r="604" spans="135:165" x14ac:dyDescent="0.25">
      <c r="EE604"/>
      <c r="EF604"/>
      <c r="EG604"/>
      <c r="EH604"/>
      <c r="EI604"/>
      <c r="EJ604"/>
      <c r="EK604"/>
      <c r="EM604"/>
      <c r="EN604"/>
      <c r="EO604"/>
      <c r="EP604"/>
      <c r="EQ604"/>
      <c r="ER604"/>
      <c r="ES604"/>
      <c r="EU604"/>
      <c r="EV604"/>
      <c r="EW604"/>
      <c r="EX604"/>
      <c r="EY604"/>
      <c r="EZ604"/>
      <c r="FA604"/>
      <c r="FC604"/>
      <c r="FD604"/>
      <c r="FE604"/>
      <c r="FF604"/>
      <c r="FG604"/>
      <c r="FH604"/>
      <c r="FI604"/>
    </row>
    <row r="605" spans="135:165" x14ac:dyDescent="0.25">
      <c r="EE605"/>
      <c r="EF605"/>
      <c r="EG605"/>
      <c r="EH605"/>
      <c r="EI605"/>
      <c r="EJ605"/>
      <c r="EK605"/>
      <c r="EM605"/>
      <c r="EN605"/>
      <c r="EO605"/>
      <c r="EP605"/>
      <c r="EQ605"/>
      <c r="ER605"/>
      <c r="ES605"/>
      <c r="EU605"/>
      <c r="EV605"/>
      <c r="EW605"/>
      <c r="EX605"/>
      <c r="EY605"/>
      <c r="EZ605"/>
      <c r="FA605"/>
      <c r="FC605"/>
      <c r="FD605"/>
      <c r="FE605"/>
      <c r="FF605"/>
      <c r="FG605"/>
      <c r="FH605"/>
      <c r="FI605"/>
    </row>
    <row r="606" spans="135:165" x14ac:dyDescent="0.25">
      <c r="EE606"/>
      <c r="EF606"/>
      <c r="EG606"/>
      <c r="EH606"/>
      <c r="EI606"/>
      <c r="EJ606"/>
      <c r="EK606"/>
      <c r="EM606"/>
      <c r="EN606"/>
      <c r="EO606"/>
      <c r="EP606"/>
      <c r="EQ606"/>
      <c r="ER606"/>
      <c r="ES606"/>
      <c r="EU606"/>
      <c r="EV606"/>
      <c r="EW606"/>
      <c r="EX606"/>
      <c r="EY606"/>
      <c r="EZ606"/>
      <c r="FA606"/>
      <c r="FC606"/>
      <c r="FD606"/>
      <c r="FE606"/>
      <c r="FF606"/>
      <c r="FG606"/>
      <c r="FH606"/>
      <c r="FI606"/>
    </row>
    <row r="607" spans="135:165" x14ac:dyDescent="0.25">
      <c r="EE607"/>
      <c r="EF607"/>
      <c r="EG607"/>
      <c r="EH607"/>
      <c r="EI607"/>
      <c r="EJ607"/>
      <c r="EK607"/>
      <c r="EM607"/>
      <c r="EN607"/>
      <c r="EO607"/>
      <c r="EP607"/>
      <c r="EQ607"/>
      <c r="ER607"/>
      <c r="ES607"/>
      <c r="EU607"/>
      <c r="EV607"/>
      <c r="EW607"/>
      <c r="EX607"/>
      <c r="EY607"/>
      <c r="EZ607"/>
      <c r="FA607"/>
      <c r="FC607"/>
      <c r="FD607"/>
      <c r="FE607"/>
      <c r="FF607"/>
      <c r="FG607"/>
      <c r="FH607"/>
      <c r="FI607"/>
    </row>
    <row r="608" spans="135:165" x14ac:dyDescent="0.25">
      <c r="EE608"/>
      <c r="EF608"/>
      <c r="EG608"/>
      <c r="EH608"/>
      <c r="EI608"/>
      <c r="EJ608"/>
      <c r="EK608"/>
      <c r="EM608"/>
      <c r="EN608"/>
      <c r="EO608"/>
      <c r="EP608"/>
      <c r="EQ608"/>
      <c r="ER608"/>
      <c r="ES608"/>
      <c r="EU608"/>
      <c r="EV608"/>
      <c r="EW608"/>
      <c r="EX608"/>
      <c r="EY608"/>
      <c r="EZ608"/>
      <c r="FA608"/>
      <c r="FC608"/>
      <c r="FD608"/>
      <c r="FE608"/>
      <c r="FF608"/>
      <c r="FG608"/>
      <c r="FH608"/>
      <c r="FI608"/>
    </row>
    <row r="609" spans="135:165" x14ac:dyDescent="0.25">
      <c r="EE609"/>
      <c r="EF609"/>
      <c r="EG609"/>
      <c r="EH609"/>
      <c r="EI609"/>
      <c r="EJ609"/>
      <c r="EK609"/>
      <c r="EM609"/>
      <c r="EN609"/>
      <c r="EO609"/>
      <c r="EP609"/>
      <c r="EQ609"/>
      <c r="ER609"/>
      <c r="ES609"/>
      <c r="EU609"/>
      <c r="EV609"/>
      <c r="EW609"/>
      <c r="EX609"/>
      <c r="EY609"/>
      <c r="EZ609"/>
      <c r="FA609"/>
      <c r="FC609"/>
      <c r="FD609"/>
      <c r="FE609"/>
      <c r="FF609"/>
      <c r="FG609"/>
      <c r="FH609"/>
      <c r="FI609"/>
    </row>
    <row r="610" spans="135:165" x14ac:dyDescent="0.25">
      <c r="EE610"/>
      <c r="EF610"/>
      <c r="EG610"/>
      <c r="EH610"/>
      <c r="EI610"/>
      <c r="EJ610"/>
      <c r="EK610"/>
      <c r="EM610"/>
      <c r="EN610"/>
      <c r="EO610"/>
      <c r="EP610"/>
      <c r="EQ610"/>
      <c r="ER610"/>
      <c r="ES610"/>
      <c r="EU610"/>
      <c r="EV610"/>
      <c r="EW610"/>
      <c r="EX610"/>
      <c r="EY610"/>
      <c r="EZ610"/>
      <c r="FA610"/>
      <c r="FC610"/>
      <c r="FD610"/>
      <c r="FE610"/>
      <c r="FF610"/>
      <c r="FG610"/>
      <c r="FH610"/>
      <c r="FI610"/>
    </row>
    <row r="611" spans="135:165" x14ac:dyDescent="0.25">
      <c r="EE611"/>
      <c r="EF611"/>
      <c r="EG611"/>
      <c r="EH611"/>
      <c r="EI611"/>
      <c r="EJ611"/>
      <c r="EK611"/>
      <c r="EM611"/>
      <c r="EN611"/>
      <c r="EO611"/>
      <c r="EP611"/>
      <c r="EQ611"/>
      <c r="ER611"/>
      <c r="ES611"/>
      <c r="EU611"/>
      <c r="EV611"/>
      <c r="EW611"/>
      <c r="EX611"/>
      <c r="EY611"/>
      <c r="EZ611"/>
      <c r="FA611"/>
      <c r="FC611"/>
      <c r="FD611"/>
      <c r="FE611"/>
      <c r="FF611"/>
      <c r="FG611"/>
      <c r="FH611"/>
      <c r="FI611"/>
    </row>
    <row r="612" spans="135:165" x14ac:dyDescent="0.25">
      <c r="EE612"/>
      <c r="EF612"/>
      <c r="EG612"/>
      <c r="EH612"/>
      <c r="EI612"/>
      <c r="EJ612"/>
      <c r="EK612"/>
      <c r="EM612"/>
      <c r="EN612"/>
      <c r="EO612"/>
      <c r="EP612"/>
      <c r="EQ612"/>
      <c r="ER612"/>
      <c r="ES612"/>
      <c r="EU612"/>
      <c r="EV612"/>
      <c r="EW612"/>
      <c r="EX612"/>
      <c r="EY612"/>
      <c r="EZ612"/>
      <c r="FA612"/>
      <c r="FC612"/>
      <c r="FD612"/>
      <c r="FE612"/>
      <c r="FF612"/>
      <c r="FG612"/>
      <c r="FH612"/>
      <c r="FI612"/>
    </row>
    <row r="613" spans="135:165" x14ac:dyDescent="0.25">
      <c r="EE613"/>
      <c r="EF613"/>
      <c r="EG613"/>
      <c r="EH613"/>
      <c r="EI613"/>
      <c r="EJ613"/>
      <c r="EK613"/>
      <c r="EM613"/>
      <c r="EN613"/>
      <c r="EO613"/>
      <c r="EP613"/>
      <c r="EQ613"/>
      <c r="ER613"/>
      <c r="ES613"/>
      <c r="EU613"/>
      <c r="EV613"/>
      <c r="EW613"/>
      <c r="EX613"/>
      <c r="EY613"/>
      <c r="EZ613"/>
      <c r="FA613"/>
      <c r="FC613"/>
      <c r="FD613"/>
      <c r="FE613"/>
      <c r="FF613"/>
      <c r="FG613"/>
      <c r="FH613"/>
      <c r="FI613"/>
    </row>
    <row r="614" spans="135:165" x14ac:dyDescent="0.25">
      <c r="EE614"/>
      <c r="EF614"/>
      <c r="EG614"/>
      <c r="EH614"/>
      <c r="EI614"/>
      <c r="EJ614"/>
      <c r="EK614"/>
      <c r="EM614"/>
      <c r="EN614"/>
      <c r="EO614"/>
      <c r="EP614"/>
      <c r="EQ614"/>
      <c r="ER614"/>
      <c r="ES614"/>
      <c r="EU614"/>
      <c r="EV614"/>
      <c r="EW614"/>
      <c r="EX614"/>
      <c r="EY614"/>
      <c r="EZ614"/>
      <c r="FA614"/>
      <c r="FC614"/>
      <c r="FD614"/>
      <c r="FE614"/>
      <c r="FF614"/>
      <c r="FG614"/>
      <c r="FH614"/>
      <c r="FI614"/>
    </row>
    <row r="615" spans="135:165" x14ac:dyDescent="0.25">
      <c r="EE615"/>
      <c r="EF615"/>
      <c r="EG615"/>
      <c r="EH615"/>
      <c r="EI615"/>
      <c r="EJ615"/>
      <c r="EK615"/>
      <c r="EM615"/>
      <c r="EN615"/>
      <c r="EO615"/>
      <c r="EP615"/>
      <c r="EQ615"/>
      <c r="ER615"/>
      <c r="ES615"/>
      <c r="EU615"/>
      <c r="EV615"/>
      <c r="EW615"/>
      <c r="EX615"/>
      <c r="EY615"/>
      <c r="EZ615"/>
      <c r="FA615"/>
      <c r="FC615"/>
      <c r="FD615"/>
      <c r="FE615"/>
      <c r="FF615"/>
      <c r="FG615"/>
      <c r="FH615"/>
      <c r="FI615"/>
    </row>
    <row r="616" spans="135:165" x14ac:dyDescent="0.25">
      <c r="EE616"/>
      <c r="EF616"/>
      <c r="EG616"/>
      <c r="EH616"/>
      <c r="EI616"/>
      <c r="EJ616"/>
      <c r="EK616"/>
      <c r="EM616"/>
      <c r="EN616"/>
      <c r="EO616"/>
      <c r="EP616"/>
      <c r="EQ616"/>
      <c r="ER616"/>
      <c r="ES616"/>
      <c r="EU616"/>
      <c r="EV616"/>
      <c r="EW616"/>
      <c r="EX616"/>
      <c r="EY616"/>
      <c r="EZ616"/>
      <c r="FA616"/>
      <c r="FC616"/>
      <c r="FD616"/>
      <c r="FE616"/>
      <c r="FF616"/>
      <c r="FG616"/>
      <c r="FH616"/>
      <c r="FI616"/>
    </row>
    <row r="617" spans="135:165" x14ac:dyDescent="0.25">
      <c r="EE617"/>
      <c r="EF617"/>
      <c r="EG617"/>
      <c r="EH617"/>
      <c r="EI617"/>
      <c r="EJ617"/>
      <c r="EK617"/>
      <c r="EM617"/>
      <c r="EN617"/>
      <c r="EO617"/>
      <c r="EP617"/>
      <c r="EQ617"/>
      <c r="ER617"/>
      <c r="ES617"/>
      <c r="EU617"/>
      <c r="EV617"/>
      <c r="EW617"/>
      <c r="EX617"/>
      <c r="EY617"/>
      <c r="EZ617"/>
      <c r="FA617"/>
      <c r="FC617"/>
      <c r="FD617"/>
      <c r="FE617"/>
      <c r="FF617"/>
      <c r="FG617"/>
      <c r="FH617"/>
      <c r="FI617"/>
    </row>
    <row r="618" spans="135:165" x14ac:dyDescent="0.25">
      <c r="EE618"/>
      <c r="EF618"/>
      <c r="EG618"/>
      <c r="EH618"/>
      <c r="EI618"/>
      <c r="EJ618"/>
      <c r="EK618"/>
      <c r="EM618"/>
      <c r="EN618"/>
      <c r="EO618"/>
      <c r="EP618"/>
      <c r="EQ618"/>
      <c r="ER618"/>
      <c r="ES618"/>
      <c r="EU618"/>
      <c r="EV618"/>
      <c r="EW618"/>
      <c r="EX618"/>
      <c r="EY618"/>
      <c r="EZ618"/>
      <c r="FA618"/>
      <c r="FC618"/>
      <c r="FD618"/>
      <c r="FE618"/>
      <c r="FF618"/>
      <c r="FG618"/>
      <c r="FH618"/>
      <c r="FI618"/>
    </row>
    <row r="619" spans="135:165" x14ac:dyDescent="0.25">
      <c r="EE619"/>
      <c r="EF619"/>
      <c r="EG619"/>
      <c r="EH619"/>
      <c r="EI619"/>
      <c r="EJ619"/>
      <c r="EK619"/>
      <c r="EM619"/>
      <c r="EN619"/>
      <c r="EO619"/>
      <c r="EP619"/>
      <c r="EQ619"/>
      <c r="ER619"/>
      <c r="ES619"/>
      <c r="EU619"/>
      <c r="EV619"/>
      <c r="EW619"/>
      <c r="EX619"/>
      <c r="EY619"/>
      <c r="EZ619"/>
      <c r="FA619"/>
      <c r="FC619"/>
      <c r="FD619"/>
      <c r="FE619"/>
      <c r="FF619"/>
      <c r="FG619"/>
      <c r="FH619"/>
      <c r="FI619"/>
    </row>
    <row r="620" spans="135:165" x14ac:dyDescent="0.25">
      <c r="EE620"/>
      <c r="EF620"/>
      <c r="EG620"/>
      <c r="EH620"/>
      <c r="EI620"/>
      <c r="EJ620"/>
      <c r="EK620"/>
      <c r="EM620"/>
      <c r="EN620"/>
      <c r="EO620"/>
      <c r="EP620"/>
      <c r="EQ620"/>
      <c r="ER620"/>
      <c r="ES620"/>
      <c r="EU620"/>
      <c r="EV620"/>
      <c r="EW620"/>
      <c r="EX620"/>
      <c r="EY620"/>
      <c r="EZ620"/>
      <c r="FA620"/>
      <c r="FC620"/>
      <c r="FD620"/>
      <c r="FE620"/>
      <c r="FF620"/>
      <c r="FG620"/>
      <c r="FH620"/>
      <c r="FI620"/>
    </row>
    <row r="621" spans="135:165" x14ac:dyDescent="0.25">
      <c r="EE621"/>
      <c r="EF621"/>
      <c r="EG621"/>
      <c r="EH621"/>
      <c r="EI621"/>
      <c r="EJ621"/>
      <c r="EK621"/>
      <c r="EM621"/>
      <c r="EN621"/>
      <c r="EO621"/>
      <c r="EP621"/>
      <c r="EQ621"/>
      <c r="ER621"/>
      <c r="ES621"/>
      <c r="EU621"/>
      <c r="EV621"/>
      <c r="EW621"/>
      <c r="EX621"/>
      <c r="EY621"/>
      <c r="EZ621"/>
      <c r="FA621"/>
      <c r="FC621"/>
      <c r="FD621"/>
      <c r="FE621"/>
      <c r="FF621"/>
      <c r="FG621"/>
      <c r="FH621"/>
      <c r="FI621"/>
    </row>
    <row r="622" spans="135:165" x14ac:dyDescent="0.25">
      <c r="EE622"/>
      <c r="EF622"/>
      <c r="EG622"/>
      <c r="EH622"/>
      <c r="EI622"/>
      <c r="EJ622"/>
      <c r="EK622"/>
      <c r="EM622"/>
      <c r="EN622"/>
      <c r="EO622"/>
      <c r="EP622"/>
      <c r="EQ622"/>
      <c r="ER622"/>
      <c r="ES622"/>
      <c r="EU622"/>
      <c r="EV622"/>
      <c r="EW622"/>
      <c r="EX622"/>
      <c r="EY622"/>
      <c r="EZ622"/>
      <c r="FA622"/>
      <c r="FC622"/>
      <c r="FD622"/>
      <c r="FE622"/>
      <c r="FF622"/>
      <c r="FG622"/>
      <c r="FH622"/>
      <c r="FI622"/>
    </row>
    <row r="623" spans="135:165" x14ac:dyDescent="0.25">
      <c r="EE623"/>
      <c r="EF623"/>
      <c r="EG623"/>
      <c r="EH623"/>
      <c r="EI623"/>
      <c r="EJ623"/>
      <c r="EK623"/>
      <c r="EM623"/>
      <c r="EN623"/>
      <c r="EO623"/>
      <c r="EP623"/>
      <c r="EQ623"/>
      <c r="ER623"/>
      <c r="ES623"/>
      <c r="EU623"/>
      <c r="EV623"/>
      <c r="EW623"/>
      <c r="EX623"/>
      <c r="EY623"/>
      <c r="EZ623"/>
      <c r="FA623"/>
      <c r="FC623"/>
      <c r="FD623"/>
      <c r="FE623"/>
      <c r="FF623"/>
      <c r="FG623"/>
      <c r="FH623"/>
      <c r="FI623"/>
    </row>
    <row r="624" spans="135:165" x14ac:dyDescent="0.25">
      <c r="EE624"/>
      <c r="EF624"/>
      <c r="EG624"/>
      <c r="EH624"/>
      <c r="EI624"/>
      <c r="EJ624"/>
      <c r="EK624"/>
      <c r="EM624"/>
      <c r="EN624"/>
      <c r="EO624"/>
      <c r="EP624"/>
      <c r="EQ624"/>
      <c r="ER624"/>
      <c r="ES624"/>
      <c r="EU624"/>
      <c r="EV624"/>
      <c r="EW624"/>
      <c r="EX624"/>
      <c r="EY624"/>
      <c r="EZ624"/>
      <c r="FA624"/>
      <c r="FC624"/>
      <c r="FD624"/>
      <c r="FE624"/>
      <c r="FF624"/>
      <c r="FG624"/>
      <c r="FH624"/>
      <c r="FI624"/>
    </row>
    <row r="625" spans="135:165" x14ac:dyDescent="0.25">
      <c r="EE625"/>
      <c r="EF625"/>
      <c r="EG625"/>
      <c r="EH625"/>
      <c r="EI625"/>
      <c r="EJ625"/>
      <c r="EK625"/>
      <c r="EM625"/>
      <c r="EN625"/>
      <c r="EO625"/>
      <c r="EP625"/>
      <c r="EQ625"/>
      <c r="ER625"/>
      <c r="ES625"/>
      <c r="EU625"/>
      <c r="EV625"/>
      <c r="EW625"/>
      <c r="EX625"/>
      <c r="EY625"/>
      <c r="EZ625"/>
      <c r="FA625"/>
      <c r="FC625"/>
      <c r="FD625"/>
      <c r="FE625"/>
      <c r="FF625"/>
      <c r="FG625"/>
      <c r="FH625"/>
      <c r="FI625"/>
    </row>
    <row r="626" spans="135:165" x14ac:dyDescent="0.25">
      <c r="EE626"/>
      <c r="EF626"/>
      <c r="EG626"/>
      <c r="EH626"/>
      <c r="EI626"/>
      <c r="EJ626"/>
      <c r="EK626"/>
      <c r="EM626"/>
      <c r="EN626"/>
      <c r="EO626"/>
      <c r="EP626"/>
      <c r="EQ626"/>
      <c r="ER626"/>
      <c r="ES626"/>
      <c r="EU626"/>
      <c r="EV626"/>
      <c r="EW626"/>
      <c r="EX626"/>
      <c r="EY626"/>
      <c r="EZ626"/>
      <c r="FA626"/>
      <c r="FC626"/>
      <c r="FD626"/>
      <c r="FE626"/>
      <c r="FF626"/>
      <c r="FG626"/>
      <c r="FH626"/>
      <c r="FI626"/>
    </row>
    <row r="627" spans="135:165" x14ac:dyDescent="0.25">
      <c r="EE627"/>
      <c r="EF627"/>
      <c r="EG627"/>
      <c r="EH627"/>
      <c r="EI627"/>
      <c r="EJ627"/>
      <c r="EK627"/>
      <c r="EM627"/>
      <c r="EN627"/>
      <c r="EO627"/>
      <c r="EP627"/>
      <c r="EQ627"/>
      <c r="ER627"/>
      <c r="ES627"/>
      <c r="EU627"/>
      <c r="EV627"/>
      <c r="EW627"/>
      <c r="EX627"/>
      <c r="EY627"/>
      <c r="EZ627"/>
      <c r="FA627"/>
      <c r="FC627"/>
      <c r="FD627"/>
      <c r="FE627"/>
      <c r="FF627"/>
      <c r="FG627"/>
      <c r="FH627"/>
      <c r="FI627"/>
    </row>
    <row r="628" spans="135:165" x14ac:dyDescent="0.25">
      <c r="EE628"/>
      <c r="EF628"/>
      <c r="EG628"/>
      <c r="EH628"/>
      <c r="EI628"/>
      <c r="EJ628"/>
      <c r="EK628"/>
      <c r="EM628"/>
      <c r="EN628"/>
      <c r="EO628"/>
      <c r="EP628"/>
      <c r="EQ628"/>
      <c r="ER628"/>
      <c r="ES628"/>
      <c r="EU628"/>
      <c r="EV628"/>
      <c r="EW628"/>
      <c r="EX628"/>
      <c r="EY628"/>
      <c r="EZ628"/>
      <c r="FA628"/>
      <c r="FC628"/>
      <c r="FD628"/>
      <c r="FE628"/>
      <c r="FF628"/>
      <c r="FG628"/>
      <c r="FH628"/>
      <c r="FI628"/>
    </row>
    <row r="629" spans="135:165" x14ac:dyDescent="0.25">
      <c r="EE629"/>
      <c r="EF629"/>
      <c r="EG629"/>
      <c r="EH629"/>
      <c r="EI629"/>
      <c r="EJ629"/>
      <c r="EK629"/>
      <c r="EM629"/>
      <c r="EN629"/>
      <c r="EO629"/>
      <c r="EP629"/>
      <c r="EQ629"/>
      <c r="ER629"/>
      <c r="ES629"/>
      <c r="EU629"/>
      <c r="EV629"/>
      <c r="EW629"/>
      <c r="EX629"/>
      <c r="EY629"/>
      <c r="EZ629"/>
      <c r="FA629"/>
      <c r="FC629"/>
      <c r="FD629"/>
      <c r="FE629"/>
      <c r="FF629"/>
      <c r="FG629"/>
      <c r="FH629"/>
      <c r="FI629"/>
    </row>
    <row r="630" spans="135:165" x14ac:dyDescent="0.25">
      <c r="EE630"/>
      <c r="EF630"/>
      <c r="EG630"/>
      <c r="EH630"/>
      <c r="EI630"/>
      <c r="EJ630"/>
      <c r="EK630"/>
      <c r="EM630"/>
      <c r="EN630"/>
      <c r="EO630"/>
      <c r="EP630"/>
      <c r="EQ630"/>
      <c r="ER630"/>
      <c r="ES630"/>
      <c r="EU630"/>
      <c r="EV630"/>
      <c r="EW630"/>
      <c r="EX630"/>
      <c r="EY630"/>
      <c r="EZ630"/>
      <c r="FA630"/>
      <c r="FC630"/>
      <c r="FD630"/>
      <c r="FE630"/>
      <c r="FF630"/>
      <c r="FG630"/>
      <c r="FH630"/>
      <c r="FI630"/>
    </row>
    <row r="631" spans="135:165" x14ac:dyDescent="0.25">
      <c r="EE631"/>
      <c r="EF631"/>
      <c r="EG631"/>
      <c r="EH631"/>
      <c r="EI631"/>
      <c r="EJ631"/>
      <c r="EK631"/>
      <c r="EM631"/>
      <c r="EN631"/>
      <c r="EO631"/>
      <c r="EP631"/>
      <c r="EQ631"/>
      <c r="ER631"/>
      <c r="ES631"/>
      <c r="EU631"/>
      <c r="EV631"/>
      <c r="EW631"/>
      <c r="EX631"/>
      <c r="EY631"/>
      <c r="EZ631"/>
      <c r="FA631"/>
      <c r="FC631"/>
      <c r="FD631"/>
      <c r="FE631"/>
      <c r="FF631"/>
      <c r="FG631"/>
      <c r="FH631"/>
      <c r="FI631"/>
    </row>
    <row r="632" spans="135:165" x14ac:dyDescent="0.25">
      <c r="EE632"/>
      <c r="EF632"/>
      <c r="EG632"/>
      <c r="EH632"/>
      <c r="EI632"/>
      <c r="EJ632"/>
      <c r="EK632"/>
      <c r="EM632"/>
      <c r="EN632"/>
      <c r="EO632"/>
      <c r="EP632"/>
      <c r="EQ632"/>
      <c r="ER632"/>
      <c r="ES632"/>
      <c r="EU632"/>
      <c r="EV632"/>
      <c r="EW632"/>
      <c r="EX632"/>
      <c r="EY632"/>
      <c r="EZ632"/>
      <c r="FA632"/>
      <c r="FC632"/>
      <c r="FD632"/>
      <c r="FE632"/>
      <c r="FF632"/>
      <c r="FG632"/>
      <c r="FH632"/>
      <c r="FI632"/>
    </row>
    <row r="633" spans="135:165" x14ac:dyDescent="0.25">
      <c r="EE633"/>
      <c r="EF633"/>
      <c r="EG633"/>
      <c r="EH633"/>
      <c r="EI633"/>
      <c r="EJ633"/>
      <c r="EK633"/>
      <c r="EM633"/>
      <c r="EN633"/>
      <c r="EO633"/>
      <c r="EP633"/>
      <c r="EQ633"/>
      <c r="ER633"/>
      <c r="ES633"/>
      <c r="EU633"/>
      <c r="EV633"/>
      <c r="EW633"/>
      <c r="EX633"/>
      <c r="EY633"/>
      <c r="EZ633"/>
      <c r="FA633"/>
      <c r="FC633"/>
      <c r="FD633"/>
      <c r="FE633"/>
      <c r="FF633"/>
      <c r="FG633"/>
      <c r="FH633"/>
      <c r="FI633"/>
    </row>
    <row r="634" spans="135:165" x14ac:dyDescent="0.25">
      <c r="EE634"/>
      <c r="EF634"/>
      <c r="EG634"/>
      <c r="EH634"/>
      <c r="EI634"/>
      <c r="EJ634"/>
      <c r="EK634"/>
      <c r="EM634"/>
      <c r="EN634"/>
      <c r="EO634"/>
      <c r="EP634"/>
      <c r="EQ634"/>
      <c r="ER634"/>
      <c r="ES634"/>
      <c r="EU634"/>
      <c r="EV634"/>
      <c r="EW634"/>
      <c r="EX634"/>
      <c r="EY634"/>
      <c r="EZ634"/>
      <c r="FA634"/>
      <c r="FC634"/>
      <c r="FD634"/>
      <c r="FE634"/>
      <c r="FF634"/>
      <c r="FG634"/>
      <c r="FH634"/>
      <c r="FI634"/>
    </row>
    <row r="635" spans="135:165" x14ac:dyDescent="0.25">
      <c r="EE635"/>
      <c r="EF635"/>
      <c r="EG635"/>
      <c r="EH635"/>
      <c r="EI635"/>
      <c r="EJ635"/>
      <c r="EK635"/>
      <c r="EM635"/>
      <c r="EN635"/>
      <c r="EO635"/>
      <c r="EP635"/>
      <c r="EQ635"/>
      <c r="ER635"/>
      <c r="ES635"/>
      <c r="EU635"/>
      <c r="EV635"/>
      <c r="EW635"/>
      <c r="EX635"/>
      <c r="EY635"/>
      <c r="EZ635"/>
      <c r="FA635"/>
      <c r="FC635"/>
      <c r="FD635"/>
      <c r="FE635"/>
      <c r="FF635"/>
      <c r="FG635"/>
      <c r="FH635"/>
      <c r="FI635"/>
    </row>
    <row r="636" spans="135:165" x14ac:dyDescent="0.25">
      <c r="EE636"/>
      <c r="EF636"/>
      <c r="EG636"/>
      <c r="EH636"/>
      <c r="EI636"/>
      <c r="EJ636"/>
      <c r="EK636"/>
      <c r="EM636"/>
      <c r="EN636"/>
      <c r="EO636"/>
      <c r="EP636"/>
      <c r="EQ636"/>
      <c r="ER636"/>
      <c r="ES636"/>
      <c r="EU636"/>
      <c r="EV636"/>
      <c r="EW636"/>
      <c r="EX636"/>
      <c r="EY636"/>
      <c r="EZ636"/>
      <c r="FA636"/>
      <c r="FC636"/>
      <c r="FD636"/>
      <c r="FE636"/>
      <c r="FF636"/>
      <c r="FG636"/>
      <c r="FH636"/>
      <c r="FI636"/>
    </row>
    <row r="637" spans="135:165" x14ac:dyDescent="0.25">
      <c r="EE637"/>
      <c r="EF637"/>
      <c r="EG637"/>
      <c r="EH637"/>
      <c r="EI637"/>
      <c r="EJ637"/>
      <c r="EK637"/>
      <c r="EM637"/>
      <c r="EN637"/>
      <c r="EO637"/>
      <c r="EP637"/>
      <c r="EQ637"/>
      <c r="ER637"/>
      <c r="ES637"/>
      <c r="EU637"/>
      <c r="EV637"/>
      <c r="EW637"/>
      <c r="EX637"/>
      <c r="EY637"/>
      <c r="EZ637"/>
      <c r="FA637"/>
      <c r="FC637"/>
      <c r="FD637"/>
      <c r="FE637"/>
      <c r="FF637"/>
      <c r="FG637"/>
      <c r="FH637"/>
      <c r="FI637"/>
    </row>
    <row r="638" spans="135:165" x14ac:dyDescent="0.25">
      <c r="EE638"/>
      <c r="EF638"/>
      <c r="EG638"/>
      <c r="EH638"/>
      <c r="EI638"/>
      <c r="EJ638"/>
      <c r="EK638"/>
      <c r="EM638"/>
      <c r="EN638"/>
      <c r="EO638"/>
      <c r="EP638"/>
      <c r="EQ638"/>
      <c r="ER638"/>
      <c r="ES638"/>
      <c r="EU638"/>
      <c r="EV638"/>
      <c r="EW638"/>
      <c r="EX638"/>
      <c r="EY638"/>
      <c r="EZ638"/>
      <c r="FA638"/>
      <c r="FC638"/>
      <c r="FD638"/>
      <c r="FE638"/>
      <c r="FF638"/>
      <c r="FG638"/>
      <c r="FH638"/>
      <c r="FI638"/>
    </row>
    <row r="639" spans="135:165" x14ac:dyDescent="0.25">
      <c r="EE639"/>
      <c r="EF639"/>
      <c r="EG639"/>
      <c r="EH639"/>
      <c r="EI639"/>
      <c r="EJ639"/>
      <c r="EK639"/>
      <c r="EM639"/>
      <c r="EN639"/>
      <c r="EO639"/>
      <c r="EP639"/>
      <c r="EQ639"/>
      <c r="ER639"/>
      <c r="ES639"/>
      <c r="EU639"/>
      <c r="EV639"/>
      <c r="EW639"/>
      <c r="EX639"/>
      <c r="EY639"/>
      <c r="EZ639"/>
      <c r="FA639"/>
      <c r="FC639"/>
      <c r="FD639"/>
      <c r="FE639"/>
      <c r="FF639"/>
      <c r="FG639"/>
      <c r="FH639"/>
      <c r="FI639"/>
    </row>
    <row r="640" spans="135:165" x14ac:dyDescent="0.25">
      <c r="EE640"/>
      <c r="EF640"/>
      <c r="EG640"/>
      <c r="EH640"/>
      <c r="EI640"/>
      <c r="EJ640"/>
      <c r="EK640"/>
      <c r="EM640"/>
      <c r="EN640"/>
      <c r="EO640"/>
      <c r="EP640"/>
      <c r="EQ640"/>
      <c r="ER640"/>
      <c r="ES640"/>
      <c r="EU640"/>
      <c r="EV640"/>
      <c r="EW640"/>
      <c r="EX640"/>
      <c r="EY640"/>
      <c r="EZ640"/>
      <c r="FA640"/>
      <c r="FC640"/>
      <c r="FD640"/>
      <c r="FE640"/>
      <c r="FF640"/>
      <c r="FG640"/>
      <c r="FH640"/>
      <c r="FI640"/>
    </row>
    <row r="641" spans="135:165" x14ac:dyDescent="0.25">
      <c r="EE641"/>
      <c r="EF641"/>
      <c r="EG641"/>
      <c r="EH641"/>
      <c r="EI641"/>
      <c r="EJ641"/>
      <c r="EK641"/>
      <c r="EM641"/>
      <c r="EN641"/>
      <c r="EO641"/>
      <c r="EP641"/>
      <c r="EQ641"/>
      <c r="ER641"/>
      <c r="ES641"/>
      <c r="EU641"/>
      <c r="EV641"/>
      <c r="EW641"/>
      <c r="EX641"/>
      <c r="EY641"/>
      <c r="EZ641"/>
      <c r="FA641"/>
      <c r="FC641"/>
      <c r="FD641"/>
      <c r="FE641"/>
      <c r="FF641"/>
      <c r="FG641"/>
      <c r="FH641"/>
      <c r="FI641"/>
    </row>
    <row r="642" spans="135:165" x14ac:dyDescent="0.25">
      <c r="EE642"/>
      <c r="EF642"/>
      <c r="EG642"/>
      <c r="EH642"/>
      <c r="EI642"/>
      <c r="EJ642"/>
      <c r="EK642"/>
      <c r="EM642"/>
      <c r="EN642"/>
      <c r="EO642"/>
      <c r="EP642"/>
      <c r="EQ642"/>
      <c r="ER642"/>
      <c r="ES642"/>
      <c r="EU642"/>
      <c r="EV642"/>
      <c r="EW642"/>
      <c r="EX642"/>
      <c r="EY642"/>
      <c r="EZ642"/>
      <c r="FA642"/>
      <c r="FC642"/>
      <c r="FD642"/>
      <c r="FE642"/>
      <c r="FF642"/>
      <c r="FG642"/>
      <c r="FH642"/>
      <c r="FI642"/>
    </row>
    <row r="643" spans="135:165" x14ac:dyDescent="0.25">
      <c r="EE643"/>
      <c r="EF643"/>
      <c r="EG643"/>
      <c r="EH643"/>
      <c r="EI643"/>
      <c r="EJ643"/>
      <c r="EK643"/>
      <c r="EM643"/>
      <c r="EN643"/>
      <c r="EO643"/>
      <c r="EP643"/>
      <c r="EQ643"/>
      <c r="ER643"/>
      <c r="ES643"/>
      <c r="EU643"/>
      <c r="EV643"/>
      <c r="EW643"/>
      <c r="EX643"/>
      <c r="EY643"/>
      <c r="EZ643"/>
      <c r="FA643"/>
      <c r="FC643"/>
      <c r="FD643"/>
      <c r="FE643"/>
      <c r="FF643"/>
      <c r="FG643"/>
      <c r="FH643"/>
      <c r="FI643"/>
    </row>
    <row r="644" spans="135:165" x14ac:dyDescent="0.25">
      <c r="EE644"/>
      <c r="EF644"/>
      <c r="EG644"/>
      <c r="EH644"/>
      <c r="EI644"/>
      <c r="EJ644"/>
      <c r="EK644"/>
      <c r="EM644"/>
      <c r="EN644"/>
      <c r="EO644"/>
      <c r="EP644"/>
      <c r="EQ644"/>
      <c r="ER644"/>
      <c r="ES644"/>
      <c r="EU644"/>
      <c r="EV644"/>
      <c r="EW644"/>
      <c r="EX644"/>
      <c r="EY644"/>
      <c r="EZ644"/>
      <c r="FA644"/>
      <c r="FC644"/>
      <c r="FD644"/>
      <c r="FE644"/>
      <c r="FF644"/>
      <c r="FG644"/>
      <c r="FH644"/>
      <c r="FI644"/>
    </row>
    <row r="645" spans="135:165" x14ac:dyDescent="0.25">
      <c r="EE645"/>
      <c r="EF645"/>
      <c r="EG645"/>
      <c r="EH645"/>
      <c r="EI645"/>
      <c r="EJ645"/>
      <c r="EK645"/>
      <c r="EM645"/>
      <c r="EN645"/>
      <c r="EO645"/>
      <c r="EP645"/>
      <c r="EQ645"/>
      <c r="ER645"/>
      <c r="ES645"/>
      <c r="EU645"/>
      <c r="EV645"/>
      <c r="EW645"/>
      <c r="EX645"/>
      <c r="EY645"/>
      <c r="EZ645"/>
      <c r="FA645"/>
      <c r="FC645"/>
      <c r="FD645"/>
      <c r="FE645"/>
      <c r="FF645"/>
      <c r="FG645"/>
      <c r="FH645"/>
      <c r="FI645"/>
    </row>
    <row r="646" spans="135:165" x14ac:dyDescent="0.25">
      <c r="EE646"/>
      <c r="EF646"/>
      <c r="EG646"/>
      <c r="EH646"/>
      <c r="EI646"/>
      <c r="EJ646"/>
      <c r="EK646"/>
      <c r="EM646"/>
      <c r="EN646"/>
      <c r="EO646"/>
      <c r="EP646"/>
      <c r="EQ646"/>
      <c r="ER646"/>
      <c r="ES646"/>
      <c r="EU646"/>
      <c r="EV646"/>
      <c r="EW646"/>
      <c r="EX646"/>
      <c r="EY646"/>
      <c r="EZ646"/>
      <c r="FA646"/>
      <c r="FC646"/>
      <c r="FD646"/>
      <c r="FE646"/>
      <c r="FF646"/>
      <c r="FG646"/>
      <c r="FH646"/>
      <c r="FI646"/>
    </row>
    <row r="647" spans="135:165" x14ac:dyDescent="0.25">
      <c r="EE647"/>
      <c r="EF647"/>
      <c r="EG647"/>
      <c r="EH647"/>
      <c r="EI647"/>
      <c r="EJ647"/>
      <c r="EK647"/>
      <c r="EM647"/>
      <c r="EN647"/>
      <c r="EO647"/>
      <c r="EP647"/>
      <c r="EQ647"/>
      <c r="ER647"/>
      <c r="ES647"/>
      <c r="EU647"/>
      <c r="EV647"/>
      <c r="EW647"/>
      <c r="EX647"/>
      <c r="EY647"/>
      <c r="EZ647"/>
      <c r="FA647"/>
      <c r="FC647"/>
      <c r="FD647"/>
      <c r="FE647"/>
      <c r="FF647"/>
      <c r="FG647"/>
      <c r="FH647"/>
      <c r="FI647"/>
    </row>
    <row r="648" spans="135:165" x14ac:dyDescent="0.25">
      <c r="EE648"/>
      <c r="EF648"/>
      <c r="EG648"/>
      <c r="EH648"/>
      <c r="EI648"/>
      <c r="EJ648"/>
      <c r="EK648"/>
      <c r="EM648"/>
      <c r="EN648"/>
      <c r="EO648"/>
      <c r="EP648"/>
      <c r="EQ648"/>
      <c r="ER648"/>
      <c r="ES648"/>
      <c r="EU648"/>
      <c r="EV648"/>
      <c r="EW648"/>
      <c r="EX648"/>
      <c r="EY648"/>
      <c r="EZ648"/>
      <c r="FA648"/>
      <c r="FC648"/>
      <c r="FD648"/>
      <c r="FE648"/>
      <c r="FF648"/>
      <c r="FG648"/>
      <c r="FH648"/>
      <c r="FI648"/>
    </row>
    <row r="649" spans="135:165" x14ac:dyDescent="0.25">
      <c r="EE649"/>
      <c r="EF649"/>
      <c r="EG649"/>
      <c r="EH649"/>
      <c r="EI649"/>
      <c r="EJ649"/>
      <c r="EK649"/>
      <c r="EM649"/>
      <c r="EN649"/>
      <c r="EO649"/>
      <c r="EP649"/>
      <c r="EQ649"/>
      <c r="ER649"/>
      <c r="ES649"/>
      <c r="EU649"/>
      <c r="EV649"/>
      <c r="EW649"/>
      <c r="EX649"/>
      <c r="EY649"/>
      <c r="EZ649"/>
      <c r="FA649"/>
      <c r="FC649"/>
      <c r="FD649"/>
      <c r="FE649"/>
      <c r="FF649"/>
      <c r="FG649"/>
      <c r="FH649"/>
      <c r="FI649"/>
    </row>
    <row r="650" spans="135:165" x14ac:dyDescent="0.25">
      <c r="EE650"/>
      <c r="EF650"/>
      <c r="EG650"/>
      <c r="EH650"/>
      <c r="EI650"/>
      <c r="EJ650"/>
      <c r="EK650"/>
      <c r="EM650"/>
      <c r="EN650"/>
      <c r="EO650"/>
      <c r="EP650"/>
      <c r="EQ650"/>
      <c r="ER650"/>
      <c r="ES650"/>
      <c r="EU650"/>
      <c r="EV650"/>
      <c r="EW650"/>
      <c r="EX650"/>
      <c r="EY650"/>
      <c r="EZ650"/>
      <c r="FA650"/>
      <c r="FC650"/>
      <c r="FD650"/>
      <c r="FE650"/>
      <c r="FF650"/>
      <c r="FG650"/>
      <c r="FH650"/>
      <c r="FI650"/>
    </row>
    <row r="651" spans="135:165" x14ac:dyDescent="0.25">
      <c r="EE651"/>
      <c r="EF651"/>
      <c r="EG651"/>
      <c r="EH651"/>
      <c r="EI651"/>
      <c r="EJ651"/>
      <c r="EK651"/>
      <c r="EM651"/>
      <c r="EN651"/>
      <c r="EO651"/>
      <c r="EP651"/>
      <c r="EQ651"/>
      <c r="ER651"/>
      <c r="ES651"/>
      <c r="EU651"/>
      <c r="EV651"/>
      <c r="EW651"/>
      <c r="EX651"/>
      <c r="EY651"/>
      <c r="EZ651"/>
      <c r="FA651"/>
      <c r="FC651"/>
      <c r="FD651"/>
      <c r="FE651"/>
      <c r="FF651"/>
      <c r="FG651"/>
      <c r="FH651"/>
      <c r="FI651"/>
    </row>
    <row r="652" spans="135:165" x14ac:dyDescent="0.25">
      <c r="EE652"/>
      <c r="EF652"/>
      <c r="EG652"/>
      <c r="EH652"/>
      <c r="EI652"/>
      <c r="EJ652"/>
      <c r="EK652"/>
      <c r="EM652"/>
      <c r="EN652"/>
      <c r="EO652"/>
      <c r="EP652"/>
      <c r="EQ652"/>
      <c r="ER652"/>
      <c r="ES652"/>
      <c r="EU652"/>
      <c r="EV652"/>
      <c r="EW652"/>
      <c r="EX652"/>
      <c r="EY652"/>
      <c r="EZ652"/>
      <c r="FA652"/>
      <c r="FC652"/>
      <c r="FD652"/>
      <c r="FE652"/>
      <c r="FF652"/>
      <c r="FG652"/>
      <c r="FH652"/>
      <c r="FI652"/>
    </row>
    <row r="653" spans="135:165" x14ac:dyDescent="0.25">
      <c r="EE653"/>
      <c r="EF653"/>
      <c r="EG653"/>
      <c r="EH653"/>
      <c r="EI653"/>
      <c r="EJ653"/>
      <c r="EK653"/>
      <c r="EM653"/>
      <c r="EN653"/>
      <c r="EO653"/>
      <c r="EP653"/>
      <c r="EQ653"/>
      <c r="ER653"/>
      <c r="ES653"/>
      <c r="EU653"/>
      <c r="EV653"/>
      <c r="EW653"/>
      <c r="EX653"/>
      <c r="EY653"/>
      <c r="EZ653"/>
      <c r="FA653"/>
      <c r="FC653"/>
      <c r="FD653"/>
      <c r="FE653"/>
      <c r="FF653"/>
      <c r="FG653"/>
      <c r="FH653"/>
      <c r="FI653"/>
    </row>
    <row r="654" spans="135:165" x14ac:dyDescent="0.25">
      <c r="EE654"/>
      <c r="EF654"/>
      <c r="EG654"/>
      <c r="EH654"/>
      <c r="EI654"/>
      <c r="EJ654"/>
      <c r="EK654"/>
      <c r="EM654"/>
      <c r="EN654"/>
      <c r="EO654"/>
      <c r="EP654"/>
      <c r="EQ654"/>
      <c r="ER654"/>
      <c r="ES654"/>
      <c r="EU654"/>
      <c r="EV654"/>
      <c r="EW654"/>
      <c r="EX654"/>
      <c r="EY654"/>
      <c r="EZ654"/>
      <c r="FA654"/>
      <c r="FC654"/>
      <c r="FD654"/>
      <c r="FE654"/>
      <c r="FF654"/>
      <c r="FG654"/>
      <c r="FH654"/>
      <c r="FI654"/>
    </row>
    <row r="655" spans="135:165" x14ac:dyDescent="0.25">
      <c r="EE655"/>
      <c r="EF655"/>
      <c r="EG655"/>
      <c r="EH655"/>
      <c r="EI655"/>
      <c r="EJ655"/>
      <c r="EK655"/>
      <c r="EM655"/>
      <c r="EN655"/>
      <c r="EO655"/>
      <c r="EP655"/>
      <c r="EQ655"/>
      <c r="ER655"/>
      <c r="ES655"/>
      <c r="EU655"/>
      <c r="EV655"/>
      <c r="EW655"/>
      <c r="EX655"/>
      <c r="EY655"/>
      <c r="EZ655"/>
      <c r="FA655"/>
      <c r="FC655"/>
      <c r="FD655"/>
      <c r="FE655"/>
      <c r="FF655"/>
      <c r="FG655"/>
      <c r="FH655"/>
      <c r="FI655"/>
    </row>
    <row r="656" spans="135:165" x14ac:dyDescent="0.25">
      <c r="EE656"/>
      <c r="EF656"/>
      <c r="EG656"/>
      <c r="EH656"/>
      <c r="EI656"/>
      <c r="EJ656"/>
      <c r="EK656"/>
      <c r="EM656"/>
      <c r="EN656"/>
      <c r="EO656"/>
      <c r="EP656"/>
      <c r="EQ656"/>
      <c r="ER656"/>
      <c r="ES656"/>
      <c r="EU656"/>
      <c r="EV656"/>
      <c r="EW656"/>
      <c r="EX656"/>
      <c r="EY656"/>
      <c r="EZ656"/>
      <c r="FA656"/>
      <c r="FC656"/>
      <c r="FD656"/>
      <c r="FE656"/>
      <c r="FF656"/>
      <c r="FG656"/>
      <c r="FH656"/>
      <c r="FI656"/>
    </row>
    <row r="657" spans="135:165" x14ac:dyDescent="0.25">
      <c r="EE657"/>
      <c r="EF657"/>
      <c r="EG657"/>
      <c r="EH657"/>
      <c r="EI657"/>
      <c r="EJ657"/>
      <c r="EK657"/>
      <c r="EM657"/>
      <c r="EN657"/>
      <c r="EO657"/>
      <c r="EP657"/>
      <c r="EQ657"/>
      <c r="ER657"/>
      <c r="ES657"/>
      <c r="EU657"/>
      <c r="EV657"/>
      <c r="EW657"/>
      <c r="EX657"/>
      <c r="EY657"/>
      <c r="EZ657"/>
      <c r="FA657"/>
      <c r="FC657"/>
      <c r="FD657"/>
      <c r="FE657"/>
      <c r="FF657"/>
      <c r="FG657"/>
      <c r="FH657"/>
      <c r="FI657"/>
    </row>
    <row r="658" spans="135:165" x14ac:dyDescent="0.25">
      <c r="EE658"/>
      <c r="EF658"/>
      <c r="EG658"/>
      <c r="EH658"/>
      <c r="EI658"/>
      <c r="EJ658"/>
      <c r="EK658"/>
      <c r="EM658"/>
      <c r="EN658"/>
      <c r="EO658"/>
      <c r="EP658"/>
      <c r="EQ658"/>
      <c r="ER658"/>
      <c r="ES658"/>
      <c r="EU658"/>
      <c r="EV658"/>
      <c r="EW658"/>
      <c r="EX658"/>
      <c r="EY658"/>
      <c r="EZ658"/>
      <c r="FA658"/>
      <c r="FC658"/>
      <c r="FD658"/>
      <c r="FE658"/>
      <c r="FF658"/>
      <c r="FG658"/>
      <c r="FH658"/>
      <c r="FI658"/>
    </row>
    <row r="659" spans="135:165" x14ac:dyDescent="0.25">
      <c r="EE659"/>
      <c r="EF659"/>
      <c r="EG659"/>
      <c r="EH659"/>
      <c r="EI659"/>
      <c r="EJ659"/>
      <c r="EK659"/>
      <c r="EM659"/>
      <c r="EN659"/>
      <c r="EO659"/>
      <c r="EP659"/>
      <c r="EQ659"/>
      <c r="ER659"/>
      <c r="ES659"/>
      <c r="EU659"/>
      <c r="EV659"/>
      <c r="EW659"/>
      <c r="EX659"/>
      <c r="EY659"/>
      <c r="EZ659"/>
      <c r="FA659"/>
      <c r="FC659"/>
      <c r="FD659"/>
      <c r="FE659"/>
      <c r="FF659"/>
      <c r="FG659"/>
      <c r="FH659"/>
      <c r="FI659"/>
    </row>
    <row r="660" spans="135:165" x14ac:dyDescent="0.25">
      <c r="EE660"/>
      <c r="EF660"/>
      <c r="EG660"/>
      <c r="EH660"/>
      <c r="EI660"/>
      <c r="EJ660"/>
      <c r="EK660"/>
      <c r="EM660"/>
      <c r="EN660"/>
      <c r="EO660"/>
      <c r="EP660"/>
      <c r="EQ660"/>
      <c r="ER660"/>
      <c r="ES660"/>
      <c r="EU660"/>
      <c r="EV660"/>
      <c r="EW660"/>
      <c r="EX660"/>
      <c r="EY660"/>
      <c r="EZ660"/>
      <c r="FA660"/>
      <c r="FC660"/>
      <c r="FD660"/>
      <c r="FE660"/>
      <c r="FF660"/>
      <c r="FG660"/>
      <c r="FH660"/>
      <c r="FI660"/>
    </row>
    <row r="661" spans="135:165" x14ac:dyDescent="0.25">
      <c r="EE661"/>
      <c r="EF661"/>
      <c r="EG661"/>
      <c r="EH661"/>
      <c r="EI661"/>
      <c r="EJ661"/>
      <c r="EK661"/>
      <c r="EM661"/>
      <c r="EN661"/>
      <c r="EO661"/>
      <c r="EP661"/>
      <c r="EQ661"/>
      <c r="ER661"/>
      <c r="ES661"/>
      <c r="EU661"/>
      <c r="EV661"/>
      <c r="EW661"/>
      <c r="EX661"/>
      <c r="EY661"/>
      <c r="EZ661"/>
      <c r="FA661"/>
      <c r="FC661"/>
      <c r="FD661"/>
      <c r="FE661"/>
      <c r="FF661"/>
      <c r="FG661"/>
      <c r="FH661"/>
      <c r="FI661"/>
    </row>
    <row r="662" spans="135:165" x14ac:dyDescent="0.25">
      <c r="EE662"/>
      <c r="EF662"/>
      <c r="EG662"/>
      <c r="EH662"/>
      <c r="EI662"/>
      <c r="EJ662"/>
      <c r="EK662"/>
      <c r="EM662"/>
      <c r="EN662"/>
      <c r="EO662"/>
      <c r="EP662"/>
      <c r="EQ662"/>
      <c r="ER662"/>
      <c r="ES662"/>
      <c r="EU662"/>
      <c r="EV662"/>
      <c r="EW662"/>
      <c r="EX662"/>
      <c r="EY662"/>
      <c r="EZ662"/>
      <c r="FA662"/>
      <c r="FC662"/>
      <c r="FD662"/>
      <c r="FE662"/>
      <c r="FF662"/>
      <c r="FG662"/>
      <c r="FH662"/>
      <c r="FI662"/>
    </row>
    <row r="663" spans="135:165" x14ac:dyDescent="0.25">
      <c r="EE663"/>
      <c r="EF663"/>
      <c r="EG663"/>
      <c r="EH663"/>
      <c r="EI663"/>
      <c r="EJ663"/>
      <c r="EK663"/>
      <c r="EM663"/>
      <c r="EN663"/>
      <c r="EO663"/>
      <c r="EP663"/>
      <c r="EQ663"/>
      <c r="ER663"/>
      <c r="ES663"/>
      <c r="EU663"/>
      <c r="EV663"/>
      <c r="EW663"/>
      <c r="EX663"/>
      <c r="EY663"/>
      <c r="EZ663"/>
      <c r="FA663"/>
      <c r="FC663"/>
      <c r="FD663"/>
      <c r="FE663"/>
      <c r="FF663"/>
      <c r="FG663"/>
      <c r="FH663"/>
      <c r="FI663"/>
    </row>
    <row r="664" spans="135:165" x14ac:dyDescent="0.25">
      <c r="EE664"/>
      <c r="EF664"/>
      <c r="EG664"/>
      <c r="EH664"/>
      <c r="EI664"/>
      <c r="EJ664"/>
      <c r="EK664"/>
      <c r="EM664"/>
      <c r="EN664"/>
      <c r="EO664"/>
      <c r="EP664"/>
      <c r="EQ664"/>
      <c r="ER664"/>
      <c r="ES664"/>
      <c r="EU664"/>
      <c r="EV664"/>
      <c r="EW664"/>
      <c r="EX664"/>
      <c r="EY664"/>
      <c r="EZ664"/>
      <c r="FA664"/>
      <c r="FC664"/>
      <c r="FD664"/>
      <c r="FE664"/>
      <c r="FF664"/>
      <c r="FG664"/>
      <c r="FH664"/>
      <c r="FI664"/>
    </row>
    <row r="665" spans="135:165" x14ac:dyDescent="0.25">
      <c r="EE665"/>
      <c r="EF665"/>
      <c r="EG665"/>
      <c r="EH665"/>
      <c r="EI665"/>
      <c r="EJ665"/>
      <c r="EK665"/>
      <c r="EM665"/>
      <c r="EN665"/>
      <c r="EO665"/>
      <c r="EP665"/>
      <c r="EQ665"/>
      <c r="ER665"/>
      <c r="ES665"/>
      <c r="EU665"/>
      <c r="EV665"/>
      <c r="EW665"/>
      <c r="EX665"/>
      <c r="EY665"/>
      <c r="EZ665"/>
      <c r="FA665"/>
      <c r="FC665"/>
      <c r="FD665"/>
      <c r="FE665"/>
      <c r="FF665"/>
      <c r="FG665"/>
      <c r="FH665"/>
      <c r="FI665"/>
    </row>
    <row r="666" spans="135:165" x14ac:dyDescent="0.25">
      <c r="EE666"/>
      <c r="EF666"/>
      <c r="EG666"/>
      <c r="EH666"/>
      <c r="EI666"/>
      <c r="EJ666"/>
      <c r="EK666"/>
      <c r="EM666"/>
      <c r="EN666"/>
      <c r="EO666"/>
      <c r="EP666"/>
      <c r="EQ666"/>
      <c r="ER666"/>
      <c r="ES666"/>
      <c r="EU666"/>
      <c r="EV666"/>
      <c r="EW666"/>
      <c r="EX666"/>
      <c r="EY666"/>
      <c r="EZ666"/>
      <c r="FA666"/>
      <c r="FC666"/>
      <c r="FD666"/>
      <c r="FE666"/>
      <c r="FF666"/>
      <c r="FG666"/>
      <c r="FH666"/>
      <c r="FI666"/>
    </row>
    <row r="667" spans="135:165" x14ac:dyDescent="0.25">
      <c r="EE667"/>
      <c r="EF667"/>
      <c r="EG667"/>
      <c r="EH667"/>
      <c r="EI667"/>
      <c r="EJ667"/>
      <c r="EK667"/>
      <c r="EM667"/>
      <c r="EN667"/>
      <c r="EO667"/>
      <c r="EP667"/>
      <c r="EQ667"/>
      <c r="ER667"/>
      <c r="ES667"/>
      <c r="EU667"/>
      <c r="EV667"/>
      <c r="EW667"/>
      <c r="EX667"/>
      <c r="EY667"/>
      <c r="EZ667"/>
      <c r="FA667"/>
      <c r="FC667"/>
      <c r="FD667"/>
      <c r="FE667"/>
      <c r="FF667"/>
      <c r="FG667"/>
      <c r="FH667"/>
      <c r="FI667"/>
    </row>
    <row r="668" spans="135:165" x14ac:dyDescent="0.25">
      <c r="EE668"/>
      <c r="EF668"/>
      <c r="EG668"/>
      <c r="EH668"/>
      <c r="EI668"/>
      <c r="EJ668"/>
      <c r="EK668"/>
      <c r="EM668"/>
      <c r="EN668"/>
      <c r="EO668"/>
      <c r="EP668"/>
      <c r="EQ668"/>
      <c r="ER668"/>
      <c r="ES668"/>
      <c r="EU668"/>
      <c r="EV668"/>
      <c r="EW668"/>
      <c r="EX668"/>
      <c r="EY668"/>
      <c r="EZ668"/>
      <c r="FA668"/>
      <c r="FC668"/>
      <c r="FD668"/>
      <c r="FE668"/>
      <c r="FF668"/>
      <c r="FG668"/>
      <c r="FH668"/>
      <c r="FI668"/>
    </row>
    <row r="669" spans="135:165" x14ac:dyDescent="0.25">
      <c r="EE669"/>
      <c r="EF669"/>
      <c r="EG669"/>
      <c r="EH669"/>
      <c r="EI669"/>
      <c r="EJ669"/>
      <c r="EK669"/>
      <c r="EM669"/>
      <c r="EN669"/>
      <c r="EO669"/>
      <c r="EP669"/>
      <c r="EQ669"/>
      <c r="ER669"/>
      <c r="ES669"/>
      <c r="EU669"/>
      <c r="EV669"/>
      <c r="EW669"/>
      <c r="EX669"/>
      <c r="EY669"/>
      <c r="EZ669"/>
      <c r="FA669"/>
      <c r="FC669"/>
      <c r="FD669"/>
      <c r="FE669"/>
      <c r="FF669"/>
      <c r="FG669"/>
      <c r="FH669"/>
      <c r="FI669"/>
    </row>
    <row r="670" spans="135:165" x14ac:dyDescent="0.25">
      <c r="EE670"/>
      <c r="EF670"/>
      <c r="EG670"/>
      <c r="EH670"/>
      <c r="EI670"/>
      <c r="EJ670"/>
      <c r="EK670"/>
      <c r="EM670"/>
      <c r="EN670"/>
      <c r="EO670"/>
      <c r="EP670"/>
      <c r="EQ670"/>
      <c r="ER670"/>
      <c r="ES670"/>
      <c r="EU670"/>
      <c r="EV670"/>
      <c r="EW670"/>
      <c r="EX670"/>
      <c r="EY670"/>
      <c r="EZ670"/>
      <c r="FA670"/>
      <c r="FC670"/>
      <c r="FD670"/>
      <c r="FE670"/>
      <c r="FF670"/>
      <c r="FG670"/>
      <c r="FH670"/>
      <c r="FI670"/>
    </row>
    <row r="671" spans="135:165" x14ac:dyDescent="0.25">
      <c r="EE671"/>
      <c r="EF671"/>
      <c r="EG671"/>
      <c r="EH671"/>
      <c r="EI671"/>
      <c r="EJ671"/>
      <c r="EK671"/>
      <c r="EM671"/>
      <c r="EN671"/>
      <c r="EO671"/>
      <c r="EP671"/>
      <c r="EQ671"/>
      <c r="ER671"/>
      <c r="ES671"/>
      <c r="EU671"/>
      <c r="EV671"/>
      <c r="EW671"/>
      <c r="EX671"/>
      <c r="EY671"/>
      <c r="EZ671"/>
      <c r="FA671"/>
      <c r="FC671"/>
      <c r="FD671"/>
      <c r="FE671"/>
      <c r="FF671"/>
      <c r="FG671"/>
      <c r="FH671"/>
      <c r="FI671"/>
    </row>
    <row r="672" spans="135:165" x14ac:dyDescent="0.25">
      <c r="EE672"/>
      <c r="EF672"/>
      <c r="EG672"/>
      <c r="EH672"/>
      <c r="EI672"/>
      <c r="EJ672"/>
      <c r="EK672"/>
      <c r="EM672"/>
      <c r="EN672"/>
      <c r="EO672"/>
      <c r="EP672"/>
      <c r="EQ672"/>
      <c r="ER672"/>
      <c r="ES672"/>
      <c r="EU672"/>
      <c r="EV672"/>
      <c r="EW672"/>
      <c r="EX672"/>
      <c r="EY672"/>
      <c r="EZ672"/>
      <c r="FA672"/>
      <c r="FC672"/>
      <c r="FD672"/>
      <c r="FE672"/>
      <c r="FF672"/>
      <c r="FG672"/>
      <c r="FH672"/>
      <c r="FI672"/>
    </row>
    <row r="673" spans="135:165" x14ac:dyDescent="0.25">
      <c r="EE673"/>
      <c r="EF673"/>
      <c r="EG673"/>
      <c r="EH673"/>
      <c r="EI673"/>
      <c r="EJ673"/>
      <c r="EK673"/>
      <c r="EM673"/>
      <c r="EN673"/>
      <c r="EO673"/>
      <c r="EP673"/>
      <c r="EQ673"/>
      <c r="ER673"/>
      <c r="ES673"/>
      <c r="EU673"/>
      <c r="EV673"/>
      <c r="EW673"/>
      <c r="EX673"/>
      <c r="EY673"/>
      <c r="EZ673"/>
      <c r="FA673"/>
      <c r="FC673"/>
      <c r="FD673"/>
      <c r="FE673"/>
      <c r="FF673"/>
      <c r="FG673"/>
      <c r="FH673"/>
      <c r="FI673"/>
    </row>
    <row r="674" spans="135:165" x14ac:dyDescent="0.25">
      <c r="EE674"/>
      <c r="EF674"/>
      <c r="EG674"/>
      <c r="EH674"/>
      <c r="EI674"/>
      <c r="EJ674"/>
      <c r="EK674"/>
      <c r="EM674"/>
      <c r="EN674"/>
      <c r="EO674"/>
      <c r="EP674"/>
      <c r="EQ674"/>
      <c r="ER674"/>
      <c r="ES674"/>
      <c r="EU674"/>
      <c r="EV674"/>
      <c r="EW674"/>
      <c r="EX674"/>
      <c r="EY674"/>
      <c r="EZ674"/>
      <c r="FA674"/>
      <c r="FC674"/>
      <c r="FD674"/>
      <c r="FE674"/>
      <c r="FF674"/>
      <c r="FG674"/>
      <c r="FH674"/>
      <c r="FI674"/>
    </row>
    <row r="675" spans="135:165" x14ac:dyDescent="0.25">
      <c r="EE675"/>
      <c r="EF675"/>
      <c r="EG675"/>
      <c r="EH675"/>
      <c r="EI675"/>
      <c r="EJ675"/>
      <c r="EK675"/>
      <c r="EM675"/>
      <c r="EN675"/>
      <c r="EO675"/>
      <c r="EP675"/>
      <c r="EQ675"/>
      <c r="ER675"/>
      <c r="ES675"/>
      <c r="EU675"/>
      <c r="EV675"/>
      <c r="EW675"/>
      <c r="EX675"/>
      <c r="EY675"/>
      <c r="EZ675"/>
      <c r="FA675"/>
      <c r="FC675"/>
      <c r="FD675"/>
      <c r="FE675"/>
      <c r="FF675"/>
      <c r="FG675"/>
      <c r="FH675"/>
      <c r="FI675"/>
    </row>
    <row r="676" spans="135:165" x14ac:dyDescent="0.25">
      <c r="EE676"/>
      <c r="EF676"/>
      <c r="EG676"/>
      <c r="EH676"/>
      <c r="EI676"/>
      <c r="EJ676"/>
      <c r="EK676"/>
      <c r="EM676"/>
      <c r="EN676"/>
      <c r="EO676"/>
      <c r="EP676"/>
      <c r="EQ676"/>
      <c r="ER676"/>
      <c r="ES676"/>
      <c r="EU676"/>
      <c r="EV676"/>
      <c r="EW676"/>
      <c r="EX676"/>
      <c r="EY676"/>
      <c r="EZ676"/>
      <c r="FA676"/>
      <c r="FC676"/>
      <c r="FD676"/>
      <c r="FE676"/>
      <c r="FF676"/>
      <c r="FG676"/>
      <c r="FH676"/>
      <c r="FI676"/>
    </row>
    <row r="677" spans="135:165" x14ac:dyDescent="0.25">
      <c r="EE677"/>
      <c r="EF677"/>
      <c r="EG677"/>
      <c r="EH677"/>
      <c r="EI677"/>
      <c r="EJ677"/>
      <c r="EK677"/>
      <c r="EM677"/>
      <c r="EN677"/>
      <c r="EO677"/>
      <c r="EP677"/>
      <c r="EQ677"/>
      <c r="ER677"/>
      <c r="ES677"/>
      <c r="EU677"/>
      <c r="EV677"/>
      <c r="EW677"/>
      <c r="EX677"/>
      <c r="EY677"/>
      <c r="EZ677"/>
      <c r="FA677"/>
      <c r="FC677"/>
      <c r="FD677"/>
      <c r="FE677"/>
      <c r="FF677"/>
      <c r="FG677"/>
      <c r="FH677"/>
      <c r="FI677"/>
    </row>
    <row r="678" spans="135:165" x14ac:dyDescent="0.25">
      <c r="EE678"/>
      <c r="EF678"/>
      <c r="EG678"/>
      <c r="EH678"/>
      <c r="EI678"/>
      <c r="EJ678"/>
      <c r="EK678"/>
      <c r="EM678"/>
      <c r="EN678"/>
      <c r="EO678"/>
      <c r="EP678"/>
      <c r="EQ678"/>
      <c r="ER678"/>
      <c r="ES678"/>
      <c r="EU678"/>
      <c r="EV678"/>
      <c r="EW678"/>
      <c r="EX678"/>
      <c r="EY678"/>
      <c r="EZ678"/>
      <c r="FA678"/>
      <c r="FC678"/>
      <c r="FD678"/>
      <c r="FE678"/>
      <c r="FF678"/>
      <c r="FG678"/>
      <c r="FH678"/>
      <c r="FI678"/>
    </row>
    <row r="679" spans="135:165" x14ac:dyDescent="0.25">
      <c r="EE679"/>
      <c r="EF679"/>
      <c r="EG679"/>
      <c r="EH679"/>
      <c r="EI679"/>
      <c r="EJ679"/>
      <c r="EK679"/>
      <c r="EM679"/>
      <c r="EN679"/>
      <c r="EO679"/>
      <c r="EP679"/>
      <c r="EQ679"/>
      <c r="ER679"/>
      <c r="ES679"/>
      <c r="EU679"/>
      <c r="EV679"/>
      <c r="EW679"/>
      <c r="EX679"/>
      <c r="EY679"/>
      <c r="EZ679"/>
      <c r="FA679"/>
      <c r="FC679"/>
      <c r="FD679"/>
      <c r="FE679"/>
      <c r="FF679"/>
      <c r="FG679"/>
      <c r="FH679"/>
      <c r="FI679"/>
    </row>
    <row r="680" spans="135:165" x14ac:dyDescent="0.25">
      <c r="EE680"/>
      <c r="EF680"/>
      <c r="EG680"/>
      <c r="EH680"/>
      <c r="EI680"/>
      <c r="EJ680"/>
      <c r="EK680"/>
      <c r="EM680"/>
      <c r="EN680"/>
      <c r="EO680"/>
      <c r="EP680"/>
      <c r="EQ680"/>
      <c r="ER680"/>
      <c r="ES680"/>
      <c r="EU680"/>
      <c r="EV680"/>
      <c r="EW680"/>
      <c r="EX680"/>
      <c r="EY680"/>
      <c r="EZ680"/>
      <c r="FA680"/>
      <c r="FC680"/>
      <c r="FD680"/>
      <c r="FE680"/>
      <c r="FF680"/>
      <c r="FG680"/>
      <c r="FH680"/>
      <c r="FI680"/>
    </row>
    <row r="681" spans="135:165" x14ac:dyDescent="0.25">
      <c r="EE681"/>
      <c r="EF681"/>
      <c r="EG681"/>
      <c r="EH681"/>
      <c r="EI681"/>
      <c r="EJ681"/>
      <c r="EK681"/>
      <c r="EM681"/>
      <c r="EN681"/>
      <c r="EO681"/>
      <c r="EP681"/>
      <c r="EQ681"/>
      <c r="ER681"/>
      <c r="ES681"/>
      <c r="EU681"/>
      <c r="EV681"/>
      <c r="EW681"/>
      <c r="EX681"/>
      <c r="EY681"/>
      <c r="EZ681"/>
      <c r="FA681"/>
      <c r="FC681"/>
      <c r="FD681"/>
      <c r="FE681"/>
      <c r="FF681"/>
      <c r="FG681"/>
      <c r="FH681"/>
      <c r="FI681"/>
    </row>
    <row r="682" spans="135:165" x14ac:dyDescent="0.25">
      <c r="EE682"/>
      <c r="EF682"/>
      <c r="EG682"/>
      <c r="EH682"/>
      <c r="EI682"/>
      <c r="EJ682"/>
      <c r="EK682"/>
      <c r="EM682"/>
      <c r="EN682"/>
      <c r="EO682"/>
      <c r="EP682"/>
      <c r="EQ682"/>
      <c r="ER682"/>
      <c r="ES682"/>
      <c r="EU682"/>
      <c r="EV682"/>
      <c r="EW682"/>
      <c r="EX682"/>
      <c r="EY682"/>
      <c r="EZ682"/>
      <c r="FA682"/>
      <c r="FC682"/>
      <c r="FD682"/>
      <c r="FE682"/>
      <c r="FF682"/>
      <c r="FG682"/>
      <c r="FH682"/>
      <c r="FI682"/>
    </row>
    <row r="683" spans="135:165" x14ac:dyDescent="0.25">
      <c r="EE683"/>
      <c r="EF683"/>
      <c r="EG683"/>
      <c r="EH683"/>
      <c r="EI683"/>
      <c r="EJ683"/>
      <c r="EK683"/>
      <c r="EM683"/>
      <c r="EN683"/>
      <c r="EO683"/>
      <c r="EP683"/>
      <c r="EQ683"/>
      <c r="ER683"/>
      <c r="ES683"/>
      <c r="EU683"/>
      <c r="EV683"/>
      <c r="EW683"/>
      <c r="EX683"/>
      <c r="EY683"/>
      <c r="EZ683"/>
      <c r="FA683"/>
      <c r="FC683"/>
      <c r="FD683"/>
      <c r="FE683"/>
      <c r="FF683"/>
      <c r="FG683"/>
      <c r="FH683"/>
      <c r="FI683"/>
    </row>
    <row r="684" spans="135:165" x14ac:dyDescent="0.25">
      <c r="EE684"/>
      <c r="EF684"/>
      <c r="EG684"/>
      <c r="EH684"/>
      <c r="EI684"/>
      <c r="EJ684"/>
      <c r="EK684"/>
      <c r="EM684"/>
      <c r="EN684"/>
      <c r="EO684"/>
      <c r="EP684"/>
      <c r="EQ684"/>
      <c r="ER684"/>
      <c r="ES684"/>
      <c r="EU684"/>
      <c r="EV684"/>
      <c r="EW684"/>
      <c r="EX684"/>
      <c r="EY684"/>
      <c r="EZ684"/>
      <c r="FA684"/>
      <c r="FC684"/>
      <c r="FD684"/>
      <c r="FE684"/>
      <c r="FF684"/>
      <c r="FG684"/>
      <c r="FH684"/>
      <c r="FI684"/>
    </row>
    <row r="685" spans="135:165" x14ac:dyDescent="0.25">
      <c r="EE685"/>
      <c r="EF685"/>
      <c r="EG685"/>
      <c r="EH685"/>
      <c r="EI685"/>
      <c r="EJ685"/>
      <c r="EK685"/>
      <c r="EM685"/>
      <c r="EN685"/>
      <c r="EO685"/>
      <c r="EP685"/>
      <c r="EQ685"/>
      <c r="ER685"/>
      <c r="ES685"/>
      <c r="EU685"/>
      <c r="EV685"/>
      <c r="EW685"/>
      <c r="EX685"/>
      <c r="EY685"/>
      <c r="EZ685"/>
      <c r="FA685"/>
      <c r="FC685"/>
      <c r="FD685"/>
      <c r="FE685"/>
      <c r="FF685"/>
      <c r="FG685"/>
      <c r="FH685"/>
      <c r="FI685"/>
    </row>
    <row r="686" spans="135:165" x14ac:dyDescent="0.25">
      <c r="EE686"/>
      <c r="EF686"/>
      <c r="EG686"/>
      <c r="EH686"/>
      <c r="EI686"/>
      <c r="EJ686"/>
      <c r="EK686"/>
      <c r="EM686"/>
      <c r="EN686"/>
      <c r="EO686"/>
      <c r="EP686"/>
      <c r="EQ686"/>
      <c r="ER686"/>
      <c r="ES686"/>
      <c r="EU686"/>
      <c r="EV686"/>
      <c r="EW686"/>
      <c r="EX686"/>
      <c r="EY686"/>
      <c r="EZ686"/>
      <c r="FA686"/>
      <c r="FC686"/>
      <c r="FD686"/>
      <c r="FE686"/>
      <c r="FF686"/>
      <c r="FG686"/>
      <c r="FH686"/>
      <c r="FI686"/>
    </row>
    <row r="687" spans="135:165" x14ac:dyDescent="0.25">
      <c r="EE687"/>
      <c r="EF687"/>
      <c r="EG687"/>
      <c r="EH687"/>
      <c r="EI687"/>
      <c r="EJ687"/>
      <c r="EK687"/>
      <c r="EM687"/>
      <c r="EN687"/>
      <c r="EO687"/>
      <c r="EP687"/>
      <c r="EQ687"/>
      <c r="ER687"/>
      <c r="ES687"/>
      <c r="EU687"/>
      <c r="EV687"/>
      <c r="EW687"/>
      <c r="EX687"/>
      <c r="EY687"/>
      <c r="EZ687"/>
      <c r="FA687"/>
      <c r="FC687"/>
      <c r="FD687"/>
      <c r="FE687"/>
      <c r="FF687"/>
      <c r="FG687"/>
      <c r="FH687"/>
      <c r="FI687"/>
    </row>
    <row r="688" spans="135:165" x14ac:dyDescent="0.25">
      <c r="EE688"/>
      <c r="EF688"/>
      <c r="EG688"/>
      <c r="EH688"/>
      <c r="EI688"/>
      <c r="EJ688"/>
      <c r="EK688"/>
      <c r="EM688"/>
      <c r="EN688"/>
      <c r="EO688"/>
      <c r="EP688"/>
      <c r="EQ688"/>
      <c r="ER688"/>
      <c r="ES688"/>
      <c r="EU688"/>
      <c r="EV688"/>
      <c r="EW688"/>
      <c r="EX688"/>
      <c r="EY688"/>
      <c r="EZ688"/>
      <c r="FA688"/>
      <c r="FC688"/>
      <c r="FD688"/>
      <c r="FE688"/>
      <c r="FF688"/>
      <c r="FG688"/>
      <c r="FH688"/>
      <c r="FI688"/>
    </row>
    <row r="689" spans="135:165" x14ac:dyDescent="0.25">
      <c r="EE689"/>
      <c r="EF689"/>
      <c r="EG689"/>
      <c r="EH689"/>
      <c r="EI689"/>
      <c r="EJ689"/>
      <c r="EK689"/>
      <c r="EM689"/>
      <c r="EN689"/>
      <c r="EO689"/>
      <c r="EP689"/>
      <c r="EQ689"/>
      <c r="ER689"/>
      <c r="ES689"/>
      <c r="EU689"/>
      <c r="EV689"/>
      <c r="EW689"/>
      <c r="EX689"/>
      <c r="EY689"/>
      <c r="EZ689"/>
      <c r="FA689"/>
      <c r="FC689"/>
      <c r="FD689"/>
      <c r="FE689"/>
      <c r="FF689"/>
      <c r="FG689"/>
      <c r="FH689"/>
      <c r="FI689"/>
    </row>
    <row r="690" spans="135:165" x14ac:dyDescent="0.25">
      <c r="EE690"/>
      <c r="EF690"/>
      <c r="EG690"/>
      <c r="EH690"/>
      <c r="EI690"/>
      <c r="EJ690"/>
      <c r="EK690"/>
      <c r="EM690"/>
      <c r="EN690"/>
      <c r="EO690"/>
      <c r="EP690"/>
      <c r="EQ690"/>
      <c r="ER690"/>
      <c r="ES690"/>
      <c r="EU690"/>
      <c r="EV690"/>
      <c r="EW690"/>
      <c r="EX690"/>
      <c r="EY690"/>
      <c r="EZ690"/>
      <c r="FA690"/>
      <c r="FC690"/>
      <c r="FD690"/>
      <c r="FE690"/>
      <c r="FF690"/>
      <c r="FG690"/>
      <c r="FH690"/>
      <c r="FI690"/>
    </row>
    <row r="691" spans="135:165" x14ac:dyDescent="0.25">
      <c r="EE691"/>
      <c r="EF691"/>
      <c r="EG691"/>
      <c r="EH691"/>
      <c r="EI691"/>
      <c r="EJ691"/>
      <c r="EK691"/>
      <c r="EM691"/>
      <c r="EN691"/>
      <c r="EO691"/>
      <c r="EP691"/>
      <c r="EQ691"/>
      <c r="ER691"/>
      <c r="ES691"/>
      <c r="EU691"/>
      <c r="EV691"/>
      <c r="EW691"/>
      <c r="EX691"/>
      <c r="EY691"/>
      <c r="EZ691"/>
      <c r="FA691"/>
      <c r="FC691"/>
      <c r="FD691"/>
      <c r="FE691"/>
      <c r="FF691"/>
      <c r="FG691"/>
      <c r="FH691"/>
      <c r="FI691"/>
    </row>
    <row r="692" spans="135:165" x14ac:dyDescent="0.25">
      <c r="EE692"/>
      <c r="EF692"/>
      <c r="EG692"/>
      <c r="EH692"/>
      <c r="EI692"/>
      <c r="EJ692"/>
      <c r="EK692"/>
      <c r="EM692"/>
      <c r="EN692"/>
      <c r="EO692"/>
      <c r="EP692"/>
      <c r="EQ692"/>
      <c r="ER692"/>
      <c r="ES692"/>
      <c r="EU692"/>
      <c r="EV692"/>
      <c r="EW692"/>
      <c r="EX692"/>
      <c r="EY692"/>
      <c r="EZ692"/>
      <c r="FA692"/>
      <c r="FC692"/>
      <c r="FD692"/>
      <c r="FE692"/>
      <c r="FF692"/>
      <c r="FG692"/>
      <c r="FH692"/>
      <c r="FI692"/>
    </row>
    <row r="693" spans="135:165" x14ac:dyDescent="0.25">
      <c r="EE693"/>
      <c r="EF693"/>
      <c r="EG693"/>
      <c r="EH693"/>
      <c r="EI693"/>
      <c r="EJ693"/>
      <c r="EK693"/>
      <c r="EM693"/>
      <c r="EN693"/>
      <c r="EO693"/>
      <c r="EP693"/>
      <c r="EQ693"/>
      <c r="ER693"/>
      <c r="ES693"/>
      <c r="EU693"/>
      <c r="EV693"/>
      <c r="EW693"/>
      <c r="EX693"/>
      <c r="EY693"/>
      <c r="EZ693"/>
      <c r="FA693"/>
      <c r="FC693"/>
      <c r="FD693"/>
      <c r="FE693"/>
      <c r="FF693"/>
      <c r="FG693"/>
      <c r="FH693"/>
      <c r="FI693"/>
    </row>
    <row r="694" spans="135:165" x14ac:dyDescent="0.25">
      <c r="EE694"/>
      <c r="EF694"/>
      <c r="EG694"/>
      <c r="EH694"/>
      <c r="EI694"/>
      <c r="EJ694"/>
      <c r="EK694"/>
      <c r="EM694"/>
      <c r="EN694"/>
      <c r="EO694"/>
      <c r="EP694"/>
      <c r="EQ694"/>
      <c r="ER694"/>
      <c r="ES694"/>
      <c r="EU694"/>
      <c r="EV694"/>
      <c r="EW694"/>
      <c r="EX694"/>
      <c r="EY694"/>
      <c r="EZ694"/>
      <c r="FA694"/>
      <c r="FC694"/>
      <c r="FD694"/>
      <c r="FE694"/>
      <c r="FF694"/>
      <c r="FG694"/>
      <c r="FH694"/>
      <c r="FI694"/>
    </row>
    <row r="695" spans="135:165" x14ac:dyDescent="0.25">
      <c r="EE695"/>
      <c r="EF695"/>
      <c r="EG695"/>
      <c r="EH695"/>
      <c r="EI695"/>
      <c r="EJ695"/>
      <c r="EK695"/>
      <c r="EM695"/>
      <c r="EN695"/>
      <c r="EO695"/>
      <c r="EP695"/>
      <c r="EQ695"/>
      <c r="ER695"/>
      <c r="ES695"/>
      <c r="EU695"/>
      <c r="EV695"/>
      <c r="EW695"/>
      <c r="EX695"/>
      <c r="EY695"/>
      <c r="EZ695"/>
      <c r="FA695"/>
      <c r="FC695"/>
      <c r="FD695"/>
      <c r="FE695"/>
      <c r="FF695"/>
      <c r="FG695"/>
      <c r="FH695"/>
      <c r="FI695"/>
    </row>
    <row r="696" spans="135:165" x14ac:dyDescent="0.25">
      <c r="EE696"/>
      <c r="EF696"/>
      <c r="EG696"/>
      <c r="EH696"/>
      <c r="EI696"/>
      <c r="EJ696"/>
      <c r="EK696"/>
      <c r="EM696"/>
      <c r="EN696"/>
      <c r="EO696"/>
      <c r="EP696"/>
      <c r="EQ696"/>
      <c r="ER696"/>
      <c r="ES696"/>
      <c r="EU696"/>
      <c r="EV696"/>
      <c r="EW696"/>
      <c r="EX696"/>
      <c r="EY696"/>
      <c r="EZ696"/>
      <c r="FA696"/>
      <c r="FC696"/>
      <c r="FD696"/>
      <c r="FE696"/>
      <c r="FF696"/>
      <c r="FG696"/>
      <c r="FH696"/>
      <c r="FI696"/>
    </row>
    <row r="697" spans="135:165" x14ac:dyDescent="0.25">
      <c r="EE697"/>
      <c r="EF697"/>
      <c r="EG697"/>
      <c r="EH697"/>
      <c r="EI697"/>
      <c r="EJ697"/>
      <c r="EK697"/>
      <c r="EM697"/>
      <c r="EN697"/>
      <c r="EO697"/>
      <c r="EP697"/>
      <c r="EQ697"/>
      <c r="ER697"/>
      <c r="ES697"/>
      <c r="EU697"/>
      <c r="EV697"/>
      <c r="EW697"/>
      <c r="EX697"/>
      <c r="EY697"/>
      <c r="EZ697"/>
      <c r="FA697"/>
      <c r="FC697"/>
      <c r="FD697"/>
      <c r="FE697"/>
      <c r="FF697"/>
      <c r="FG697"/>
      <c r="FH697"/>
      <c r="FI697"/>
    </row>
    <row r="698" spans="135:165" x14ac:dyDescent="0.25">
      <c r="EE698"/>
      <c r="EF698"/>
      <c r="EG698"/>
      <c r="EH698"/>
      <c r="EI698"/>
      <c r="EJ698"/>
      <c r="EK698"/>
      <c r="EM698"/>
      <c r="EN698"/>
      <c r="EO698"/>
      <c r="EP698"/>
      <c r="EQ698"/>
      <c r="ER698"/>
      <c r="ES698"/>
      <c r="EU698"/>
      <c r="EV698"/>
      <c r="EW698"/>
      <c r="EX698"/>
      <c r="EY698"/>
      <c r="EZ698"/>
      <c r="FA698"/>
      <c r="FC698"/>
      <c r="FD698"/>
      <c r="FE698"/>
      <c r="FF698"/>
      <c r="FG698"/>
      <c r="FH698"/>
      <c r="FI698"/>
    </row>
    <row r="699" spans="135:165" x14ac:dyDescent="0.25">
      <c r="EE699"/>
      <c r="EF699"/>
      <c r="EG699"/>
      <c r="EH699"/>
      <c r="EI699"/>
      <c r="EJ699"/>
      <c r="EK699"/>
      <c r="EM699"/>
      <c r="EN699"/>
      <c r="EO699"/>
      <c r="EP699"/>
      <c r="EQ699"/>
      <c r="ER699"/>
      <c r="ES699"/>
      <c r="EU699"/>
      <c r="EV699"/>
      <c r="EW699"/>
      <c r="EX699"/>
      <c r="EY699"/>
      <c r="EZ699"/>
      <c r="FA699"/>
      <c r="FC699"/>
      <c r="FD699"/>
      <c r="FE699"/>
      <c r="FF699"/>
      <c r="FG699"/>
      <c r="FH699"/>
      <c r="FI699"/>
    </row>
    <row r="700" spans="135:165" x14ac:dyDescent="0.25">
      <c r="EE700"/>
      <c r="EF700"/>
      <c r="EG700"/>
      <c r="EH700"/>
      <c r="EI700"/>
      <c r="EJ700"/>
      <c r="EK700"/>
      <c r="EM700"/>
      <c r="EN700"/>
      <c r="EO700"/>
      <c r="EP700"/>
      <c r="EQ700"/>
      <c r="ER700"/>
      <c r="ES700"/>
      <c r="EU700"/>
      <c r="EV700"/>
      <c r="EW700"/>
      <c r="EX700"/>
      <c r="EY700"/>
      <c r="EZ700"/>
      <c r="FA700"/>
      <c r="FC700"/>
      <c r="FD700"/>
      <c r="FE700"/>
      <c r="FF700"/>
      <c r="FG700"/>
      <c r="FH700"/>
      <c r="FI700"/>
    </row>
    <row r="701" spans="135:165" x14ac:dyDescent="0.25">
      <c r="EE701"/>
      <c r="EF701"/>
      <c r="EG701"/>
      <c r="EH701"/>
      <c r="EI701"/>
      <c r="EJ701"/>
      <c r="EK701"/>
      <c r="EM701"/>
      <c r="EN701"/>
      <c r="EO701"/>
      <c r="EP701"/>
      <c r="EQ701"/>
      <c r="ER701"/>
      <c r="ES701"/>
      <c r="EU701"/>
      <c r="EV701"/>
      <c r="EW701"/>
      <c r="EX701"/>
      <c r="EY701"/>
      <c r="EZ701"/>
      <c r="FA701"/>
      <c r="FC701"/>
      <c r="FD701"/>
      <c r="FE701"/>
      <c r="FF701"/>
      <c r="FG701"/>
      <c r="FH701"/>
      <c r="FI701"/>
    </row>
    <row r="702" spans="135:165" x14ac:dyDescent="0.25">
      <c r="EE702"/>
      <c r="EF702"/>
      <c r="EG702"/>
      <c r="EH702"/>
      <c r="EI702"/>
      <c r="EJ702"/>
      <c r="EK702"/>
      <c r="EM702"/>
      <c r="EN702"/>
      <c r="EO702"/>
      <c r="EP702"/>
      <c r="EQ702"/>
      <c r="ER702"/>
      <c r="ES702"/>
      <c r="EU702"/>
      <c r="EV702"/>
      <c r="EW702"/>
      <c r="EX702"/>
      <c r="EY702"/>
      <c r="EZ702"/>
      <c r="FA702"/>
      <c r="FC702"/>
      <c r="FD702"/>
      <c r="FE702"/>
      <c r="FF702"/>
      <c r="FG702"/>
      <c r="FH702"/>
      <c r="FI702"/>
    </row>
    <row r="703" spans="135:165" x14ac:dyDescent="0.25">
      <c r="EE703"/>
      <c r="EF703"/>
      <c r="EG703"/>
      <c r="EH703"/>
      <c r="EI703"/>
      <c r="EJ703"/>
      <c r="EK703"/>
      <c r="EM703"/>
      <c r="EN703"/>
      <c r="EO703"/>
      <c r="EP703"/>
      <c r="EQ703"/>
      <c r="ER703"/>
      <c r="ES703"/>
      <c r="EU703"/>
      <c r="EV703"/>
      <c r="EW703"/>
      <c r="EX703"/>
      <c r="EY703"/>
      <c r="EZ703"/>
      <c r="FA703"/>
      <c r="FC703"/>
      <c r="FD703"/>
      <c r="FE703"/>
      <c r="FF703"/>
      <c r="FG703"/>
      <c r="FH703"/>
      <c r="FI703"/>
    </row>
    <row r="704" spans="135:165" x14ac:dyDescent="0.25">
      <c r="EE704"/>
      <c r="EF704"/>
      <c r="EG704"/>
      <c r="EH704"/>
      <c r="EI704"/>
      <c r="EJ704"/>
      <c r="EK704"/>
      <c r="EM704"/>
      <c r="EN704"/>
      <c r="EO704"/>
      <c r="EP704"/>
      <c r="EQ704"/>
      <c r="ER704"/>
      <c r="ES704"/>
      <c r="EU704"/>
      <c r="EV704"/>
      <c r="EW704"/>
      <c r="EX704"/>
      <c r="EY704"/>
      <c r="EZ704"/>
      <c r="FA704"/>
      <c r="FC704"/>
      <c r="FD704"/>
      <c r="FE704"/>
      <c r="FF704"/>
      <c r="FG704"/>
      <c r="FH704"/>
      <c r="FI704"/>
    </row>
    <row r="705" spans="135:165" x14ac:dyDescent="0.25">
      <c r="EE705"/>
      <c r="EF705"/>
      <c r="EG705"/>
      <c r="EH705"/>
      <c r="EI705"/>
      <c r="EJ705"/>
      <c r="EK705"/>
      <c r="EM705"/>
      <c r="EN705"/>
      <c r="EO705"/>
      <c r="EP705"/>
      <c r="EQ705"/>
      <c r="ER705"/>
      <c r="ES705"/>
      <c r="EU705"/>
      <c r="EV705"/>
      <c r="EW705"/>
      <c r="EX705"/>
      <c r="EY705"/>
      <c r="EZ705"/>
      <c r="FA705"/>
      <c r="FC705"/>
      <c r="FD705"/>
      <c r="FE705"/>
      <c r="FF705"/>
      <c r="FG705"/>
      <c r="FH705"/>
      <c r="FI705"/>
    </row>
    <row r="706" spans="135:165" x14ac:dyDescent="0.25">
      <c r="EE706"/>
      <c r="EF706"/>
      <c r="EG706"/>
      <c r="EH706"/>
      <c r="EI706"/>
      <c r="EJ706"/>
      <c r="EK706"/>
      <c r="EM706"/>
      <c r="EN706"/>
      <c r="EO706"/>
      <c r="EP706"/>
      <c r="EQ706"/>
      <c r="ER706"/>
      <c r="ES706"/>
      <c r="EU706"/>
      <c r="EV706"/>
      <c r="EW706"/>
      <c r="EX706"/>
      <c r="EY706"/>
      <c r="EZ706"/>
      <c r="FA706"/>
      <c r="FC706"/>
      <c r="FD706"/>
      <c r="FE706"/>
      <c r="FF706"/>
      <c r="FG706"/>
      <c r="FH706"/>
      <c r="FI706"/>
    </row>
    <row r="707" spans="135:165" x14ac:dyDescent="0.25">
      <c r="EE707"/>
      <c r="EF707"/>
      <c r="EG707"/>
      <c r="EH707"/>
      <c r="EI707"/>
      <c r="EJ707"/>
      <c r="EK707"/>
      <c r="EM707"/>
      <c r="EN707"/>
      <c r="EO707"/>
      <c r="EP707"/>
      <c r="EQ707"/>
      <c r="ER707"/>
      <c r="ES707"/>
      <c r="EU707"/>
      <c r="EV707"/>
      <c r="EW707"/>
      <c r="EX707"/>
      <c r="EY707"/>
      <c r="EZ707"/>
      <c r="FA707"/>
      <c r="FC707"/>
      <c r="FD707"/>
      <c r="FE707"/>
      <c r="FF707"/>
      <c r="FG707"/>
      <c r="FH707"/>
      <c r="FI707"/>
    </row>
    <row r="708" spans="135:165" x14ac:dyDescent="0.25">
      <c r="EE708"/>
      <c r="EF708"/>
      <c r="EG708"/>
      <c r="EH708"/>
      <c r="EI708"/>
      <c r="EJ708"/>
      <c r="EK708"/>
      <c r="EM708"/>
      <c r="EN708"/>
      <c r="EO708"/>
      <c r="EP708"/>
      <c r="EQ708"/>
      <c r="ER708"/>
      <c r="ES708"/>
      <c r="EU708"/>
      <c r="EV708"/>
      <c r="EW708"/>
      <c r="EX708"/>
      <c r="EY708"/>
      <c r="EZ708"/>
      <c r="FA708"/>
      <c r="FC708"/>
      <c r="FD708"/>
      <c r="FE708"/>
      <c r="FF708"/>
      <c r="FG708"/>
      <c r="FH708"/>
      <c r="FI708"/>
    </row>
    <row r="709" spans="135:165" x14ac:dyDescent="0.25">
      <c r="EE709"/>
      <c r="EF709"/>
      <c r="EG709"/>
      <c r="EH709"/>
      <c r="EI709"/>
      <c r="EJ709"/>
      <c r="EK709"/>
      <c r="EM709"/>
      <c r="EN709"/>
      <c r="EO709"/>
      <c r="EP709"/>
      <c r="EQ709"/>
      <c r="ER709"/>
      <c r="ES709"/>
      <c r="EU709"/>
      <c r="EV709"/>
      <c r="EW709"/>
      <c r="EX709"/>
      <c r="EY709"/>
      <c r="EZ709"/>
      <c r="FA709"/>
      <c r="FC709"/>
      <c r="FD709"/>
      <c r="FE709"/>
      <c r="FF709"/>
      <c r="FG709"/>
      <c r="FH709"/>
      <c r="FI709"/>
    </row>
    <row r="710" spans="135:165" x14ac:dyDescent="0.25">
      <c r="EE710"/>
      <c r="EF710"/>
      <c r="EG710"/>
      <c r="EH710"/>
      <c r="EI710"/>
      <c r="EJ710"/>
      <c r="EK710"/>
      <c r="EM710"/>
      <c r="EN710"/>
      <c r="EO710"/>
      <c r="EP710"/>
      <c r="EQ710"/>
      <c r="ER710"/>
      <c r="ES710"/>
      <c r="EU710"/>
      <c r="EV710"/>
      <c r="EW710"/>
      <c r="EX710"/>
      <c r="EY710"/>
      <c r="EZ710"/>
      <c r="FA710"/>
      <c r="FC710"/>
      <c r="FD710"/>
      <c r="FE710"/>
      <c r="FF710"/>
      <c r="FG710"/>
      <c r="FH710"/>
      <c r="FI710"/>
    </row>
    <row r="711" spans="135:165" x14ac:dyDescent="0.25">
      <c r="EE711"/>
      <c r="EF711"/>
      <c r="EG711"/>
      <c r="EH711"/>
      <c r="EI711"/>
      <c r="EJ711"/>
      <c r="EK711"/>
      <c r="EM711"/>
      <c r="EN711"/>
      <c r="EO711"/>
      <c r="EP711"/>
      <c r="EQ711"/>
      <c r="ER711"/>
      <c r="ES711"/>
      <c r="EU711"/>
      <c r="EV711"/>
      <c r="EW711"/>
      <c r="EX711"/>
      <c r="EY711"/>
      <c r="EZ711"/>
      <c r="FA711"/>
      <c r="FC711"/>
      <c r="FD711"/>
      <c r="FE711"/>
      <c r="FF711"/>
      <c r="FG711"/>
      <c r="FH711"/>
      <c r="FI711"/>
    </row>
    <row r="712" spans="135:165" x14ac:dyDescent="0.25">
      <c r="EE712"/>
      <c r="EF712"/>
      <c r="EG712"/>
      <c r="EH712"/>
      <c r="EI712"/>
      <c r="EJ712"/>
      <c r="EK712"/>
      <c r="EM712"/>
      <c r="EN712"/>
      <c r="EO712"/>
      <c r="EP712"/>
      <c r="EQ712"/>
      <c r="ER712"/>
      <c r="ES712"/>
      <c r="EU712"/>
      <c r="EV712"/>
      <c r="EW712"/>
      <c r="EX712"/>
      <c r="EY712"/>
      <c r="EZ712"/>
      <c r="FA712"/>
      <c r="FC712"/>
      <c r="FD712"/>
      <c r="FE712"/>
      <c r="FF712"/>
      <c r="FG712"/>
      <c r="FH712"/>
      <c r="FI712"/>
    </row>
    <row r="713" spans="135:165" x14ac:dyDescent="0.25">
      <c r="EE713"/>
      <c r="EF713"/>
      <c r="EG713"/>
      <c r="EH713"/>
      <c r="EI713"/>
      <c r="EJ713"/>
      <c r="EK713"/>
      <c r="EM713"/>
      <c r="EN713"/>
      <c r="EO713"/>
      <c r="EP713"/>
      <c r="EQ713"/>
      <c r="ER713"/>
      <c r="ES713"/>
      <c r="EU713"/>
      <c r="EV713"/>
      <c r="EW713"/>
      <c r="EX713"/>
      <c r="EY713"/>
      <c r="EZ713"/>
      <c r="FA713"/>
      <c r="FC713"/>
      <c r="FD713"/>
      <c r="FE713"/>
      <c r="FF713"/>
      <c r="FG713"/>
      <c r="FH713"/>
      <c r="FI713"/>
    </row>
    <row r="714" spans="135:165" x14ac:dyDescent="0.25">
      <c r="EE714"/>
      <c r="EF714"/>
      <c r="EG714"/>
      <c r="EH714"/>
      <c r="EI714"/>
      <c r="EJ714"/>
      <c r="EK714"/>
      <c r="EM714"/>
      <c r="EN714"/>
      <c r="EO714"/>
      <c r="EP714"/>
      <c r="EQ714"/>
      <c r="ER714"/>
      <c r="ES714"/>
      <c r="EU714"/>
      <c r="EV714"/>
      <c r="EW714"/>
      <c r="EX714"/>
      <c r="EY714"/>
      <c r="EZ714"/>
      <c r="FA714"/>
      <c r="FC714"/>
      <c r="FD714"/>
      <c r="FE714"/>
      <c r="FF714"/>
      <c r="FG714"/>
      <c r="FH714"/>
      <c r="FI714"/>
    </row>
    <row r="715" spans="135:165" x14ac:dyDescent="0.25">
      <c r="EE715"/>
      <c r="EF715"/>
      <c r="EG715"/>
      <c r="EH715"/>
      <c r="EI715"/>
      <c r="EJ715"/>
      <c r="EK715"/>
      <c r="EM715"/>
      <c r="EN715"/>
      <c r="EO715"/>
      <c r="EP715"/>
      <c r="EQ715"/>
      <c r="ER715"/>
      <c r="ES715"/>
      <c r="EU715"/>
      <c r="EV715"/>
      <c r="EW715"/>
      <c r="EX715"/>
      <c r="EY715"/>
      <c r="EZ715"/>
      <c r="FA715"/>
      <c r="FC715"/>
      <c r="FD715"/>
      <c r="FE715"/>
      <c r="FF715"/>
      <c r="FG715"/>
      <c r="FH715"/>
      <c r="FI715"/>
    </row>
  </sheetData>
  <mergeCells count="87">
    <mergeCell ref="RW2:SC2"/>
    <mergeCell ref="YQ2:YW2"/>
    <mergeCell ref="SQ2:SS2"/>
    <mergeCell ref="ABI2:ABO2"/>
    <mergeCell ref="ABS2:ABY2"/>
    <mergeCell ref="AU2:BB2"/>
    <mergeCell ref="CM2:CN2"/>
    <mergeCell ref="CU2:CV2"/>
    <mergeCell ref="ADD40:ADE40"/>
    <mergeCell ref="ADD65:ADE65"/>
    <mergeCell ref="QQ2:QU2"/>
    <mergeCell ref="AAE2:AAI2"/>
    <mergeCell ref="SG2:SM2"/>
    <mergeCell ref="ZK2:ZQ2"/>
    <mergeCell ref="YK2:YL2"/>
    <mergeCell ref="ZU2:AAA2"/>
    <mergeCell ref="RM2:RS2"/>
    <mergeCell ref="RC2:RG2"/>
    <mergeCell ref="YA2:YE2"/>
    <mergeCell ref="XG2:XK2"/>
    <mergeCell ref="ZA2:ZG2"/>
    <mergeCell ref="KC2:KG2"/>
    <mergeCell ref="MA2:ME2"/>
    <mergeCell ref="IY2:JC2"/>
    <mergeCell ref="IO2:IU2"/>
    <mergeCell ref="B2:C2"/>
    <mergeCell ref="K2:R2"/>
    <mergeCell ref="BO2:BP2"/>
    <mergeCell ref="HU2:HW2"/>
    <mergeCell ref="BG2:BH2"/>
    <mergeCell ref="BW2:BX2"/>
    <mergeCell ref="EE2:EF2"/>
    <mergeCell ref="GQ2:GS2"/>
    <mergeCell ref="CE2:CF2"/>
    <mergeCell ref="DQ2:DR2"/>
    <mergeCell ref="W2:AD2"/>
    <mergeCell ref="AI2:AP2"/>
    <mergeCell ref="TA2:TE2"/>
    <mergeCell ref="TK2:TO2"/>
    <mergeCell ref="TU2:TW2"/>
    <mergeCell ref="UY2:VA2"/>
    <mergeCell ref="XQ2:XU2"/>
    <mergeCell ref="AFW2:AFX2"/>
    <mergeCell ref="AEM2:AEN2"/>
    <mergeCell ref="AEF2:AEH2"/>
    <mergeCell ref="AAO2:AAS2"/>
    <mergeCell ref="ADD2:ADE2"/>
    <mergeCell ref="ADI2:ADJ2"/>
    <mergeCell ref="ADQ2:ADS2"/>
    <mergeCell ref="AEU2:AEW2"/>
    <mergeCell ref="AFB2:AFC2"/>
    <mergeCell ref="ACC2:ACG2"/>
    <mergeCell ref="AFP2:AFQ2"/>
    <mergeCell ref="ADX2:ADY2"/>
    <mergeCell ref="ACM2:ACQ2"/>
    <mergeCell ref="AAY2:ABE2"/>
    <mergeCell ref="AFH2:AFI2"/>
    <mergeCell ref="DC2:DD2"/>
    <mergeCell ref="DJ2:DK2"/>
    <mergeCell ref="FS2:FT2"/>
    <mergeCell ref="JI2:JM2"/>
    <mergeCell ref="JS2:JW2"/>
    <mergeCell ref="IE2:IG2"/>
    <mergeCell ref="DX2:DY2"/>
    <mergeCell ref="EM2:EN2"/>
    <mergeCell ref="FC2:FD2"/>
    <mergeCell ref="HA2:HC2"/>
    <mergeCell ref="HK2:HM2"/>
    <mergeCell ref="EU2:EV2"/>
    <mergeCell ref="GI2:GJ2"/>
    <mergeCell ref="FK2:FL2"/>
    <mergeCell ref="GA2:GB2"/>
    <mergeCell ref="QG2:QI2"/>
    <mergeCell ref="PW2:PY2"/>
    <mergeCell ref="KW2:LA2"/>
    <mergeCell ref="KM2:KQ2"/>
    <mergeCell ref="LG2:LK2"/>
    <mergeCell ref="LQ2:LU2"/>
    <mergeCell ref="MK2:MM2"/>
    <mergeCell ref="NE2:NG2"/>
    <mergeCell ref="NO2:NQ2"/>
    <mergeCell ref="NY2:OA2"/>
    <mergeCell ref="OI2:OK2"/>
    <mergeCell ref="PC2:PE2"/>
    <mergeCell ref="PM2:PO2"/>
    <mergeCell ref="MU2:MW2"/>
    <mergeCell ref="OS2:OU2"/>
  </mergeCells>
  <phoneticPr fontId="7" type="noConversion"/>
  <pageMargins left="0.7" right="0.7" top="0.75" bottom="0.75" header="0.3" footer="0.3"/>
  <tableParts count="9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6A00-525F-4D94-A1E5-2123F5DD3C46}">
  <sheetPr codeName="Hoja4"/>
  <dimension ref="B3:K48"/>
  <sheetViews>
    <sheetView workbookViewId="0">
      <selection activeCell="J8" sqref="J8:K8"/>
    </sheetView>
  </sheetViews>
  <sheetFormatPr baseColWidth="10" defaultRowHeight="15" x14ac:dyDescent="0.25"/>
  <cols>
    <col min="3" max="3" width="30.5703125" customWidth="1"/>
    <col min="6" max="6" width="17.7109375" customWidth="1"/>
  </cols>
  <sheetData>
    <row r="3" spans="2:11" x14ac:dyDescent="0.25">
      <c r="B3" s="352" t="s">
        <v>121</v>
      </c>
      <c r="C3" s="352"/>
      <c r="D3" s="352"/>
      <c r="E3" s="352"/>
      <c r="F3" s="352"/>
      <c r="G3" s="352"/>
      <c r="H3" s="299" t="s">
        <v>122</v>
      </c>
      <c r="I3" s="299"/>
      <c r="J3" s="299" t="s">
        <v>123</v>
      </c>
      <c r="K3" s="299"/>
    </row>
    <row r="4" spans="2:11" x14ac:dyDescent="0.25">
      <c r="B4" s="39" t="s">
        <v>124</v>
      </c>
      <c r="C4" t="s">
        <v>125</v>
      </c>
      <c r="D4" t="s">
        <v>126</v>
      </c>
      <c r="E4">
        <v>1</v>
      </c>
      <c r="F4" s="40">
        <v>7000</v>
      </c>
      <c r="G4" s="41">
        <f t="shared" ref="G4:G17" si="0">+F4*E4</f>
        <v>7000</v>
      </c>
      <c r="H4" s="299" t="s">
        <v>127</v>
      </c>
      <c r="I4" s="299"/>
      <c r="J4" s="299" t="s">
        <v>128</v>
      </c>
      <c r="K4" s="299"/>
    </row>
    <row r="5" spans="2:11" x14ac:dyDescent="0.25">
      <c r="B5" s="39" t="s">
        <v>129</v>
      </c>
      <c r="C5" t="s">
        <v>130</v>
      </c>
      <c r="D5" t="s">
        <v>126</v>
      </c>
      <c r="E5">
        <v>1</v>
      </c>
      <c r="F5" s="40">
        <v>13000</v>
      </c>
      <c r="G5" s="41">
        <f t="shared" si="0"/>
        <v>13000</v>
      </c>
      <c r="H5" s="299" t="s">
        <v>131</v>
      </c>
      <c r="I5" s="299"/>
      <c r="J5" s="299" t="s">
        <v>132</v>
      </c>
      <c r="K5" s="299"/>
    </row>
    <row r="6" spans="2:11" x14ac:dyDescent="0.25">
      <c r="B6" s="39" t="s">
        <v>133</v>
      </c>
      <c r="C6" t="s">
        <v>134</v>
      </c>
      <c r="D6" t="s">
        <v>126</v>
      </c>
      <c r="E6">
        <v>1</v>
      </c>
      <c r="F6" s="40">
        <v>24000</v>
      </c>
      <c r="G6" s="41">
        <f t="shared" si="0"/>
        <v>24000</v>
      </c>
      <c r="H6" s="299" t="s">
        <v>135</v>
      </c>
      <c r="I6" s="299"/>
      <c r="J6" s="299" t="s">
        <v>136</v>
      </c>
      <c r="K6" s="299"/>
    </row>
    <row r="7" spans="2:11" x14ac:dyDescent="0.25">
      <c r="B7" s="39" t="s">
        <v>137</v>
      </c>
      <c r="C7" t="s">
        <v>138</v>
      </c>
      <c r="D7" t="s">
        <v>126</v>
      </c>
      <c r="E7">
        <v>1</v>
      </c>
      <c r="F7" s="40">
        <v>34000</v>
      </c>
      <c r="G7" s="41">
        <f t="shared" si="0"/>
        <v>34000</v>
      </c>
      <c r="H7" s="299" t="s">
        <v>139</v>
      </c>
      <c r="I7" s="299"/>
      <c r="J7" s="299" t="s">
        <v>140</v>
      </c>
      <c r="K7" s="299"/>
    </row>
    <row r="8" spans="2:11" x14ac:dyDescent="0.25">
      <c r="B8" s="39" t="s">
        <v>141</v>
      </c>
      <c r="C8" t="s">
        <v>142</v>
      </c>
      <c r="D8" t="s">
        <v>126</v>
      </c>
      <c r="E8">
        <v>1</v>
      </c>
      <c r="F8" s="40">
        <v>60000</v>
      </c>
      <c r="G8" s="41">
        <f t="shared" si="0"/>
        <v>60000</v>
      </c>
      <c r="H8" s="299" t="s">
        <v>143</v>
      </c>
      <c r="I8" s="299"/>
      <c r="J8" s="299" t="s">
        <v>144</v>
      </c>
      <c r="K8" s="299"/>
    </row>
    <row r="9" spans="2:11" x14ac:dyDescent="0.25">
      <c r="B9" s="39" t="s">
        <v>145</v>
      </c>
      <c r="C9" t="s">
        <v>146</v>
      </c>
      <c r="D9" t="s">
        <v>126</v>
      </c>
      <c r="E9">
        <v>1</v>
      </c>
      <c r="F9" s="40">
        <v>100000</v>
      </c>
      <c r="G9" s="41">
        <f t="shared" si="0"/>
        <v>100000</v>
      </c>
      <c r="H9" s="299" t="s">
        <v>147</v>
      </c>
      <c r="I9" s="299"/>
      <c r="J9" s="299" t="s">
        <v>148</v>
      </c>
      <c r="K9" s="299"/>
    </row>
    <row r="10" spans="2:11" x14ac:dyDescent="0.25">
      <c r="B10" s="39" t="s">
        <v>149</v>
      </c>
      <c r="C10" t="s">
        <v>150</v>
      </c>
      <c r="D10" t="s">
        <v>126</v>
      </c>
      <c r="E10">
        <v>1</v>
      </c>
      <c r="F10" s="40">
        <v>9000</v>
      </c>
      <c r="G10" s="41">
        <f t="shared" si="0"/>
        <v>9000</v>
      </c>
      <c r="H10" s="299" t="s">
        <v>127</v>
      </c>
      <c r="I10" s="299"/>
    </row>
    <row r="11" spans="2:11" x14ac:dyDescent="0.25">
      <c r="B11" s="39" t="s">
        <v>151</v>
      </c>
      <c r="C11" t="s">
        <v>152</v>
      </c>
      <c r="D11" t="s">
        <v>126</v>
      </c>
      <c r="E11">
        <v>1</v>
      </c>
      <c r="F11" s="40">
        <v>11000</v>
      </c>
      <c r="G11" s="41">
        <f t="shared" si="0"/>
        <v>11000</v>
      </c>
      <c r="H11" s="299" t="s">
        <v>131</v>
      </c>
      <c r="I11" s="299"/>
    </row>
    <row r="12" spans="2:11" x14ac:dyDescent="0.25">
      <c r="B12" s="39" t="s">
        <v>153</v>
      </c>
      <c r="C12" t="s">
        <v>154</v>
      </c>
      <c r="D12" t="s">
        <v>126</v>
      </c>
      <c r="E12">
        <v>1</v>
      </c>
      <c r="F12" s="40">
        <v>29000</v>
      </c>
      <c r="G12" s="41">
        <f t="shared" si="0"/>
        <v>29000</v>
      </c>
      <c r="H12" s="299" t="s">
        <v>135</v>
      </c>
      <c r="I12" s="299"/>
    </row>
    <row r="13" spans="2:11" x14ac:dyDescent="0.25">
      <c r="B13" s="39" t="s">
        <v>155</v>
      </c>
      <c r="C13" t="s">
        <v>156</v>
      </c>
      <c r="D13" t="s">
        <v>126</v>
      </c>
      <c r="E13">
        <v>1</v>
      </c>
      <c r="F13" s="40">
        <v>48000</v>
      </c>
      <c r="G13" s="41">
        <f t="shared" si="0"/>
        <v>48000</v>
      </c>
      <c r="H13" s="299" t="s">
        <v>139</v>
      </c>
      <c r="I13" s="299"/>
    </row>
    <row r="14" spans="2:11" x14ac:dyDescent="0.25">
      <c r="B14" s="39" t="s">
        <v>157</v>
      </c>
      <c r="C14" t="s">
        <v>158</v>
      </c>
      <c r="D14" t="s">
        <v>126</v>
      </c>
      <c r="E14">
        <v>1</v>
      </c>
      <c r="F14" s="40">
        <v>77000</v>
      </c>
      <c r="G14" s="41">
        <f t="shared" si="0"/>
        <v>77000</v>
      </c>
      <c r="H14" s="299" t="s">
        <v>143</v>
      </c>
      <c r="I14" s="299"/>
    </row>
    <row r="15" spans="2:11" x14ac:dyDescent="0.25">
      <c r="B15" s="39" t="s">
        <v>159</v>
      </c>
      <c r="C15" t="s">
        <v>160</v>
      </c>
      <c r="D15" t="s">
        <v>126</v>
      </c>
      <c r="E15">
        <v>1</v>
      </c>
      <c r="F15" s="40">
        <v>120000</v>
      </c>
      <c r="G15" s="41">
        <f t="shared" si="0"/>
        <v>120000</v>
      </c>
      <c r="H15" s="299" t="s">
        <v>147</v>
      </c>
      <c r="I15" s="299"/>
    </row>
    <row r="16" spans="2:11" x14ac:dyDescent="0.25">
      <c r="B16" s="39" t="s">
        <v>161</v>
      </c>
      <c r="C16" t="s">
        <v>162</v>
      </c>
      <c r="D16" t="s">
        <v>126</v>
      </c>
      <c r="E16">
        <v>1</v>
      </c>
      <c r="F16" s="40">
        <v>30000</v>
      </c>
      <c r="G16" s="41">
        <f t="shared" si="0"/>
        <v>30000</v>
      </c>
    </row>
    <row r="17" spans="2:7" x14ac:dyDescent="0.25">
      <c r="B17" s="39" t="s">
        <v>163</v>
      </c>
      <c r="C17" t="s">
        <v>164</v>
      </c>
      <c r="D17" t="s">
        <v>126</v>
      </c>
      <c r="E17">
        <v>1</v>
      </c>
      <c r="F17" s="40">
        <v>25000</v>
      </c>
      <c r="G17" s="41">
        <f t="shared" si="0"/>
        <v>25000</v>
      </c>
    </row>
    <row r="19" spans="2:7" x14ac:dyDescent="0.25">
      <c r="C19" t="s">
        <v>352</v>
      </c>
    </row>
    <row r="20" spans="2:7" x14ac:dyDescent="0.25">
      <c r="C20" t="s">
        <v>355</v>
      </c>
      <c r="D20" s="42" t="e">
        <f>+'3. CD - Obra negra'!#REF!+'3. CD - Obra negra'!#REF!+'3. CD - Obra negra'!#REF!+'3. CD - Obra negra'!#REF!+'3. CD - Obra negra'!#REF!</f>
        <v>#REF!</v>
      </c>
    </row>
    <row r="21" spans="2:7" x14ac:dyDescent="0.25">
      <c r="C21" t="s">
        <v>356</v>
      </c>
      <c r="D21" s="42" t="e">
        <f>+'3. CD - Obra negra'!#REF!+'3. CD - Obra negra'!#REF!+'3. CD - Obra negra'!#REF!+'3. CD - Obra negra'!#REF!+'3. CD - Obra negra'!#REF!+'3. CD - Obra negra'!#REF!</f>
        <v>#REF!</v>
      </c>
    </row>
    <row r="22" spans="2:7" x14ac:dyDescent="0.25">
      <c r="C22" t="s">
        <v>357</v>
      </c>
      <c r="D22" s="42" t="e">
        <f>+'3. CD - Obra negra'!#REF!+'3. CD - Obra negra'!#REF!+'3. CD - Obra negra'!#REF!</f>
        <v>#REF!</v>
      </c>
    </row>
    <row r="23" spans="2:7" x14ac:dyDescent="0.25">
      <c r="C23" t="s">
        <v>358</v>
      </c>
      <c r="D23" s="42" t="e">
        <f>+'3. CD - Obra negra'!#REF!+'3. CD - Obra negra'!#REF!+'3. CD - Obra negra'!#REF!</f>
        <v>#REF!</v>
      </c>
    </row>
    <row r="24" spans="2:7" x14ac:dyDescent="0.25">
      <c r="C24" t="s">
        <v>359</v>
      </c>
      <c r="D24" s="42" t="e">
        <f>+'3. CD - Obra negra'!#REF!+'3. CD - Obra negra'!#REF!+'3. CD - Obra negra'!#REF!+'3. CD - Obra negra'!#REF!</f>
        <v>#REF!</v>
      </c>
    </row>
    <row r="25" spans="2:7" x14ac:dyDescent="0.25">
      <c r="C25" t="s">
        <v>360</v>
      </c>
      <c r="D25" s="42" t="e">
        <f>+'3. CD - Obra negra'!#REF!+'3. CD - Obra negra'!#REF!+'3. CD - Obra negra'!#REF!+'3. CD - Obra negra'!#REF!+'3. CD - Obra negra'!#REF!</f>
        <v>#REF!</v>
      </c>
    </row>
    <row r="26" spans="2:7" x14ac:dyDescent="0.25">
      <c r="C26" t="s">
        <v>165</v>
      </c>
      <c r="D26" s="42" t="e">
        <f>+'3. CD - Obra negra'!#REF!+'3. CD - Obra negra'!#REF!+'3. CD - Obra negra'!#REF!+'3. CD - Obra negra'!#REF!+'3. CD - Obra negra'!#REF!+'3. CD - Obra negra'!#REF!</f>
        <v>#REF!</v>
      </c>
    </row>
    <row r="27" spans="2:7" x14ac:dyDescent="0.25">
      <c r="C27" t="s">
        <v>166</v>
      </c>
      <c r="D27" s="42" t="e">
        <f>+'3. CD - Obra negra'!#REF!+'3. CD - Obra negra'!#REF!+'3. CD - Obra negra'!#REF!+'3. CD - Obra negra'!#REF!+'3. CD - Obra negra'!#REF!+'3. CD - Obra negra'!#REF!</f>
        <v>#REF!</v>
      </c>
    </row>
    <row r="28" spans="2:7" x14ac:dyDescent="0.25">
      <c r="C28" t="s">
        <v>454</v>
      </c>
      <c r="D28" s="42" t="e">
        <f>+'3. CD - Obra negra'!#REF!</f>
        <v>#REF!</v>
      </c>
    </row>
    <row r="30" spans="2:7" x14ac:dyDescent="0.25">
      <c r="C30" t="s">
        <v>353</v>
      </c>
    </row>
    <row r="31" spans="2:7" x14ac:dyDescent="0.25">
      <c r="C31" t="s">
        <v>355</v>
      </c>
      <c r="D31" s="42" t="e">
        <f>+'4. CD - Obra gris'!#REF!+'4. CD - Obra gris'!#REF!+'4. CD - Obra gris'!#REF!+'4. CD - Obra gris'!#REF!+'4. CD - Obra gris'!G18</f>
        <v>#REF!</v>
      </c>
    </row>
    <row r="32" spans="2:7" x14ac:dyDescent="0.25">
      <c r="C32" t="s">
        <v>356</v>
      </c>
      <c r="D32" s="42" t="e">
        <f>+'4. CD - Obra gris'!#REF!+'4. CD - Obra gris'!#REF!+'4. CD - Obra gris'!#REF!+'4. CD - Obra gris'!#REF!</f>
        <v>#REF!</v>
      </c>
    </row>
    <row r="33" spans="3:4" x14ac:dyDescent="0.25">
      <c r="C33" t="s">
        <v>357</v>
      </c>
      <c r="D33" s="42" t="e">
        <f>+'4. CD - Obra gris'!#REF!+'4. CD - Obra gris'!#REF!+'4. CD - Obra gris'!#REF!+'4. CD - Obra gris'!#REF!</f>
        <v>#REF!</v>
      </c>
    </row>
    <row r="34" spans="3:4" x14ac:dyDescent="0.25">
      <c r="C34" t="s">
        <v>358</v>
      </c>
      <c r="D34" s="42" t="e">
        <f>+'4. CD - Obra gris'!#REF!+'4. CD - Obra gris'!#REF!+'4. CD - Obra gris'!#REF!+'4. CD - Obra gris'!#REF!+'4. CD - Obra gris'!#REF!</f>
        <v>#REF!</v>
      </c>
    </row>
    <row r="35" spans="3:4" x14ac:dyDescent="0.25">
      <c r="C35" t="s">
        <v>359</v>
      </c>
      <c r="D35" s="42" t="e">
        <f>+'4. CD - Obra gris'!#REF!+'4. CD - Obra gris'!#REF!+'4. CD - Obra gris'!#REF!</f>
        <v>#REF!</v>
      </c>
    </row>
    <row r="36" spans="3:4" x14ac:dyDescent="0.25">
      <c r="C36" t="s">
        <v>360</v>
      </c>
      <c r="D36" s="42" t="e">
        <f>+'4. CD - Obra gris'!#REF!+'4. CD - Obra gris'!#REF!+'4. CD - Obra gris'!#REF!+'4. CD - Obra gris'!#REF!</f>
        <v>#REF!</v>
      </c>
    </row>
    <row r="37" spans="3:4" x14ac:dyDescent="0.25">
      <c r="C37" t="s">
        <v>165</v>
      </c>
      <c r="D37" s="42" t="e">
        <f>+'4. CD - Obra gris'!#REF!+'4. CD - Obra gris'!#REF!+'4. CD - Obra gris'!#REF!+'4. CD - Obra gris'!#REF!+'4. CD - Obra gris'!#REF!+'4. CD - Obra gris'!#REF!</f>
        <v>#REF!</v>
      </c>
    </row>
    <row r="38" spans="3:4" x14ac:dyDescent="0.25">
      <c r="C38" t="s">
        <v>166</v>
      </c>
      <c r="D38" s="42" t="e">
        <f>+'4. CD - Obra gris'!#REF!+'4. CD - Obra gris'!#REF!+'4. CD - Obra gris'!#REF!+'4. CD - Obra gris'!#REF!+'4. CD - Obra gris'!#REF!</f>
        <v>#REF!</v>
      </c>
    </row>
    <row r="39" spans="3:4" x14ac:dyDescent="0.25">
      <c r="D39" s="42"/>
    </row>
    <row r="40" spans="3:4" x14ac:dyDescent="0.25">
      <c r="C40" t="s">
        <v>354</v>
      </c>
    </row>
    <row r="41" spans="3:4" x14ac:dyDescent="0.25">
      <c r="C41" t="s">
        <v>355</v>
      </c>
      <c r="D41" s="42" t="e">
        <f>+'3. CD - Obra negra'!#REF!+'3. CD - Obra negra'!#REF!+'3. CD - Obra negra'!#REF!+'3. CD - Obra negra'!#REF!</f>
        <v>#REF!</v>
      </c>
    </row>
    <row r="42" spans="3:4" x14ac:dyDescent="0.25">
      <c r="C42" t="s">
        <v>356</v>
      </c>
      <c r="D42" s="42" t="e">
        <f>+'3. CD - Obra negra'!#REF!+'3. CD - Obra negra'!#REF!+'3. CD - Obra negra'!#REF!</f>
        <v>#REF!</v>
      </c>
    </row>
    <row r="43" spans="3:4" x14ac:dyDescent="0.25">
      <c r="C43" t="s">
        <v>357</v>
      </c>
      <c r="D43" s="42" t="e">
        <f>+'3. CD - Obra negra'!#REF!+'3. CD - Obra negra'!#REF!+'3. CD - Obra negra'!#REF!+'3. CD - Obra negra'!#REF!</f>
        <v>#REF!</v>
      </c>
    </row>
    <row r="44" spans="3:4" x14ac:dyDescent="0.25">
      <c r="C44" t="s">
        <v>358</v>
      </c>
      <c r="D44" s="42" t="e">
        <f>+'3. CD - Obra negra'!#REF!+'3. CD - Obra negra'!#REF!+'3. CD - Obra negra'!#REF!+'3. CD - Obra negra'!#REF!</f>
        <v>#REF!</v>
      </c>
    </row>
    <row r="45" spans="3:4" x14ac:dyDescent="0.25">
      <c r="C45" t="s">
        <v>359</v>
      </c>
      <c r="D45" s="42" t="e">
        <f>+'3. CD - Obra negra'!#REF!+'3. CD - Obra negra'!#REF!+'3. CD - Obra negra'!#REF!+'3. CD - Obra negra'!#REF!</f>
        <v>#REF!</v>
      </c>
    </row>
    <row r="46" spans="3:4" x14ac:dyDescent="0.25">
      <c r="C46" t="s">
        <v>360</v>
      </c>
      <c r="D46" s="42" t="e">
        <f>+'3. CD - Obra negra'!#REF!+'3. CD - Obra negra'!#REF!+'3. CD - Obra negra'!#REF!+'3. CD - Obra negra'!#REF!</f>
        <v>#REF!</v>
      </c>
    </row>
    <row r="47" spans="3:4" x14ac:dyDescent="0.25">
      <c r="C47" t="s">
        <v>165</v>
      </c>
      <c r="D47" s="42"/>
    </row>
    <row r="48" spans="3:4" x14ac:dyDescent="0.25">
      <c r="C48" t="s">
        <v>166</v>
      </c>
      <c r="D48" s="42"/>
    </row>
  </sheetData>
  <mergeCells count="21">
    <mergeCell ref="H15:I15"/>
    <mergeCell ref="H12:I12"/>
    <mergeCell ref="H13:I13"/>
    <mergeCell ref="H14:I14"/>
    <mergeCell ref="H9:I9"/>
    <mergeCell ref="J9:K9"/>
    <mergeCell ref="H10:I10"/>
    <mergeCell ref="H11:I11"/>
    <mergeCell ref="H6:I6"/>
    <mergeCell ref="J6:K6"/>
    <mergeCell ref="H7:I7"/>
    <mergeCell ref="J7:K7"/>
    <mergeCell ref="H8:I8"/>
    <mergeCell ref="J8:K8"/>
    <mergeCell ref="H5:I5"/>
    <mergeCell ref="J5:K5"/>
    <mergeCell ref="B3:G3"/>
    <mergeCell ref="H3:I3"/>
    <mergeCell ref="J3:K3"/>
    <mergeCell ref="H4:I4"/>
    <mergeCell ref="J4:K4"/>
  </mergeCells>
  <conditionalFormatting sqref="B4:G17 C19">
    <cfRule type="expression" dxfId="16" priority="13">
      <formula>MOD(ROW(),2)=0</formula>
    </cfRule>
  </conditionalFormatting>
  <conditionalFormatting sqref="C30">
    <cfRule type="expression" dxfId="15" priority="4">
      <formula>MOD(ROW(),2)=0</formula>
    </cfRule>
    <cfRule type="expression" dxfId="14" priority="5">
      <formula>MOD(ROW(),2)=0</formula>
    </cfRule>
    <cfRule type="expression" dxfId="13" priority="6">
      <formula>MOD(ROW(),2)=0</formula>
    </cfRule>
  </conditionalFormatting>
  <conditionalFormatting sqref="C40">
    <cfRule type="expression" dxfId="12" priority="1">
      <formula>MOD(ROW(),2)=0</formula>
    </cfRule>
    <cfRule type="expression" dxfId="11" priority="2">
      <formula>MOD(ROW(),2)=0</formula>
    </cfRule>
    <cfRule type="expression" dxfId="10" priority="3">
      <formula>MOD(ROW(),2)=0</formula>
    </cfRule>
  </conditionalFormatting>
  <conditionalFormatting sqref="C4:G17 C19">
    <cfRule type="expression" dxfId="9" priority="14">
      <formula>MOD(ROW(),2)=0</formula>
    </cfRule>
    <cfRule type="expression" dxfId="8" priority="15">
      <formula>MOD(ROW(),2)=0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A574-483B-4872-A1E1-705F7054D990}">
  <sheetPr codeName="Hoja5"/>
  <dimension ref="A1:Z50"/>
  <sheetViews>
    <sheetView workbookViewId="0">
      <selection activeCell="D8" sqref="D8"/>
    </sheetView>
  </sheetViews>
  <sheetFormatPr baseColWidth="10" defaultRowHeight="15" x14ac:dyDescent="0.25"/>
  <cols>
    <col min="1" max="1" width="21.7109375" customWidth="1"/>
    <col min="2" max="2" width="11.7109375" customWidth="1"/>
    <col min="6" max="6" width="3.42578125" customWidth="1"/>
    <col min="7" max="7" width="16.85546875" customWidth="1"/>
    <col min="8" max="8" width="11.28515625" customWidth="1"/>
    <col min="9" max="9" width="16.42578125" bestFit="1" customWidth="1"/>
    <col min="11" max="11" width="13.7109375" customWidth="1"/>
    <col min="14" max="14" width="20.140625" customWidth="1"/>
    <col min="15" max="15" width="9.7109375" customWidth="1"/>
    <col min="18" max="18" width="13.28515625" customWidth="1"/>
    <col min="19" max="19" width="20.28515625" bestFit="1" customWidth="1"/>
    <col min="21" max="21" width="19.140625" customWidth="1"/>
    <col min="28" max="28" width="17.42578125" customWidth="1"/>
  </cols>
  <sheetData>
    <row r="1" spans="1:26" ht="15.75" thickBot="1" x14ac:dyDescent="0.3"/>
    <row r="2" spans="1:26" ht="15.75" thickBot="1" x14ac:dyDescent="0.3">
      <c r="A2" s="43"/>
      <c r="B2" s="353" t="s">
        <v>167</v>
      </c>
      <c r="C2" s="354"/>
      <c r="D2" s="355"/>
      <c r="G2" s="337" t="s">
        <v>168</v>
      </c>
      <c r="H2" s="338"/>
      <c r="I2" s="338"/>
      <c r="J2" s="338"/>
      <c r="K2" s="338"/>
      <c r="L2" s="339"/>
      <c r="N2" s="337" t="s">
        <v>169</v>
      </c>
      <c r="O2" s="338"/>
      <c r="P2" s="338"/>
      <c r="Q2" s="338"/>
      <c r="R2" s="338"/>
      <c r="S2" s="339"/>
      <c r="U2" s="337" t="s">
        <v>168</v>
      </c>
      <c r="V2" s="338"/>
      <c r="W2" s="338"/>
      <c r="X2" s="338"/>
      <c r="Y2" s="338"/>
      <c r="Z2" s="339"/>
    </row>
    <row r="3" spans="1:26" ht="15.75" thickBot="1" x14ac:dyDescent="0.3">
      <c r="A3" s="44"/>
      <c r="B3" s="45" t="s">
        <v>170</v>
      </c>
      <c r="C3" s="45" t="s">
        <v>171</v>
      </c>
      <c r="D3" s="45" t="s">
        <v>172</v>
      </c>
      <c r="G3" s="342" t="s">
        <v>173</v>
      </c>
      <c r="H3" s="343"/>
      <c r="I3" s="343"/>
      <c r="J3" s="343"/>
      <c r="K3" s="343"/>
      <c r="L3" s="356"/>
      <c r="N3" s="342" t="s">
        <v>174</v>
      </c>
      <c r="O3" s="343"/>
      <c r="P3" s="343"/>
      <c r="Q3" s="343"/>
      <c r="R3" s="343"/>
      <c r="S3" s="356"/>
      <c r="U3" s="342" t="s">
        <v>173</v>
      </c>
      <c r="V3" s="343"/>
      <c r="W3" s="343"/>
      <c r="X3" s="343"/>
      <c r="Y3" s="343"/>
      <c r="Z3" s="356"/>
    </row>
    <row r="4" spans="1:26" ht="15.75" thickBot="1" x14ac:dyDescent="0.3">
      <c r="A4" s="357" t="s">
        <v>175</v>
      </c>
      <c r="B4" s="46">
        <v>18</v>
      </c>
      <c r="C4" s="47" t="s">
        <v>176</v>
      </c>
      <c r="D4" s="46">
        <v>1.24E-2</v>
      </c>
      <c r="G4" s="48" t="s">
        <v>177</v>
      </c>
      <c r="H4" s="12">
        <f>7*10</f>
        <v>70</v>
      </c>
      <c r="I4" s="48" t="s">
        <v>178</v>
      </c>
      <c r="J4" s="12">
        <v>0.75</v>
      </c>
      <c r="K4" s="48" t="s">
        <v>179</v>
      </c>
      <c r="L4" s="12">
        <f>0.2*2</f>
        <v>0.4</v>
      </c>
      <c r="N4" s="48" t="s">
        <v>177</v>
      </c>
      <c r="O4" s="12">
        <v>1</v>
      </c>
      <c r="P4" s="48" t="s">
        <v>178</v>
      </c>
      <c r="Q4" s="12">
        <f>14+15.42+14.97+11.89+9.7+7.4+7.45+10.45+10.5+13.96+18.28+19.06+14.97+19.07+8.37+18.69+8.37+148.37+48+48+47.36+35.3+47.2+24+24+36.16+31.36+14.87+23.6+48+47.76+23.6+24+48+24.02+24.02+12.85+11.68+11.7+11.97+24+32.8</f>
        <v>1095.1699999999998</v>
      </c>
      <c r="R4" s="48" t="s">
        <v>179</v>
      </c>
      <c r="S4" s="12">
        <v>27.768000000000001</v>
      </c>
      <c r="U4" s="48" t="s">
        <v>177</v>
      </c>
      <c r="V4" s="12">
        <f>27*10</f>
        <v>270</v>
      </c>
      <c r="W4" s="48" t="s">
        <v>178</v>
      </c>
      <c r="X4" s="12">
        <v>0.7</v>
      </c>
      <c r="Y4" s="48" t="s">
        <v>179</v>
      </c>
      <c r="Z4" s="12">
        <f>0.15*2</f>
        <v>0.3</v>
      </c>
    </row>
    <row r="5" spans="1:26" ht="15.75" thickBot="1" x14ac:dyDescent="0.3">
      <c r="A5" s="358"/>
      <c r="B5" s="49">
        <v>2.5</v>
      </c>
      <c r="C5" s="49" t="s">
        <v>180</v>
      </c>
      <c r="D5" s="49">
        <v>0.38400000000000001</v>
      </c>
      <c r="G5" s="359" t="s">
        <v>181</v>
      </c>
      <c r="H5" s="360"/>
      <c r="I5">
        <f>+(J4+L4)*H4</f>
        <v>80.5</v>
      </c>
      <c r="L5" s="6"/>
      <c r="N5" s="359" t="s">
        <v>181</v>
      </c>
      <c r="O5" s="360"/>
      <c r="P5">
        <f>+(Q4+S4)*O4</f>
        <v>1122.9379999999999</v>
      </c>
      <c r="S5" s="6"/>
      <c r="U5" s="359" t="s">
        <v>181</v>
      </c>
      <c r="V5" s="360"/>
      <c r="W5">
        <f>+(X4+Z4)*V4</f>
        <v>270</v>
      </c>
      <c r="Z5" s="6"/>
    </row>
    <row r="6" spans="1:26" x14ac:dyDescent="0.25">
      <c r="A6" s="361" t="s">
        <v>182</v>
      </c>
      <c r="B6" s="50">
        <v>3</v>
      </c>
      <c r="C6" s="50" t="s">
        <v>183</v>
      </c>
      <c r="D6" s="50">
        <v>0.56000000000000005</v>
      </c>
      <c r="G6" s="359" t="s">
        <v>184</v>
      </c>
      <c r="H6" s="360"/>
      <c r="I6">
        <f>+$B$7</f>
        <v>4</v>
      </c>
      <c r="L6" s="6"/>
      <c r="N6" s="359" t="s">
        <v>184</v>
      </c>
      <c r="O6" s="360"/>
      <c r="P6">
        <f>+$B$7</f>
        <v>4</v>
      </c>
      <c r="S6" s="6"/>
      <c r="U6" s="359" t="s">
        <v>184</v>
      </c>
      <c r="V6" s="360"/>
      <c r="W6">
        <f>+$B$7</f>
        <v>4</v>
      </c>
      <c r="Z6" s="6"/>
    </row>
    <row r="7" spans="1:26" x14ac:dyDescent="0.25">
      <c r="A7" s="362"/>
      <c r="B7" s="51">
        <v>4</v>
      </c>
      <c r="C7" s="51" t="s">
        <v>185</v>
      </c>
      <c r="D7" s="51">
        <v>0.996</v>
      </c>
      <c r="G7" s="359" t="s">
        <v>186</v>
      </c>
      <c r="H7" s="360"/>
      <c r="I7">
        <f>+$D$7</f>
        <v>0.996</v>
      </c>
      <c r="L7" s="6"/>
      <c r="N7" s="359" t="s">
        <v>186</v>
      </c>
      <c r="O7" s="360"/>
      <c r="P7">
        <f>+$D$7</f>
        <v>0.996</v>
      </c>
      <c r="S7" s="6"/>
      <c r="U7" s="359" t="s">
        <v>186</v>
      </c>
      <c r="V7" s="360"/>
      <c r="W7">
        <f>+$D$7</f>
        <v>0.996</v>
      </c>
      <c r="Z7" s="6"/>
    </row>
    <row r="8" spans="1:26" ht="15.75" thickBot="1" x14ac:dyDescent="0.3">
      <c r="A8" s="362"/>
      <c r="B8" s="51">
        <v>5</v>
      </c>
      <c r="C8" s="51" t="s">
        <v>187</v>
      </c>
      <c r="D8" s="51">
        <v>1.56</v>
      </c>
      <c r="G8" s="359" t="s">
        <v>188</v>
      </c>
      <c r="H8" s="360"/>
      <c r="I8">
        <f>+I5*I7</f>
        <v>80.177999999999997</v>
      </c>
      <c r="L8" s="6"/>
      <c r="N8" s="359" t="s">
        <v>188</v>
      </c>
      <c r="O8" s="360"/>
      <c r="P8">
        <f>+P5*P7</f>
        <v>1118.446248</v>
      </c>
      <c r="S8" s="6"/>
      <c r="U8" s="359" t="s">
        <v>188</v>
      </c>
      <c r="V8" s="360"/>
      <c r="W8">
        <f>+W5*W7</f>
        <v>268.92</v>
      </c>
      <c r="Z8" s="6"/>
    </row>
    <row r="9" spans="1:26" ht="15.75" thickBot="1" x14ac:dyDescent="0.3">
      <c r="A9" s="362"/>
      <c r="B9" s="51">
        <v>6</v>
      </c>
      <c r="C9" s="51" t="s">
        <v>189</v>
      </c>
      <c r="D9" s="51">
        <v>2.25</v>
      </c>
      <c r="G9" s="342" t="s">
        <v>190</v>
      </c>
      <c r="H9" s="343"/>
      <c r="I9" s="343"/>
      <c r="J9" s="343"/>
      <c r="K9" s="343"/>
      <c r="L9" s="356"/>
      <c r="N9" s="342" t="s">
        <v>191</v>
      </c>
      <c r="O9" s="343"/>
      <c r="P9" s="343"/>
      <c r="Q9" s="343"/>
      <c r="R9" s="343"/>
      <c r="S9" s="356"/>
      <c r="U9" s="342" t="s">
        <v>190</v>
      </c>
      <c r="V9" s="343"/>
      <c r="W9" s="343"/>
      <c r="X9" s="343"/>
      <c r="Y9" s="343"/>
      <c r="Z9" s="356"/>
    </row>
    <row r="10" spans="1:26" ht="15.75" thickBot="1" x14ac:dyDescent="0.3">
      <c r="A10" s="362"/>
      <c r="B10" s="51">
        <v>8</v>
      </c>
      <c r="C10" s="51" t="s">
        <v>192</v>
      </c>
      <c r="D10" s="51">
        <v>3.9750000000000001</v>
      </c>
      <c r="G10" s="48" t="s">
        <v>193</v>
      </c>
      <c r="H10" s="12">
        <v>0.17499999999999999</v>
      </c>
      <c r="I10" s="48" t="s">
        <v>194</v>
      </c>
      <c r="J10" s="12">
        <f>+H4*(8*8)</f>
        <v>4480</v>
      </c>
      <c r="K10" s="48" t="s">
        <v>177</v>
      </c>
      <c r="L10" s="12">
        <v>4</v>
      </c>
      <c r="N10" s="48" t="s">
        <v>193</v>
      </c>
      <c r="O10" s="12">
        <f>0.15*2</f>
        <v>0.3</v>
      </c>
      <c r="P10" s="48" t="s">
        <v>195</v>
      </c>
      <c r="Q10" s="12">
        <f>0.25*2</f>
        <v>0.5</v>
      </c>
      <c r="R10" s="48" t="s">
        <v>179</v>
      </c>
      <c r="S10" s="12">
        <f>0.115*2</f>
        <v>0.23</v>
      </c>
      <c r="U10" s="48" t="s">
        <v>193</v>
      </c>
      <c r="V10" s="12">
        <v>0.17499999999999999</v>
      </c>
      <c r="W10" s="48" t="s">
        <v>194</v>
      </c>
      <c r="X10" s="12">
        <f>+V4*(8*8)</f>
        <v>17280</v>
      </c>
      <c r="Y10" s="48" t="s">
        <v>177</v>
      </c>
      <c r="Z10" s="12">
        <v>4</v>
      </c>
    </row>
    <row r="11" spans="1:26" x14ac:dyDescent="0.25">
      <c r="A11" s="362"/>
      <c r="B11" s="51">
        <v>10</v>
      </c>
      <c r="C11" s="51" t="s">
        <v>196</v>
      </c>
      <c r="D11" s="51">
        <v>6.2249999999999996</v>
      </c>
      <c r="G11" s="52" t="s">
        <v>197</v>
      </c>
      <c r="H11">
        <f>+H10*L10</f>
        <v>0.7</v>
      </c>
      <c r="L11" s="6"/>
      <c r="N11" s="52" t="s">
        <v>198</v>
      </c>
      <c r="O11">
        <f>+O10+Q10+S10</f>
        <v>1.03</v>
      </c>
      <c r="P11" s="53" t="s">
        <v>199</v>
      </c>
      <c r="Q11">
        <f>+$B$6</f>
        <v>3</v>
      </c>
      <c r="R11" s="53" t="s">
        <v>200</v>
      </c>
      <c r="S11" s="6">
        <f>+$D$6</f>
        <v>0.56000000000000005</v>
      </c>
      <c r="U11" s="52" t="s">
        <v>197</v>
      </c>
      <c r="V11">
        <f>+V10*Z10</f>
        <v>0.7</v>
      </c>
      <c r="Z11" s="6"/>
    </row>
    <row r="12" spans="1:26" ht="15.75" thickBot="1" x14ac:dyDescent="0.3">
      <c r="A12" s="363"/>
      <c r="B12" s="54">
        <v>12</v>
      </c>
      <c r="C12" s="54" t="s">
        <v>201</v>
      </c>
      <c r="D12" s="54">
        <v>8.9380000000000006</v>
      </c>
      <c r="G12" s="52" t="s">
        <v>202</v>
      </c>
      <c r="H12">
        <f>+H11*$D$4</f>
        <v>8.6799999999999985E-3</v>
      </c>
      <c r="L12" s="6"/>
      <c r="N12" s="52" t="s">
        <v>203</v>
      </c>
      <c r="O12">
        <f>+O11*S11</f>
        <v>0.57680000000000009</v>
      </c>
      <c r="S12" s="6"/>
      <c r="U12" s="52" t="s">
        <v>202</v>
      </c>
      <c r="V12">
        <f>+V11*$D$4</f>
        <v>8.6799999999999985E-3</v>
      </c>
      <c r="Z12" s="6"/>
    </row>
    <row r="13" spans="1:26" ht="15.75" thickBot="1" x14ac:dyDescent="0.3">
      <c r="A13" s="364" t="s">
        <v>204</v>
      </c>
      <c r="B13" s="46" t="s">
        <v>205</v>
      </c>
      <c r="C13" s="46" t="s">
        <v>206</v>
      </c>
      <c r="D13" s="46">
        <v>18.8</v>
      </c>
      <c r="G13" s="55" t="s">
        <v>207</v>
      </c>
      <c r="H13" s="11">
        <f>+H12*J10</f>
        <v>38.886399999999995</v>
      </c>
      <c r="I13" s="11"/>
      <c r="J13" s="11"/>
      <c r="K13" s="11"/>
      <c r="L13" s="9"/>
      <c r="N13" s="52" t="s">
        <v>208</v>
      </c>
      <c r="O13">
        <f>86+26+30+114+28+22+17+110+25+68+33+109+114+30+26+67+71+67+76+88+41+88+38+16+37+14+40+14+222+220+132</f>
        <v>2069</v>
      </c>
      <c r="S13" s="6"/>
      <c r="U13" s="55" t="s">
        <v>207</v>
      </c>
      <c r="V13" s="11">
        <f>+V12*X10</f>
        <v>149.99039999999997</v>
      </c>
      <c r="W13" s="11"/>
      <c r="X13" s="11"/>
      <c r="Y13" s="11"/>
      <c r="Z13" s="9"/>
    </row>
    <row r="14" spans="1:26" ht="15.75" thickBot="1" x14ac:dyDescent="0.3">
      <c r="A14" s="362"/>
      <c r="B14" s="51" t="s">
        <v>205</v>
      </c>
      <c r="C14" s="51" t="s">
        <v>209</v>
      </c>
      <c r="D14" s="51">
        <v>29.3</v>
      </c>
      <c r="N14" s="52" t="s">
        <v>210</v>
      </c>
      <c r="O14">
        <f>+O11*O13</f>
        <v>2131.0700000000002</v>
      </c>
      <c r="P14" s="53" t="s">
        <v>211</v>
      </c>
      <c r="Q14">
        <f>+O12*O13</f>
        <v>1193.3992000000003</v>
      </c>
      <c r="S14" s="6"/>
    </row>
    <row r="15" spans="1:26" ht="15.75" thickBot="1" x14ac:dyDescent="0.3">
      <c r="A15" s="362"/>
      <c r="B15" s="51" t="s">
        <v>205</v>
      </c>
      <c r="C15" s="51" t="s">
        <v>212</v>
      </c>
      <c r="D15" s="51">
        <v>42.2</v>
      </c>
      <c r="N15" s="342" t="s">
        <v>190</v>
      </c>
      <c r="O15" s="343"/>
      <c r="P15" s="343"/>
      <c r="Q15" s="343"/>
      <c r="R15" s="343"/>
      <c r="S15" s="356"/>
    </row>
    <row r="16" spans="1:26" ht="15.75" thickBot="1" x14ac:dyDescent="0.3">
      <c r="A16" s="362"/>
      <c r="B16" s="51" t="s">
        <v>205</v>
      </c>
      <c r="C16" s="51" t="s">
        <v>213</v>
      </c>
      <c r="D16" s="51">
        <v>57.4</v>
      </c>
      <c r="H16">
        <f>+B22/D7</f>
        <v>1832.9280000000001</v>
      </c>
      <c r="I16">
        <f>+Q4*(0.2*0.2)</f>
        <v>43.806800000000003</v>
      </c>
      <c r="N16" s="48" t="s">
        <v>193</v>
      </c>
      <c r="O16" s="12">
        <v>0.17499999999999999</v>
      </c>
      <c r="P16" s="48" t="s">
        <v>194</v>
      </c>
      <c r="Q16" s="12">
        <f>+O13*4</f>
        <v>8276</v>
      </c>
      <c r="R16" s="48" t="s">
        <v>177</v>
      </c>
      <c r="S16" s="12">
        <v>4</v>
      </c>
    </row>
    <row r="17" spans="1:19" ht="15.75" thickBot="1" x14ac:dyDescent="0.3">
      <c r="A17" s="365"/>
      <c r="B17" s="49" t="s">
        <v>205</v>
      </c>
      <c r="C17" s="49" t="s">
        <v>214</v>
      </c>
      <c r="D17" s="49">
        <v>75.099999999999994</v>
      </c>
      <c r="H17">
        <f>+B23/D6</f>
        <v>2652.59</v>
      </c>
      <c r="I17" s="4">
        <f>+I16*7</f>
        <v>306.64760000000001</v>
      </c>
      <c r="K17">
        <f>+K18+K19+K20</f>
        <v>39</v>
      </c>
      <c r="L17">
        <f>+K17/85</f>
        <v>0.45882352941176469</v>
      </c>
      <c r="N17" s="52" t="s">
        <v>197</v>
      </c>
      <c r="O17">
        <f>+O16*S16</f>
        <v>0.7</v>
      </c>
      <c r="S17" s="6"/>
    </row>
    <row r="18" spans="1:19" x14ac:dyDescent="0.25">
      <c r="I18" s="4"/>
      <c r="K18">
        <f>0.5*72</f>
        <v>36</v>
      </c>
      <c r="N18" s="52" t="s">
        <v>202</v>
      </c>
      <c r="O18">
        <f>+O17*$D$4</f>
        <v>8.6799999999999985E-3</v>
      </c>
      <c r="S18" s="6"/>
    </row>
    <row r="19" spans="1:19" ht="15.75" thickBot="1" x14ac:dyDescent="0.3">
      <c r="H19">
        <f>(156/2)*(0.4*0.4*0.5)</f>
        <v>6.2400000000000011</v>
      </c>
      <c r="I19">
        <f>2*(0.4*0.4*0.7)</f>
        <v>0.22400000000000003</v>
      </c>
      <c r="J19">
        <f>4*(0.4*0.4*0.4)</f>
        <v>0.25600000000000006</v>
      </c>
      <c r="K19">
        <f>2*0.7</f>
        <v>1.4</v>
      </c>
      <c r="N19" s="55" t="s">
        <v>207</v>
      </c>
      <c r="O19" s="11">
        <f>+O18*Q16</f>
        <v>71.835679999999982</v>
      </c>
      <c r="P19" s="11"/>
      <c r="Q19" s="11"/>
      <c r="R19" s="11"/>
      <c r="S19" s="9"/>
    </row>
    <row r="20" spans="1:19" ht="15.75" thickBot="1" x14ac:dyDescent="0.3">
      <c r="K20">
        <f>4*0.4</f>
        <v>1.6</v>
      </c>
    </row>
    <row r="21" spans="1:19" ht="15.75" thickBot="1" x14ac:dyDescent="0.3">
      <c r="A21" s="333" t="s">
        <v>29</v>
      </c>
      <c r="B21" s="366"/>
      <c r="G21" s="337" t="s">
        <v>215</v>
      </c>
      <c r="H21" s="338"/>
      <c r="I21" s="338"/>
      <c r="J21" s="338"/>
      <c r="K21" s="338"/>
      <c r="L21" s="339"/>
      <c r="N21" s="337" t="s">
        <v>216</v>
      </c>
      <c r="O21" s="338"/>
      <c r="P21" s="338"/>
      <c r="Q21" s="338"/>
      <c r="R21" s="338"/>
      <c r="S21" s="339"/>
    </row>
    <row r="22" spans="1:19" ht="15.75" thickBot="1" x14ac:dyDescent="0.3">
      <c r="A22" s="56" t="s">
        <v>217</v>
      </c>
      <c r="B22" s="57">
        <f>+I8+P8+I27+W8</f>
        <v>1825.5962880000002</v>
      </c>
      <c r="G22" s="342" t="s">
        <v>174</v>
      </c>
      <c r="H22" s="343"/>
      <c r="I22" s="343"/>
      <c r="J22" s="343"/>
      <c r="K22" s="343"/>
      <c r="L22" s="356"/>
      <c r="N22" s="342" t="s">
        <v>174</v>
      </c>
      <c r="O22" s="343"/>
      <c r="P22" s="343"/>
      <c r="Q22" s="343"/>
      <c r="R22" s="343"/>
      <c r="S22" s="356"/>
    </row>
    <row r="23" spans="1:19" ht="15.75" thickBot="1" x14ac:dyDescent="0.3">
      <c r="A23" s="58" t="s">
        <v>218</v>
      </c>
      <c r="B23" s="59">
        <f>+Q14+J33</f>
        <v>1485.4504000000002</v>
      </c>
      <c r="G23" s="48" t="s">
        <v>177</v>
      </c>
      <c r="H23" s="12">
        <v>1</v>
      </c>
      <c r="I23" s="48" t="s">
        <v>178</v>
      </c>
      <c r="J23" s="12">
        <f>30.08+30.13+45.23+143.99+92.06+17.7</f>
        <v>359.19</v>
      </c>
      <c r="K23" s="48" t="s">
        <v>179</v>
      </c>
      <c r="L23" s="12">
        <v>0.3</v>
      </c>
      <c r="N23" s="48" t="s">
        <v>177</v>
      </c>
      <c r="O23" s="60" t="e">
        <v>#REF!</v>
      </c>
      <c r="P23" s="48" t="s">
        <v>2</v>
      </c>
      <c r="Q23" s="12">
        <f>5.93*2.4</f>
        <v>14.231999999999999</v>
      </c>
      <c r="S23" s="6"/>
    </row>
    <row r="24" spans="1:19" ht="15.75" thickBot="1" x14ac:dyDescent="0.3">
      <c r="A24" s="56" t="s">
        <v>219</v>
      </c>
      <c r="B24" s="57" t="e">
        <f>+P26</f>
        <v>#REF!</v>
      </c>
      <c r="G24" s="359" t="s">
        <v>181</v>
      </c>
      <c r="H24" s="360"/>
      <c r="I24">
        <f>+(J23+L23)*H23</f>
        <v>359.49</v>
      </c>
      <c r="L24" s="6"/>
      <c r="N24" s="359" t="s">
        <v>220</v>
      </c>
      <c r="O24" s="360"/>
      <c r="P24" t="e">
        <f>+O23/Q23</f>
        <v>#REF!</v>
      </c>
      <c r="S24" s="6"/>
    </row>
    <row r="25" spans="1:19" ht="15.75" thickBot="1" x14ac:dyDescent="0.3">
      <c r="A25" s="61" t="s">
        <v>221</v>
      </c>
      <c r="B25" s="62">
        <f>+H13+O19+H38+O32+V13</f>
        <v>269.26748799999996</v>
      </c>
      <c r="G25" s="359" t="s">
        <v>184</v>
      </c>
      <c r="H25" s="360"/>
      <c r="I25">
        <f>+$B$7</f>
        <v>4</v>
      </c>
      <c r="L25" s="6"/>
      <c r="N25" s="359" t="s">
        <v>222</v>
      </c>
      <c r="O25" s="360"/>
      <c r="P25" t="str">
        <f>+$C$14</f>
        <v>5mm</v>
      </c>
      <c r="S25" s="6"/>
    </row>
    <row r="26" spans="1:19" ht="15.75" thickBot="1" x14ac:dyDescent="0.3">
      <c r="G26" s="359" t="s">
        <v>186</v>
      </c>
      <c r="H26" s="360"/>
      <c r="I26">
        <f>+$D$7</f>
        <v>0.996</v>
      </c>
      <c r="L26" s="6"/>
      <c r="N26" s="359" t="s">
        <v>223</v>
      </c>
      <c r="O26" s="360"/>
      <c r="P26" t="e">
        <f>+$D$14*P24</f>
        <v>#REF!</v>
      </c>
      <c r="S26" s="6"/>
    </row>
    <row r="27" spans="1:19" ht="15.75" thickBot="1" x14ac:dyDescent="0.3">
      <c r="G27" s="359" t="s">
        <v>188</v>
      </c>
      <c r="H27" s="360"/>
      <c r="I27">
        <f>+I24*I26</f>
        <v>358.05204000000003</v>
      </c>
      <c r="L27" s="6"/>
      <c r="N27" s="342" t="s">
        <v>190</v>
      </c>
      <c r="O27" s="343"/>
      <c r="P27" s="343"/>
      <c r="Q27" s="343"/>
      <c r="R27" s="343"/>
      <c r="S27" s="356"/>
    </row>
    <row r="28" spans="1:19" ht="15.75" thickBot="1" x14ac:dyDescent="0.3">
      <c r="A28" s="63" t="s">
        <v>224</v>
      </c>
      <c r="G28" s="342" t="s">
        <v>191</v>
      </c>
      <c r="H28" s="343"/>
      <c r="I28" s="343"/>
      <c r="J28" s="343"/>
      <c r="K28" s="343"/>
      <c r="L28" s="356"/>
      <c r="N28" s="48" t="s">
        <v>193</v>
      </c>
      <c r="O28" s="12">
        <v>0.17499999999999999</v>
      </c>
      <c r="P28" s="48" t="s">
        <v>194</v>
      </c>
      <c r="Q28" s="12">
        <f>+O29/0.3</f>
        <v>19.766666666666666</v>
      </c>
      <c r="R28" s="48" t="s">
        <v>177</v>
      </c>
      <c r="S28" s="12">
        <v>0</v>
      </c>
    </row>
    <row r="29" spans="1:19" ht="15.75" thickBot="1" x14ac:dyDescent="0.3">
      <c r="A29" s="63" t="s">
        <v>89</v>
      </c>
      <c r="B29" t="s">
        <v>83</v>
      </c>
      <c r="C29" t="s">
        <v>85</v>
      </c>
      <c r="D29" t="s">
        <v>225</v>
      </c>
      <c r="E29" t="s">
        <v>226</v>
      </c>
      <c r="G29" s="48" t="s">
        <v>193</v>
      </c>
      <c r="H29" s="12">
        <f>0.35*2</f>
        <v>0.7</v>
      </c>
      <c r="I29" s="48" t="s">
        <v>195</v>
      </c>
      <c r="J29" s="12">
        <f>0.35*2</f>
        <v>0.7</v>
      </c>
      <c r="K29" s="48" t="s">
        <v>179</v>
      </c>
      <c r="L29" s="12">
        <f>0.115*2</f>
        <v>0.23</v>
      </c>
      <c r="N29" s="52" t="s">
        <v>227</v>
      </c>
      <c r="O29">
        <v>5.93</v>
      </c>
      <c r="S29" s="6"/>
    </row>
    <row r="30" spans="1:19" x14ac:dyDescent="0.25">
      <c r="A30">
        <f>15+4</f>
        <v>19</v>
      </c>
      <c r="B30">
        <f>0.27*0.27*0.9</f>
        <v>6.5610000000000002E-2</v>
      </c>
      <c r="C30">
        <f>+B30*A30</f>
        <v>1.2465900000000001</v>
      </c>
      <c r="D30">
        <f t="shared" ref="D30:D39" si="0">(0.4*4)*A30</f>
        <v>30.400000000000002</v>
      </c>
      <c r="E30">
        <f>+(((0.27+0.27)*2)*(0.4/0.15))*A30</f>
        <v>54.720000000000006</v>
      </c>
      <c r="G30" s="52" t="s">
        <v>198</v>
      </c>
      <c r="H30">
        <f>52.16+52.16+78.24+307.5+31.46</f>
        <v>521.52</v>
      </c>
      <c r="I30" s="53" t="s">
        <v>199</v>
      </c>
      <c r="J30">
        <f>+$B$6</f>
        <v>3</v>
      </c>
      <c r="K30" s="53" t="s">
        <v>200</v>
      </c>
      <c r="L30" s="6">
        <f>+$D$6</f>
        <v>0.56000000000000005</v>
      </c>
      <c r="N30" s="52" t="s">
        <v>197</v>
      </c>
      <c r="O30">
        <f>+O28*S28</f>
        <v>0</v>
      </c>
      <c r="S30" s="6"/>
    </row>
    <row r="31" spans="1:19" x14ac:dyDescent="0.25">
      <c r="A31">
        <v>29</v>
      </c>
      <c r="B31">
        <f>0.27*0.4*0.9</f>
        <v>9.7200000000000009E-2</v>
      </c>
      <c r="C31">
        <f t="shared" ref="C31:C39" si="1">+B31*A31</f>
        <v>2.8188000000000004</v>
      </c>
      <c r="D31">
        <f t="shared" si="0"/>
        <v>46.400000000000006</v>
      </c>
      <c r="E31">
        <f>+(((0.4+0.27)*2)*(0.4/0.15))*A31</f>
        <v>103.62666666666669</v>
      </c>
      <c r="G31" s="52" t="s">
        <v>203</v>
      </c>
      <c r="H31">
        <f>+H30*L30</f>
        <v>292.05119999999999</v>
      </c>
      <c r="L31" s="6"/>
      <c r="N31" s="52" t="s">
        <v>202</v>
      </c>
      <c r="O31">
        <f>+O30*$D$4</f>
        <v>0</v>
      </c>
      <c r="S31" s="6"/>
    </row>
    <row r="32" spans="1:19" ht="15.75" thickBot="1" x14ac:dyDescent="0.3">
      <c r="A32">
        <v>12</v>
      </c>
      <c r="B32">
        <f>0.14*0.4*0.9</f>
        <v>5.0400000000000007E-2</v>
      </c>
      <c r="C32">
        <f t="shared" si="1"/>
        <v>0.60480000000000012</v>
      </c>
      <c r="D32">
        <f t="shared" si="0"/>
        <v>19.200000000000003</v>
      </c>
      <c r="E32">
        <f>+(((0.14+0.4)*2)*(0.4/0.15))*A32</f>
        <v>34.56</v>
      </c>
      <c r="G32" s="52" t="s">
        <v>208</v>
      </c>
      <c r="H32">
        <v>1</v>
      </c>
      <c r="L32" s="6"/>
      <c r="N32" s="55" t="s">
        <v>207</v>
      </c>
      <c r="O32" s="11">
        <f>+O31*Q28</f>
        <v>0</v>
      </c>
      <c r="P32" s="11"/>
      <c r="Q32" s="11"/>
      <c r="R32" s="11"/>
      <c r="S32" s="9"/>
    </row>
    <row r="33" spans="1:12" ht="15.75" thickBot="1" x14ac:dyDescent="0.3">
      <c r="A33">
        <f>6+4</f>
        <v>10</v>
      </c>
      <c r="B33">
        <f>0.4*0.4*0.9</f>
        <v>0.14400000000000004</v>
      </c>
      <c r="C33">
        <f t="shared" si="1"/>
        <v>1.4400000000000004</v>
      </c>
      <c r="D33">
        <f t="shared" si="0"/>
        <v>16</v>
      </c>
      <c r="E33">
        <f>+(((0.4+0.4)*2)*(0.4/0.15))*A33</f>
        <v>42.666666666666671</v>
      </c>
      <c r="G33" s="52" t="s">
        <v>210</v>
      </c>
      <c r="H33">
        <f>+H30*H32</f>
        <v>521.52</v>
      </c>
      <c r="I33" s="53" t="s">
        <v>211</v>
      </c>
      <c r="J33">
        <f>+H31*H32</f>
        <v>292.05119999999999</v>
      </c>
      <c r="L33" s="6"/>
    </row>
    <row r="34" spans="1:12" ht="15.75" thickBot="1" x14ac:dyDescent="0.3">
      <c r="A34">
        <v>3</v>
      </c>
      <c r="B34">
        <f>0.4*0.4*1.17</f>
        <v>0.18720000000000003</v>
      </c>
      <c r="C34">
        <f t="shared" si="1"/>
        <v>0.5616000000000001</v>
      </c>
      <c r="D34">
        <f t="shared" si="0"/>
        <v>4.8000000000000007</v>
      </c>
      <c r="E34">
        <f>+(((0.4+0.4)*2)*(0.67/0.15))*A34</f>
        <v>21.44</v>
      </c>
      <c r="G34" s="342" t="s">
        <v>190</v>
      </c>
      <c r="H34" s="343"/>
      <c r="I34" s="343"/>
      <c r="J34" s="343"/>
      <c r="K34" s="343"/>
      <c r="L34" s="356"/>
    </row>
    <row r="35" spans="1:12" ht="15.75" thickBot="1" x14ac:dyDescent="0.3">
      <c r="A35">
        <v>4</v>
      </c>
      <c r="B35">
        <f>0.14*0.27*0.9</f>
        <v>3.4020000000000009E-2</v>
      </c>
      <c r="C35">
        <f t="shared" si="1"/>
        <v>0.13608000000000003</v>
      </c>
      <c r="D35">
        <f t="shared" si="0"/>
        <v>6.4</v>
      </c>
      <c r="E35">
        <f>+(((0.14+0.27)*2)*(0.4/0.15))*A35</f>
        <v>8.7466666666666679</v>
      </c>
      <c r="G35" s="48" t="s">
        <v>193</v>
      </c>
      <c r="H35" s="12">
        <v>0.17499999999999999</v>
      </c>
      <c r="I35" s="48" t="s">
        <v>194</v>
      </c>
      <c r="J35" s="12">
        <f>+(H32*4)*(77*3.2)</f>
        <v>985.6</v>
      </c>
      <c r="K35" s="48" t="s">
        <v>177</v>
      </c>
      <c r="L35" s="12">
        <v>4</v>
      </c>
    </row>
    <row r="36" spans="1:12" x14ac:dyDescent="0.25">
      <c r="A36">
        <v>1</v>
      </c>
      <c r="B36">
        <f>1.65*0.4*0.9</f>
        <v>0.59400000000000008</v>
      </c>
      <c r="C36">
        <f t="shared" si="1"/>
        <v>0.59400000000000008</v>
      </c>
      <c r="D36">
        <f t="shared" si="0"/>
        <v>1.6</v>
      </c>
      <c r="E36">
        <f>+(((0.4+0.4)*2)*(0.4/0.15))*A36</f>
        <v>4.2666666666666675</v>
      </c>
      <c r="G36" s="52" t="s">
        <v>197</v>
      </c>
      <c r="H36">
        <f>+H35*L35</f>
        <v>0.7</v>
      </c>
      <c r="L36" s="6"/>
    </row>
    <row r="37" spans="1:12" x14ac:dyDescent="0.25">
      <c r="A37">
        <v>1</v>
      </c>
      <c r="B37">
        <f>1.65*0.4*0.14</f>
        <v>9.240000000000001E-2</v>
      </c>
      <c r="C37">
        <f t="shared" si="1"/>
        <v>9.240000000000001E-2</v>
      </c>
      <c r="D37">
        <f t="shared" si="0"/>
        <v>1.6</v>
      </c>
      <c r="E37">
        <f>+(((0.14+0.4)*2)*(0.4/0.15))*A37</f>
        <v>2.8800000000000003</v>
      </c>
      <c r="G37" s="52" t="s">
        <v>202</v>
      </c>
      <c r="H37">
        <f>+H36*$D$4</f>
        <v>8.6799999999999985E-3</v>
      </c>
      <c r="L37" s="6"/>
    </row>
    <row r="38" spans="1:12" ht="15.75" thickBot="1" x14ac:dyDescent="0.3">
      <c r="A38">
        <v>1</v>
      </c>
      <c r="B38">
        <f>1.65*0.27*0.14</f>
        <v>6.2370000000000009E-2</v>
      </c>
      <c r="C38">
        <f t="shared" si="1"/>
        <v>6.2370000000000009E-2</v>
      </c>
      <c r="D38">
        <f t="shared" si="0"/>
        <v>1.6</v>
      </c>
      <c r="E38">
        <f>+(((0.14+0.27)*2)*(0.4/0.15))*A38</f>
        <v>2.186666666666667</v>
      </c>
      <c r="G38" s="55" t="s">
        <v>207</v>
      </c>
      <c r="H38" s="11">
        <f>+H37*J35</f>
        <v>8.5550079999999991</v>
      </c>
      <c r="I38" s="11"/>
      <c r="J38" s="11"/>
      <c r="K38" s="11"/>
      <c r="L38" s="9"/>
    </row>
    <row r="39" spans="1:12" x14ac:dyDescent="0.25">
      <c r="A39">
        <v>1</v>
      </c>
      <c r="B39">
        <f>1.65*0.27*0.27</f>
        <v>0.120285</v>
      </c>
      <c r="C39">
        <f t="shared" si="1"/>
        <v>0.120285</v>
      </c>
      <c r="D39">
        <f t="shared" si="0"/>
        <v>1.6</v>
      </c>
      <c r="E39">
        <f>+(((0.27+0.27)*2)*(0.4/0.15))*A39</f>
        <v>2.8800000000000003</v>
      </c>
    </row>
    <row r="40" spans="1:12" x14ac:dyDescent="0.25">
      <c r="A40" t="s">
        <v>228</v>
      </c>
    </row>
    <row r="41" spans="1:12" x14ac:dyDescent="0.25">
      <c r="B41">
        <f>0.27+0.27+0.4+0.4</f>
        <v>1.34</v>
      </c>
      <c r="C41">
        <f t="shared" ref="C41:C46" si="2">+B41*0.4</f>
        <v>0.53600000000000003</v>
      </c>
      <c r="D41">
        <f>+C41*A30</f>
        <v>10.184000000000001</v>
      </c>
    </row>
    <row r="42" spans="1:12" x14ac:dyDescent="0.25">
      <c r="B42">
        <f>0.27+0.27+0.4+0.4</f>
        <v>1.34</v>
      </c>
      <c r="C42">
        <f t="shared" si="2"/>
        <v>0.53600000000000003</v>
      </c>
      <c r="D42">
        <f t="shared" ref="D42:D49" si="3">+C42*A31</f>
        <v>15.544</v>
      </c>
    </row>
    <row r="43" spans="1:12" x14ac:dyDescent="0.25">
      <c r="B43">
        <f>0.14+0.14+0.4+0.4</f>
        <v>1.08</v>
      </c>
      <c r="C43">
        <f t="shared" si="2"/>
        <v>0.43200000000000005</v>
      </c>
      <c r="D43">
        <f t="shared" si="3"/>
        <v>5.1840000000000011</v>
      </c>
    </row>
    <row r="44" spans="1:12" x14ac:dyDescent="0.25">
      <c r="B44">
        <f>0.4*4</f>
        <v>1.6</v>
      </c>
      <c r="C44">
        <f t="shared" si="2"/>
        <v>0.64000000000000012</v>
      </c>
      <c r="D44">
        <f t="shared" si="3"/>
        <v>6.4000000000000012</v>
      </c>
    </row>
    <row r="45" spans="1:12" x14ac:dyDescent="0.25">
      <c r="B45">
        <f>0.4+0.4+0.67+0.67</f>
        <v>2.14</v>
      </c>
      <c r="C45">
        <f t="shared" si="2"/>
        <v>0.85600000000000009</v>
      </c>
      <c r="D45">
        <f t="shared" si="3"/>
        <v>2.5680000000000005</v>
      </c>
    </row>
    <row r="46" spans="1:12" x14ac:dyDescent="0.25">
      <c r="B46">
        <f>0.14+0.14+0.27+0.27</f>
        <v>0.82000000000000006</v>
      </c>
      <c r="C46">
        <f t="shared" si="2"/>
        <v>0.32800000000000007</v>
      </c>
      <c r="D46">
        <f t="shared" si="3"/>
        <v>1.3120000000000003</v>
      </c>
    </row>
    <row r="47" spans="1:12" x14ac:dyDescent="0.25">
      <c r="B47">
        <f>0.4+0.4+0.14+0.14</f>
        <v>1.08</v>
      </c>
      <c r="C47">
        <f>+B47*1.15</f>
        <v>1.242</v>
      </c>
      <c r="D47">
        <f t="shared" si="3"/>
        <v>1.242</v>
      </c>
    </row>
    <row r="48" spans="1:12" x14ac:dyDescent="0.25">
      <c r="B48">
        <f>0.27+0.27+0.14+0.14</f>
        <v>0.82000000000000006</v>
      </c>
      <c r="C48">
        <f>+B48*1.15</f>
        <v>0.94299999999999995</v>
      </c>
      <c r="D48">
        <f t="shared" si="3"/>
        <v>0.94299999999999995</v>
      </c>
    </row>
    <row r="49" spans="2:4" x14ac:dyDescent="0.25">
      <c r="B49">
        <f>0.27+0.27+0.27+0.27</f>
        <v>1.08</v>
      </c>
      <c r="C49">
        <f>+B49*1.15</f>
        <v>1.242</v>
      </c>
      <c r="D49">
        <f t="shared" si="3"/>
        <v>1.242</v>
      </c>
    </row>
    <row r="50" spans="2:4" x14ac:dyDescent="0.25">
      <c r="D50">
        <f>SUM(D41:D49)</f>
        <v>44.618999999999993</v>
      </c>
    </row>
  </sheetData>
  <mergeCells count="41">
    <mergeCell ref="G27:H27"/>
    <mergeCell ref="N27:S27"/>
    <mergeCell ref="G28:L28"/>
    <mergeCell ref="G34:L34"/>
    <mergeCell ref="G24:H24"/>
    <mergeCell ref="N24:O24"/>
    <mergeCell ref="G25:H25"/>
    <mergeCell ref="N25:O25"/>
    <mergeCell ref="G26:H26"/>
    <mergeCell ref="N26:O26"/>
    <mergeCell ref="A13:A17"/>
    <mergeCell ref="N15:S15"/>
    <mergeCell ref="A21:B21"/>
    <mergeCell ref="G21:L21"/>
    <mergeCell ref="N21:S21"/>
    <mergeCell ref="G22:L22"/>
    <mergeCell ref="N22:S22"/>
    <mergeCell ref="U7:V7"/>
    <mergeCell ref="G8:H8"/>
    <mergeCell ref="N8:O8"/>
    <mergeCell ref="U8:V8"/>
    <mergeCell ref="G9:L9"/>
    <mergeCell ref="N9:S9"/>
    <mergeCell ref="U9:Z9"/>
    <mergeCell ref="A4:A5"/>
    <mergeCell ref="G5:H5"/>
    <mergeCell ref="N5:O5"/>
    <mergeCell ref="U5:V5"/>
    <mergeCell ref="A6:A12"/>
    <mergeCell ref="G6:H6"/>
    <mergeCell ref="N6:O6"/>
    <mergeCell ref="U6:V6"/>
    <mergeCell ref="G7:H7"/>
    <mergeCell ref="N7:O7"/>
    <mergeCell ref="B2:D2"/>
    <mergeCell ref="G2:L2"/>
    <mergeCell ref="N2:S2"/>
    <mergeCell ref="U2:Z2"/>
    <mergeCell ref="G3:L3"/>
    <mergeCell ref="N3:S3"/>
    <mergeCell ref="U3:Z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A2B6E-0AFE-47FE-850E-69577BD81CC7}">
  <sheetPr codeName="Hoja6"/>
  <dimension ref="A1:HQ624"/>
  <sheetViews>
    <sheetView topLeftCell="BQ1" workbookViewId="0">
      <selection activeCell="BX6" sqref="BX6"/>
    </sheetView>
  </sheetViews>
  <sheetFormatPr baseColWidth="10" defaultColWidth="11.5703125" defaultRowHeight="15" x14ac:dyDescent="0.25"/>
  <cols>
    <col min="1" max="1" width="7.7109375" customWidth="1"/>
    <col min="2" max="3" width="13.28515625" customWidth="1"/>
    <col min="4" max="7" width="14.140625" customWidth="1"/>
    <col min="8" max="67" width="1.7109375" customWidth="1"/>
    <col min="71" max="71" width="7.7109375" customWidth="1"/>
    <col min="72" max="73" width="13.28515625" customWidth="1"/>
    <col min="74" max="76" width="14.140625" customWidth="1"/>
    <col min="77" max="136" width="1.7109375" customWidth="1"/>
    <col min="140" max="140" width="7.7109375" customWidth="1"/>
    <col min="141" max="141" width="12.28515625" customWidth="1"/>
    <col min="142" max="142" width="11.7109375" customWidth="1"/>
    <col min="143" max="143" width="11.42578125" customWidth="1"/>
    <col min="144" max="173" width="1.7109375" customWidth="1"/>
    <col min="177" max="177" width="7.7109375" customWidth="1"/>
    <col min="178" max="178" width="12.28515625" customWidth="1"/>
    <col min="179" max="182" width="11.7109375" customWidth="1"/>
    <col min="183" max="183" width="11.42578125" customWidth="1"/>
    <col min="184" max="223" width="1.7109375" customWidth="1"/>
  </cols>
  <sheetData>
    <row r="1" spans="1:225" x14ac:dyDescent="0.25">
      <c r="H1" s="299" t="s">
        <v>229</v>
      </c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t="s">
        <v>230</v>
      </c>
      <c r="BQ1">
        <f>SUM(H4:BO205)</f>
        <v>1211.9999999999932</v>
      </c>
      <c r="BY1" s="299" t="s">
        <v>231</v>
      </c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t="s">
        <v>230</v>
      </c>
      <c r="EH1">
        <f>SUM(BY4:EF379)</f>
        <v>2255.9999999990437</v>
      </c>
      <c r="EN1" s="299" t="s">
        <v>232</v>
      </c>
      <c r="EO1" s="299"/>
      <c r="EP1" s="299"/>
      <c r="EQ1" s="299"/>
      <c r="ER1" s="299"/>
      <c r="ES1" s="299"/>
      <c r="ET1" s="299"/>
      <c r="EU1" s="299"/>
      <c r="EV1" s="299"/>
      <c r="EW1" s="299"/>
      <c r="EX1" s="299"/>
      <c r="EY1" s="299"/>
      <c r="EZ1" s="299"/>
      <c r="FA1" s="299"/>
      <c r="FB1" s="299"/>
      <c r="FC1" s="299"/>
      <c r="FD1" s="299"/>
      <c r="FE1" s="299"/>
      <c r="FF1" s="299"/>
      <c r="FG1" s="299"/>
      <c r="FH1" s="299"/>
      <c r="FI1" s="299"/>
      <c r="FJ1" s="299"/>
      <c r="FK1" s="299"/>
      <c r="FL1" s="299"/>
      <c r="FM1" s="299"/>
      <c r="FN1" s="299"/>
      <c r="FO1" s="299"/>
      <c r="FP1" s="299"/>
      <c r="FQ1" s="299"/>
      <c r="FR1" t="s">
        <v>230</v>
      </c>
      <c r="FS1">
        <f>SUM(EN4:FQ260)</f>
        <v>771.00000000010675</v>
      </c>
      <c r="GB1" s="299" t="s">
        <v>233</v>
      </c>
      <c r="GC1" s="299"/>
      <c r="GD1" s="299"/>
      <c r="GE1" s="299"/>
      <c r="GF1" s="299"/>
      <c r="GG1" s="299"/>
      <c r="GH1" s="299"/>
      <c r="GI1" s="299"/>
      <c r="GJ1" s="299"/>
      <c r="GK1" s="299"/>
      <c r="GL1" s="299"/>
      <c r="GM1" s="299"/>
      <c r="GN1" s="299"/>
      <c r="GO1" s="299"/>
      <c r="GP1" s="299"/>
      <c r="GQ1" s="299"/>
      <c r="GR1" s="299"/>
      <c r="GS1" s="299"/>
      <c r="GT1" s="299"/>
      <c r="GU1" s="299"/>
      <c r="GV1" s="299"/>
      <c r="GW1" s="299"/>
      <c r="GX1" s="299"/>
      <c r="GY1" s="299"/>
      <c r="GZ1" s="299"/>
      <c r="HA1" s="299"/>
      <c r="HB1" s="299"/>
      <c r="HC1" s="299"/>
      <c r="HD1" s="299"/>
      <c r="HE1" s="299"/>
      <c r="HF1" s="299"/>
      <c r="HG1" s="299"/>
      <c r="HH1" s="299"/>
      <c r="HI1" s="299"/>
      <c r="HJ1" s="299"/>
      <c r="HK1" s="299"/>
      <c r="HL1" s="299"/>
      <c r="HM1" s="299"/>
      <c r="HN1" s="299"/>
      <c r="HO1" s="299"/>
      <c r="HP1" t="s">
        <v>230</v>
      </c>
      <c r="HQ1">
        <f>SUM(GB4:HO81)</f>
        <v>312.00000000000244</v>
      </c>
    </row>
    <row r="2" spans="1:225" x14ac:dyDescent="0.25">
      <c r="H2" s="299" t="s">
        <v>234</v>
      </c>
      <c r="I2" s="299"/>
      <c r="J2" s="299"/>
      <c r="K2" s="299"/>
      <c r="L2" s="299"/>
      <c r="M2" s="299"/>
      <c r="N2" s="299"/>
      <c r="O2" s="299"/>
      <c r="P2" s="299"/>
      <c r="Q2" s="299"/>
      <c r="R2" s="299" t="s">
        <v>235</v>
      </c>
      <c r="S2" s="299"/>
      <c r="T2" s="299"/>
      <c r="U2" s="299"/>
      <c r="V2" s="299"/>
      <c r="W2" s="299"/>
      <c r="X2" s="299"/>
      <c r="Y2" s="299"/>
      <c r="Z2" s="299"/>
      <c r="AA2" s="299"/>
      <c r="AB2" s="299" t="s">
        <v>236</v>
      </c>
      <c r="AC2" s="299"/>
      <c r="AD2" s="299"/>
      <c r="AE2" s="299"/>
      <c r="AF2" s="299"/>
      <c r="AG2" s="299"/>
      <c r="AH2" s="299"/>
      <c r="AI2" s="299"/>
      <c r="AJ2" s="299"/>
      <c r="AK2" s="299"/>
      <c r="AL2" s="299" t="s">
        <v>237</v>
      </c>
      <c r="AM2" s="299"/>
      <c r="AN2" s="299"/>
      <c r="AO2" s="299"/>
      <c r="AP2" s="299"/>
      <c r="AQ2" s="299"/>
      <c r="AR2" s="299"/>
      <c r="AS2" s="299"/>
      <c r="AT2" s="299"/>
      <c r="AU2" s="299"/>
      <c r="AV2" s="299" t="s">
        <v>238</v>
      </c>
      <c r="AW2" s="299"/>
      <c r="AX2" s="299"/>
      <c r="AY2" s="299"/>
      <c r="AZ2" s="299"/>
      <c r="BA2" s="299"/>
      <c r="BB2" s="299"/>
      <c r="BC2" s="299"/>
      <c r="BD2" s="299"/>
      <c r="BE2" s="299"/>
      <c r="BF2" s="299" t="s">
        <v>239</v>
      </c>
      <c r="BG2" s="299"/>
      <c r="BH2" s="299"/>
      <c r="BI2" s="299"/>
      <c r="BJ2" s="299"/>
      <c r="BK2" s="299"/>
      <c r="BL2" s="299"/>
      <c r="BM2" s="299"/>
      <c r="BN2" s="299"/>
      <c r="BO2" s="299"/>
      <c r="BP2" t="s">
        <v>240</v>
      </c>
      <c r="BQ2" t="s">
        <v>241</v>
      </c>
      <c r="BY2" s="299" t="s">
        <v>234</v>
      </c>
      <c r="BZ2" s="299"/>
      <c r="CA2" s="299"/>
      <c r="CB2" s="299"/>
      <c r="CC2" s="299"/>
      <c r="CD2" s="299"/>
      <c r="CE2" s="299"/>
      <c r="CF2" s="299"/>
      <c r="CG2" s="299"/>
      <c r="CH2" s="299"/>
      <c r="CI2" s="299" t="s">
        <v>235</v>
      </c>
      <c r="CJ2" s="299"/>
      <c r="CK2" s="299"/>
      <c r="CL2" s="299"/>
      <c r="CM2" s="299"/>
      <c r="CN2" s="299"/>
      <c r="CO2" s="299"/>
      <c r="CP2" s="299"/>
      <c r="CQ2" s="299"/>
      <c r="CR2" s="299"/>
      <c r="CS2" s="299" t="s">
        <v>236</v>
      </c>
      <c r="CT2" s="299"/>
      <c r="CU2" s="299"/>
      <c r="CV2" s="299"/>
      <c r="CW2" s="299"/>
      <c r="CX2" s="299"/>
      <c r="CY2" s="299"/>
      <c r="CZ2" s="299"/>
      <c r="DA2" s="299"/>
      <c r="DB2" s="299"/>
      <c r="DC2" s="299" t="s">
        <v>237</v>
      </c>
      <c r="DD2" s="299"/>
      <c r="DE2" s="299"/>
      <c r="DF2" s="299"/>
      <c r="DG2" s="299"/>
      <c r="DH2" s="299"/>
      <c r="DI2" s="299"/>
      <c r="DJ2" s="299"/>
      <c r="DK2" s="299"/>
      <c r="DL2" s="299"/>
      <c r="DM2" s="299" t="s">
        <v>238</v>
      </c>
      <c r="DN2" s="299"/>
      <c r="DO2" s="299"/>
      <c r="DP2" s="299"/>
      <c r="DQ2" s="299"/>
      <c r="DR2" s="299"/>
      <c r="DS2" s="299"/>
      <c r="DT2" s="299"/>
      <c r="DU2" s="299"/>
      <c r="DV2" s="299"/>
      <c r="DW2" s="299" t="s">
        <v>239</v>
      </c>
      <c r="DX2" s="299"/>
      <c r="DY2" s="299"/>
      <c r="DZ2" s="299"/>
      <c r="EA2" s="299"/>
      <c r="EB2" s="299"/>
      <c r="EC2" s="299"/>
      <c r="ED2" s="299"/>
      <c r="EE2" s="299"/>
      <c r="EF2" s="299"/>
      <c r="EG2" t="s">
        <v>240</v>
      </c>
      <c r="EH2" t="s">
        <v>241</v>
      </c>
      <c r="EN2" s="299" t="s">
        <v>234</v>
      </c>
      <c r="EO2" s="299"/>
      <c r="EP2" s="299"/>
      <c r="EQ2" s="299"/>
      <c r="ER2" s="299"/>
      <c r="ES2" s="299"/>
      <c r="ET2" s="299"/>
      <c r="EU2" s="299"/>
      <c r="EV2" s="299"/>
      <c r="EW2" s="299"/>
      <c r="EX2" s="299" t="s">
        <v>235</v>
      </c>
      <c r="EY2" s="299"/>
      <c r="EZ2" s="299"/>
      <c r="FA2" s="299"/>
      <c r="FB2" s="299"/>
      <c r="FC2" s="299"/>
      <c r="FD2" s="299"/>
      <c r="FE2" s="299"/>
      <c r="FF2" s="299"/>
      <c r="FG2" s="299"/>
      <c r="FH2" s="299" t="s">
        <v>236</v>
      </c>
      <c r="FI2" s="299"/>
      <c r="FJ2" s="299"/>
      <c r="FK2" s="299"/>
      <c r="FL2" s="299"/>
      <c r="FM2" s="299"/>
      <c r="FN2" s="299"/>
      <c r="FO2" s="299"/>
      <c r="FP2" s="299"/>
      <c r="FQ2" s="299"/>
      <c r="FR2" t="s">
        <v>240</v>
      </c>
      <c r="FS2" t="s">
        <v>241</v>
      </c>
      <c r="GB2" s="299" t="s">
        <v>234</v>
      </c>
      <c r="GC2" s="299"/>
      <c r="GD2" s="299"/>
      <c r="GE2" s="299"/>
      <c r="GF2" s="299"/>
      <c r="GG2" s="299"/>
      <c r="GH2" s="299"/>
      <c r="GI2" s="299"/>
      <c r="GJ2" s="299"/>
      <c r="GK2" s="299"/>
      <c r="GL2" s="299" t="s">
        <v>235</v>
      </c>
      <c r="GM2" s="299"/>
      <c r="GN2" s="299"/>
      <c r="GO2" s="299"/>
      <c r="GP2" s="299"/>
      <c r="GQ2" s="299"/>
      <c r="GR2" s="299"/>
      <c r="GS2" s="299"/>
      <c r="GT2" s="299"/>
      <c r="GU2" s="299"/>
      <c r="GV2" s="299" t="s">
        <v>236</v>
      </c>
      <c r="GW2" s="299"/>
      <c r="GX2" s="299"/>
      <c r="GY2" s="299"/>
      <c r="GZ2" s="299"/>
      <c r="HA2" s="299"/>
      <c r="HB2" s="299"/>
      <c r="HC2" s="299"/>
      <c r="HD2" s="299"/>
      <c r="HE2" s="299"/>
      <c r="HF2" s="299" t="s">
        <v>237</v>
      </c>
      <c r="HG2" s="299"/>
      <c r="HH2" s="299"/>
      <c r="HI2" s="299"/>
      <c r="HJ2" s="299"/>
      <c r="HK2" s="299"/>
      <c r="HL2" s="299"/>
      <c r="HM2" s="299"/>
      <c r="HN2" s="299"/>
      <c r="HO2" s="299"/>
      <c r="HP2" t="s">
        <v>240</v>
      </c>
      <c r="HQ2" t="s">
        <v>241</v>
      </c>
    </row>
    <row r="3" spans="1:225" ht="15.75" thickBot="1" x14ac:dyDescent="0.3">
      <c r="B3" s="299" t="s">
        <v>242</v>
      </c>
      <c r="C3" s="299"/>
      <c r="D3" s="299"/>
      <c r="E3" s="1"/>
      <c r="F3" s="1"/>
      <c r="G3" s="1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>
        <f>SUM(BP4:BP205)</f>
        <v>55.400000000000027</v>
      </c>
      <c r="BQ3" s="65">
        <f>+((BP3*100)/BQ1)/100</f>
        <v>4.5709570957095991E-2</v>
      </c>
      <c r="BR3" t="s">
        <v>1174</v>
      </c>
      <c r="BT3" s="299" t="s">
        <v>242</v>
      </c>
      <c r="BU3" s="299"/>
      <c r="BV3" s="299"/>
      <c r="BW3" s="1"/>
      <c r="BX3" s="1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>
        <f>SUM(EG4:EG379)</f>
        <v>21.699999999999974</v>
      </c>
      <c r="EH3" s="65">
        <f>+((EG3*100)/EH1)/100</f>
        <v>9.6187943262452009E-3</v>
      </c>
      <c r="EI3" t="s">
        <v>1174</v>
      </c>
      <c r="EK3" s="299" t="s">
        <v>243</v>
      </c>
      <c r="EL3" s="299"/>
      <c r="EM3" s="299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>
        <f>SUM(FR4:FR163)</f>
        <v>0.2</v>
      </c>
      <c r="FS3" s="65">
        <f>+((FR3*100)/FS1)/100</f>
        <v>2.5940337224380323E-4</v>
      </c>
      <c r="FV3" s="299" t="s">
        <v>242</v>
      </c>
      <c r="FW3" s="299"/>
      <c r="FX3" s="299"/>
      <c r="FY3" s="299"/>
      <c r="FZ3" s="299"/>
      <c r="GA3" s="299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>
        <f>SUM(HP4:HP163)</f>
        <v>7.4999999999999991</v>
      </c>
      <c r="HQ3" s="65">
        <f>+((HP3*100)/HQ1)/100</f>
        <v>2.4038461538461346E-2</v>
      </c>
    </row>
    <row r="4" spans="1:225" ht="15.75" thickBot="1" x14ac:dyDescent="0.3">
      <c r="A4">
        <v>1</v>
      </c>
      <c r="B4" s="268" t="s">
        <v>1175</v>
      </c>
      <c r="C4" s="2"/>
      <c r="D4" s="2"/>
      <c r="E4" s="2"/>
      <c r="F4" s="2"/>
      <c r="G4" s="2"/>
      <c r="H4" s="258">
        <v>0.1</v>
      </c>
      <c r="I4" s="259">
        <v>0.1</v>
      </c>
      <c r="J4" s="259">
        <v>0.1</v>
      </c>
      <c r="K4" s="259">
        <v>0.1</v>
      </c>
      <c r="L4" s="259">
        <v>0.1</v>
      </c>
      <c r="M4" s="259">
        <v>0.1</v>
      </c>
      <c r="N4" s="259">
        <v>0.1</v>
      </c>
      <c r="O4" s="259">
        <v>0.1</v>
      </c>
      <c r="P4" s="259">
        <v>0.1</v>
      </c>
      <c r="Q4" s="259">
        <v>0.1</v>
      </c>
      <c r="R4" s="259">
        <v>0.1</v>
      </c>
      <c r="S4" s="259">
        <v>0.1</v>
      </c>
      <c r="T4" s="259">
        <v>0.1</v>
      </c>
      <c r="U4" s="259">
        <v>0.1</v>
      </c>
      <c r="V4" s="259">
        <v>0.1</v>
      </c>
      <c r="W4" s="259">
        <v>0.1</v>
      </c>
      <c r="X4" s="259">
        <v>0.1</v>
      </c>
      <c r="Y4" s="259">
        <v>0.1</v>
      </c>
      <c r="Z4" s="259">
        <v>0.1</v>
      </c>
      <c r="AA4" s="259">
        <v>0.1</v>
      </c>
      <c r="AB4" s="259">
        <v>0.1</v>
      </c>
      <c r="AC4" s="259">
        <v>0.1</v>
      </c>
      <c r="AD4" s="259">
        <v>0.1</v>
      </c>
      <c r="AE4" s="259">
        <v>0.1</v>
      </c>
      <c r="AF4" s="259">
        <v>0.1</v>
      </c>
      <c r="AG4" s="259">
        <v>0.1</v>
      </c>
      <c r="AH4" s="259">
        <v>0.1</v>
      </c>
      <c r="AI4" s="259">
        <v>0.1</v>
      </c>
      <c r="AJ4" s="259">
        <v>0.1</v>
      </c>
      <c r="AK4" s="259">
        <v>0.1</v>
      </c>
      <c r="AL4" s="259">
        <v>0.1</v>
      </c>
      <c r="AM4" s="259">
        <v>0.1</v>
      </c>
      <c r="AN4" s="259">
        <v>0.1</v>
      </c>
      <c r="AO4" s="259">
        <v>0.1</v>
      </c>
      <c r="AP4" s="259">
        <v>0.1</v>
      </c>
      <c r="AQ4" s="259">
        <v>0.1</v>
      </c>
      <c r="AR4" s="259">
        <v>0.1</v>
      </c>
      <c r="AS4" s="259">
        <v>0.1</v>
      </c>
      <c r="AT4" s="259">
        <v>0.1</v>
      </c>
      <c r="AU4" s="259">
        <v>0.1</v>
      </c>
      <c r="AV4" s="259">
        <v>0.1</v>
      </c>
      <c r="AW4" s="259">
        <v>0.1</v>
      </c>
      <c r="AX4" s="259">
        <v>0.1</v>
      </c>
      <c r="AY4" s="259">
        <v>0.1</v>
      </c>
      <c r="AZ4" s="259">
        <v>0.1</v>
      </c>
      <c r="BA4" s="259">
        <v>0.1</v>
      </c>
      <c r="BB4" s="259">
        <v>0.1</v>
      </c>
      <c r="BC4" s="259">
        <v>0.1</v>
      </c>
      <c r="BD4" s="259">
        <v>0.1</v>
      </c>
      <c r="BE4" s="259">
        <v>0.1</v>
      </c>
      <c r="BF4" s="259">
        <v>0.1</v>
      </c>
      <c r="BG4" s="259">
        <v>0.1</v>
      </c>
      <c r="BH4" s="259">
        <v>0.1</v>
      </c>
      <c r="BI4" s="259">
        <v>0.1</v>
      </c>
      <c r="BJ4" s="259">
        <v>0.1</v>
      </c>
      <c r="BK4" s="259">
        <v>0.1</v>
      </c>
      <c r="BL4" s="259">
        <v>0.1</v>
      </c>
      <c r="BM4" s="259">
        <v>0.1</v>
      </c>
      <c r="BN4" s="259">
        <v>0.1</v>
      </c>
      <c r="BO4" s="260">
        <v>0.1</v>
      </c>
      <c r="BS4">
        <v>1</v>
      </c>
      <c r="BT4" s="270" t="s">
        <v>1185</v>
      </c>
      <c r="BU4" s="2"/>
      <c r="BV4" s="2"/>
      <c r="BW4" s="2"/>
      <c r="BX4" s="2"/>
      <c r="BY4" s="258">
        <v>0.1</v>
      </c>
      <c r="BZ4" s="259">
        <v>0.1</v>
      </c>
      <c r="CA4" s="259">
        <v>0.1</v>
      </c>
      <c r="CB4" s="259">
        <v>0.1</v>
      </c>
      <c r="CC4" s="259">
        <v>0.1</v>
      </c>
      <c r="CD4" s="259">
        <v>0.1</v>
      </c>
      <c r="CE4" s="259">
        <v>0.1</v>
      </c>
      <c r="CF4" s="259">
        <v>0.1</v>
      </c>
      <c r="CG4" s="259">
        <v>0.1</v>
      </c>
      <c r="CH4" s="259">
        <v>0.1</v>
      </c>
      <c r="CI4" s="259">
        <v>0.1</v>
      </c>
      <c r="CJ4" s="259">
        <v>0.1</v>
      </c>
      <c r="CK4" s="259">
        <v>0.1</v>
      </c>
      <c r="CL4" s="259">
        <v>0.1</v>
      </c>
      <c r="CM4" s="259">
        <v>0.1</v>
      </c>
      <c r="CN4" s="259">
        <v>0.1</v>
      </c>
      <c r="CO4" s="259">
        <v>0.1</v>
      </c>
      <c r="CP4" s="259">
        <v>0.1</v>
      </c>
      <c r="CQ4" s="259">
        <v>0.1</v>
      </c>
      <c r="CR4" s="259">
        <v>0.1</v>
      </c>
      <c r="CS4" s="259">
        <v>0.1</v>
      </c>
      <c r="CT4" s="259">
        <v>0.1</v>
      </c>
      <c r="CU4" s="259">
        <v>0.1</v>
      </c>
      <c r="CV4" s="259">
        <v>0.1</v>
      </c>
      <c r="CW4" s="259">
        <v>0.1</v>
      </c>
      <c r="CX4" s="259">
        <v>0.1</v>
      </c>
      <c r="CY4" s="259">
        <v>0.1</v>
      </c>
      <c r="CZ4" s="259">
        <v>0.1</v>
      </c>
      <c r="DA4" s="259">
        <v>0.1</v>
      </c>
      <c r="DB4" s="259">
        <v>0.1</v>
      </c>
      <c r="DC4" s="259">
        <v>0.1</v>
      </c>
      <c r="DD4" s="259">
        <v>0.1</v>
      </c>
      <c r="DE4" s="259">
        <v>0.1</v>
      </c>
      <c r="DF4" s="259">
        <v>0.1</v>
      </c>
      <c r="DG4" s="259">
        <v>0.1</v>
      </c>
      <c r="DH4" s="259">
        <v>0.1</v>
      </c>
      <c r="DI4" s="259">
        <v>0.1</v>
      </c>
      <c r="DJ4" s="259">
        <v>0.1</v>
      </c>
      <c r="DK4" s="259">
        <v>0.1</v>
      </c>
      <c r="DL4" s="259">
        <v>0.1</v>
      </c>
      <c r="DM4" s="259">
        <v>0.1</v>
      </c>
      <c r="DN4" s="259">
        <v>0.1</v>
      </c>
      <c r="DO4" s="259">
        <v>0.1</v>
      </c>
      <c r="DP4" s="259">
        <v>0.1</v>
      </c>
      <c r="DQ4" s="259">
        <v>0.1</v>
      </c>
      <c r="DR4" s="259">
        <v>0.1</v>
      </c>
      <c r="DS4" s="259">
        <v>0.1</v>
      </c>
      <c r="DT4" s="259">
        <v>0.1</v>
      </c>
      <c r="DU4" s="259">
        <v>0.1</v>
      </c>
      <c r="DV4" s="259">
        <v>0.1</v>
      </c>
      <c r="DW4" s="259">
        <v>0.1</v>
      </c>
      <c r="DX4" s="259">
        <v>0.1</v>
      </c>
      <c r="DY4" s="259">
        <v>0.1</v>
      </c>
      <c r="DZ4" s="259">
        <v>0.1</v>
      </c>
      <c r="EA4" s="259">
        <v>0.1</v>
      </c>
      <c r="EB4" s="259">
        <v>0.1</v>
      </c>
      <c r="EC4" s="259">
        <v>0.1</v>
      </c>
      <c r="ED4" s="259">
        <v>0.1</v>
      </c>
      <c r="EE4" s="259">
        <v>0.1</v>
      </c>
      <c r="EF4" s="260">
        <v>0.1</v>
      </c>
      <c r="EJ4">
        <v>1</v>
      </c>
      <c r="EN4">
        <v>0.1</v>
      </c>
      <c r="EO4">
        <v>0.1</v>
      </c>
      <c r="EP4">
        <v>0.1</v>
      </c>
      <c r="EQ4">
        <v>0.1</v>
      </c>
      <c r="ER4">
        <v>0.1</v>
      </c>
      <c r="ES4">
        <v>0.1</v>
      </c>
      <c r="ET4">
        <v>0.1</v>
      </c>
      <c r="EU4">
        <v>0.1</v>
      </c>
      <c r="EV4">
        <v>0.1</v>
      </c>
      <c r="EW4">
        <v>0.1</v>
      </c>
      <c r="EX4">
        <v>0.1</v>
      </c>
      <c r="EY4">
        <v>0.1</v>
      </c>
      <c r="EZ4">
        <v>0.1</v>
      </c>
      <c r="FA4">
        <v>0.1</v>
      </c>
      <c r="FB4">
        <v>0.1</v>
      </c>
      <c r="FC4">
        <v>0.1</v>
      </c>
      <c r="FD4">
        <v>0.1</v>
      </c>
      <c r="FE4">
        <v>0.1</v>
      </c>
      <c r="FF4">
        <v>0.1</v>
      </c>
      <c r="FG4">
        <v>0.1</v>
      </c>
      <c r="FH4">
        <v>0.1</v>
      </c>
      <c r="FI4">
        <v>0.1</v>
      </c>
      <c r="FJ4">
        <v>0.1</v>
      </c>
      <c r="FK4">
        <v>0.1</v>
      </c>
      <c r="FL4">
        <v>0.1</v>
      </c>
      <c r="FM4">
        <v>0.1</v>
      </c>
      <c r="FN4">
        <v>0.1</v>
      </c>
      <c r="FO4">
        <v>0.1</v>
      </c>
      <c r="FP4">
        <v>0.1</v>
      </c>
      <c r="FQ4">
        <v>0.1</v>
      </c>
      <c r="FR4">
        <f>SUM(FP4:FQ4)</f>
        <v>0.2</v>
      </c>
      <c r="FU4">
        <v>1</v>
      </c>
      <c r="FV4">
        <v>2.02</v>
      </c>
      <c r="FW4">
        <v>1.86</v>
      </c>
      <c r="GB4" s="66">
        <v>0.1</v>
      </c>
      <c r="GC4" s="67">
        <v>0.1</v>
      </c>
      <c r="GD4" s="67">
        <v>0.1</v>
      </c>
      <c r="GE4" s="67">
        <v>0.1</v>
      </c>
      <c r="GF4" s="67">
        <v>0.1</v>
      </c>
      <c r="GG4" s="67">
        <v>0.1</v>
      </c>
      <c r="GH4" s="67">
        <v>0.1</v>
      </c>
      <c r="GI4" s="67">
        <v>0.1</v>
      </c>
      <c r="GJ4" s="67">
        <v>0.1</v>
      </c>
      <c r="GK4" s="67">
        <v>0.1</v>
      </c>
      <c r="GL4" s="67">
        <v>0.1</v>
      </c>
      <c r="GM4" s="67">
        <v>0.1</v>
      </c>
      <c r="GN4" s="67">
        <v>0.1</v>
      </c>
      <c r="GO4" s="67">
        <v>0.1</v>
      </c>
      <c r="GP4" s="67">
        <v>0.1</v>
      </c>
      <c r="GQ4" s="67">
        <v>0.1</v>
      </c>
      <c r="GR4" s="67">
        <v>0.1</v>
      </c>
      <c r="GS4" s="67">
        <v>0.1</v>
      </c>
      <c r="GT4" s="67">
        <v>0.1</v>
      </c>
      <c r="GU4" s="67">
        <v>0.1</v>
      </c>
      <c r="GV4" s="68">
        <v>0.1</v>
      </c>
      <c r="GW4" s="66">
        <v>0.1</v>
      </c>
      <c r="GX4" s="67">
        <v>0.1</v>
      </c>
      <c r="GY4" s="67">
        <v>0.1</v>
      </c>
      <c r="GZ4" s="67">
        <v>0.1</v>
      </c>
      <c r="HA4" s="67">
        <v>0.1</v>
      </c>
      <c r="HB4" s="67">
        <v>0.1</v>
      </c>
      <c r="HC4" s="67">
        <v>0.1</v>
      </c>
      <c r="HD4" s="67">
        <v>0.1</v>
      </c>
      <c r="HE4" s="67">
        <v>0.1</v>
      </c>
      <c r="HF4" s="67">
        <v>0.1</v>
      </c>
      <c r="HG4" s="67">
        <v>0.1</v>
      </c>
      <c r="HH4" s="67">
        <v>0.1</v>
      </c>
      <c r="HI4" s="67">
        <v>0.1</v>
      </c>
      <c r="HJ4" s="67">
        <v>0.1</v>
      </c>
      <c r="HK4" s="67">
        <v>0.1</v>
      </c>
      <c r="HL4" s="67">
        <v>0.1</v>
      </c>
      <c r="HM4" s="67">
        <v>0.1</v>
      </c>
      <c r="HN4" s="67">
        <v>0.1</v>
      </c>
      <c r="HO4" s="68">
        <v>0.1</v>
      </c>
    </row>
    <row r="5" spans="1:225" ht="15.75" thickBot="1" x14ac:dyDescent="0.3">
      <c r="A5">
        <v>2</v>
      </c>
      <c r="B5" s="268" t="s">
        <v>1176</v>
      </c>
      <c r="C5" s="268">
        <v>1.58</v>
      </c>
      <c r="D5" s="2"/>
      <c r="E5" s="2"/>
      <c r="F5" s="2"/>
      <c r="G5" s="2"/>
      <c r="H5" s="258">
        <v>0.1</v>
      </c>
      <c r="I5" s="259">
        <v>0.1</v>
      </c>
      <c r="J5" s="259">
        <v>0.1</v>
      </c>
      <c r="K5" s="259">
        <v>0.1</v>
      </c>
      <c r="L5" s="259">
        <v>0.1</v>
      </c>
      <c r="M5" s="259">
        <v>0.1</v>
      </c>
      <c r="N5" s="259">
        <v>0.1</v>
      </c>
      <c r="O5" s="259">
        <v>0.1</v>
      </c>
      <c r="P5" s="259">
        <v>0.1</v>
      </c>
      <c r="Q5" s="259">
        <v>0.1</v>
      </c>
      <c r="R5" s="259">
        <v>0.1</v>
      </c>
      <c r="S5" s="259">
        <v>0.1</v>
      </c>
      <c r="T5" s="259">
        <v>0.1</v>
      </c>
      <c r="U5" s="259">
        <v>0.1</v>
      </c>
      <c r="V5" s="259">
        <v>0.1</v>
      </c>
      <c r="W5" s="259">
        <v>0.1</v>
      </c>
      <c r="X5" s="259">
        <v>0.1</v>
      </c>
      <c r="Y5" s="259">
        <v>0.1</v>
      </c>
      <c r="Z5" s="259">
        <v>0.1</v>
      </c>
      <c r="AA5" s="259">
        <v>0.1</v>
      </c>
      <c r="AB5" s="259">
        <v>0.1</v>
      </c>
      <c r="AC5" s="259">
        <v>0.1</v>
      </c>
      <c r="AD5" s="259">
        <v>0.1</v>
      </c>
      <c r="AE5" s="259">
        <v>0.1</v>
      </c>
      <c r="AF5" s="259">
        <v>0.1</v>
      </c>
      <c r="AG5" s="259">
        <v>0.1</v>
      </c>
      <c r="AH5" s="259">
        <v>0.1</v>
      </c>
      <c r="AI5" s="259">
        <v>0.1</v>
      </c>
      <c r="AJ5" s="259">
        <v>0.1</v>
      </c>
      <c r="AK5" s="259">
        <v>0.1</v>
      </c>
      <c r="AL5" s="259">
        <v>0.1</v>
      </c>
      <c r="AM5" s="259">
        <v>0.1</v>
      </c>
      <c r="AN5" s="259">
        <v>0.1</v>
      </c>
      <c r="AO5" s="259">
        <v>0.1</v>
      </c>
      <c r="AP5" s="259">
        <v>0.1</v>
      </c>
      <c r="AQ5" s="259">
        <v>0.1</v>
      </c>
      <c r="AR5" s="259">
        <v>0.1</v>
      </c>
      <c r="AS5" s="259">
        <v>0.1</v>
      </c>
      <c r="AT5" s="259">
        <v>0.1</v>
      </c>
      <c r="AU5" s="260">
        <v>0.1</v>
      </c>
      <c r="AV5" s="258">
        <v>0.1</v>
      </c>
      <c r="AW5" s="259">
        <v>0.1</v>
      </c>
      <c r="AX5" s="259">
        <v>0.1</v>
      </c>
      <c r="AY5" s="259">
        <v>0.1</v>
      </c>
      <c r="AZ5" s="259">
        <v>0.1</v>
      </c>
      <c r="BA5" s="259">
        <v>0.1</v>
      </c>
      <c r="BB5" s="259">
        <v>0.1</v>
      </c>
      <c r="BC5" s="259">
        <v>0.1</v>
      </c>
      <c r="BD5" s="259">
        <v>0.1</v>
      </c>
      <c r="BE5" s="259">
        <v>0.1</v>
      </c>
      <c r="BF5" s="262">
        <v>0.1</v>
      </c>
      <c r="BG5" s="262">
        <v>0.1</v>
      </c>
      <c r="BH5" s="262">
        <v>0.1</v>
      </c>
      <c r="BI5" s="262">
        <v>0.1</v>
      </c>
      <c r="BJ5" s="262">
        <v>0.1</v>
      </c>
      <c r="BK5" s="263">
        <v>0.1</v>
      </c>
      <c r="BL5">
        <v>0.1</v>
      </c>
      <c r="BM5">
        <v>0.1</v>
      </c>
      <c r="BN5">
        <v>0.1</v>
      </c>
      <c r="BO5">
        <v>0.1</v>
      </c>
      <c r="BP5">
        <f>SUM(BL5:BO5)</f>
        <v>0.4</v>
      </c>
      <c r="BS5">
        <v>2</v>
      </c>
      <c r="BT5" s="270" t="s">
        <v>1185</v>
      </c>
      <c r="BU5" s="2"/>
      <c r="BV5" s="2"/>
      <c r="BW5" s="2"/>
      <c r="BX5" s="2"/>
      <c r="BY5" s="258">
        <v>0.1</v>
      </c>
      <c r="BZ5" s="259">
        <v>0.1</v>
      </c>
      <c r="CA5" s="259">
        <v>0.1</v>
      </c>
      <c r="CB5" s="259">
        <v>0.1</v>
      </c>
      <c r="CC5" s="259">
        <v>0.1</v>
      </c>
      <c r="CD5" s="259">
        <v>0.1</v>
      </c>
      <c r="CE5" s="259">
        <v>0.1</v>
      </c>
      <c r="CF5" s="259">
        <v>0.1</v>
      </c>
      <c r="CG5" s="259">
        <v>0.1</v>
      </c>
      <c r="CH5" s="259">
        <v>0.1</v>
      </c>
      <c r="CI5" s="259">
        <v>0.1</v>
      </c>
      <c r="CJ5" s="259">
        <v>0.1</v>
      </c>
      <c r="CK5" s="259">
        <v>0.1</v>
      </c>
      <c r="CL5" s="259">
        <v>0.1</v>
      </c>
      <c r="CM5" s="259">
        <v>0.1</v>
      </c>
      <c r="CN5" s="259">
        <v>0.1</v>
      </c>
      <c r="CO5" s="259">
        <v>0.1</v>
      </c>
      <c r="CP5" s="259">
        <v>0.1</v>
      </c>
      <c r="CQ5" s="259">
        <v>0.1</v>
      </c>
      <c r="CR5" s="259">
        <v>0.1</v>
      </c>
      <c r="CS5" s="259">
        <v>0.1</v>
      </c>
      <c r="CT5" s="259">
        <v>0.1</v>
      </c>
      <c r="CU5" s="259">
        <v>0.1</v>
      </c>
      <c r="CV5" s="259">
        <v>0.1</v>
      </c>
      <c r="CW5" s="259">
        <v>0.1</v>
      </c>
      <c r="CX5" s="259">
        <v>0.1</v>
      </c>
      <c r="CY5" s="259">
        <v>0.1</v>
      </c>
      <c r="CZ5" s="259">
        <v>0.1</v>
      </c>
      <c r="DA5" s="259">
        <v>0.1</v>
      </c>
      <c r="DB5" s="259">
        <v>0.1</v>
      </c>
      <c r="DC5" s="259">
        <v>0.1</v>
      </c>
      <c r="DD5" s="259">
        <v>0.1</v>
      </c>
      <c r="DE5" s="259">
        <v>0.1</v>
      </c>
      <c r="DF5" s="259">
        <v>0.1</v>
      </c>
      <c r="DG5" s="259">
        <v>0.1</v>
      </c>
      <c r="DH5" s="259">
        <v>0.1</v>
      </c>
      <c r="DI5" s="259">
        <v>0.1</v>
      </c>
      <c r="DJ5" s="259">
        <v>0.1</v>
      </c>
      <c r="DK5" s="259">
        <v>0.1</v>
      </c>
      <c r="DL5" s="259">
        <v>0.1</v>
      </c>
      <c r="DM5" s="259">
        <v>0.1</v>
      </c>
      <c r="DN5" s="259">
        <v>0.1</v>
      </c>
      <c r="DO5" s="259">
        <v>0.1</v>
      </c>
      <c r="DP5" s="259">
        <v>0.1</v>
      </c>
      <c r="DQ5" s="259">
        <v>0.1</v>
      </c>
      <c r="DR5" s="259">
        <v>0.1</v>
      </c>
      <c r="DS5" s="259">
        <v>0.1</v>
      </c>
      <c r="DT5" s="259">
        <v>0.1</v>
      </c>
      <c r="DU5" s="259">
        <v>0.1</v>
      </c>
      <c r="DV5" s="259">
        <v>0.1</v>
      </c>
      <c r="DW5" s="259">
        <v>0.1</v>
      </c>
      <c r="DX5" s="259">
        <v>0.1</v>
      </c>
      <c r="DY5" s="259">
        <v>0.1</v>
      </c>
      <c r="DZ5" s="259">
        <v>0.1</v>
      </c>
      <c r="EA5" s="259">
        <v>0.1</v>
      </c>
      <c r="EB5" s="259">
        <v>0.1</v>
      </c>
      <c r="EC5" s="259">
        <v>0.1</v>
      </c>
      <c r="ED5" s="259">
        <v>0.1</v>
      </c>
      <c r="EE5" s="259">
        <v>0.1</v>
      </c>
      <c r="EF5" s="260">
        <v>0.1</v>
      </c>
      <c r="EJ5">
        <v>2</v>
      </c>
      <c r="EN5">
        <v>0.1</v>
      </c>
      <c r="EO5">
        <v>0.1</v>
      </c>
      <c r="EP5">
        <v>0.1</v>
      </c>
      <c r="EQ5">
        <v>0.1</v>
      </c>
      <c r="ER5">
        <v>0.1</v>
      </c>
      <c r="ES5">
        <v>0.1</v>
      </c>
      <c r="ET5">
        <v>0.1</v>
      </c>
      <c r="EU5">
        <v>0.1</v>
      </c>
      <c r="EV5">
        <v>0.1</v>
      </c>
      <c r="EW5">
        <v>0.1</v>
      </c>
      <c r="EX5">
        <v>0.1</v>
      </c>
      <c r="EY5">
        <v>0.1</v>
      </c>
      <c r="EZ5">
        <v>0.1</v>
      </c>
      <c r="FA5">
        <v>0.1</v>
      </c>
      <c r="FB5">
        <v>0.1</v>
      </c>
      <c r="FC5">
        <v>0.1</v>
      </c>
      <c r="FD5">
        <v>0.1</v>
      </c>
      <c r="FE5">
        <v>0.1</v>
      </c>
      <c r="FF5">
        <v>0.1</v>
      </c>
      <c r="FG5">
        <v>0.1</v>
      </c>
      <c r="FH5">
        <v>0.1</v>
      </c>
      <c r="FI5">
        <v>0.1</v>
      </c>
      <c r="FJ5">
        <v>0.1</v>
      </c>
      <c r="FK5">
        <v>0.1</v>
      </c>
      <c r="FL5">
        <v>0.1</v>
      </c>
      <c r="FM5">
        <v>0.1</v>
      </c>
      <c r="FN5">
        <v>0.1</v>
      </c>
      <c r="FO5">
        <v>0.1</v>
      </c>
      <c r="FP5">
        <v>0.1</v>
      </c>
      <c r="FQ5">
        <v>0.1</v>
      </c>
      <c r="FU5">
        <v>2</v>
      </c>
      <c r="FV5">
        <v>2.02</v>
      </c>
      <c r="FW5">
        <v>1.86</v>
      </c>
      <c r="GB5" s="71">
        <v>0.1</v>
      </c>
      <c r="GC5" s="69">
        <v>0.1</v>
      </c>
      <c r="GD5" s="69">
        <v>0.1</v>
      </c>
      <c r="GE5" s="69">
        <v>0.1</v>
      </c>
      <c r="GF5" s="69">
        <v>0.1</v>
      </c>
      <c r="GG5" s="69">
        <v>0.1</v>
      </c>
      <c r="GH5" s="69">
        <v>0.1</v>
      </c>
      <c r="GI5" s="69">
        <v>0.1</v>
      </c>
      <c r="GJ5" s="69">
        <v>0.1</v>
      </c>
      <c r="GK5" s="69">
        <v>0.1</v>
      </c>
      <c r="GL5" s="69">
        <v>0.1</v>
      </c>
      <c r="GM5" s="69">
        <v>0.1</v>
      </c>
      <c r="GN5" s="69">
        <v>0.1</v>
      </c>
      <c r="GO5" s="69">
        <v>0.1</v>
      </c>
      <c r="GP5" s="69">
        <v>0.1</v>
      </c>
      <c r="GQ5" s="69">
        <v>0.1</v>
      </c>
      <c r="GR5" s="69">
        <v>0.1</v>
      </c>
      <c r="GS5" s="69">
        <v>0.1</v>
      </c>
      <c r="GT5" s="69">
        <v>0.1</v>
      </c>
      <c r="GU5" s="69">
        <v>0.1</v>
      </c>
      <c r="GV5" s="70">
        <v>0.1</v>
      </c>
      <c r="GW5" s="66">
        <v>0.1</v>
      </c>
      <c r="GX5" s="67">
        <v>0.1</v>
      </c>
      <c r="GY5" s="67">
        <v>0.1</v>
      </c>
      <c r="GZ5" s="67">
        <v>0.1</v>
      </c>
      <c r="HA5" s="67">
        <v>0.1</v>
      </c>
      <c r="HB5" s="67">
        <v>0.1</v>
      </c>
      <c r="HC5" s="67">
        <v>0.1</v>
      </c>
      <c r="HD5" s="67">
        <v>0.1</v>
      </c>
      <c r="HE5" s="67">
        <v>0.1</v>
      </c>
      <c r="HF5" s="67">
        <v>0.1</v>
      </c>
      <c r="HG5" s="67">
        <v>0.1</v>
      </c>
      <c r="HH5" s="67">
        <v>0.1</v>
      </c>
      <c r="HI5" s="67">
        <v>0.1</v>
      </c>
      <c r="HJ5" s="67">
        <v>0.1</v>
      </c>
      <c r="HK5" s="67">
        <v>0.1</v>
      </c>
      <c r="HL5" s="67">
        <v>0.1</v>
      </c>
      <c r="HM5" s="67">
        <v>0.1</v>
      </c>
      <c r="HN5" s="67">
        <v>0.1</v>
      </c>
      <c r="HO5" s="68">
        <v>0.1</v>
      </c>
    </row>
    <row r="6" spans="1:225" ht="15.75" thickBot="1" x14ac:dyDescent="0.3">
      <c r="A6">
        <v>3</v>
      </c>
      <c r="B6" s="268" t="s">
        <v>1222</v>
      </c>
      <c r="C6" s="268" t="s">
        <v>1222</v>
      </c>
      <c r="D6" s="269">
        <v>0.78</v>
      </c>
      <c r="E6" s="2"/>
      <c r="F6" s="2"/>
      <c r="G6" s="2"/>
      <c r="H6" s="258">
        <v>0.1</v>
      </c>
      <c r="I6" s="259">
        <v>0.1</v>
      </c>
      <c r="J6" s="259">
        <v>0.1</v>
      </c>
      <c r="K6" s="259">
        <v>0.1</v>
      </c>
      <c r="L6" s="259">
        <v>0.1</v>
      </c>
      <c r="M6" s="259">
        <v>0.1</v>
      </c>
      <c r="N6" s="259">
        <v>0.1</v>
      </c>
      <c r="O6" s="259">
        <v>0.1</v>
      </c>
      <c r="P6" s="259">
        <v>0.1</v>
      </c>
      <c r="Q6" s="259">
        <v>0.1</v>
      </c>
      <c r="R6" s="259">
        <v>0.1</v>
      </c>
      <c r="S6" s="259">
        <v>0.1</v>
      </c>
      <c r="T6" s="259">
        <v>0.1</v>
      </c>
      <c r="U6" s="259">
        <v>0.1</v>
      </c>
      <c r="V6" s="259">
        <v>0.1</v>
      </c>
      <c r="W6" s="259">
        <v>0.1</v>
      </c>
      <c r="X6" s="259">
        <v>0.1</v>
      </c>
      <c r="Y6" s="259">
        <v>0.1</v>
      </c>
      <c r="Z6" s="259">
        <v>0.1</v>
      </c>
      <c r="AA6" s="259">
        <v>0.1</v>
      </c>
      <c r="AB6" s="259">
        <v>0.1</v>
      </c>
      <c r="AC6" s="259">
        <v>0.1</v>
      </c>
      <c r="AD6" s="259">
        <v>0.1</v>
      </c>
      <c r="AE6" s="259">
        <v>0.1</v>
      </c>
      <c r="AF6" s="260">
        <v>0.1</v>
      </c>
      <c r="AG6" s="258">
        <v>0.1</v>
      </c>
      <c r="AH6" s="259">
        <v>0.1</v>
      </c>
      <c r="AI6" s="259">
        <v>0.1</v>
      </c>
      <c r="AJ6" s="259">
        <v>0.1</v>
      </c>
      <c r="AK6" s="259">
        <v>0.1</v>
      </c>
      <c r="AL6" s="259">
        <v>0.1</v>
      </c>
      <c r="AM6" s="259">
        <v>0.1</v>
      </c>
      <c r="AN6" s="259">
        <v>0.1</v>
      </c>
      <c r="AO6" s="259">
        <v>0.1</v>
      </c>
      <c r="AP6" s="259">
        <v>0.1</v>
      </c>
      <c r="AQ6" s="259">
        <v>0.1</v>
      </c>
      <c r="AR6" s="259">
        <v>0.1</v>
      </c>
      <c r="AS6" s="259">
        <v>0.1</v>
      </c>
      <c r="AT6" s="259">
        <v>0.1</v>
      </c>
      <c r="AU6" s="259">
        <v>0.1</v>
      </c>
      <c r="AV6" s="264">
        <v>0.1</v>
      </c>
      <c r="AW6" s="264">
        <v>0.1</v>
      </c>
      <c r="AX6" s="264">
        <v>0.1</v>
      </c>
      <c r="AY6" s="264">
        <v>0.1</v>
      </c>
      <c r="AZ6" s="264">
        <v>0.1</v>
      </c>
      <c r="BA6" s="264">
        <v>0.1</v>
      </c>
      <c r="BB6" s="264">
        <v>0.1</v>
      </c>
      <c r="BC6" s="264">
        <v>0.1</v>
      </c>
      <c r="BD6" s="264">
        <v>0.1</v>
      </c>
      <c r="BE6" s="265">
        <v>0.1</v>
      </c>
      <c r="BF6" s="258">
        <v>0.1</v>
      </c>
      <c r="BG6" s="259">
        <v>0.1</v>
      </c>
      <c r="BH6" s="259">
        <v>0.1</v>
      </c>
      <c r="BI6" s="259">
        <v>0.1</v>
      </c>
      <c r="BJ6" s="259">
        <v>0.1</v>
      </c>
      <c r="BK6" s="259">
        <v>0.1</v>
      </c>
      <c r="BL6" s="259">
        <v>0.1</v>
      </c>
      <c r="BM6" s="260">
        <v>0.1</v>
      </c>
      <c r="BN6">
        <v>0.1</v>
      </c>
      <c r="BO6">
        <v>0.1</v>
      </c>
      <c r="BP6">
        <f>SUM(BN6:BO6)</f>
        <v>0.2</v>
      </c>
      <c r="BS6">
        <v>3</v>
      </c>
      <c r="BT6" s="270" t="s">
        <v>1223</v>
      </c>
      <c r="BU6" s="271" t="s">
        <v>1188</v>
      </c>
      <c r="BV6" s="271">
        <v>1.08</v>
      </c>
      <c r="BW6" s="2"/>
      <c r="BX6" s="2"/>
      <c r="BY6" s="258">
        <v>0.1</v>
      </c>
      <c r="BZ6" s="259">
        <v>0.1</v>
      </c>
      <c r="CA6" s="259">
        <v>0.1</v>
      </c>
      <c r="CB6" s="259">
        <v>0.1</v>
      </c>
      <c r="CC6" s="259">
        <v>0.1</v>
      </c>
      <c r="CD6" s="259">
        <v>0.1</v>
      </c>
      <c r="CE6" s="259">
        <v>0.1</v>
      </c>
      <c r="CF6" s="259">
        <v>0.1</v>
      </c>
      <c r="CG6" s="259">
        <v>0.1</v>
      </c>
      <c r="CH6" s="259">
        <v>0.1</v>
      </c>
      <c r="CI6" s="259">
        <v>0.1</v>
      </c>
      <c r="CJ6" s="259">
        <v>0.1</v>
      </c>
      <c r="CK6" s="259">
        <v>0.1</v>
      </c>
      <c r="CL6" s="259">
        <v>0.1</v>
      </c>
      <c r="CM6" s="259">
        <v>0.1</v>
      </c>
      <c r="CN6" s="259">
        <v>0.1</v>
      </c>
      <c r="CO6" s="259">
        <v>0.1</v>
      </c>
      <c r="CP6" s="259">
        <v>0.1</v>
      </c>
      <c r="CQ6" s="259">
        <v>0.1</v>
      </c>
      <c r="CR6" s="259">
        <v>0.1</v>
      </c>
      <c r="CS6" s="259">
        <v>0.1</v>
      </c>
      <c r="CT6" s="259">
        <v>0.1</v>
      </c>
      <c r="CU6" s="260">
        <v>0.1</v>
      </c>
      <c r="CV6" s="258">
        <v>0.1</v>
      </c>
      <c r="CW6" s="259">
        <v>0.1</v>
      </c>
      <c r="CX6" s="259">
        <v>0.1</v>
      </c>
      <c r="CY6" s="259">
        <v>0.1</v>
      </c>
      <c r="CZ6" s="259">
        <v>0.1</v>
      </c>
      <c r="DA6" s="259">
        <v>0.1</v>
      </c>
      <c r="DB6" s="259">
        <v>0.1</v>
      </c>
      <c r="DC6" s="259">
        <v>0.1</v>
      </c>
      <c r="DD6" s="259">
        <v>0.1</v>
      </c>
      <c r="DE6" s="259">
        <v>0.1</v>
      </c>
      <c r="DF6" s="259">
        <v>0.1</v>
      </c>
      <c r="DG6" s="259">
        <v>0.1</v>
      </c>
      <c r="DH6" s="259">
        <v>0.1</v>
      </c>
      <c r="DI6" s="259">
        <v>0.1</v>
      </c>
      <c r="DJ6" s="259">
        <v>0.1</v>
      </c>
      <c r="DK6" s="259">
        <v>0.1</v>
      </c>
      <c r="DL6" s="259">
        <v>0.1</v>
      </c>
      <c r="DM6" s="259">
        <v>0.1</v>
      </c>
      <c r="DN6" s="259">
        <v>0.1</v>
      </c>
      <c r="DO6" s="259">
        <v>0.1</v>
      </c>
      <c r="DP6" s="259">
        <v>0.1</v>
      </c>
      <c r="DQ6" s="259">
        <v>0.1</v>
      </c>
      <c r="DR6" s="259">
        <v>0.1</v>
      </c>
      <c r="DS6" s="259">
        <v>0.1</v>
      </c>
      <c r="DT6" s="259">
        <v>0.1</v>
      </c>
      <c r="DU6" s="260">
        <v>0.1</v>
      </c>
      <c r="DV6" s="258">
        <v>0.1</v>
      </c>
      <c r="DW6" s="259">
        <v>0.1</v>
      </c>
      <c r="DX6" s="259">
        <v>0.1</v>
      </c>
      <c r="DY6" s="259">
        <v>0.1</v>
      </c>
      <c r="DZ6" s="259">
        <v>0.1</v>
      </c>
      <c r="EA6" s="259">
        <v>0.1</v>
      </c>
      <c r="EB6" s="259">
        <v>0.1</v>
      </c>
      <c r="EC6" s="259">
        <v>0.1</v>
      </c>
      <c r="ED6" s="259">
        <v>0.1</v>
      </c>
      <c r="EE6" s="259">
        <v>0.1</v>
      </c>
      <c r="EF6" s="260">
        <v>0.1</v>
      </c>
      <c r="EJ6">
        <v>3</v>
      </c>
      <c r="EN6">
        <v>0.1</v>
      </c>
      <c r="EO6">
        <v>0.1</v>
      </c>
      <c r="EP6">
        <v>0.1</v>
      </c>
      <c r="EQ6">
        <v>0.1</v>
      </c>
      <c r="ER6">
        <v>0.1</v>
      </c>
      <c r="ES6">
        <v>0.1</v>
      </c>
      <c r="ET6">
        <v>0.1</v>
      </c>
      <c r="EU6">
        <v>0.1</v>
      </c>
      <c r="EV6">
        <v>0.1</v>
      </c>
      <c r="EW6">
        <v>0.1</v>
      </c>
      <c r="EX6">
        <v>0.1</v>
      </c>
      <c r="EY6">
        <v>0.1</v>
      </c>
      <c r="EZ6">
        <v>0.1</v>
      </c>
      <c r="FA6">
        <v>0.1</v>
      </c>
      <c r="FB6">
        <v>0.1</v>
      </c>
      <c r="FC6">
        <v>0.1</v>
      </c>
      <c r="FD6">
        <v>0.1</v>
      </c>
      <c r="FE6">
        <v>0.1</v>
      </c>
      <c r="FF6">
        <v>0.1</v>
      </c>
      <c r="FG6">
        <v>0.1</v>
      </c>
      <c r="FH6">
        <v>0.1</v>
      </c>
      <c r="FI6">
        <v>0.1</v>
      </c>
      <c r="FJ6">
        <v>0.1</v>
      </c>
      <c r="FK6">
        <v>0.1</v>
      </c>
      <c r="FL6">
        <v>0.1</v>
      </c>
      <c r="FM6">
        <v>0.1</v>
      </c>
      <c r="FN6">
        <v>0.1</v>
      </c>
      <c r="FO6">
        <v>0.1</v>
      </c>
      <c r="FP6">
        <v>0.1</v>
      </c>
      <c r="FQ6">
        <v>0.1</v>
      </c>
      <c r="FU6">
        <v>3</v>
      </c>
      <c r="FV6">
        <v>2.14</v>
      </c>
      <c r="FW6">
        <v>1.72</v>
      </c>
      <c r="GB6" s="66">
        <v>0.1</v>
      </c>
      <c r="GC6" s="67">
        <v>0.1</v>
      </c>
      <c r="GD6" s="67">
        <v>0.1</v>
      </c>
      <c r="GE6" s="67">
        <v>0.1</v>
      </c>
      <c r="GF6" s="67">
        <v>0.1</v>
      </c>
      <c r="GG6" s="67">
        <v>0.1</v>
      </c>
      <c r="GH6" s="67">
        <v>0.1</v>
      </c>
      <c r="GI6" s="67">
        <v>0.1</v>
      </c>
      <c r="GJ6" s="67">
        <v>0.1</v>
      </c>
      <c r="GK6" s="67">
        <v>0.1</v>
      </c>
      <c r="GL6" s="67">
        <v>0.1</v>
      </c>
      <c r="GM6" s="67">
        <v>0.1</v>
      </c>
      <c r="GN6" s="67">
        <v>0.1</v>
      </c>
      <c r="GO6" s="67">
        <v>0.1</v>
      </c>
      <c r="GP6" s="67">
        <v>0.1</v>
      </c>
      <c r="GQ6" s="67">
        <v>0.1</v>
      </c>
      <c r="GR6" s="67">
        <v>0.1</v>
      </c>
      <c r="GS6" s="67">
        <v>0.1</v>
      </c>
      <c r="GT6" s="67">
        <v>0.1</v>
      </c>
      <c r="GU6" s="67">
        <v>0.1</v>
      </c>
      <c r="GV6" s="67">
        <v>0.1</v>
      </c>
      <c r="GW6" s="68">
        <v>0.1</v>
      </c>
      <c r="GX6" s="66">
        <v>0.1</v>
      </c>
      <c r="GY6" s="67">
        <v>0.1</v>
      </c>
      <c r="GZ6" s="67">
        <v>0.1</v>
      </c>
      <c r="HA6" s="67">
        <v>0.1</v>
      </c>
      <c r="HB6" s="67">
        <v>0.1</v>
      </c>
      <c r="HC6" s="67">
        <v>0.1</v>
      </c>
      <c r="HD6" s="67">
        <v>0.1</v>
      </c>
      <c r="HE6" s="67">
        <v>0.1</v>
      </c>
      <c r="HF6" s="67">
        <v>0.1</v>
      </c>
      <c r="HG6" s="67">
        <v>0.1</v>
      </c>
      <c r="HH6" s="67">
        <v>0.1</v>
      </c>
      <c r="HI6" s="67">
        <v>0.1</v>
      </c>
      <c r="HJ6" s="67">
        <v>0.1</v>
      </c>
      <c r="HK6" s="67">
        <v>0.1</v>
      </c>
      <c r="HL6" s="67">
        <v>0.1</v>
      </c>
      <c r="HM6" s="67">
        <v>0.1</v>
      </c>
      <c r="HN6" s="67">
        <v>0.1</v>
      </c>
      <c r="HO6" s="68">
        <v>0.1</v>
      </c>
    </row>
    <row r="7" spans="1:225" ht="15.75" thickBot="1" x14ac:dyDescent="0.3">
      <c r="A7">
        <v>4</v>
      </c>
      <c r="B7" s="268" t="s">
        <v>1175</v>
      </c>
      <c r="C7" s="2"/>
      <c r="D7" s="2"/>
      <c r="E7" s="2"/>
      <c r="F7" s="2"/>
      <c r="G7" s="2"/>
      <c r="H7" s="258">
        <v>0.1</v>
      </c>
      <c r="I7" s="259">
        <v>0.1</v>
      </c>
      <c r="J7" s="259">
        <v>0.1</v>
      </c>
      <c r="K7" s="259">
        <v>0.1</v>
      </c>
      <c r="L7" s="259">
        <v>0.1</v>
      </c>
      <c r="M7" s="259">
        <v>0.1</v>
      </c>
      <c r="N7" s="259">
        <v>0.1</v>
      </c>
      <c r="O7" s="259">
        <v>0.1</v>
      </c>
      <c r="P7" s="259">
        <v>0.1</v>
      </c>
      <c r="Q7" s="259">
        <v>0.1</v>
      </c>
      <c r="R7" s="259">
        <v>0.1</v>
      </c>
      <c r="S7" s="259">
        <v>0.1</v>
      </c>
      <c r="T7" s="259">
        <v>0.1</v>
      </c>
      <c r="U7" s="259">
        <v>0.1</v>
      </c>
      <c r="V7" s="259">
        <v>0.1</v>
      </c>
      <c r="W7" s="259">
        <v>0.1</v>
      </c>
      <c r="X7" s="259">
        <v>0.1</v>
      </c>
      <c r="Y7" s="259">
        <v>0.1</v>
      </c>
      <c r="Z7" s="259">
        <v>0.1</v>
      </c>
      <c r="AA7" s="259">
        <v>0.1</v>
      </c>
      <c r="AB7" s="259">
        <v>0.1</v>
      </c>
      <c r="AC7" s="259">
        <v>0.1</v>
      </c>
      <c r="AD7" s="259">
        <v>0.1</v>
      </c>
      <c r="AE7" s="259">
        <v>0.1</v>
      </c>
      <c r="AF7" s="259">
        <v>0.1</v>
      </c>
      <c r="AG7" s="259">
        <v>0.1</v>
      </c>
      <c r="AH7" s="259">
        <v>0.1</v>
      </c>
      <c r="AI7" s="259">
        <v>0.1</v>
      </c>
      <c r="AJ7" s="259">
        <v>0.1</v>
      </c>
      <c r="AK7" s="259">
        <v>0.1</v>
      </c>
      <c r="AL7" s="259">
        <v>0.1</v>
      </c>
      <c r="AM7" s="259">
        <v>0.1</v>
      </c>
      <c r="AN7" s="259">
        <v>0.1</v>
      </c>
      <c r="AO7" s="259">
        <v>0.1</v>
      </c>
      <c r="AP7" s="259">
        <v>0.1</v>
      </c>
      <c r="AQ7" s="259">
        <v>0.1</v>
      </c>
      <c r="AR7" s="259">
        <v>0.1</v>
      </c>
      <c r="AS7" s="259">
        <v>0.1</v>
      </c>
      <c r="AT7" s="259">
        <v>0.1</v>
      </c>
      <c r="AU7" s="259">
        <v>0.1</v>
      </c>
      <c r="AV7" s="259">
        <v>0.1</v>
      </c>
      <c r="AW7" s="259">
        <v>0.1</v>
      </c>
      <c r="AX7" s="259">
        <v>0.1</v>
      </c>
      <c r="AY7" s="259">
        <v>0.1</v>
      </c>
      <c r="AZ7" s="259">
        <v>0.1</v>
      </c>
      <c r="BA7" s="259">
        <v>0.1</v>
      </c>
      <c r="BB7" s="259">
        <v>0.1</v>
      </c>
      <c r="BC7" s="259">
        <v>0.1</v>
      </c>
      <c r="BD7" s="259">
        <v>0.1</v>
      </c>
      <c r="BE7" s="259">
        <v>0.1</v>
      </c>
      <c r="BF7" s="259">
        <v>0.1</v>
      </c>
      <c r="BG7" s="259">
        <v>0.1</v>
      </c>
      <c r="BH7" s="259">
        <v>0.1</v>
      </c>
      <c r="BI7" s="259">
        <v>0.1</v>
      </c>
      <c r="BJ7" s="259">
        <v>0.1</v>
      </c>
      <c r="BK7" s="259">
        <v>0.1</v>
      </c>
      <c r="BL7" s="259">
        <v>0.1</v>
      </c>
      <c r="BM7" s="259">
        <v>0.1</v>
      </c>
      <c r="BN7" s="259">
        <v>0.1</v>
      </c>
      <c r="BO7" s="260">
        <v>0.1</v>
      </c>
      <c r="BS7">
        <v>4</v>
      </c>
      <c r="BT7" s="271" t="s">
        <v>1186</v>
      </c>
      <c r="BU7" s="2"/>
      <c r="BV7" s="2"/>
      <c r="BW7" s="2"/>
      <c r="BX7" s="2"/>
      <c r="BY7" s="258">
        <v>0.1</v>
      </c>
      <c r="BZ7" s="259">
        <v>0.1</v>
      </c>
      <c r="CA7" s="259">
        <v>0.1</v>
      </c>
      <c r="CB7" s="259">
        <v>0.1</v>
      </c>
      <c r="CC7" s="259">
        <v>0.1</v>
      </c>
      <c r="CD7" s="259">
        <v>0.1</v>
      </c>
      <c r="CE7" s="259">
        <v>0.1</v>
      </c>
      <c r="CF7" s="259">
        <v>0.1</v>
      </c>
      <c r="CG7" s="259">
        <v>0.1</v>
      </c>
      <c r="CH7" s="259">
        <v>0.1</v>
      </c>
      <c r="CI7" s="259">
        <v>0.1</v>
      </c>
      <c r="CJ7" s="259">
        <v>0.1</v>
      </c>
      <c r="CK7" s="259">
        <v>0.1</v>
      </c>
      <c r="CL7" s="259">
        <v>0.1</v>
      </c>
      <c r="CM7" s="259">
        <v>0.1</v>
      </c>
      <c r="CN7" s="259">
        <v>0.1</v>
      </c>
      <c r="CO7" s="259">
        <v>0.1</v>
      </c>
      <c r="CP7" s="259">
        <v>0.1</v>
      </c>
      <c r="CQ7" s="259">
        <v>0.1</v>
      </c>
      <c r="CR7" s="259">
        <v>0.1</v>
      </c>
      <c r="CS7" s="259">
        <v>0.1</v>
      </c>
      <c r="CT7" s="259">
        <v>0.1</v>
      </c>
      <c r="CU7" s="259">
        <v>0.1</v>
      </c>
      <c r="CV7" s="259">
        <v>0.1</v>
      </c>
      <c r="CW7" s="259">
        <v>0.1</v>
      </c>
      <c r="CX7" s="259">
        <v>0.1</v>
      </c>
      <c r="CY7" s="259">
        <v>0.1</v>
      </c>
      <c r="CZ7" s="259">
        <v>0.1</v>
      </c>
      <c r="DA7" s="259">
        <v>0.1</v>
      </c>
      <c r="DB7" s="259">
        <v>0.1</v>
      </c>
      <c r="DC7" s="259">
        <v>0.1</v>
      </c>
      <c r="DD7" s="259">
        <v>0.1</v>
      </c>
      <c r="DE7" s="259">
        <v>0.1</v>
      </c>
      <c r="DF7" s="259">
        <v>0.1</v>
      </c>
      <c r="DG7" s="259">
        <v>0.1</v>
      </c>
      <c r="DH7" s="259">
        <v>0.1</v>
      </c>
      <c r="DI7" s="259">
        <v>0.1</v>
      </c>
      <c r="DJ7" s="259">
        <v>0.1</v>
      </c>
      <c r="DK7" s="259">
        <v>0.1</v>
      </c>
      <c r="DL7" s="259">
        <v>0.1</v>
      </c>
      <c r="DM7" s="259">
        <v>0.1</v>
      </c>
      <c r="DN7" s="259">
        <v>0.1</v>
      </c>
      <c r="DO7" s="259">
        <v>0.1</v>
      </c>
      <c r="DP7" s="259">
        <v>0.1</v>
      </c>
      <c r="DQ7" s="259">
        <v>0.1</v>
      </c>
      <c r="DR7" s="259">
        <v>0.1</v>
      </c>
      <c r="DS7" s="259">
        <v>0.1</v>
      </c>
      <c r="DT7" s="259">
        <v>0.1</v>
      </c>
      <c r="DU7" s="259">
        <v>0.1</v>
      </c>
      <c r="DV7" s="259">
        <v>0.1</v>
      </c>
      <c r="DW7" s="259">
        <v>0.1</v>
      </c>
      <c r="DX7" s="259">
        <v>0.1</v>
      </c>
      <c r="DY7" s="259">
        <v>0.1</v>
      </c>
      <c r="DZ7" s="259">
        <v>0.1</v>
      </c>
      <c r="EA7" s="259">
        <v>0.1</v>
      </c>
      <c r="EB7" s="259">
        <v>0.1</v>
      </c>
      <c r="EC7" s="259">
        <v>0.1</v>
      </c>
      <c r="ED7" s="259">
        <v>0.1</v>
      </c>
      <c r="EE7" s="259">
        <v>0.1</v>
      </c>
      <c r="EF7" s="260">
        <v>0.1</v>
      </c>
      <c r="EJ7">
        <v>4</v>
      </c>
      <c r="EN7">
        <v>0.1</v>
      </c>
      <c r="EO7">
        <v>0.1</v>
      </c>
      <c r="EP7">
        <v>0.1</v>
      </c>
      <c r="EQ7">
        <v>0.1</v>
      </c>
      <c r="ER7">
        <v>0.1</v>
      </c>
      <c r="ES7">
        <v>0.1</v>
      </c>
      <c r="ET7">
        <v>0.1</v>
      </c>
      <c r="EU7">
        <v>0.1</v>
      </c>
      <c r="EV7">
        <v>0.1</v>
      </c>
      <c r="EW7">
        <v>0.1</v>
      </c>
      <c r="EX7">
        <v>0.1</v>
      </c>
      <c r="EY7">
        <v>0.1</v>
      </c>
      <c r="EZ7">
        <v>0.1</v>
      </c>
      <c r="FA7">
        <v>0.1</v>
      </c>
      <c r="FB7">
        <v>0.1</v>
      </c>
      <c r="FC7">
        <v>0.1</v>
      </c>
      <c r="FD7">
        <v>0.1</v>
      </c>
      <c r="FE7">
        <v>0.1</v>
      </c>
      <c r="FF7">
        <v>0.1</v>
      </c>
      <c r="FG7">
        <v>0.1</v>
      </c>
      <c r="FH7">
        <v>0.1</v>
      </c>
      <c r="FI7">
        <v>0.1</v>
      </c>
      <c r="FJ7">
        <v>0.1</v>
      </c>
      <c r="FK7">
        <v>0.1</v>
      </c>
      <c r="FL7">
        <v>0.1</v>
      </c>
      <c r="FM7">
        <v>0.1</v>
      </c>
      <c r="FN7">
        <v>0.1</v>
      </c>
      <c r="FO7">
        <v>0.1</v>
      </c>
      <c r="FP7">
        <v>0.1</v>
      </c>
      <c r="FQ7">
        <v>0.1</v>
      </c>
      <c r="FU7">
        <v>4</v>
      </c>
      <c r="FV7">
        <v>2.14</v>
      </c>
      <c r="FW7">
        <v>1.72</v>
      </c>
      <c r="GB7" s="71">
        <v>0.1</v>
      </c>
      <c r="GC7" s="69">
        <v>0.1</v>
      </c>
      <c r="GD7" s="69">
        <v>0.1</v>
      </c>
      <c r="GE7" s="69">
        <v>0.1</v>
      </c>
      <c r="GF7" s="69">
        <v>0.1</v>
      </c>
      <c r="GG7" s="69">
        <v>0.1</v>
      </c>
      <c r="GH7" s="69">
        <v>0.1</v>
      </c>
      <c r="GI7" s="69">
        <v>0.1</v>
      </c>
      <c r="GJ7" s="69">
        <v>0.1</v>
      </c>
      <c r="GK7" s="69">
        <v>0.1</v>
      </c>
      <c r="GL7" s="69">
        <v>0.1</v>
      </c>
      <c r="GM7" s="69">
        <v>0.1</v>
      </c>
      <c r="GN7" s="69">
        <v>0.1</v>
      </c>
      <c r="GO7" s="69">
        <v>0.1</v>
      </c>
      <c r="GP7" s="69">
        <v>0.1</v>
      </c>
      <c r="GQ7" s="69">
        <v>0.1</v>
      </c>
      <c r="GR7" s="69">
        <v>0.1</v>
      </c>
      <c r="GS7" s="69">
        <v>0.1</v>
      </c>
      <c r="GT7" s="69">
        <v>0.1</v>
      </c>
      <c r="GU7" s="69">
        <v>0.1</v>
      </c>
      <c r="GV7" s="69">
        <v>0.1</v>
      </c>
      <c r="GW7" s="70">
        <v>0.1</v>
      </c>
      <c r="GX7" s="66">
        <v>0.1</v>
      </c>
      <c r="GY7" s="67">
        <v>0.1</v>
      </c>
      <c r="GZ7" s="67">
        <v>0.1</v>
      </c>
      <c r="HA7" s="67">
        <v>0.1</v>
      </c>
      <c r="HB7" s="67">
        <v>0.1</v>
      </c>
      <c r="HC7" s="67">
        <v>0.1</v>
      </c>
      <c r="HD7" s="67">
        <v>0.1</v>
      </c>
      <c r="HE7" s="67">
        <v>0.1</v>
      </c>
      <c r="HF7" s="67">
        <v>0.1</v>
      </c>
      <c r="HG7" s="67">
        <v>0.1</v>
      </c>
      <c r="HH7" s="67">
        <v>0.1</v>
      </c>
      <c r="HI7" s="67">
        <v>0.1</v>
      </c>
      <c r="HJ7" s="67">
        <v>0.1</v>
      </c>
      <c r="HK7" s="67">
        <v>0.1</v>
      </c>
      <c r="HL7" s="67">
        <v>0.1</v>
      </c>
      <c r="HM7" s="67">
        <v>0.1</v>
      </c>
      <c r="HN7" s="67">
        <v>0.1</v>
      </c>
      <c r="HO7" s="68">
        <v>0.1</v>
      </c>
    </row>
    <row r="8" spans="1:225" ht="15.75" thickBot="1" x14ac:dyDescent="0.3">
      <c r="A8">
        <v>5</v>
      </c>
      <c r="B8" s="268" t="s">
        <v>1176</v>
      </c>
      <c r="C8" s="269">
        <v>1.52</v>
      </c>
      <c r="D8" s="2"/>
      <c r="E8" s="2"/>
      <c r="F8" s="2"/>
      <c r="G8" s="2"/>
      <c r="H8" s="258">
        <v>0.1</v>
      </c>
      <c r="I8" s="259">
        <v>0.1</v>
      </c>
      <c r="J8" s="259">
        <v>0.1</v>
      </c>
      <c r="K8" s="259">
        <v>0.1</v>
      </c>
      <c r="L8" s="259">
        <v>0.1</v>
      </c>
      <c r="M8" s="259">
        <v>0.1</v>
      </c>
      <c r="N8" s="259">
        <v>0.1</v>
      </c>
      <c r="O8" s="259">
        <v>0.1</v>
      </c>
      <c r="P8" s="259">
        <v>0.1</v>
      </c>
      <c r="Q8" s="259">
        <v>0.1</v>
      </c>
      <c r="R8" s="259">
        <v>0.1</v>
      </c>
      <c r="S8" s="259">
        <v>0.1</v>
      </c>
      <c r="T8" s="259">
        <v>0.1</v>
      </c>
      <c r="U8" s="259">
        <v>0.1</v>
      </c>
      <c r="V8" s="259">
        <v>0.1</v>
      </c>
      <c r="W8" s="259">
        <v>0.1</v>
      </c>
      <c r="X8" s="259">
        <v>0.1</v>
      </c>
      <c r="Y8" s="259">
        <v>0.1</v>
      </c>
      <c r="Z8" s="259">
        <v>0.1</v>
      </c>
      <c r="AA8" s="259">
        <v>0.1</v>
      </c>
      <c r="AB8" s="259">
        <v>0.1</v>
      </c>
      <c r="AC8" s="259">
        <v>0.1</v>
      </c>
      <c r="AD8" s="259">
        <v>0.1</v>
      </c>
      <c r="AE8" s="259">
        <v>0.1</v>
      </c>
      <c r="AF8" s="259">
        <v>0.1</v>
      </c>
      <c r="AG8" s="259">
        <v>0.1</v>
      </c>
      <c r="AH8" s="259">
        <v>0.1</v>
      </c>
      <c r="AI8" s="259">
        <v>0.1</v>
      </c>
      <c r="AJ8" s="259">
        <v>0.1</v>
      </c>
      <c r="AK8" s="259">
        <v>0.1</v>
      </c>
      <c r="AL8" s="259">
        <v>0.1</v>
      </c>
      <c r="AM8" s="259">
        <v>0.1</v>
      </c>
      <c r="AN8" s="259">
        <v>0.1</v>
      </c>
      <c r="AO8" s="259">
        <v>0.1</v>
      </c>
      <c r="AP8" s="259">
        <v>0.1</v>
      </c>
      <c r="AQ8" s="259">
        <v>0.1</v>
      </c>
      <c r="AR8" s="259">
        <v>0.1</v>
      </c>
      <c r="AS8" s="259">
        <v>0.1</v>
      </c>
      <c r="AT8" s="259">
        <v>0.1</v>
      </c>
      <c r="AU8" s="260">
        <v>0.1</v>
      </c>
      <c r="AV8" s="258">
        <v>0.1</v>
      </c>
      <c r="AW8" s="259">
        <v>0.1</v>
      </c>
      <c r="AX8" s="259">
        <v>0.1</v>
      </c>
      <c r="AY8" s="259">
        <v>0.1</v>
      </c>
      <c r="AZ8" s="259">
        <v>0.1</v>
      </c>
      <c r="BA8" s="259">
        <v>0.1</v>
      </c>
      <c r="BB8" s="259">
        <v>0.1</v>
      </c>
      <c r="BC8" s="259">
        <v>0.1</v>
      </c>
      <c r="BD8" s="259">
        <v>0.1</v>
      </c>
      <c r="BE8" s="259">
        <v>0.1</v>
      </c>
      <c r="BF8" s="259">
        <v>0.1</v>
      </c>
      <c r="BG8" s="259">
        <v>0.1</v>
      </c>
      <c r="BH8" s="259">
        <v>0.1</v>
      </c>
      <c r="BI8" s="259">
        <v>0.1</v>
      </c>
      <c r="BJ8" s="259">
        <v>0.1</v>
      </c>
      <c r="BK8" s="260">
        <v>0.1</v>
      </c>
      <c r="BL8">
        <v>0.1</v>
      </c>
      <c r="BM8">
        <v>0.1</v>
      </c>
      <c r="BN8">
        <v>0.1</v>
      </c>
      <c r="BO8">
        <v>0.1</v>
      </c>
      <c r="BP8">
        <f>SUM(BL8:BO8)</f>
        <v>0.4</v>
      </c>
      <c r="BS8">
        <v>5</v>
      </c>
      <c r="BT8" s="271" t="s">
        <v>1187</v>
      </c>
      <c r="BU8" s="271">
        <v>1</v>
      </c>
      <c r="BV8" s="270">
        <v>1</v>
      </c>
      <c r="BW8" s="2"/>
      <c r="BX8" s="2"/>
      <c r="BY8" s="258">
        <v>0.1</v>
      </c>
      <c r="BZ8" s="259">
        <v>0.1</v>
      </c>
      <c r="CA8" s="259">
        <v>0.1</v>
      </c>
      <c r="CB8" s="259">
        <v>0.1</v>
      </c>
      <c r="CC8" s="259">
        <v>0.1</v>
      </c>
      <c r="CD8" s="259">
        <v>0.1</v>
      </c>
      <c r="CE8" s="259">
        <v>0.1</v>
      </c>
      <c r="CF8" s="259">
        <v>0.1</v>
      </c>
      <c r="CG8" s="259">
        <v>0.1</v>
      </c>
      <c r="CH8" s="259">
        <v>0.1</v>
      </c>
      <c r="CI8" s="259">
        <v>0.1</v>
      </c>
      <c r="CJ8" s="259">
        <v>0.1</v>
      </c>
      <c r="CK8" s="259">
        <v>0.1</v>
      </c>
      <c r="CL8" s="259">
        <v>0.1</v>
      </c>
      <c r="CM8" s="259">
        <v>0.1</v>
      </c>
      <c r="CN8" s="259">
        <v>0.1</v>
      </c>
      <c r="CO8" s="259">
        <v>0.1</v>
      </c>
      <c r="CP8" s="259">
        <v>0.1</v>
      </c>
      <c r="CQ8" s="259">
        <v>0.1</v>
      </c>
      <c r="CR8" s="259">
        <v>0.1</v>
      </c>
      <c r="CS8" s="259">
        <v>0.1</v>
      </c>
      <c r="CT8" s="259">
        <v>0.1</v>
      </c>
      <c r="CU8" s="259">
        <v>0.1</v>
      </c>
      <c r="CV8" s="259">
        <v>0.1</v>
      </c>
      <c r="CW8" s="259">
        <v>0.1</v>
      </c>
      <c r="CX8" s="259">
        <v>0.1</v>
      </c>
      <c r="CY8" s="259">
        <v>0.1</v>
      </c>
      <c r="CZ8" s="259">
        <v>0.1</v>
      </c>
      <c r="DA8" s="259">
        <v>0.1</v>
      </c>
      <c r="DB8" s="259">
        <v>0.1</v>
      </c>
      <c r="DC8" s="259">
        <v>0.1</v>
      </c>
      <c r="DD8" s="259">
        <v>0.1</v>
      </c>
      <c r="DE8" s="259">
        <v>0.1</v>
      </c>
      <c r="DF8" s="259">
        <v>0.1</v>
      </c>
      <c r="DG8" s="259">
        <v>0.1</v>
      </c>
      <c r="DH8" s="259">
        <v>0.1</v>
      </c>
      <c r="DI8" s="259">
        <v>0.1</v>
      </c>
      <c r="DJ8" s="259">
        <v>0.1</v>
      </c>
      <c r="DK8" s="259">
        <v>0.1</v>
      </c>
      <c r="DL8" s="260">
        <v>0.1</v>
      </c>
      <c r="DM8" s="258">
        <v>0.1</v>
      </c>
      <c r="DN8" s="259">
        <v>0.1</v>
      </c>
      <c r="DO8" s="259">
        <v>0.1</v>
      </c>
      <c r="DP8" s="259">
        <v>0.1</v>
      </c>
      <c r="DQ8" s="259">
        <v>0.1</v>
      </c>
      <c r="DR8" s="259">
        <v>0.1</v>
      </c>
      <c r="DS8" s="259">
        <v>0.1</v>
      </c>
      <c r="DT8" s="259">
        <v>0.1</v>
      </c>
      <c r="DU8" s="259">
        <v>0.1</v>
      </c>
      <c r="DV8" s="260">
        <v>0.1</v>
      </c>
      <c r="DW8" s="258">
        <v>0.1</v>
      </c>
      <c r="DX8" s="259">
        <v>0.1</v>
      </c>
      <c r="DY8" s="259">
        <v>0.1</v>
      </c>
      <c r="DZ8" s="259">
        <v>0.1</v>
      </c>
      <c r="EA8" s="259">
        <v>0.1</v>
      </c>
      <c r="EB8" s="259">
        <v>0.1</v>
      </c>
      <c r="EC8" s="259">
        <v>0.1</v>
      </c>
      <c r="ED8" s="259">
        <v>0.1</v>
      </c>
      <c r="EE8" s="259">
        <v>0.1</v>
      </c>
      <c r="EF8" s="260">
        <v>0.1</v>
      </c>
      <c r="EJ8">
        <v>5</v>
      </c>
      <c r="EN8">
        <v>0.1</v>
      </c>
      <c r="EO8">
        <v>0.1</v>
      </c>
      <c r="EP8">
        <v>0.1</v>
      </c>
      <c r="EQ8">
        <v>0.1</v>
      </c>
      <c r="ER8">
        <v>0.1</v>
      </c>
      <c r="ES8">
        <v>0.1</v>
      </c>
      <c r="ET8">
        <v>0.1</v>
      </c>
      <c r="EU8">
        <v>0.1</v>
      </c>
      <c r="EV8">
        <v>0.1</v>
      </c>
      <c r="EW8">
        <v>0.1</v>
      </c>
      <c r="EX8">
        <v>0.1</v>
      </c>
      <c r="EY8">
        <v>0.1</v>
      </c>
      <c r="EZ8">
        <v>0.1</v>
      </c>
      <c r="FA8">
        <v>0.1</v>
      </c>
      <c r="FB8">
        <v>0.1</v>
      </c>
      <c r="FC8">
        <v>0.1</v>
      </c>
      <c r="FD8">
        <v>0.1</v>
      </c>
      <c r="FE8">
        <v>0.1</v>
      </c>
      <c r="FF8">
        <v>0.1</v>
      </c>
      <c r="FG8">
        <v>0.1</v>
      </c>
      <c r="FH8">
        <v>0.1</v>
      </c>
      <c r="FI8">
        <v>0.1</v>
      </c>
      <c r="FJ8">
        <v>0.1</v>
      </c>
      <c r="FK8">
        <v>0.1</v>
      </c>
      <c r="FL8">
        <v>0.1</v>
      </c>
      <c r="FM8">
        <v>0.1</v>
      </c>
      <c r="FN8">
        <v>0.1</v>
      </c>
      <c r="FO8">
        <v>0.1</v>
      </c>
      <c r="FP8">
        <v>0.1</v>
      </c>
      <c r="FQ8">
        <v>0.1</v>
      </c>
      <c r="FU8">
        <v>5</v>
      </c>
      <c r="FV8">
        <v>2.2999999999999998</v>
      </c>
      <c r="FW8">
        <v>1.7</v>
      </c>
      <c r="GB8" s="66">
        <v>0.1</v>
      </c>
      <c r="GC8" s="67">
        <v>0.1</v>
      </c>
      <c r="GD8" s="67">
        <v>0.1</v>
      </c>
      <c r="GE8" s="67">
        <v>0.1</v>
      </c>
      <c r="GF8" s="67">
        <v>0.1</v>
      </c>
      <c r="GG8" s="67">
        <v>0.1</v>
      </c>
      <c r="GH8" s="67">
        <v>0.1</v>
      </c>
      <c r="GI8" s="67">
        <v>0.1</v>
      </c>
      <c r="GJ8" s="67">
        <v>0.1</v>
      </c>
      <c r="GK8" s="67">
        <v>0.1</v>
      </c>
      <c r="GL8" s="67">
        <v>0.1</v>
      </c>
      <c r="GM8" s="67">
        <v>0.1</v>
      </c>
      <c r="GN8" s="67">
        <v>0.1</v>
      </c>
      <c r="GO8" s="67">
        <v>0.1</v>
      </c>
      <c r="GP8" s="67">
        <v>0.1</v>
      </c>
      <c r="GQ8" s="67">
        <v>0.1</v>
      </c>
      <c r="GR8" s="67">
        <v>0.1</v>
      </c>
      <c r="GS8" s="67">
        <v>0.1</v>
      </c>
      <c r="GT8" s="67">
        <v>0.1</v>
      </c>
      <c r="GU8" s="67">
        <v>0.1</v>
      </c>
      <c r="GV8" s="67">
        <v>0.1</v>
      </c>
      <c r="GW8" s="67">
        <v>0.1</v>
      </c>
      <c r="GX8" s="68">
        <v>0.1</v>
      </c>
      <c r="GY8" s="66">
        <v>0.1</v>
      </c>
      <c r="GZ8" s="67">
        <v>0.1</v>
      </c>
      <c r="HA8" s="67">
        <v>0.1</v>
      </c>
      <c r="HB8" s="67">
        <v>0.1</v>
      </c>
      <c r="HC8" s="67">
        <v>0.1</v>
      </c>
      <c r="HD8" s="67">
        <v>0.1</v>
      </c>
      <c r="HE8" s="67">
        <v>0.1</v>
      </c>
      <c r="HF8" s="67">
        <v>0.1</v>
      </c>
      <c r="HG8" s="67">
        <v>0.1</v>
      </c>
      <c r="HH8" s="67">
        <v>0.1</v>
      </c>
      <c r="HI8" s="67">
        <v>0.1</v>
      </c>
      <c r="HJ8" s="67">
        <v>0.1</v>
      </c>
      <c r="HK8" s="67">
        <v>0.1</v>
      </c>
      <c r="HL8" s="67">
        <v>0.1</v>
      </c>
      <c r="HM8" s="67">
        <v>0.1</v>
      </c>
      <c r="HN8" s="67">
        <v>0.1</v>
      </c>
      <c r="HO8" s="68">
        <v>0.1</v>
      </c>
    </row>
    <row r="9" spans="1:225" ht="15.75" thickBot="1" x14ac:dyDescent="0.3">
      <c r="A9">
        <v>6</v>
      </c>
      <c r="B9" s="268" t="s">
        <v>1222</v>
      </c>
      <c r="C9" s="268" t="s">
        <v>1222</v>
      </c>
      <c r="D9" s="268">
        <v>0.78</v>
      </c>
      <c r="E9" s="2"/>
      <c r="F9" s="2"/>
      <c r="G9" s="2"/>
      <c r="H9" s="258">
        <v>0.1</v>
      </c>
      <c r="I9" s="259">
        <v>0.1</v>
      </c>
      <c r="J9" s="259">
        <v>0.1</v>
      </c>
      <c r="K9" s="259">
        <v>0.1</v>
      </c>
      <c r="L9" s="259">
        <v>0.1</v>
      </c>
      <c r="M9" s="259">
        <v>0.1</v>
      </c>
      <c r="N9" s="259">
        <v>0.1</v>
      </c>
      <c r="O9" s="259">
        <v>0.1</v>
      </c>
      <c r="P9" s="259">
        <v>0.1</v>
      </c>
      <c r="Q9" s="259">
        <v>0.1</v>
      </c>
      <c r="R9" s="259">
        <v>0.1</v>
      </c>
      <c r="S9" s="259">
        <v>0.1</v>
      </c>
      <c r="T9" s="259">
        <v>0.1</v>
      </c>
      <c r="U9" s="259">
        <v>0.1</v>
      </c>
      <c r="V9" s="259">
        <v>0.1</v>
      </c>
      <c r="W9" s="259">
        <v>0.1</v>
      </c>
      <c r="X9" s="259">
        <v>0.1</v>
      </c>
      <c r="Y9" s="259">
        <v>0.1</v>
      </c>
      <c r="Z9" s="259">
        <v>0.1</v>
      </c>
      <c r="AA9" s="259">
        <v>0.1</v>
      </c>
      <c r="AB9" s="259">
        <v>0.1</v>
      </c>
      <c r="AC9" s="259">
        <v>0.1</v>
      </c>
      <c r="AD9" s="259">
        <v>0.1</v>
      </c>
      <c r="AE9" s="259">
        <v>0.1</v>
      </c>
      <c r="AF9" s="260">
        <v>0.1</v>
      </c>
      <c r="AG9" s="258">
        <v>0.1</v>
      </c>
      <c r="AH9" s="259">
        <v>0.1</v>
      </c>
      <c r="AI9" s="259">
        <v>0.1</v>
      </c>
      <c r="AJ9" s="259">
        <v>0.1</v>
      </c>
      <c r="AK9" s="259">
        <v>0.1</v>
      </c>
      <c r="AL9" s="259">
        <v>0.1</v>
      </c>
      <c r="AM9" s="259">
        <v>0.1</v>
      </c>
      <c r="AN9" s="259">
        <v>0.1</v>
      </c>
      <c r="AO9" s="259">
        <v>0.1</v>
      </c>
      <c r="AP9" s="259">
        <v>0.1</v>
      </c>
      <c r="AQ9" s="259">
        <v>0.1</v>
      </c>
      <c r="AR9" s="259">
        <v>0.1</v>
      </c>
      <c r="AS9" s="259">
        <v>0.1</v>
      </c>
      <c r="AT9" s="259">
        <v>0.1</v>
      </c>
      <c r="AU9" s="259">
        <v>0.1</v>
      </c>
      <c r="AV9" s="259">
        <v>0.1</v>
      </c>
      <c r="AW9" s="259">
        <v>0.1</v>
      </c>
      <c r="AX9" s="259">
        <v>0.1</v>
      </c>
      <c r="AY9" s="259">
        <v>0.1</v>
      </c>
      <c r="AZ9" s="259">
        <v>0.1</v>
      </c>
      <c r="BA9" s="259">
        <v>0.1</v>
      </c>
      <c r="BB9" s="259">
        <v>0.1</v>
      </c>
      <c r="BC9" s="259">
        <v>0.1</v>
      </c>
      <c r="BD9" s="259">
        <v>0.1</v>
      </c>
      <c r="BE9" s="260">
        <v>0.1</v>
      </c>
      <c r="BF9" s="258">
        <v>0.1</v>
      </c>
      <c r="BG9" s="259">
        <v>0.1</v>
      </c>
      <c r="BH9" s="259">
        <v>0.1</v>
      </c>
      <c r="BI9" s="259">
        <v>0.1</v>
      </c>
      <c r="BJ9" s="259">
        <v>0.1</v>
      </c>
      <c r="BK9" s="259">
        <v>0.1</v>
      </c>
      <c r="BL9" s="259">
        <v>0.1</v>
      </c>
      <c r="BM9" s="260">
        <v>0.1</v>
      </c>
      <c r="BN9">
        <v>0.1</v>
      </c>
      <c r="BO9">
        <v>0.1</v>
      </c>
      <c r="BP9">
        <f>SUM(BN9:BO9)</f>
        <v>0.2</v>
      </c>
      <c r="BS9">
        <v>6</v>
      </c>
      <c r="BT9" s="270" t="s">
        <v>1189</v>
      </c>
      <c r="BU9" s="2"/>
      <c r="BV9" s="2"/>
      <c r="BW9" s="2"/>
      <c r="BX9" s="2"/>
      <c r="BY9" s="258">
        <v>0.1</v>
      </c>
      <c r="BZ9" s="259">
        <v>0.1</v>
      </c>
      <c r="CA9" s="259">
        <v>0.1</v>
      </c>
      <c r="CB9" s="259">
        <v>0.1</v>
      </c>
      <c r="CC9" s="259">
        <v>0.1</v>
      </c>
      <c r="CD9" s="259">
        <v>0.1</v>
      </c>
      <c r="CE9" s="259">
        <v>0.1</v>
      </c>
      <c r="CF9" s="259">
        <v>0.1</v>
      </c>
      <c r="CG9" s="259">
        <v>0.1</v>
      </c>
      <c r="CH9" s="259">
        <v>0.1</v>
      </c>
      <c r="CI9" s="259">
        <v>0.1</v>
      </c>
      <c r="CJ9" s="259">
        <v>0.1</v>
      </c>
      <c r="CK9" s="259">
        <v>0.1</v>
      </c>
      <c r="CL9" s="259">
        <v>0.1</v>
      </c>
      <c r="CM9" s="259">
        <v>0.1</v>
      </c>
      <c r="CN9" s="259">
        <v>0.1</v>
      </c>
      <c r="CO9" s="259">
        <v>0.1</v>
      </c>
      <c r="CP9" s="259">
        <v>0.1</v>
      </c>
      <c r="CQ9" s="259">
        <v>0.1</v>
      </c>
      <c r="CR9" s="259">
        <v>0.1</v>
      </c>
      <c r="CS9" s="259">
        <v>0.1</v>
      </c>
      <c r="CT9" s="259">
        <v>0.1</v>
      </c>
      <c r="CU9" s="259">
        <v>0.1</v>
      </c>
      <c r="CV9" s="259">
        <v>0.1</v>
      </c>
      <c r="CW9" s="259">
        <v>0.1</v>
      </c>
      <c r="CX9" s="259">
        <v>0.1</v>
      </c>
      <c r="CY9" s="259">
        <v>0.1</v>
      </c>
      <c r="CZ9" s="259">
        <v>0.1</v>
      </c>
      <c r="DA9" s="259">
        <v>0.1</v>
      </c>
      <c r="DB9" s="259">
        <v>0.1</v>
      </c>
      <c r="DC9" s="259">
        <v>0.1</v>
      </c>
      <c r="DD9" s="259">
        <v>0.1</v>
      </c>
      <c r="DE9" s="259">
        <v>0.1</v>
      </c>
      <c r="DF9" s="259">
        <v>0.1</v>
      </c>
      <c r="DG9" s="259">
        <v>0.1</v>
      </c>
      <c r="DH9" s="259">
        <v>0.1</v>
      </c>
      <c r="DI9" s="259">
        <v>0.1</v>
      </c>
      <c r="DJ9" s="259">
        <v>0.1</v>
      </c>
      <c r="DK9" s="259">
        <v>0.1</v>
      </c>
      <c r="DL9" s="259">
        <v>0.1</v>
      </c>
      <c r="DM9" s="259">
        <v>0.1</v>
      </c>
      <c r="DN9" s="259">
        <v>0.1</v>
      </c>
      <c r="DO9" s="259">
        <v>0.1</v>
      </c>
      <c r="DP9" s="259">
        <v>0.1</v>
      </c>
      <c r="DQ9" s="259">
        <v>0.1</v>
      </c>
      <c r="DR9" s="259">
        <v>0.1</v>
      </c>
      <c r="DS9" s="259">
        <v>0.1</v>
      </c>
      <c r="DT9" s="259">
        <v>0.1</v>
      </c>
      <c r="DU9" s="259">
        <v>0.1</v>
      </c>
      <c r="DV9" s="259">
        <v>0.1</v>
      </c>
      <c r="DW9" s="259">
        <v>0.1</v>
      </c>
      <c r="DX9" s="259">
        <v>0.1</v>
      </c>
      <c r="DY9" s="259">
        <v>0.1</v>
      </c>
      <c r="DZ9" s="259">
        <v>0.1</v>
      </c>
      <c r="EA9" s="259">
        <v>0.1</v>
      </c>
      <c r="EB9" s="259">
        <v>0.1</v>
      </c>
      <c r="EC9" s="259">
        <v>0.1</v>
      </c>
      <c r="ED9" s="259">
        <v>0.1</v>
      </c>
      <c r="EE9" s="259">
        <v>0.1</v>
      </c>
      <c r="EF9" s="260">
        <v>0.1</v>
      </c>
      <c r="EJ9">
        <v>6</v>
      </c>
      <c r="EN9">
        <v>0.1</v>
      </c>
      <c r="EO9">
        <v>0.1</v>
      </c>
      <c r="EP9">
        <v>0.1</v>
      </c>
      <c r="EQ9">
        <v>0.1</v>
      </c>
      <c r="ER9">
        <v>0.1</v>
      </c>
      <c r="ES9">
        <v>0.1</v>
      </c>
      <c r="ET9">
        <v>0.1</v>
      </c>
      <c r="EU9">
        <v>0.1</v>
      </c>
      <c r="EV9">
        <v>0.1</v>
      </c>
      <c r="EW9">
        <v>0.1</v>
      </c>
      <c r="EX9">
        <v>0.1</v>
      </c>
      <c r="EY9">
        <v>0.1</v>
      </c>
      <c r="EZ9">
        <v>0.1</v>
      </c>
      <c r="FA9">
        <v>0.1</v>
      </c>
      <c r="FB9">
        <v>0.1</v>
      </c>
      <c r="FC9">
        <v>0.1</v>
      </c>
      <c r="FD9">
        <v>0.1</v>
      </c>
      <c r="FE9">
        <v>0.1</v>
      </c>
      <c r="FF9">
        <v>0.1</v>
      </c>
      <c r="FG9">
        <v>0.1</v>
      </c>
      <c r="FH9">
        <v>0.1</v>
      </c>
      <c r="FI9">
        <v>0.1</v>
      </c>
      <c r="FJ9">
        <v>0.1</v>
      </c>
      <c r="FK9">
        <v>0.1</v>
      </c>
      <c r="FL9">
        <v>0.1</v>
      </c>
      <c r="FM9">
        <v>0.1</v>
      </c>
      <c r="FN9">
        <v>0.1</v>
      </c>
      <c r="FO9">
        <v>0.1</v>
      </c>
      <c r="FP9">
        <v>0.1</v>
      </c>
      <c r="FQ9">
        <v>0.1</v>
      </c>
      <c r="FU9">
        <v>6</v>
      </c>
      <c r="FV9">
        <v>2.2999999999999998</v>
      </c>
      <c r="FW9">
        <v>1.7</v>
      </c>
      <c r="GB9" s="71">
        <v>0.1</v>
      </c>
      <c r="GC9" s="69">
        <v>0.1</v>
      </c>
      <c r="GD9" s="69">
        <v>0.1</v>
      </c>
      <c r="GE9" s="69">
        <v>0.1</v>
      </c>
      <c r="GF9" s="69">
        <v>0.1</v>
      </c>
      <c r="GG9" s="69">
        <v>0.1</v>
      </c>
      <c r="GH9" s="69">
        <v>0.1</v>
      </c>
      <c r="GI9" s="69">
        <v>0.1</v>
      </c>
      <c r="GJ9" s="69">
        <v>0.1</v>
      </c>
      <c r="GK9" s="69">
        <v>0.1</v>
      </c>
      <c r="GL9" s="69">
        <v>0.1</v>
      </c>
      <c r="GM9" s="69">
        <v>0.1</v>
      </c>
      <c r="GN9" s="69">
        <v>0.1</v>
      </c>
      <c r="GO9" s="69">
        <v>0.1</v>
      </c>
      <c r="GP9" s="69">
        <v>0.1</v>
      </c>
      <c r="GQ9" s="69">
        <v>0.1</v>
      </c>
      <c r="GR9" s="69">
        <v>0.1</v>
      </c>
      <c r="GS9" s="69">
        <v>0.1</v>
      </c>
      <c r="GT9" s="69">
        <v>0.1</v>
      </c>
      <c r="GU9" s="69">
        <v>0.1</v>
      </c>
      <c r="GV9" s="69">
        <v>0.1</v>
      </c>
      <c r="GW9" s="69">
        <v>0.1</v>
      </c>
      <c r="GX9" s="70">
        <v>0.1</v>
      </c>
      <c r="GY9" s="66">
        <v>0.1</v>
      </c>
      <c r="GZ9" s="67">
        <v>0.1</v>
      </c>
      <c r="HA9" s="67">
        <v>0.1</v>
      </c>
      <c r="HB9" s="67">
        <v>0.1</v>
      </c>
      <c r="HC9" s="67">
        <v>0.1</v>
      </c>
      <c r="HD9" s="67">
        <v>0.1</v>
      </c>
      <c r="HE9" s="67">
        <v>0.1</v>
      </c>
      <c r="HF9" s="67">
        <v>0.1</v>
      </c>
      <c r="HG9" s="67">
        <v>0.1</v>
      </c>
      <c r="HH9" s="67">
        <v>0.1</v>
      </c>
      <c r="HI9" s="67">
        <v>0.1</v>
      </c>
      <c r="HJ9" s="67">
        <v>0.1</v>
      </c>
      <c r="HK9" s="67">
        <v>0.1</v>
      </c>
      <c r="HL9" s="67">
        <v>0.1</v>
      </c>
      <c r="HM9" s="67">
        <v>0.1</v>
      </c>
      <c r="HN9" s="67">
        <v>0.1</v>
      </c>
      <c r="HO9" s="68">
        <v>0.1</v>
      </c>
    </row>
    <row r="10" spans="1:225" ht="15.75" thickBot="1" x14ac:dyDescent="0.3">
      <c r="A10">
        <v>7</v>
      </c>
      <c r="B10" s="268" t="s">
        <v>1175</v>
      </c>
      <c r="C10" s="2"/>
      <c r="D10" s="2"/>
      <c r="E10" s="2"/>
      <c r="F10" s="2"/>
      <c r="G10" s="2"/>
      <c r="H10" s="258">
        <v>0.1</v>
      </c>
      <c r="I10" s="259">
        <v>0.1</v>
      </c>
      <c r="J10" s="259">
        <v>0.1</v>
      </c>
      <c r="K10" s="259">
        <v>0.1</v>
      </c>
      <c r="L10" s="259">
        <v>0.1</v>
      </c>
      <c r="M10" s="259">
        <v>0.1</v>
      </c>
      <c r="N10" s="259">
        <v>0.1</v>
      </c>
      <c r="O10" s="259">
        <v>0.1</v>
      </c>
      <c r="P10" s="259">
        <v>0.1</v>
      </c>
      <c r="Q10" s="259">
        <v>0.1</v>
      </c>
      <c r="R10" s="259">
        <v>0.1</v>
      </c>
      <c r="S10" s="259">
        <v>0.1</v>
      </c>
      <c r="T10" s="259">
        <v>0.1</v>
      </c>
      <c r="U10" s="259">
        <v>0.1</v>
      </c>
      <c r="V10" s="259">
        <v>0.1</v>
      </c>
      <c r="W10" s="259">
        <v>0.1</v>
      </c>
      <c r="X10" s="259">
        <v>0.1</v>
      </c>
      <c r="Y10" s="259">
        <v>0.1</v>
      </c>
      <c r="Z10" s="259">
        <v>0.1</v>
      </c>
      <c r="AA10" s="259">
        <v>0.1</v>
      </c>
      <c r="AB10" s="259">
        <v>0.1</v>
      </c>
      <c r="AC10" s="259">
        <v>0.1</v>
      </c>
      <c r="AD10" s="259">
        <v>0.1</v>
      </c>
      <c r="AE10" s="259">
        <v>0.1</v>
      </c>
      <c r="AF10" s="259">
        <v>0.1</v>
      </c>
      <c r="AG10" s="259">
        <v>0.1</v>
      </c>
      <c r="AH10" s="259">
        <v>0.1</v>
      </c>
      <c r="AI10" s="259">
        <v>0.1</v>
      </c>
      <c r="AJ10" s="259">
        <v>0.1</v>
      </c>
      <c r="AK10" s="259">
        <v>0.1</v>
      </c>
      <c r="AL10" s="259">
        <v>0.1</v>
      </c>
      <c r="AM10" s="259">
        <v>0.1</v>
      </c>
      <c r="AN10" s="259">
        <v>0.1</v>
      </c>
      <c r="AO10" s="259">
        <v>0.1</v>
      </c>
      <c r="AP10" s="259">
        <v>0.1</v>
      </c>
      <c r="AQ10" s="259">
        <v>0.1</v>
      </c>
      <c r="AR10" s="259">
        <v>0.1</v>
      </c>
      <c r="AS10" s="259">
        <v>0.1</v>
      </c>
      <c r="AT10" s="259">
        <v>0.1</v>
      </c>
      <c r="AU10" s="259">
        <v>0.1</v>
      </c>
      <c r="AV10" s="259">
        <v>0.1</v>
      </c>
      <c r="AW10" s="259">
        <v>0.1</v>
      </c>
      <c r="AX10" s="259">
        <v>0.1</v>
      </c>
      <c r="AY10" s="259">
        <v>0.1</v>
      </c>
      <c r="AZ10" s="259">
        <v>0.1</v>
      </c>
      <c r="BA10" s="259">
        <v>0.1</v>
      </c>
      <c r="BB10" s="259">
        <v>0.1</v>
      </c>
      <c r="BC10" s="259">
        <v>0.1</v>
      </c>
      <c r="BD10" s="259">
        <v>0.1</v>
      </c>
      <c r="BE10" s="259">
        <v>0.1</v>
      </c>
      <c r="BF10" s="259">
        <v>0.1</v>
      </c>
      <c r="BG10" s="259">
        <v>0.1</v>
      </c>
      <c r="BH10" s="259">
        <v>0.1</v>
      </c>
      <c r="BI10" s="259">
        <v>0.1</v>
      </c>
      <c r="BJ10" s="259">
        <v>0.1</v>
      </c>
      <c r="BK10" s="259">
        <v>0.1</v>
      </c>
      <c r="BL10" s="259">
        <v>0.1</v>
      </c>
      <c r="BM10" s="259">
        <v>0.1</v>
      </c>
      <c r="BN10" s="259">
        <v>0.1</v>
      </c>
      <c r="BO10" s="260">
        <v>0.1</v>
      </c>
      <c r="BS10">
        <v>7</v>
      </c>
      <c r="BT10" s="270" t="s">
        <v>1190</v>
      </c>
      <c r="BU10" s="271">
        <v>1</v>
      </c>
      <c r="BV10" s="270">
        <v>1</v>
      </c>
      <c r="BW10" s="2"/>
      <c r="BX10" s="2"/>
      <c r="BY10" s="258">
        <v>0.1</v>
      </c>
      <c r="BZ10" s="259">
        <v>0.1</v>
      </c>
      <c r="CA10" s="259">
        <v>0.1</v>
      </c>
      <c r="CB10" s="259">
        <v>0.1</v>
      </c>
      <c r="CC10" s="259">
        <v>0.1</v>
      </c>
      <c r="CD10" s="259">
        <v>0.1</v>
      </c>
      <c r="CE10" s="259">
        <v>0.1</v>
      </c>
      <c r="CF10" s="259">
        <v>0.1</v>
      </c>
      <c r="CG10" s="259">
        <v>0.1</v>
      </c>
      <c r="CH10" s="259">
        <v>0.1</v>
      </c>
      <c r="CI10" s="259">
        <v>0.1</v>
      </c>
      <c r="CJ10" s="259">
        <v>0.1</v>
      </c>
      <c r="CK10" s="259">
        <v>0.1</v>
      </c>
      <c r="CL10" s="259">
        <v>0.1</v>
      </c>
      <c r="CM10" s="259">
        <v>0.1</v>
      </c>
      <c r="CN10" s="259">
        <v>0.1</v>
      </c>
      <c r="CO10" s="259">
        <v>0.1</v>
      </c>
      <c r="CP10" s="259">
        <v>0.1</v>
      </c>
      <c r="CQ10" s="259">
        <v>0.1</v>
      </c>
      <c r="CR10" s="259">
        <v>0.1</v>
      </c>
      <c r="CS10" s="259">
        <v>0.1</v>
      </c>
      <c r="CT10" s="259">
        <v>0.1</v>
      </c>
      <c r="CU10" s="259">
        <v>0.1</v>
      </c>
      <c r="CV10" s="259">
        <v>0.1</v>
      </c>
      <c r="CW10" s="259">
        <v>0.1</v>
      </c>
      <c r="CX10" s="259">
        <v>0.1</v>
      </c>
      <c r="CY10" s="259">
        <v>0.1</v>
      </c>
      <c r="CZ10" s="259">
        <v>0.1</v>
      </c>
      <c r="DA10" s="259">
        <v>0.1</v>
      </c>
      <c r="DB10" s="259">
        <v>0.1</v>
      </c>
      <c r="DC10" s="259">
        <v>0.1</v>
      </c>
      <c r="DD10" s="259">
        <v>0.1</v>
      </c>
      <c r="DE10" s="259">
        <v>0.1</v>
      </c>
      <c r="DF10" s="259">
        <v>0.1</v>
      </c>
      <c r="DG10" s="259">
        <v>0.1</v>
      </c>
      <c r="DH10" s="259">
        <v>0.1</v>
      </c>
      <c r="DI10" s="259">
        <v>0.1</v>
      </c>
      <c r="DJ10" s="259">
        <v>0.1</v>
      </c>
      <c r="DK10" s="259">
        <v>0.1</v>
      </c>
      <c r="DL10" s="260">
        <v>0.1</v>
      </c>
      <c r="DM10" s="258">
        <v>0.1</v>
      </c>
      <c r="DN10" s="259">
        <v>0.1</v>
      </c>
      <c r="DO10" s="259">
        <v>0.1</v>
      </c>
      <c r="DP10" s="259">
        <v>0.1</v>
      </c>
      <c r="DQ10" s="259">
        <v>0.1</v>
      </c>
      <c r="DR10" s="259">
        <v>0.1</v>
      </c>
      <c r="DS10" s="259">
        <v>0.1</v>
      </c>
      <c r="DT10" s="259">
        <v>0.1</v>
      </c>
      <c r="DU10" s="259">
        <v>0.1</v>
      </c>
      <c r="DV10" s="260">
        <v>0.1</v>
      </c>
      <c r="DW10" s="258">
        <v>0.1</v>
      </c>
      <c r="DX10" s="259">
        <v>0.1</v>
      </c>
      <c r="DY10" s="259">
        <v>0.1</v>
      </c>
      <c r="DZ10" s="259">
        <v>0.1</v>
      </c>
      <c r="EA10" s="259">
        <v>0.1</v>
      </c>
      <c r="EB10" s="259">
        <v>0.1</v>
      </c>
      <c r="EC10" s="259">
        <v>0.1</v>
      </c>
      <c r="ED10" s="259">
        <v>0.1</v>
      </c>
      <c r="EE10" s="259">
        <v>0.1</v>
      </c>
      <c r="EF10" s="260">
        <v>0.1</v>
      </c>
      <c r="EJ10">
        <v>7</v>
      </c>
      <c r="EN10">
        <v>0.1</v>
      </c>
      <c r="EO10">
        <v>0.1</v>
      </c>
      <c r="EP10">
        <v>0.1</v>
      </c>
      <c r="EQ10">
        <v>0.1</v>
      </c>
      <c r="ER10">
        <v>0.1</v>
      </c>
      <c r="ES10">
        <v>0.1</v>
      </c>
      <c r="ET10">
        <v>0.1</v>
      </c>
      <c r="EU10">
        <v>0.1</v>
      </c>
      <c r="EV10">
        <v>0.1</v>
      </c>
      <c r="EW10">
        <v>0.1</v>
      </c>
      <c r="EX10">
        <v>0.1</v>
      </c>
      <c r="EY10">
        <v>0.1</v>
      </c>
      <c r="EZ10">
        <v>0.1</v>
      </c>
      <c r="FA10">
        <v>0.1</v>
      </c>
      <c r="FB10">
        <v>0.1</v>
      </c>
      <c r="FC10">
        <v>0.1</v>
      </c>
      <c r="FD10">
        <v>0.1</v>
      </c>
      <c r="FE10">
        <v>0.1</v>
      </c>
      <c r="FF10">
        <v>0.1</v>
      </c>
      <c r="FG10">
        <v>0.1</v>
      </c>
      <c r="FH10">
        <v>0.1</v>
      </c>
      <c r="FI10">
        <v>0.1</v>
      </c>
      <c r="FJ10">
        <v>0.1</v>
      </c>
      <c r="FK10">
        <v>0.1</v>
      </c>
      <c r="FL10">
        <v>0.1</v>
      </c>
      <c r="FM10">
        <v>0.1</v>
      </c>
      <c r="FN10">
        <v>0.1</v>
      </c>
      <c r="FO10">
        <v>0.1</v>
      </c>
      <c r="FP10">
        <v>0.1</v>
      </c>
      <c r="FQ10">
        <v>0.1</v>
      </c>
      <c r="FU10">
        <v>7</v>
      </c>
      <c r="FV10">
        <v>2.3199999999999998</v>
      </c>
      <c r="FW10">
        <v>1.42</v>
      </c>
      <c r="GB10" s="66">
        <v>0.1</v>
      </c>
      <c r="GC10" s="67">
        <v>0.1</v>
      </c>
      <c r="GD10" s="67">
        <v>0.1</v>
      </c>
      <c r="GE10" s="67">
        <v>0.1</v>
      </c>
      <c r="GF10" s="67">
        <v>0.1</v>
      </c>
      <c r="GG10" s="67">
        <v>0.1</v>
      </c>
      <c r="GH10" s="67">
        <v>0.1</v>
      </c>
      <c r="GI10" s="67">
        <v>0.1</v>
      </c>
      <c r="GJ10" s="67">
        <v>0.1</v>
      </c>
      <c r="GK10" s="67">
        <v>0.1</v>
      </c>
      <c r="GL10" s="67">
        <v>0.1</v>
      </c>
      <c r="GM10" s="67">
        <v>0.1</v>
      </c>
      <c r="GN10" s="67">
        <v>0.1</v>
      </c>
      <c r="GO10" s="67">
        <v>0.1</v>
      </c>
      <c r="GP10" s="67">
        <v>0.1</v>
      </c>
      <c r="GQ10" s="67">
        <v>0.1</v>
      </c>
      <c r="GR10" s="67">
        <v>0.1</v>
      </c>
      <c r="GS10" s="67">
        <v>0.1</v>
      </c>
      <c r="GT10" s="67">
        <v>0.1</v>
      </c>
      <c r="GU10" s="67">
        <v>0.1</v>
      </c>
      <c r="GV10" s="67">
        <v>0.1</v>
      </c>
      <c r="GW10" s="67">
        <v>0.1</v>
      </c>
      <c r="GX10" s="67">
        <v>0.1</v>
      </c>
      <c r="GY10" s="72">
        <v>0.1</v>
      </c>
      <c r="GZ10" s="66">
        <v>0.1</v>
      </c>
      <c r="HA10" s="67">
        <v>0.1</v>
      </c>
      <c r="HB10" s="67">
        <v>0.1</v>
      </c>
      <c r="HC10" s="67">
        <v>0.1</v>
      </c>
      <c r="HD10" s="67">
        <v>0.1</v>
      </c>
      <c r="HE10" s="67">
        <v>0.1</v>
      </c>
      <c r="HF10" s="67">
        <v>0.1</v>
      </c>
      <c r="HG10" s="67">
        <v>0.1</v>
      </c>
      <c r="HH10" s="67">
        <v>0.1</v>
      </c>
      <c r="HI10" s="67">
        <v>0.1</v>
      </c>
      <c r="HJ10" s="67">
        <v>0.1</v>
      </c>
      <c r="HK10" s="67">
        <v>0.1</v>
      </c>
      <c r="HL10" s="67">
        <v>0.1</v>
      </c>
      <c r="HM10" s="67">
        <v>0.1</v>
      </c>
      <c r="HN10" s="68">
        <v>0.1</v>
      </c>
      <c r="HO10">
        <v>0.1</v>
      </c>
      <c r="HP10">
        <f>SUM(HO10)</f>
        <v>0.1</v>
      </c>
    </row>
    <row r="11" spans="1:225" ht="15.75" thickBot="1" x14ac:dyDescent="0.3">
      <c r="A11">
        <v>8</v>
      </c>
      <c r="B11" s="268" t="s">
        <v>1176</v>
      </c>
      <c r="C11" s="268">
        <v>1.52</v>
      </c>
      <c r="D11" s="2"/>
      <c r="E11" s="2"/>
      <c r="F11" s="2"/>
      <c r="G11" s="2"/>
      <c r="H11" s="258">
        <v>0.1</v>
      </c>
      <c r="I11" s="259">
        <v>0.1</v>
      </c>
      <c r="J11" s="259">
        <v>0.1</v>
      </c>
      <c r="K11" s="259">
        <v>0.1</v>
      </c>
      <c r="L11" s="259">
        <v>0.1</v>
      </c>
      <c r="M11" s="259">
        <v>0.1</v>
      </c>
      <c r="N11" s="259">
        <v>0.1</v>
      </c>
      <c r="O11" s="259">
        <v>0.1</v>
      </c>
      <c r="P11" s="259">
        <v>0.1</v>
      </c>
      <c r="Q11" s="259">
        <v>0.1</v>
      </c>
      <c r="R11" s="259">
        <v>0.1</v>
      </c>
      <c r="S11" s="259">
        <v>0.1</v>
      </c>
      <c r="T11" s="259">
        <v>0.1</v>
      </c>
      <c r="U11" s="259">
        <v>0.1</v>
      </c>
      <c r="V11" s="259">
        <v>0.1</v>
      </c>
      <c r="W11" s="259">
        <v>0.1</v>
      </c>
      <c r="X11" s="259">
        <v>0.1</v>
      </c>
      <c r="Y11" s="259">
        <v>0.1</v>
      </c>
      <c r="Z11" s="259">
        <v>0.1</v>
      </c>
      <c r="AA11" s="259">
        <v>0.1</v>
      </c>
      <c r="AB11" s="259">
        <v>0.1</v>
      </c>
      <c r="AC11" s="259">
        <v>0.1</v>
      </c>
      <c r="AD11" s="259">
        <v>0.1</v>
      </c>
      <c r="AE11" s="259">
        <v>0.1</v>
      </c>
      <c r="AF11" s="259">
        <v>0.1</v>
      </c>
      <c r="AG11" s="259">
        <v>0.1</v>
      </c>
      <c r="AH11" s="259">
        <v>0.1</v>
      </c>
      <c r="AI11" s="259">
        <v>0.1</v>
      </c>
      <c r="AJ11" s="259">
        <v>0.1</v>
      </c>
      <c r="AK11" s="259">
        <v>0.1</v>
      </c>
      <c r="AL11" s="259">
        <v>0.1</v>
      </c>
      <c r="AM11" s="259">
        <v>0.1</v>
      </c>
      <c r="AN11" s="259">
        <v>0.1</v>
      </c>
      <c r="AO11" s="259">
        <v>0.1</v>
      </c>
      <c r="AP11" s="259">
        <v>0.1</v>
      </c>
      <c r="AQ11" s="259">
        <v>0.1</v>
      </c>
      <c r="AR11" s="259">
        <v>0.1</v>
      </c>
      <c r="AS11" s="259">
        <v>0.1</v>
      </c>
      <c r="AT11" s="259">
        <v>0.1</v>
      </c>
      <c r="AU11" s="260">
        <v>0.1</v>
      </c>
      <c r="AV11" s="258">
        <v>0.1</v>
      </c>
      <c r="AW11" s="259">
        <v>0.1</v>
      </c>
      <c r="AX11" s="259">
        <v>0.1</v>
      </c>
      <c r="AY11" s="259">
        <v>0.1</v>
      </c>
      <c r="AZ11" s="259">
        <v>0.1</v>
      </c>
      <c r="BA11" s="259">
        <v>0.1</v>
      </c>
      <c r="BB11" s="259">
        <v>0.1</v>
      </c>
      <c r="BC11" s="259">
        <v>0.1</v>
      </c>
      <c r="BD11" s="259">
        <v>0.1</v>
      </c>
      <c r="BE11" s="259">
        <v>0.1</v>
      </c>
      <c r="BF11" s="262">
        <v>0.1</v>
      </c>
      <c r="BG11" s="262">
        <v>0.1</v>
      </c>
      <c r="BH11" s="262">
        <v>0.1</v>
      </c>
      <c r="BI11" s="262">
        <v>0.1</v>
      </c>
      <c r="BJ11" s="262">
        <v>0.1</v>
      </c>
      <c r="BK11" s="263">
        <v>0.1</v>
      </c>
      <c r="BL11">
        <v>0.1</v>
      </c>
      <c r="BM11">
        <v>0.1</v>
      </c>
      <c r="BN11">
        <v>0.1</v>
      </c>
      <c r="BO11">
        <v>0.1</v>
      </c>
      <c r="BP11">
        <f>SUM(BL11:BO11)</f>
        <v>0.4</v>
      </c>
      <c r="BS11">
        <v>8</v>
      </c>
      <c r="BT11" s="270" t="s">
        <v>1191</v>
      </c>
      <c r="BU11" s="270" t="s">
        <v>1224</v>
      </c>
      <c r="BV11" s="270">
        <v>1.08</v>
      </c>
      <c r="BW11" s="2"/>
      <c r="BX11" s="2"/>
      <c r="BY11" s="258">
        <v>0.1</v>
      </c>
      <c r="BZ11" s="259">
        <v>0.1</v>
      </c>
      <c r="CA11" s="259">
        <v>0.1</v>
      </c>
      <c r="CB11" s="259">
        <v>0.1</v>
      </c>
      <c r="CC11" s="259">
        <v>0.1</v>
      </c>
      <c r="CD11" s="259">
        <v>0.1</v>
      </c>
      <c r="CE11" s="259">
        <v>0.1</v>
      </c>
      <c r="CF11" s="259">
        <v>0.1</v>
      </c>
      <c r="CG11" s="259">
        <v>0.1</v>
      </c>
      <c r="CH11" s="259">
        <v>0.1</v>
      </c>
      <c r="CI11" s="259">
        <v>0.1</v>
      </c>
      <c r="CJ11" s="259">
        <v>0.1</v>
      </c>
      <c r="CK11" s="259">
        <v>0.1</v>
      </c>
      <c r="CL11" s="259">
        <v>0.1</v>
      </c>
      <c r="CM11" s="259">
        <v>0.1</v>
      </c>
      <c r="CN11" s="259">
        <v>0.1</v>
      </c>
      <c r="CO11" s="259">
        <v>0.1</v>
      </c>
      <c r="CP11" s="259">
        <v>0.1</v>
      </c>
      <c r="CQ11" s="259">
        <v>0.1</v>
      </c>
      <c r="CR11" s="259">
        <v>0.1</v>
      </c>
      <c r="CS11" s="259">
        <v>0.1</v>
      </c>
      <c r="CT11" s="259">
        <v>0.1</v>
      </c>
      <c r="CU11" s="259">
        <v>0.1</v>
      </c>
      <c r="CV11" s="260">
        <v>0.1</v>
      </c>
      <c r="CW11" s="258">
        <v>0.1</v>
      </c>
      <c r="CX11" s="259">
        <v>0.1</v>
      </c>
      <c r="CY11" s="259">
        <v>0.1</v>
      </c>
      <c r="CZ11" s="259">
        <v>0.1</v>
      </c>
      <c r="DA11" s="259">
        <v>0.1</v>
      </c>
      <c r="DB11" s="259">
        <v>0.1</v>
      </c>
      <c r="DC11" s="259">
        <v>0.1</v>
      </c>
      <c r="DD11" s="259">
        <v>0.1</v>
      </c>
      <c r="DE11" s="259">
        <v>0.1</v>
      </c>
      <c r="DF11" s="259">
        <v>0.1</v>
      </c>
      <c r="DG11" s="259">
        <v>0.1</v>
      </c>
      <c r="DH11" s="259">
        <v>0.1</v>
      </c>
      <c r="DI11" s="259">
        <v>0.1</v>
      </c>
      <c r="DJ11" s="259">
        <v>0.1</v>
      </c>
      <c r="DK11" s="259">
        <v>0.1</v>
      </c>
      <c r="DL11" s="259">
        <v>0.1</v>
      </c>
      <c r="DM11" s="259">
        <v>0.1</v>
      </c>
      <c r="DN11" s="259">
        <v>0.1</v>
      </c>
      <c r="DO11" s="259">
        <v>0.1</v>
      </c>
      <c r="DP11" s="259">
        <v>0.1</v>
      </c>
      <c r="DQ11" s="259">
        <v>0.1</v>
      </c>
      <c r="DR11" s="259">
        <v>0.1</v>
      </c>
      <c r="DS11" s="259">
        <v>0.1</v>
      </c>
      <c r="DT11" s="260">
        <v>0.1</v>
      </c>
      <c r="DU11" s="258">
        <v>0.1</v>
      </c>
      <c r="DV11" s="259">
        <v>0.1</v>
      </c>
      <c r="DW11" s="259">
        <v>0.1</v>
      </c>
      <c r="DX11" s="259">
        <v>0.1</v>
      </c>
      <c r="DY11" s="259">
        <v>0.1</v>
      </c>
      <c r="DZ11" s="259">
        <v>0.1</v>
      </c>
      <c r="EA11" s="259">
        <v>0.1</v>
      </c>
      <c r="EB11" s="259">
        <v>0.1</v>
      </c>
      <c r="EC11" s="259">
        <v>0.1</v>
      </c>
      <c r="ED11" s="259">
        <v>0.1</v>
      </c>
      <c r="EE11" s="260">
        <v>0.1</v>
      </c>
      <c r="EF11">
        <v>0.1</v>
      </c>
      <c r="EG11">
        <f>SUM(EF11)</f>
        <v>0.1</v>
      </c>
      <c r="EJ11">
        <v>8</v>
      </c>
      <c r="EN11">
        <v>0.1</v>
      </c>
      <c r="EO11">
        <v>0.1</v>
      </c>
      <c r="EP11">
        <v>0.1</v>
      </c>
      <c r="EQ11">
        <v>0.1</v>
      </c>
      <c r="ER11">
        <v>0.1</v>
      </c>
      <c r="ES11">
        <v>0.1</v>
      </c>
      <c r="ET11">
        <v>0.1</v>
      </c>
      <c r="EU11">
        <v>0.1</v>
      </c>
      <c r="EV11">
        <v>0.1</v>
      </c>
      <c r="EW11">
        <v>0.1</v>
      </c>
      <c r="EX11">
        <v>0.1</v>
      </c>
      <c r="EY11">
        <v>0.1</v>
      </c>
      <c r="EZ11">
        <v>0.1</v>
      </c>
      <c r="FA11">
        <v>0.1</v>
      </c>
      <c r="FB11">
        <v>0.1</v>
      </c>
      <c r="FC11">
        <v>0.1</v>
      </c>
      <c r="FD11">
        <v>0.1</v>
      </c>
      <c r="FE11">
        <v>0.1</v>
      </c>
      <c r="FF11">
        <v>0.1</v>
      </c>
      <c r="FG11">
        <v>0.1</v>
      </c>
      <c r="FH11">
        <v>0.1</v>
      </c>
      <c r="FI11">
        <v>0.1</v>
      </c>
      <c r="FJ11">
        <v>0.1</v>
      </c>
      <c r="FK11">
        <v>0.1</v>
      </c>
      <c r="FL11">
        <v>0.1</v>
      </c>
      <c r="FM11">
        <v>0.1</v>
      </c>
      <c r="FN11">
        <v>0.1</v>
      </c>
      <c r="FO11">
        <v>0.1</v>
      </c>
      <c r="FP11">
        <v>0.1</v>
      </c>
      <c r="FQ11">
        <v>0.1</v>
      </c>
      <c r="FU11">
        <v>8</v>
      </c>
      <c r="FV11">
        <v>2.3199999999999998</v>
      </c>
      <c r="FW11">
        <v>1.42</v>
      </c>
      <c r="GB11" s="66">
        <v>0.1</v>
      </c>
      <c r="GC11" s="67">
        <v>0.1</v>
      </c>
      <c r="GD11" s="67">
        <v>0.1</v>
      </c>
      <c r="GE11" s="67">
        <v>0.1</v>
      </c>
      <c r="GF11" s="67">
        <v>0.1</v>
      </c>
      <c r="GG11" s="67">
        <v>0.1</v>
      </c>
      <c r="GH11" s="67">
        <v>0.1</v>
      </c>
      <c r="GI11" s="67">
        <v>0.1</v>
      </c>
      <c r="GJ11" s="67">
        <v>0.1</v>
      </c>
      <c r="GK11" s="67">
        <v>0.1</v>
      </c>
      <c r="GL11" s="67">
        <v>0.1</v>
      </c>
      <c r="GM11" s="67">
        <v>0.1</v>
      </c>
      <c r="GN11" s="67">
        <v>0.1</v>
      </c>
      <c r="GO11" s="67">
        <v>0.1</v>
      </c>
      <c r="GP11" s="67">
        <v>0.1</v>
      </c>
      <c r="GQ11" s="67">
        <v>0.1</v>
      </c>
      <c r="GR11" s="67">
        <v>0.1</v>
      </c>
      <c r="GS11" s="67">
        <v>0.1</v>
      </c>
      <c r="GT11" s="67">
        <v>0.1</v>
      </c>
      <c r="GU11" s="67">
        <v>0.1</v>
      </c>
      <c r="GV11" s="67">
        <v>0.1</v>
      </c>
      <c r="GW11" s="67">
        <v>0.1</v>
      </c>
      <c r="GX11" s="67">
        <v>0.1</v>
      </c>
      <c r="GY11" s="68">
        <v>0.1</v>
      </c>
      <c r="GZ11" s="66">
        <v>0.1</v>
      </c>
      <c r="HA11" s="67">
        <v>0.1</v>
      </c>
      <c r="HB11" s="67">
        <v>0.1</v>
      </c>
      <c r="HC11" s="67">
        <v>0.1</v>
      </c>
      <c r="HD11" s="67">
        <v>0.1</v>
      </c>
      <c r="HE11" s="67">
        <v>0.1</v>
      </c>
      <c r="HF11" s="67">
        <v>0.1</v>
      </c>
      <c r="HG11" s="67">
        <v>0.1</v>
      </c>
      <c r="HH11" s="67">
        <v>0.1</v>
      </c>
      <c r="HI11" s="67">
        <v>0.1</v>
      </c>
      <c r="HJ11" s="67">
        <v>0.1</v>
      </c>
      <c r="HK11" s="67">
        <v>0.1</v>
      </c>
      <c r="HL11" s="67">
        <v>0.1</v>
      </c>
      <c r="HM11" s="67">
        <v>0.1</v>
      </c>
      <c r="HN11" s="68">
        <v>0.1</v>
      </c>
      <c r="HO11">
        <v>0.1</v>
      </c>
      <c r="HP11">
        <f>SUM(HO11)</f>
        <v>0.1</v>
      </c>
    </row>
    <row r="12" spans="1:225" ht="15.75" thickBot="1" x14ac:dyDescent="0.3">
      <c r="A12">
        <v>9</v>
      </c>
      <c r="B12" s="268" t="s">
        <v>1222</v>
      </c>
      <c r="C12" s="268" t="s">
        <v>1222</v>
      </c>
      <c r="D12" s="269">
        <v>0.84</v>
      </c>
      <c r="E12" s="2"/>
      <c r="F12" s="2"/>
      <c r="G12" s="2"/>
      <c r="H12" s="258">
        <v>0.1</v>
      </c>
      <c r="I12" s="259">
        <v>0.1</v>
      </c>
      <c r="J12" s="259">
        <v>0.1</v>
      </c>
      <c r="K12" s="259">
        <v>0.1</v>
      </c>
      <c r="L12" s="259">
        <v>0.1</v>
      </c>
      <c r="M12" s="259">
        <v>0.1</v>
      </c>
      <c r="N12" s="259">
        <v>0.1</v>
      </c>
      <c r="O12" s="259">
        <v>0.1</v>
      </c>
      <c r="P12" s="259">
        <v>0.1</v>
      </c>
      <c r="Q12" s="259">
        <v>0.1</v>
      </c>
      <c r="R12" s="259">
        <v>0.1</v>
      </c>
      <c r="S12" s="259">
        <v>0.1</v>
      </c>
      <c r="T12" s="259">
        <v>0.1</v>
      </c>
      <c r="U12" s="259">
        <v>0.1</v>
      </c>
      <c r="V12" s="259">
        <v>0.1</v>
      </c>
      <c r="W12" s="259">
        <v>0.1</v>
      </c>
      <c r="X12" s="259">
        <v>0.1</v>
      </c>
      <c r="Y12" s="259">
        <v>0.1</v>
      </c>
      <c r="Z12" s="259">
        <v>0.1</v>
      </c>
      <c r="AA12" s="259">
        <v>0.1</v>
      </c>
      <c r="AB12" s="259">
        <v>0.1</v>
      </c>
      <c r="AC12" s="259">
        <v>0.1</v>
      </c>
      <c r="AD12" s="259">
        <v>0.1</v>
      </c>
      <c r="AE12" s="259">
        <v>0.1</v>
      </c>
      <c r="AF12" s="260">
        <v>0.1</v>
      </c>
      <c r="AG12" s="258">
        <v>0.1</v>
      </c>
      <c r="AH12" s="259">
        <v>0.1</v>
      </c>
      <c r="AI12" s="259">
        <v>0.1</v>
      </c>
      <c r="AJ12" s="259">
        <v>0.1</v>
      </c>
      <c r="AK12" s="259">
        <v>0.1</v>
      </c>
      <c r="AL12" s="259">
        <v>0.1</v>
      </c>
      <c r="AM12" s="259">
        <v>0.1</v>
      </c>
      <c r="AN12" s="259">
        <v>0.1</v>
      </c>
      <c r="AO12" s="259">
        <v>0.1</v>
      </c>
      <c r="AP12" s="259">
        <v>0.1</v>
      </c>
      <c r="AQ12" s="259">
        <v>0.1</v>
      </c>
      <c r="AR12" s="259">
        <v>0.1</v>
      </c>
      <c r="AS12" s="259">
        <v>0.1</v>
      </c>
      <c r="AT12" s="259">
        <v>0.1</v>
      </c>
      <c r="AU12" s="259">
        <v>0.1</v>
      </c>
      <c r="AV12" s="259">
        <v>0.1</v>
      </c>
      <c r="AW12" s="259">
        <v>0.1</v>
      </c>
      <c r="AX12" s="259">
        <v>0.1</v>
      </c>
      <c r="AY12" s="259">
        <v>0.1</v>
      </c>
      <c r="AZ12" s="259">
        <v>0.1</v>
      </c>
      <c r="BA12" s="259">
        <v>0.1</v>
      </c>
      <c r="BB12" s="259">
        <v>0.1</v>
      </c>
      <c r="BC12" s="259">
        <v>0.1</v>
      </c>
      <c r="BD12" s="259">
        <v>0.1</v>
      </c>
      <c r="BE12" s="260">
        <v>0.1</v>
      </c>
      <c r="BF12" s="258">
        <v>0.1</v>
      </c>
      <c r="BG12" s="259">
        <v>0.1</v>
      </c>
      <c r="BH12" s="259">
        <v>0.1</v>
      </c>
      <c r="BI12" s="259">
        <v>0.1</v>
      </c>
      <c r="BJ12" s="259">
        <v>0.1</v>
      </c>
      <c r="BK12" s="259">
        <v>0.1</v>
      </c>
      <c r="BL12" s="259">
        <v>0.1</v>
      </c>
      <c r="BM12" s="259">
        <v>0.1</v>
      </c>
      <c r="BN12" s="260">
        <v>0.1</v>
      </c>
      <c r="BO12">
        <v>0.1</v>
      </c>
      <c r="BP12">
        <f>SUM(BN12:BO12)</f>
        <v>0.2</v>
      </c>
      <c r="BS12">
        <v>9</v>
      </c>
      <c r="BT12" s="270" t="s">
        <v>1192</v>
      </c>
      <c r="BU12" s="2"/>
      <c r="BV12" s="2"/>
      <c r="BW12" s="2"/>
      <c r="BX12" s="2"/>
      <c r="BY12" s="258">
        <v>0.1</v>
      </c>
      <c r="BZ12" s="259">
        <v>0.1</v>
      </c>
      <c r="CA12" s="259">
        <v>0.1</v>
      </c>
      <c r="CB12" s="259">
        <v>0.1</v>
      </c>
      <c r="CC12" s="259">
        <v>0.1</v>
      </c>
      <c r="CD12" s="259">
        <v>0.1</v>
      </c>
      <c r="CE12" s="259">
        <v>0.1</v>
      </c>
      <c r="CF12" s="259">
        <v>0.1</v>
      </c>
      <c r="CG12" s="259">
        <v>0.1</v>
      </c>
      <c r="CH12" s="259">
        <v>0.1</v>
      </c>
      <c r="CI12" s="259">
        <v>0.1</v>
      </c>
      <c r="CJ12" s="259">
        <v>0.1</v>
      </c>
      <c r="CK12" s="259">
        <v>0.1</v>
      </c>
      <c r="CL12" s="259">
        <v>0.1</v>
      </c>
      <c r="CM12" s="259">
        <v>0.1</v>
      </c>
      <c r="CN12" s="259">
        <v>0.1</v>
      </c>
      <c r="CO12" s="259">
        <v>0.1</v>
      </c>
      <c r="CP12" s="259">
        <v>0.1</v>
      </c>
      <c r="CQ12" s="259">
        <v>0.1</v>
      </c>
      <c r="CR12" s="259">
        <v>0.1</v>
      </c>
      <c r="CS12" s="259">
        <v>0.1</v>
      </c>
      <c r="CT12" s="259">
        <v>0.1</v>
      </c>
      <c r="CU12" s="259">
        <v>0.1</v>
      </c>
      <c r="CV12" s="259">
        <v>0.1</v>
      </c>
      <c r="CW12" s="259">
        <v>0.1</v>
      </c>
      <c r="CX12" s="259">
        <v>0.1</v>
      </c>
      <c r="CY12" s="259">
        <v>0.1</v>
      </c>
      <c r="CZ12" s="259">
        <v>0.1</v>
      </c>
      <c r="DA12" s="259">
        <v>0.1</v>
      </c>
      <c r="DB12" s="259">
        <v>0.1</v>
      </c>
      <c r="DC12" s="259">
        <v>0.1</v>
      </c>
      <c r="DD12" s="259">
        <v>0.1</v>
      </c>
      <c r="DE12" s="259">
        <v>0.1</v>
      </c>
      <c r="DF12" s="259">
        <v>0.1</v>
      </c>
      <c r="DG12" s="259">
        <v>0.1</v>
      </c>
      <c r="DH12" s="259">
        <v>0.1</v>
      </c>
      <c r="DI12" s="259">
        <v>0.1</v>
      </c>
      <c r="DJ12" s="259">
        <v>0.1</v>
      </c>
      <c r="DK12" s="259">
        <v>0.1</v>
      </c>
      <c r="DL12" s="259">
        <v>0.1</v>
      </c>
      <c r="DM12" s="259">
        <v>0.1</v>
      </c>
      <c r="DN12" s="259">
        <v>0.1</v>
      </c>
      <c r="DO12" s="259">
        <v>0.1</v>
      </c>
      <c r="DP12" s="259">
        <v>0.1</v>
      </c>
      <c r="DQ12" s="259">
        <v>0.1</v>
      </c>
      <c r="DR12" s="259">
        <v>0.1</v>
      </c>
      <c r="DS12" s="259">
        <v>0.1</v>
      </c>
      <c r="DT12" s="259">
        <v>0.1</v>
      </c>
      <c r="DU12" s="259">
        <v>0.1</v>
      </c>
      <c r="DV12" s="259">
        <v>0.1</v>
      </c>
      <c r="DW12" s="259">
        <v>0.1</v>
      </c>
      <c r="DX12" s="259">
        <v>0.1</v>
      </c>
      <c r="DY12" s="259">
        <v>0.1</v>
      </c>
      <c r="DZ12" s="259">
        <v>0.1</v>
      </c>
      <c r="EA12" s="259">
        <v>0.1</v>
      </c>
      <c r="EB12" s="259">
        <v>0.1</v>
      </c>
      <c r="EC12" s="259">
        <v>0.1</v>
      </c>
      <c r="ED12" s="259">
        <v>0.1</v>
      </c>
      <c r="EE12" s="259">
        <v>0.1</v>
      </c>
      <c r="EF12" s="260">
        <v>0.1</v>
      </c>
      <c r="EJ12">
        <v>9</v>
      </c>
      <c r="EN12">
        <v>0.1</v>
      </c>
      <c r="EO12">
        <v>0.1</v>
      </c>
      <c r="EP12">
        <v>0.1</v>
      </c>
      <c r="EQ12">
        <v>0.1</v>
      </c>
      <c r="ER12">
        <v>0.1</v>
      </c>
      <c r="ES12">
        <v>0.1</v>
      </c>
      <c r="ET12">
        <v>0.1</v>
      </c>
      <c r="EU12">
        <v>0.1</v>
      </c>
      <c r="EV12">
        <v>0.1</v>
      </c>
      <c r="EW12">
        <v>0.1</v>
      </c>
      <c r="EX12">
        <v>0.1</v>
      </c>
      <c r="EY12">
        <v>0.1</v>
      </c>
      <c r="EZ12">
        <v>0.1</v>
      </c>
      <c r="FA12">
        <v>0.1</v>
      </c>
      <c r="FB12">
        <v>0.1</v>
      </c>
      <c r="FC12">
        <v>0.1</v>
      </c>
      <c r="FD12">
        <v>0.1</v>
      </c>
      <c r="FE12">
        <v>0.1</v>
      </c>
      <c r="FF12">
        <v>0.1</v>
      </c>
      <c r="FG12">
        <v>0.1</v>
      </c>
      <c r="FH12">
        <v>0.1</v>
      </c>
      <c r="FI12">
        <v>0.1</v>
      </c>
      <c r="FJ12">
        <v>0.1</v>
      </c>
      <c r="FK12">
        <v>0.1</v>
      </c>
      <c r="FL12">
        <v>0.1</v>
      </c>
      <c r="FM12">
        <v>0.1</v>
      </c>
      <c r="FN12">
        <v>0.1</v>
      </c>
      <c r="FO12">
        <v>0.1</v>
      </c>
      <c r="FP12">
        <v>0.1</v>
      </c>
      <c r="FQ12">
        <v>0.1</v>
      </c>
      <c r="FU12">
        <v>9</v>
      </c>
      <c r="FV12">
        <v>2.36</v>
      </c>
      <c r="FW12">
        <v>1.56</v>
      </c>
      <c r="GB12" s="66">
        <v>0.1</v>
      </c>
      <c r="GC12" s="67">
        <v>0.1</v>
      </c>
      <c r="GD12" s="67">
        <v>0.1</v>
      </c>
      <c r="GE12" s="67">
        <v>0.1</v>
      </c>
      <c r="GF12" s="67">
        <v>0.1</v>
      </c>
      <c r="GG12" s="67">
        <v>0.1</v>
      </c>
      <c r="GH12" s="67">
        <v>0.1</v>
      </c>
      <c r="GI12" s="67">
        <v>0.1</v>
      </c>
      <c r="GJ12" s="67">
        <v>0.1</v>
      </c>
      <c r="GK12" s="67">
        <v>0.1</v>
      </c>
      <c r="GL12" s="67">
        <v>0.1</v>
      </c>
      <c r="GM12" s="67">
        <v>0.1</v>
      </c>
      <c r="GN12" s="67">
        <v>0.1</v>
      </c>
      <c r="GO12" s="67">
        <v>0.1</v>
      </c>
      <c r="GP12" s="67">
        <v>0.1</v>
      </c>
      <c r="GQ12" s="67">
        <v>0.1</v>
      </c>
      <c r="GR12" s="67">
        <v>0.1</v>
      </c>
      <c r="GS12" s="67">
        <v>0.1</v>
      </c>
      <c r="GT12" s="67">
        <v>0.1</v>
      </c>
      <c r="GU12" s="67">
        <v>0.1</v>
      </c>
      <c r="GV12" s="67">
        <v>0.1</v>
      </c>
      <c r="GW12" s="67">
        <v>0.1</v>
      </c>
      <c r="GX12" s="67">
        <v>0.1</v>
      </c>
      <c r="GY12" s="68">
        <v>0.1</v>
      </c>
      <c r="GZ12" s="66">
        <v>0.1</v>
      </c>
      <c r="HA12" s="67">
        <v>0.1</v>
      </c>
      <c r="HB12" s="67">
        <v>0.1</v>
      </c>
      <c r="HC12" s="67">
        <v>0.1</v>
      </c>
      <c r="HD12" s="67">
        <v>0.1</v>
      </c>
      <c r="HE12" s="67">
        <v>0.1</v>
      </c>
      <c r="HF12" s="67">
        <v>0.1</v>
      </c>
      <c r="HG12" s="67">
        <v>0.1</v>
      </c>
      <c r="HH12" s="67">
        <v>0.1</v>
      </c>
      <c r="HI12" s="67">
        <v>0.1</v>
      </c>
      <c r="HJ12" s="67">
        <v>0.1</v>
      </c>
      <c r="HK12" s="67">
        <v>0.1</v>
      </c>
      <c r="HL12" s="67">
        <v>0.1</v>
      </c>
      <c r="HM12" s="67">
        <v>0.1</v>
      </c>
      <c r="HN12" s="67">
        <v>0.1</v>
      </c>
      <c r="HO12" s="68">
        <v>0.1</v>
      </c>
    </row>
    <row r="13" spans="1:225" ht="15.75" thickBot="1" x14ac:dyDescent="0.3">
      <c r="A13">
        <v>10</v>
      </c>
      <c r="B13" s="268" t="s">
        <v>1175</v>
      </c>
      <c r="C13" s="2"/>
      <c r="D13" s="2"/>
      <c r="E13" s="2"/>
      <c r="F13" s="2"/>
      <c r="G13" s="2"/>
      <c r="H13" s="258">
        <v>0.1</v>
      </c>
      <c r="I13" s="259">
        <v>0.1</v>
      </c>
      <c r="J13" s="259">
        <v>0.1</v>
      </c>
      <c r="K13" s="259">
        <v>0.1</v>
      </c>
      <c r="L13" s="259">
        <v>0.1</v>
      </c>
      <c r="M13" s="259">
        <v>0.1</v>
      </c>
      <c r="N13" s="259">
        <v>0.1</v>
      </c>
      <c r="O13" s="259">
        <v>0.1</v>
      </c>
      <c r="P13" s="259">
        <v>0.1</v>
      </c>
      <c r="Q13" s="259">
        <v>0.1</v>
      </c>
      <c r="R13" s="259">
        <v>0.1</v>
      </c>
      <c r="S13" s="259">
        <v>0.1</v>
      </c>
      <c r="T13" s="259">
        <v>0.1</v>
      </c>
      <c r="U13" s="259">
        <v>0.1</v>
      </c>
      <c r="V13" s="259">
        <v>0.1</v>
      </c>
      <c r="W13" s="259">
        <v>0.1</v>
      </c>
      <c r="X13" s="259">
        <v>0.1</v>
      </c>
      <c r="Y13" s="259">
        <v>0.1</v>
      </c>
      <c r="Z13" s="259">
        <v>0.1</v>
      </c>
      <c r="AA13" s="259">
        <v>0.1</v>
      </c>
      <c r="AB13" s="259">
        <v>0.1</v>
      </c>
      <c r="AC13" s="259">
        <v>0.1</v>
      </c>
      <c r="AD13" s="259">
        <v>0.1</v>
      </c>
      <c r="AE13" s="259">
        <v>0.1</v>
      </c>
      <c r="AF13" s="259">
        <v>0.1</v>
      </c>
      <c r="AG13" s="259">
        <v>0.1</v>
      </c>
      <c r="AH13" s="259">
        <v>0.1</v>
      </c>
      <c r="AI13" s="259">
        <v>0.1</v>
      </c>
      <c r="AJ13" s="259">
        <v>0.1</v>
      </c>
      <c r="AK13" s="259">
        <v>0.1</v>
      </c>
      <c r="AL13" s="259">
        <v>0.1</v>
      </c>
      <c r="AM13" s="259">
        <v>0.1</v>
      </c>
      <c r="AN13" s="259">
        <v>0.1</v>
      </c>
      <c r="AO13" s="259">
        <v>0.1</v>
      </c>
      <c r="AP13" s="259">
        <v>0.1</v>
      </c>
      <c r="AQ13" s="259">
        <v>0.1</v>
      </c>
      <c r="AR13" s="259">
        <v>0.1</v>
      </c>
      <c r="AS13" s="259">
        <v>0.1</v>
      </c>
      <c r="AT13" s="259">
        <v>0.1</v>
      </c>
      <c r="AU13" s="259">
        <v>0.1</v>
      </c>
      <c r="AV13" s="259">
        <v>0.1</v>
      </c>
      <c r="AW13" s="259">
        <v>0.1</v>
      </c>
      <c r="AX13" s="259">
        <v>0.1</v>
      </c>
      <c r="AY13" s="259">
        <v>0.1</v>
      </c>
      <c r="AZ13" s="259">
        <v>0.1</v>
      </c>
      <c r="BA13" s="259">
        <v>0.1</v>
      </c>
      <c r="BB13" s="259">
        <v>0.1</v>
      </c>
      <c r="BC13" s="259">
        <v>0.1</v>
      </c>
      <c r="BD13" s="259">
        <v>0.1</v>
      </c>
      <c r="BE13" s="259">
        <v>0.1</v>
      </c>
      <c r="BF13" s="259">
        <v>0.1</v>
      </c>
      <c r="BG13" s="259">
        <v>0.1</v>
      </c>
      <c r="BH13" s="259">
        <v>0.1</v>
      </c>
      <c r="BI13" s="259">
        <v>0.1</v>
      </c>
      <c r="BJ13" s="259">
        <v>0.1</v>
      </c>
      <c r="BK13" s="259">
        <v>0.1</v>
      </c>
      <c r="BL13" s="259">
        <v>0.1</v>
      </c>
      <c r="BM13" s="259">
        <v>0.1</v>
      </c>
      <c r="BN13" s="259">
        <v>0.1</v>
      </c>
      <c r="BO13" s="260">
        <v>0.1</v>
      </c>
      <c r="BS13">
        <v>10</v>
      </c>
      <c r="BT13" s="270" t="s">
        <v>1193</v>
      </c>
      <c r="BU13" s="271">
        <v>0.98</v>
      </c>
      <c r="BV13" s="270">
        <v>0.98</v>
      </c>
      <c r="BW13" s="2"/>
      <c r="BX13" s="2"/>
      <c r="BY13" s="258">
        <v>0.1</v>
      </c>
      <c r="BZ13" s="259">
        <v>0.1</v>
      </c>
      <c r="CA13" s="259">
        <v>0.1</v>
      </c>
      <c r="CB13" s="259">
        <v>0.1</v>
      </c>
      <c r="CC13" s="259">
        <v>0.1</v>
      </c>
      <c r="CD13" s="259">
        <v>0.1</v>
      </c>
      <c r="CE13" s="259">
        <v>0.1</v>
      </c>
      <c r="CF13" s="259">
        <v>0.1</v>
      </c>
      <c r="CG13" s="259">
        <v>0.1</v>
      </c>
      <c r="CH13" s="259">
        <v>0.1</v>
      </c>
      <c r="CI13" s="259">
        <v>0.1</v>
      </c>
      <c r="CJ13" s="259">
        <v>0.1</v>
      </c>
      <c r="CK13" s="259">
        <v>0.1</v>
      </c>
      <c r="CL13" s="259">
        <v>0.1</v>
      </c>
      <c r="CM13" s="259">
        <v>0.1</v>
      </c>
      <c r="CN13" s="259">
        <v>0.1</v>
      </c>
      <c r="CO13" s="259">
        <v>0.1</v>
      </c>
      <c r="CP13" s="259">
        <v>0.1</v>
      </c>
      <c r="CQ13" s="259">
        <v>0.1</v>
      </c>
      <c r="CR13" s="259">
        <v>0.1</v>
      </c>
      <c r="CS13" s="259">
        <v>0.1</v>
      </c>
      <c r="CT13" s="259">
        <v>0.1</v>
      </c>
      <c r="CU13" s="259">
        <v>0.1</v>
      </c>
      <c r="CV13" s="259">
        <v>0.1</v>
      </c>
      <c r="CW13" s="259">
        <v>0.1</v>
      </c>
      <c r="CX13" s="259">
        <v>0.1</v>
      </c>
      <c r="CY13" s="259">
        <v>0.1</v>
      </c>
      <c r="CZ13" s="259">
        <v>0.1</v>
      </c>
      <c r="DA13" s="259">
        <v>0.1</v>
      </c>
      <c r="DB13" s="259">
        <v>0.1</v>
      </c>
      <c r="DC13" s="259">
        <v>0.1</v>
      </c>
      <c r="DD13" s="259">
        <v>0.1</v>
      </c>
      <c r="DE13" s="259">
        <v>0.1</v>
      </c>
      <c r="DF13" s="259">
        <v>0.1</v>
      </c>
      <c r="DG13" s="259">
        <v>0.1</v>
      </c>
      <c r="DH13" s="259">
        <v>0.1</v>
      </c>
      <c r="DI13" s="259">
        <v>0.1</v>
      </c>
      <c r="DJ13" s="259">
        <v>0.1</v>
      </c>
      <c r="DK13" s="259">
        <v>0.1</v>
      </c>
      <c r="DL13" s="260">
        <v>0.1</v>
      </c>
      <c r="DM13" s="258">
        <v>0.1</v>
      </c>
      <c r="DN13" s="259">
        <v>0.1</v>
      </c>
      <c r="DO13" s="259">
        <v>0.1</v>
      </c>
      <c r="DP13" s="259">
        <v>0.1</v>
      </c>
      <c r="DQ13" s="259">
        <v>0.1</v>
      </c>
      <c r="DR13" s="259">
        <v>0.1</v>
      </c>
      <c r="DS13" s="259">
        <v>0.1</v>
      </c>
      <c r="DT13" s="259">
        <v>0.1</v>
      </c>
      <c r="DU13" s="259">
        <v>0.1</v>
      </c>
      <c r="DV13" s="260">
        <v>0.1</v>
      </c>
      <c r="DW13" s="258">
        <v>0.1</v>
      </c>
      <c r="DX13" s="259">
        <v>0.1</v>
      </c>
      <c r="DY13" s="259">
        <v>0.1</v>
      </c>
      <c r="DZ13" s="259">
        <v>0.1</v>
      </c>
      <c r="EA13" s="259">
        <v>0.1</v>
      </c>
      <c r="EB13" s="259">
        <v>0.1</v>
      </c>
      <c r="EC13" s="259">
        <v>0.1</v>
      </c>
      <c r="ED13" s="259">
        <v>0.1</v>
      </c>
      <c r="EE13" s="259">
        <v>0.1</v>
      </c>
      <c r="EF13" s="260">
        <v>0.1</v>
      </c>
      <c r="EJ13">
        <v>10</v>
      </c>
      <c r="EN13">
        <v>0.1</v>
      </c>
      <c r="EO13">
        <v>0.1</v>
      </c>
      <c r="EP13">
        <v>0.1</v>
      </c>
      <c r="EQ13">
        <v>0.1</v>
      </c>
      <c r="ER13">
        <v>0.1</v>
      </c>
      <c r="ES13">
        <v>0.1</v>
      </c>
      <c r="ET13">
        <v>0.1</v>
      </c>
      <c r="EU13">
        <v>0.1</v>
      </c>
      <c r="EV13">
        <v>0.1</v>
      </c>
      <c r="EW13">
        <v>0.1</v>
      </c>
      <c r="EX13">
        <v>0.1</v>
      </c>
      <c r="EY13">
        <v>0.1</v>
      </c>
      <c r="EZ13">
        <v>0.1</v>
      </c>
      <c r="FA13">
        <v>0.1</v>
      </c>
      <c r="FB13">
        <v>0.1</v>
      </c>
      <c r="FC13">
        <v>0.1</v>
      </c>
      <c r="FD13">
        <v>0.1</v>
      </c>
      <c r="FE13">
        <v>0.1</v>
      </c>
      <c r="FF13">
        <v>0.1</v>
      </c>
      <c r="FG13">
        <v>0.1</v>
      </c>
      <c r="FH13">
        <v>0.1</v>
      </c>
      <c r="FI13">
        <v>0.1</v>
      </c>
      <c r="FJ13">
        <v>0.1</v>
      </c>
      <c r="FK13">
        <v>0.1</v>
      </c>
      <c r="FL13">
        <v>0.1</v>
      </c>
      <c r="FM13">
        <v>0.1</v>
      </c>
      <c r="FN13">
        <v>0.1</v>
      </c>
      <c r="FO13">
        <v>0.1</v>
      </c>
      <c r="FP13">
        <v>0.1</v>
      </c>
      <c r="FQ13">
        <v>0.1</v>
      </c>
      <c r="FU13">
        <v>10</v>
      </c>
      <c r="FV13">
        <v>2.36</v>
      </c>
      <c r="FW13">
        <v>1.56</v>
      </c>
      <c r="GB13" s="66">
        <v>0.1</v>
      </c>
      <c r="GC13" s="67">
        <v>0.1</v>
      </c>
      <c r="GD13" s="67">
        <v>0.1</v>
      </c>
      <c r="GE13" s="67">
        <v>0.1</v>
      </c>
      <c r="GF13" s="67">
        <v>0.1</v>
      </c>
      <c r="GG13" s="67">
        <v>0.1</v>
      </c>
      <c r="GH13" s="67">
        <v>0.1</v>
      </c>
      <c r="GI13" s="67">
        <v>0.1</v>
      </c>
      <c r="GJ13" s="67">
        <v>0.1</v>
      </c>
      <c r="GK13" s="67">
        <v>0.1</v>
      </c>
      <c r="GL13" s="67">
        <v>0.1</v>
      </c>
      <c r="GM13" s="67">
        <v>0.1</v>
      </c>
      <c r="GN13" s="67">
        <v>0.1</v>
      </c>
      <c r="GO13" s="67">
        <v>0.1</v>
      </c>
      <c r="GP13" s="67">
        <v>0.1</v>
      </c>
      <c r="GQ13" s="67">
        <v>0.1</v>
      </c>
      <c r="GR13" s="67">
        <v>0.1</v>
      </c>
      <c r="GS13" s="67">
        <v>0.1</v>
      </c>
      <c r="GT13" s="67">
        <v>0.1</v>
      </c>
      <c r="GU13" s="67">
        <v>0.1</v>
      </c>
      <c r="GV13" s="67">
        <v>0.1</v>
      </c>
      <c r="GW13" s="67">
        <v>0.1</v>
      </c>
      <c r="GX13" s="67">
        <v>0.1</v>
      </c>
      <c r="GY13" s="68">
        <v>0.1</v>
      </c>
      <c r="GZ13" s="66">
        <v>0.1</v>
      </c>
      <c r="HA13" s="67">
        <v>0.1</v>
      </c>
      <c r="HB13" s="67">
        <v>0.1</v>
      </c>
      <c r="HC13" s="67">
        <v>0.1</v>
      </c>
      <c r="HD13" s="67">
        <v>0.1</v>
      </c>
      <c r="HE13" s="67">
        <v>0.1</v>
      </c>
      <c r="HF13" s="67">
        <v>0.1</v>
      </c>
      <c r="HG13" s="67">
        <v>0.1</v>
      </c>
      <c r="HH13" s="67">
        <v>0.1</v>
      </c>
      <c r="HI13" s="67">
        <v>0.1</v>
      </c>
      <c r="HJ13" s="67">
        <v>0.1</v>
      </c>
      <c r="HK13" s="67">
        <v>0.1</v>
      </c>
      <c r="HL13" s="67">
        <v>0.1</v>
      </c>
      <c r="HM13" s="67">
        <v>0.1</v>
      </c>
      <c r="HN13" s="67">
        <v>0.1</v>
      </c>
      <c r="HO13" s="68">
        <v>0.1</v>
      </c>
    </row>
    <row r="14" spans="1:225" ht="15.75" thickBot="1" x14ac:dyDescent="0.3">
      <c r="A14">
        <v>11</v>
      </c>
      <c r="B14" s="268" t="s">
        <v>1176</v>
      </c>
      <c r="C14" s="269">
        <v>1.51</v>
      </c>
      <c r="D14" s="2"/>
      <c r="E14" s="2"/>
      <c r="F14" s="2"/>
      <c r="G14" s="2"/>
      <c r="H14" s="258">
        <v>0.1</v>
      </c>
      <c r="I14" s="259">
        <v>0.1</v>
      </c>
      <c r="J14" s="259">
        <v>0.1</v>
      </c>
      <c r="K14" s="259">
        <v>0.1</v>
      </c>
      <c r="L14" s="259">
        <v>0.1</v>
      </c>
      <c r="M14" s="259">
        <v>0.1</v>
      </c>
      <c r="N14" s="259">
        <v>0.1</v>
      </c>
      <c r="O14" s="259">
        <v>0.1</v>
      </c>
      <c r="P14" s="259">
        <v>0.1</v>
      </c>
      <c r="Q14" s="259">
        <v>0.1</v>
      </c>
      <c r="R14" s="259">
        <v>0.1</v>
      </c>
      <c r="S14" s="259">
        <v>0.1</v>
      </c>
      <c r="T14" s="259">
        <v>0.1</v>
      </c>
      <c r="U14" s="259">
        <v>0.1</v>
      </c>
      <c r="V14" s="259">
        <v>0.1</v>
      </c>
      <c r="W14" s="259">
        <v>0.1</v>
      </c>
      <c r="X14" s="259">
        <v>0.1</v>
      </c>
      <c r="Y14" s="259">
        <v>0.1</v>
      </c>
      <c r="Z14" s="259">
        <v>0.1</v>
      </c>
      <c r="AA14" s="259">
        <v>0.1</v>
      </c>
      <c r="AB14" s="259">
        <v>0.1</v>
      </c>
      <c r="AC14" s="259">
        <v>0.1</v>
      </c>
      <c r="AD14" s="259">
        <v>0.1</v>
      </c>
      <c r="AE14" s="259">
        <v>0.1</v>
      </c>
      <c r="AF14" s="259">
        <v>0.1</v>
      </c>
      <c r="AG14" s="259">
        <v>0.1</v>
      </c>
      <c r="AH14" s="259">
        <v>0.1</v>
      </c>
      <c r="AI14" s="259">
        <v>0.1</v>
      </c>
      <c r="AJ14" s="259">
        <v>0.1</v>
      </c>
      <c r="AK14" s="259">
        <v>0.1</v>
      </c>
      <c r="AL14" s="259">
        <v>0.1</v>
      </c>
      <c r="AM14" s="259">
        <v>0.1</v>
      </c>
      <c r="AN14" s="259">
        <v>0.1</v>
      </c>
      <c r="AO14" s="259">
        <v>0.1</v>
      </c>
      <c r="AP14" s="259">
        <v>0.1</v>
      </c>
      <c r="AQ14" s="259">
        <v>0.1</v>
      </c>
      <c r="AR14" s="259">
        <v>0.1</v>
      </c>
      <c r="AS14" s="259">
        <v>0.1</v>
      </c>
      <c r="AT14" s="259">
        <v>0.1</v>
      </c>
      <c r="AU14" s="260">
        <v>0.1</v>
      </c>
      <c r="AV14" s="258">
        <v>0.1</v>
      </c>
      <c r="AW14" s="259">
        <v>0.1</v>
      </c>
      <c r="AX14" s="259">
        <v>0.1</v>
      </c>
      <c r="AY14" s="259">
        <v>0.1</v>
      </c>
      <c r="AZ14" s="259">
        <v>0.1</v>
      </c>
      <c r="BA14" s="259">
        <v>0.1</v>
      </c>
      <c r="BB14" s="259">
        <v>0.1</v>
      </c>
      <c r="BC14" s="259">
        <v>0.1</v>
      </c>
      <c r="BD14" s="259">
        <v>0.1</v>
      </c>
      <c r="BE14" s="259">
        <v>0.1</v>
      </c>
      <c r="BF14" s="262">
        <v>0.1</v>
      </c>
      <c r="BG14" s="262">
        <v>0.1</v>
      </c>
      <c r="BH14" s="262">
        <v>0.1</v>
      </c>
      <c r="BI14" s="262">
        <v>0.1</v>
      </c>
      <c r="BJ14" s="262">
        <v>0.1</v>
      </c>
      <c r="BK14" s="263">
        <v>0.1</v>
      </c>
      <c r="BL14">
        <v>0.1</v>
      </c>
      <c r="BM14">
        <v>0.1</v>
      </c>
      <c r="BN14">
        <v>0.1</v>
      </c>
      <c r="BO14">
        <v>0.1</v>
      </c>
      <c r="BP14">
        <f>SUM(BL14:BO14)</f>
        <v>0.4</v>
      </c>
      <c r="BS14">
        <v>11</v>
      </c>
      <c r="BT14" s="270" t="s">
        <v>1196</v>
      </c>
      <c r="BU14" s="270">
        <v>1.1000000000000001</v>
      </c>
      <c r="BV14" s="271">
        <v>1.1000000000000001</v>
      </c>
      <c r="BW14" s="270">
        <v>1.0900000000000001</v>
      </c>
      <c r="BX14" s="2"/>
      <c r="BY14" s="258">
        <v>0.1</v>
      </c>
      <c r="BZ14" s="259">
        <v>0.1</v>
      </c>
      <c r="CA14" s="259">
        <v>0.1</v>
      </c>
      <c r="CB14" s="259">
        <v>0.1</v>
      </c>
      <c r="CC14" s="259">
        <v>0.1</v>
      </c>
      <c r="CD14" s="259">
        <v>0.1</v>
      </c>
      <c r="CE14" s="259">
        <v>0.1</v>
      </c>
      <c r="CF14" s="259">
        <v>0.1</v>
      </c>
      <c r="CG14" s="259">
        <v>0.1</v>
      </c>
      <c r="CH14" s="259">
        <v>0.1</v>
      </c>
      <c r="CI14" s="259">
        <v>0.1</v>
      </c>
      <c r="CJ14" s="259">
        <v>0.1</v>
      </c>
      <c r="CK14" s="259">
        <v>0.1</v>
      </c>
      <c r="CL14" s="259">
        <v>0.1</v>
      </c>
      <c r="CM14" s="259">
        <v>0.1</v>
      </c>
      <c r="CN14" s="259">
        <v>0.1</v>
      </c>
      <c r="CO14" s="259">
        <v>0.1</v>
      </c>
      <c r="CP14" s="259">
        <v>0.1</v>
      </c>
      <c r="CQ14" s="259">
        <v>0.1</v>
      </c>
      <c r="CR14" s="259">
        <v>0.1</v>
      </c>
      <c r="CS14" s="259">
        <v>0.1</v>
      </c>
      <c r="CT14" s="259">
        <v>0.1</v>
      </c>
      <c r="CU14" s="260">
        <v>0.1</v>
      </c>
      <c r="CV14" s="258">
        <v>0.1</v>
      </c>
      <c r="CW14" s="259">
        <v>0.1</v>
      </c>
      <c r="CX14" s="259">
        <v>0.1</v>
      </c>
      <c r="CY14" s="259">
        <v>0.1</v>
      </c>
      <c r="CZ14" s="259">
        <v>0.1</v>
      </c>
      <c r="DA14" s="259">
        <v>0.1</v>
      </c>
      <c r="DB14" s="259">
        <v>0.1</v>
      </c>
      <c r="DC14" s="259">
        <v>0.1</v>
      </c>
      <c r="DD14" s="259">
        <v>0.1</v>
      </c>
      <c r="DE14" s="259">
        <v>0.1</v>
      </c>
      <c r="DF14" s="260">
        <v>0.1</v>
      </c>
      <c r="DG14" s="258">
        <v>0.1</v>
      </c>
      <c r="DH14" s="259">
        <v>0.1</v>
      </c>
      <c r="DI14" s="259">
        <v>0.1</v>
      </c>
      <c r="DJ14" s="259">
        <v>0.1</v>
      </c>
      <c r="DK14" s="259">
        <v>0.1</v>
      </c>
      <c r="DL14" s="259">
        <v>0.1</v>
      </c>
      <c r="DM14" s="259">
        <v>0.1</v>
      </c>
      <c r="DN14" s="259">
        <v>0.1</v>
      </c>
      <c r="DO14" s="259">
        <v>0.1</v>
      </c>
      <c r="DP14" s="259">
        <v>0.1</v>
      </c>
      <c r="DQ14" s="260">
        <v>0.1</v>
      </c>
      <c r="DR14" s="258">
        <v>0.1</v>
      </c>
      <c r="DS14" s="259">
        <v>0.1</v>
      </c>
      <c r="DT14" s="259">
        <v>0.1</v>
      </c>
      <c r="DU14" s="259">
        <v>0.1</v>
      </c>
      <c r="DV14" s="259">
        <v>0.1</v>
      </c>
      <c r="DW14" s="259">
        <v>0.1</v>
      </c>
      <c r="DX14" s="259">
        <v>0.1</v>
      </c>
      <c r="DY14" s="259">
        <v>0.1</v>
      </c>
      <c r="DZ14" s="259">
        <v>0.1</v>
      </c>
      <c r="EA14" s="259">
        <v>0.1</v>
      </c>
      <c r="EB14" s="260">
        <v>0.1</v>
      </c>
      <c r="EC14">
        <v>0.1</v>
      </c>
      <c r="ED14">
        <v>0.1</v>
      </c>
      <c r="EE14">
        <v>0.1</v>
      </c>
      <c r="EF14">
        <v>0.1</v>
      </c>
      <c r="EG14">
        <f>SUM(EC14:EF14)</f>
        <v>0.4</v>
      </c>
      <c r="EJ14">
        <v>11</v>
      </c>
      <c r="EN14">
        <v>0.1</v>
      </c>
      <c r="EO14">
        <v>0.1</v>
      </c>
      <c r="EP14">
        <v>0.1</v>
      </c>
      <c r="EQ14">
        <v>0.1</v>
      </c>
      <c r="ER14">
        <v>0.1</v>
      </c>
      <c r="ES14">
        <v>0.1</v>
      </c>
      <c r="ET14">
        <v>0.1</v>
      </c>
      <c r="EU14">
        <v>0.1</v>
      </c>
      <c r="EV14">
        <v>0.1</v>
      </c>
      <c r="EW14">
        <v>0.1</v>
      </c>
      <c r="EX14">
        <v>0.1</v>
      </c>
      <c r="EY14">
        <v>0.1</v>
      </c>
      <c r="EZ14">
        <v>0.1</v>
      </c>
      <c r="FA14">
        <v>0.1</v>
      </c>
      <c r="FB14">
        <v>0.1</v>
      </c>
      <c r="FC14">
        <v>0.1</v>
      </c>
      <c r="FD14">
        <v>0.1</v>
      </c>
      <c r="FE14">
        <v>0.1</v>
      </c>
      <c r="FF14">
        <v>0.1</v>
      </c>
      <c r="FG14">
        <v>0.1</v>
      </c>
      <c r="FH14">
        <v>0.1</v>
      </c>
      <c r="FI14">
        <v>0.1</v>
      </c>
      <c r="FJ14">
        <v>0.1</v>
      </c>
      <c r="FK14">
        <v>0.1</v>
      </c>
      <c r="FL14">
        <v>0.1</v>
      </c>
      <c r="FM14">
        <v>0.1</v>
      </c>
      <c r="FN14">
        <v>0.1</v>
      </c>
      <c r="FO14">
        <v>0.1</v>
      </c>
      <c r="FP14">
        <v>0.1</v>
      </c>
      <c r="FQ14">
        <v>0.1</v>
      </c>
      <c r="FU14">
        <v>11</v>
      </c>
      <c r="FV14">
        <v>2.4</v>
      </c>
      <c r="FW14">
        <v>1.54</v>
      </c>
      <c r="GB14" s="66">
        <v>0.1</v>
      </c>
      <c r="GC14" s="67">
        <v>0.1</v>
      </c>
      <c r="GD14" s="67">
        <v>0.1</v>
      </c>
      <c r="GE14" s="67">
        <v>0.1</v>
      </c>
      <c r="GF14" s="67">
        <v>0.1</v>
      </c>
      <c r="GG14" s="67">
        <v>0.1</v>
      </c>
      <c r="GH14" s="67">
        <v>0.1</v>
      </c>
      <c r="GI14" s="67">
        <v>0.1</v>
      </c>
      <c r="GJ14" s="67">
        <v>0.1</v>
      </c>
      <c r="GK14" s="67">
        <v>0.1</v>
      </c>
      <c r="GL14" s="67">
        <v>0.1</v>
      </c>
      <c r="GM14" s="67">
        <v>0.1</v>
      </c>
      <c r="GN14" s="67">
        <v>0.1</v>
      </c>
      <c r="GO14" s="67">
        <v>0.1</v>
      </c>
      <c r="GP14" s="67">
        <v>0.1</v>
      </c>
      <c r="GQ14" s="67">
        <v>0.1</v>
      </c>
      <c r="GR14" s="67">
        <v>0.1</v>
      </c>
      <c r="GS14" s="67">
        <v>0.1</v>
      </c>
      <c r="GT14" s="67">
        <v>0.1</v>
      </c>
      <c r="GU14" s="67">
        <v>0.1</v>
      </c>
      <c r="GV14" s="67">
        <v>0.1</v>
      </c>
      <c r="GW14" s="67">
        <v>0.1</v>
      </c>
      <c r="GX14" s="67">
        <v>0.1</v>
      </c>
      <c r="GY14" s="68">
        <v>0.1</v>
      </c>
      <c r="GZ14" s="66">
        <v>0.1</v>
      </c>
      <c r="HA14" s="67">
        <v>0.1</v>
      </c>
      <c r="HB14" s="67">
        <v>0.1</v>
      </c>
      <c r="HC14" s="67">
        <v>0.1</v>
      </c>
      <c r="HD14" s="67">
        <v>0.1</v>
      </c>
      <c r="HE14" s="67">
        <v>0.1</v>
      </c>
      <c r="HF14" s="67">
        <v>0.1</v>
      </c>
      <c r="HG14" s="67">
        <v>0.1</v>
      </c>
      <c r="HH14" s="67">
        <v>0.1</v>
      </c>
      <c r="HI14" s="67">
        <v>0.1</v>
      </c>
      <c r="HJ14" s="67">
        <v>0.1</v>
      </c>
      <c r="HK14" s="67">
        <v>0.1</v>
      </c>
      <c r="HL14" s="67">
        <v>0.1</v>
      </c>
      <c r="HM14" s="67">
        <v>0.1</v>
      </c>
      <c r="HN14" s="67">
        <v>0.1</v>
      </c>
      <c r="HO14" s="68">
        <v>0.1</v>
      </c>
    </row>
    <row r="15" spans="1:225" ht="15.75" thickBot="1" x14ac:dyDescent="0.3">
      <c r="A15">
        <v>12</v>
      </c>
      <c r="B15" s="268" t="s">
        <v>1222</v>
      </c>
      <c r="C15" s="268" t="s">
        <v>1222</v>
      </c>
      <c r="D15" s="268">
        <v>0.94</v>
      </c>
      <c r="E15" s="2"/>
      <c r="F15" s="2"/>
      <c r="G15" s="2"/>
      <c r="H15" s="258">
        <v>0.1</v>
      </c>
      <c r="I15" s="259">
        <v>0.1</v>
      </c>
      <c r="J15" s="259">
        <v>0.1</v>
      </c>
      <c r="K15" s="259">
        <v>0.1</v>
      </c>
      <c r="L15" s="259">
        <v>0.1</v>
      </c>
      <c r="M15" s="259">
        <v>0.1</v>
      </c>
      <c r="N15" s="259">
        <v>0.1</v>
      </c>
      <c r="O15" s="259">
        <v>0.1</v>
      </c>
      <c r="P15" s="259">
        <v>0.1</v>
      </c>
      <c r="Q15" s="259">
        <v>0.1</v>
      </c>
      <c r="R15" s="259">
        <v>0.1</v>
      </c>
      <c r="S15" s="259">
        <v>0.1</v>
      </c>
      <c r="T15" s="259">
        <v>0.1</v>
      </c>
      <c r="U15" s="259">
        <v>0.1</v>
      </c>
      <c r="V15" s="259">
        <v>0.1</v>
      </c>
      <c r="W15" s="259">
        <v>0.1</v>
      </c>
      <c r="X15" s="259">
        <v>0.1</v>
      </c>
      <c r="Y15" s="259">
        <v>0.1</v>
      </c>
      <c r="Z15" s="259">
        <v>0.1</v>
      </c>
      <c r="AA15" s="259">
        <v>0.1</v>
      </c>
      <c r="AB15" s="259">
        <v>0.1</v>
      </c>
      <c r="AC15" s="259">
        <v>0.1</v>
      </c>
      <c r="AD15" s="259">
        <v>0.1</v>
      </c>
      <c r="AE15" s="259">
        <v>0.1</v>
      </c>
      <c r="AF15" s="260">
        <v>0.1</v>
      </c>
      <c r="AG15" s="258">
        <v>0.1</v>
      </c>
      <c r="AH15" s="259">
        <v>0.1</v>
      </c>
      <c r="AI15" s="259">
        <v>0.1</v>
      </c>
      <c r="AJ15" s="259">
        <v>0.1</v>
      </c>
      <c r="AK15" s="259">
        <v>0.1</v>
      </c>
      <c r="AL15" s="259">
        <v>0.1</v>
      </c>
      <c r="AM15" s="259">
        <v>0.1</v>
      </c>
      <c r="AN15" s="259">
        <v>0.1</v>
      </c>
      <c r="AO15" s="259">
        <v>0.1</v>
      </c>
      <c r="AP15" s="259">
        <v>0.1</v>
      </c>
      <c r="AQ15" s="259">
        <v>0.1</v>
      </c>
      <c r="AR15" s="259">
        <v>0.1</v>
      </c>
      <c r="AS15" s="259">
        <v>0.1</v>
      </c>
      <c r="AT15" s="259">
        <v>0.1</v>
      </c>
      <c r="AU15" s="259">
        <v>0.1</v>
      </c>
      <c r="AV15" s="259">
        <v>0.1</v>
      </c>
      <c r="AW15" s="259">
        <v>0.1</v>
      </c>
      <c r="AX15" s="259">
        <v>0.1</v>
      </c>
      <c r="AY15" s="259">
        <v>0.1</v>
      </c>
      <c r="AZ15" s="259">
        <v>0.1</v>
      </c>
      <c r="BA15" s="259">
        <v>0.1</v>
      </c>
      <c r="BB15" s="259">
        <v>0.1</v>
      </c>
      <c r="BC15" s="259">
        <v>0.1</v>
      </c>
      <c r="BD15" s="259">
        <v>0.1</v>
      </c>
      <c r="BE15" s="260">
        <v>0.1</v>
      </c>
      <c r="BF15" s="258">
        <v>0.1</v>
      </c>
      <c r="BG15" s="259">
        <v>0.1</v>
      </c>
      <c r="BH15" s="259">
        <v>0.1</v>
      </c>
      <c r="BI15" s="259">
        <v>0.1</v>
      </c>
      <c r="BJ15" s="259">
        <v>0.1</v>
      </c>
      <c r="BK15" s="259">
        <v>0.1</v>
      </c>
      <c r="BL15" s="259">
        <v>0.1</v>
      </c>
      <c r="BM15" s="259">
        <v>0.1</v>
      </c>
      <c r="BN15" s="259">
        <v>0.1</v>
      </c>
      <c r="BO15" s="260">
        <v>0.1</v>
      </c>
      <c r="BS15">
        <v>12</v>
      </c>
      <c r="BT15" s="270" t="s">
        <v>1194</v>
      </c>
      <c r="BU15" s="2"/>
      <c r="BV15" s="2"/>
      <c r="BW15" s="2"/>
      <c r="BX15" s="2"/>
      <c r="BY15" s="258">
        <v>0.1</v>
      </c>
      <c r="BZ15" s="259">
        <v>0.1</v>
      </c>
      <c r="CA15" s="259">
        <v>0.1</v>
      </c>
      <c r="CB15" s="259">
        <v>0.1</v>
      </c>
      <c r="CC15" s="259">
        <v>0.1</v>
      </c>
      <c r="CD15" s="259">
        <v>0.1</v>
      </c>
      <c r="CE15" s="259">
        <v>0.1</v>
      </c>
      <c r="CF15" s="259">
        <v>0.1</v>
      </c>
      <c r="CG15" s="259">
        <v>0.1</v>
      </c>
      <c r="CH15" s="259">
        <v>0.1</v>
      </c>
      <c r="CI15" s="259">
        <v>0.1</v>
      </c>
      <c r="CJ15" s="259">
        <v>0.1</v>
      </c>
      <c r="CK15" s="259">
        <v>0.1</v>
      </c>
      <c r="CL15" s="259">
        <v>0.1</v>
      </c>
      <c r="CM15" s="259">
        <v>0.1</v>
      </c>
      <c r="CN15" s="259">
        <v>0.1</v>
      </c>
      <c r="CO15" s="259">
        <v>0.1</v>
      </c>
      <c r="CP15" s="259">
        <v>0.1</v>
      </c>
      <c r="CQ15" s="259">
        <v>0.1</v>
      </c>
      <c r="CR15" s="259">
        <v>0.1</v>
      </c>
      <c r="CS15" s="259">
        <v>0.1</v>
      </c>
      <c r="CT15" s="259">
        <v>0.1</v>
      </c>
      <c r="CU15" s="259">
        <v>0.1</v>
      </c>
      <c r="CV15" s="259">
        <v>0.1</v>
      </c>
      <c r="CW15" s="259">
        <v>0.1</v>
      </c>
      <c r="CX15" s="259">
        <v>0.1</v>
      </c>
      <c r="CY15" s="259">
        <v>0.1</v>
      </c>
      <c r="CZ15" s="259">
        <v>0.1</v>
      </c>
      <c r="DA15" s="259">
        <v>0.1</v>
      </c>
      <c r="DB15" s="259">
        <v>0.1</v>
      </c>
      <c r="DC15" s="259">
        <v>0.1</v>
      </c>
      <c r="DD15" s="259">
        <v>0.1</v>
      </c>
      <c r="DE15" s="259">
        <v>0.1</v>
      </c>
      <c r="DF15" s="259">
        <v>0.1</v>
      </c>
      <c r="DG15" s="259">
        <v>0.1</v>
      </c>
      <c r="DH15" s="259">
        <v>0.1</v>
      </c>
      <c r="DI15" s="259">
        <v>0.1</v>
      </c>
      <c r="DJ15" s="259">
        <v>0.1</v>
      </c>
      <c r="DK15" s="259">
        <v>0.1</v>
      </c>
      <c r="DL15" s="259">
        <v>0.1</v>
      </c>
      <c r="DM15" s="259">
        <v>0.1</v>
      </c>
      <c r="DN15" s="259">
        <v>0.1</v>
      </c>
      <c r="DO15" s="259">
        <v>0.1</v>
      </c>
      <c r="DP15" s="259">
        <v>0.1</v>
      </c>
      <c r="DQ15" s="259">
        <v>0.1</v>
      </c>
      <c r="DR15" s="259">
        <v>0.1</v>
      </c>
      <c r="DS15" s="259">
        <v>0.1</v>
      </c>
      <c r="DT15" s="259">
        <v>0.1</v>
      </c>
      <c r="DU15" s="259">
        <v>0.1</v>
      </c>
      <c r="DV15" s="259">
        <v>0.1</v>
      </c>
      <c r="DW15" s="259">
        <v>0.1</v>
      </c>
      <c r="DX15" s="259">
        <v>0.1</v>
      </c>
      <c r="DY15" s="259">
        <v>0.1</v>
      </c>
      <c r="DZ15" s="259">
        <v>0.1</v>
      </c>
      <c r="EA15" s="259">
        <v>0.1</v>
      </c>
      <c r="EB15" s="259">
        <v>0.1</v>
      </c>
      <c r="EC15" s="259">
        <v>0.1</v>
      </c>
      <c r="ED15" s="259">
        <v>0.1</v>
      </c>
      <c r="EE15" s="259">
        <v>0.1</v>
      </c>
      <c r="EF15" s="260">
        <v>0.1</v>
      </c>
      <c r="EJ15">
        <v>12</v>
      </c>
      <c r="EN15">
        <v>0.1</v>
      </c>
      <c r="EO15">
        <v>0.1</v>
      </c>
      <c r="EP15">
        <v>0.1</v>
      </c>
      <c r="EQ15">
        <v>0.1</v>
      </c>
      <c r="ER15">
        <v>0.1</v>
      </c>
      <c r="ES15">
        <v>0.1</v>
      </c>
      <c r="ET15">
        <v>0.1</v>
      </c>
      <c r="EU15">
        <v>0.1</v>
      </c>
      <c r="EV15">
        <v>0.1</v>
      </c>
      <c r="EW15">
        <v>0.1</v>
      </c>
      <c r="EX15">
        <v>0.1</v>
      </c>
      <c r="EY15">
        <v>0.1</v>
      </c>
      <c r="EZ15">
        <v>0.1</v>
      </c>
      <c r="FA15">
        <v>0.1</v>
      </c>
      <c r="FB15">
        <v>0.1</v>
      </c>
      <c r="FC15">
        <v>0.1</v>
      </c>
      <c r="FD15">
        <v>0.1</v>
      </c>
      <c r="FE15">
        <v>0.1</v>
      </c>
      <c r="FF15">
        <v>0.1</v>
      </c>
      <c r="FG15">
        <v>0.1</v>
      </c>
      <c r="FH15">
        <v>0.1</v>
      </c>
      <c r="FI15">
        <v>0.1</v>
      </c>
      <c r="FJ15">
        <v>0.1</v>
      </c>
      <c r="FK15">
        <v>0.1</v>
      </c>
      <c r="FL15">
        <v>0.1</v>
      </c>
      <c r="FM15">
        <v>0.1</v>
      </c>
      <c r="FN15">
        <v>0.1</v>
      </c>
      <c r="FO15">
        <v>0.1</v>
      </c>
      <c r="FP15">
        <v>0.1</v>
      </c>
      <c r="FQ15">
        <v>0.1</v>
      </c>
      <c r="FU15">
        <v>12</v>
      </c>
      <c r="FV15">
        <v>2.4</v>
      </c>
      <c r="FW15">
        <v>1.54</v>
      </c>
      <c r="GB15" s="71">
        <v>0.1</v>
      </c>
      <c r="GC15" s="69">
        <v>0.1</v>
      </c>
      <c r="GD15" s="69">
        <v>0.1</v>
      </c>
      <c r="GE15" s="69">
        <v>0.1</v>
      </c>
      <c r="GF15" s="69">
        <v>0.1</v>
      </c>
      <c r="GG15" s="69">
        <v>0.1</v>
      </c>
      <c r="GH15" s="69">
        <v>0.1</v>
      </c>
      <c r="GI15" s="69">
        <v>0.1</v>
      </c>
      <c r="GJ15" s="69">
        <v>0.1</v>
      </c>
      <c r="GK15" s="69">
        <v>0.1</v>
      </c>
      <c r="GL15" s="69">
        <v>0.1</v>
      </c>
      <c r="GM15" s="69">
        <v>0.1</v>
      </c>
      <c r="GN15" s="69">
        <v>0.1</v>
      </c>
      <c r="GO15" s="69">
        <v>0.1</v>
      </c>
      <c r="GP15" s="69">
        <v>0.1</v>
      </c>
      <c r="GQ15" s="69">
        <v>0.1</v>
      </c>
      <c r="GR15" s="69">
        <v>0.1</v>
      </c>
      <c r="GS15" s="69">
        <v>0.1</v>
      </c>
      <c r="GT15" s="69">
        <v>0.1</v>
      </c>
      <c r="GU15" s="69">
        <v>0.1</v>
      </c>
      <c r="GV15" s="69">
        <v>0.1</v>
      </c>
      <c r="GW15" s="69">
        <v>0.1</v>
      </c>
      <c r="GX15" s="69">
        <v>0.1</v>
      </c>
      <c r="GY15" s="70">
        <v>0.1</v>
      </c>
      <c r="GZ15" s="66">
        <v>0.1</v>
      </c>
      <c r="HA15" s="67">
        <v>0.1</v>
      </c>
      <c r="HB15" s="67">
        <v>0.1</v>
      </c>
      <c r="HC15" s="67">
        <v>0.1</v>
      </c>
      <c r="HD15" s="67">
        <v>0.1</v>
      </c>
      <c r="HE15" s="67">
        <v>0.1</v>
      </c>
      <c r="HF15" s="67">
        <v>0.1</v>
      </c>
      <c r="HG15" s="67">
        <v>0.1</v>
      </c>
      <c r="HH15" s="67">
        <v>0.1</v>
      </c>
      <c r="HI15" s="67">
        <v>0.1</v>
      </c>
      <c r="HJ15" s="67">
        <v>0.1</v>
      </c>
      <c r="HK15" s="67">
        <v>0.1</v>
      </c>
      <c r="HL15" s="67">
        <v>0.1</v>
      </c>
      <c r="HM15" s="67">
        <v>0.1</v>
      </c>
      <c r="HN15" s="67">
        <v>0.1</v>
      </c>
      <c r="HO15" s="68">
        <v>0.1</v>
      </c>
    </row>
    <row r="16" spans="1:225" ht="15.75" thickBot="1" x14ac:dyDescent="0.3">
      <c r="A16">
        <v>13</v>
      </c>
      <c r="B16" s="268" t="s">
        <v>1175</v>
      </c>
      <c r="C16" s="2"/>
      <c r="D16" s="2"/>
      <c r="E16" s="2"/>
      <c r="F16" s="2"/>
      <c r="G16" s="2"/>
      <c r="H16" s="258">
        <v>0.1</v>
      </c>
      <c r="I16" s="259">
        <v>0.1</v>
      </c>
      <c r="J16" s="259">
        <v>0.1</v>
      </c>
      <c r="K16" s="259">
        <v>0.1</v>
      </c>
      <c r="L16" s="259">
        <v>0.1</v>
      </c>
      <c r="M16" s="259">
        <v>0.1</v>
      </c>
      <c r="N16" s="259">
        <v>0.1</v>
      </c>
      <c r="O16" s="259">
        <v>0.1</v>
      </c>
      <c r="P16" s="259">
        <v>0.1</v>
      </c>
      <c r="Q16" s="259">
        <v>0.1</v>
      </c>
      <c r="R16" s="259">
        <v>0.1</v>
      </c>
      <c r="S16" s="259">
        <v>0.1</v>
      </c>
      <c r="T16" s="259">
        <v>0.1</v>
      </c>
      <c r="U16" s="259">
        <v>0.1</v>
      </c>
      <c r="V16" s="259">
        <v>0.1</v>
      </c>
      <c r="W16" s="259">
        <v>0.1</v>
      </c>
      <c r="X16" s="259">
        <v>0.1</v>
      </c>
      <c r="Y16" s="259">
        <v>0.1</v>
      </c>
      <c r="Z16" s="259">
        <v>0.1</v>
      </c>
      <c r="AA16" s="259">
        <v>0.1</v>
      </c>
      <c r="AB16" s="259">
        <v>0.1</v>
      </c>
      <c r="AC16" s="259">
        <v>0.1</v>
      </c>
      <c r="AD16" s="259">
        <v>0.1</v>
      </c>
      <c r="AE16" s="259">
        <v>0.1</v>
      </c>
      <c r="AF16" s="259">
        <v>0.1</v>
      </c>
      <c r="AG16" s="259">
        <v>0.1</v>
      </c>
      <c r="AH16" s="259">
        <v>0.1</v>
      </c>
      <c r="AI16" s="259">
        <v>0.1</v>
      </c>
      <c r="AJ16" s="259">
        <v>0.1</v>
      </c>
      <c r="AK16" s="259">
        <v>0.1</v>
      </c>
      <c r="AL16" s="259">
        <v>0.1</v>
      </c>
      <c r="AM16" s="259">
        <v>0.1</v>
      </c>
      <c r="AN16" s="259">
        <v>0.1</v>
      </c>
      <c r="AO16" s="259">
        <v>0.1</v>
      </c>
      <c r="AP16" s="259">
        <v>0.1</v>
      </c>
      <c r="AQ16" s="259">
        <v>0.1</v>
      </c>
      <c r="AR16" s="259">
        <v>0.1</v>
      </c>
      <c r="AS16" s="259">
        <v>0.1</v>
      </c>
      <c r="AT16" s="259">
        <v>0.1</v>
      </c>
      <c r="AU16" s="259">
        <v>0.1</v>
      </c>
      <c r="AV16" s="259">
        <v>0.1</v>
      </c>
      <c r="AW16" s="259">
        <v>0.1</v>
      </c>
      <c r="AX16" s="259">
        <v>0.1</v>
      </c>
      <c r="AY16" s="259">
        <v>0.1</v>
      </c>
      <c r="AZ16" s="259">
        <v>0.1</v>
      </c>
      <c r="BA16" s="259">
        <v>0.1</v>
      </c>
      <c r="BB16" s="259">
        <v>0.1</v>
      </c>
      <c r="BC16" s="259">
        <v>0.1</v>
      </c>
      <c r="BD16" s="259">
        <v>0.1</v>
      </c>
      <c r="BE16" s="259">
        <v>0.1</v>
      </c>
      <c r="BF16" s="259">
        <v>0.1</v>
      </c>
      <c r="BG16" s="259">
        <v>0.1</v>
      </c>
      <c r="BH16" s="259">
        <v>0.1</v>
      </c>
      <c r="BI16" s="259">
        <v>0.1</v>
      </c>
      <c r="BJ16" s="259">
        <v>0.1</v>
      </c>
      <c r="BK16" s="259">
        <v>0.1</v>
      </c>
      <c r="BL16" s="259">
        <v>0.1</v>
      </c>
      <c r="BM16" s="259">
        <v>0.1</v>
      </c>
      <c r="BN16" s="259">
        <v>0.1</v>
      </c>
      <c r="BO16" s="260">
        <v>0.1</v>
      </c>
      <c r="BS16">
        <v>13</v>
      </c>
      <c r="BT16" s="270" t="s">
        <v>1195</v>
      </c>
      <c r="BU16" s="271">
        <v>1</v>
      </c>
      <c r="BV16" s="270">
        <v>0.99</v>
      </c>
      <c r="BW16" s="2"/>
      <c r="BX16" s="2"/>
      <c r="BY16" s="258">
        <v>0.1</v>
      </c>
      <c r="BZ16" s="259">
        <v>0.1</v>
      </c>
      <c r="CA16" s="259">
        <v>0.1</v>
      </c>
      <c r="CB16" s="259">
        <v>0.1</v>
      </c>
      <c r="CC16" s="259">
        <v>0.1</v>
      </c>
      <c r="CD16" s="259">
        <v>0.1</v>
      </c>
      <c r="CE16" s="259">
        <v>0.1</v>
      </c>
      <c r="CF16" s="259">
        <v>0.1</v>
      </c>
      <c r="CG16" s="259">
        <v>0.1</v>
      </c>
      <c r="CH16" s="259">
        <v>0.1</v>
      </c>
      <c r="CI16" s="259">
        <v>0.1</v>
      </c>
      <c r="CJ16" s="259">
        <v>0.1</v>
      </c>
      <c r="CK16" s="259">
        <v>0.1</v>
      </c>
      <c r="CL16" s="259">
        <v>0.1</v>
      </c>
      <c r="CM16" s="259">
        <v>0.1</v>
      </c>
      <c r="CN16" s="259">
        <v>0.1</v>
      </c>
      <c r="CO16" s="259">
        <v>0.1</v>
      </c>
      <c r="CP16" s="259">
        <v>0.1</v>
      </c>
      <c r="CQ16" s="259">
        <v>0.1</v>
      </c>
      <c r="CR16" s="259">
        <v>0.1</v>
      </c>
      <c r="CS16" s="259">
        <v>0.1</v>
      </c>
      <c r="CT16" s="259">
        <v>0.1</v>
      </c>
      <c r="CU16" s="259">
        <v>0.1</v>
      </c>
      <c r="CV16" s="259">
        <v>0.1</v>
      </c>
      <c r="CW16" s="259">
        <v>0.1</v>
      </c>
      <c r="CX16" s="259">
        <v>0.1</v>
      </c>
      <c r="CY16" s="259">
        <v>0.1</v>
      </c>
      <c r="CZ16" s="259">
        <v>0.1</v>
      </c>
      <c r="DA16" s="259">
        <v>0.1</v>
      </c>
      <c r="DB16" s="259">
        <v>0.1</v>
      </c>
      <c r="DC16" s="259">
        <v>0.1</v>
      </c>
      <c r="DD16" s="259">
        <v>0.1</v>
      </c>
      <c r="DE16" s="259">
        <v>0.1</v>
      </c>
      <c r="DF16" s="259">
        <v>0.1</v>
      </c>
      <c r="DG16" s="259">
        <v>0.1</v>
      </c>
      <c r="DH16" s="259">
        <v>0.1</v>
      </c>
      <c r="DI16" s="259">
        <v>0.1</v>
      </c>
      <c r="DJ16" s="259">
        <v>0.1</v>
      </c>
      <c r="DK16" s="259">
        <v>0.1</v>
      </c>
      <c r="DL16" s="260">
        <v>0.1</v>
      </c>
      <c r="DM16" s="258">
        <v>0.1</v>
      </c>
      <c r="DN16" s="259">
        <v>0.1</v>
      </c>
      <c r="DO16" s="259">
        <v>0.1</v>
      </c>
      <c r="DP16" s="259">
        <v>0.1</v>
      </c>
      <c r="DQ16" s="259">
        <v>0.1</v>
      </c>
      <c r="DR16" s="259">
        <v>0.1</v>
      </c>
      <c r="DS16" s="259">
        <v>0.1</v>
      </c>
      <c r="DT16" s="259">
        <v>0.1</v>
      </c>
      <c r="DU16" s="259">
        <v>0.1</v>
      </c>
      <c r="DV16" s="260">
        <v>0.1</v>
      </c>
      <c r="DW16" s="258">
        <v>0.1</v>
      </c>
      <c r="DX16" s="259">
        <v>0.1</v>
      </c>
      <c r="DY16" s="259">
        <v>0.1</v>
      </c>
      <c r="DZ16" s="259">
        <v>0.1</v>
      </c>
      <c r="EA16" s="259">
        <v>0.1</v>
      </c>
      <c r="EB16" s="259">
        <v>0.1</v>
      </c>
      <c r="EC16" s="259">
        <v>0.1</v>
      </c>
      <c r="ED16" s="259">
        <v>0.1</v>
      </c>
      <c r="EE16" s="259">
        <v>0.1</v>
      </c>
      <c r="EF16" s="260">
        <v>0.1</v>
      </c>
      <c r="EJ16">
        <v>13</v>
      </c>
      <c r="EN16">
        <v>0.1</v>
      </c>
      <c r="EO16">
        <v>0.1</v>
      </c>
      <c r="EP16">
        <v>0.1</v>
      </c>
      <c r="EQ16">
        <v>0.1</v>
      </c>
      <c r="ER16">
        <v>0.1</v>
      </c>
      <c r="ES16">
        <v>0.1</v>
      </c>
      <c r="ET16">
        <v>0.1</v>
      </c>
      <c r="EU16">
        <v>0.1</v>
      </c>
      <c r="EV16">
        <v>0.1</v>
      </c>
      <c r="EW16">
        <v>0.1</v>
      </c>
      <c r="EX16">
        <v>0.1</v>
      </c>
      <c r="EY16">
        <v>0.1</v>
      </c>
      <c r="EZ16">
        <v>0.1</v>
      </c>
      <c r="FA16">
        <v>0.1</v>
      </c>
      <c r="FB16">
        <v>0.1</v>
      </c>
      <c r="FC16">
        <v>0.1</v>
      </c>
      <c r="FD16">
        <v>0.1</v>
      </c>
      <c r="FE16">
        <v>0.1</v>
      </c>
      <c r="FF16">
        <v>0.1</v>
      </c>
      <c r="FG16">
        <v>0.1</v>
      </c>
      <c r="FH16">
        <v>0.1</v>
      </c>
      <c r="FI16">
        <v>0.1</v>
      </c>
      <c r="FJ16">
        <v>0.1</v>
      </c>
      <c r="FK16">
        <v>0.1</v>
      </c>
      <c r="FL16">
        <v>0.1</v>
      </c>
      <c r="FM16">
        <v>0.1</v>
      </c>
      <c r="FN16">
        <v>0.1</v>
      </c>
      <c r="FO16">
        <v>0.1</v>
      </c>
      <c r="FP16">
        <v>0.1</v>
      </c>
      <c r="FQ16">
        <v>0.1</v>
      </c>
      <c r="FU16">
        <v>13</v>
      </c>
      <c r="FV16">
        <v>2.42</v>
      </c>
      <c r="FW16">
        <v>1.36</v>
      </c>
      <c r="FZ16">
        <v>0.02</v>
      </c>
      <c r="GB16" s="66">
        <v>0.1</v>
      </c>
      <c r="GC16" s="67">
        <v>0.1</v>
      </c>
      <c r="GD16" s="67">
        <v>0.1</v>
      </c>
      <c r="GE16" s="67">
        <v>0.1</v>
      </c>
      <c r="GF16" s="67">
        <v>0.1</v>
      </c>
      <c r="GG16" s="67">
        <v>0.1</v>
      </c>
      <c r="GH16" s="67">
        <v>0.1</v>
      </c>
      <c r="GI16" s="67">
        <v>0.1</v>
      </c>
      <c r="GJ16" s="67">
        <v>0.1</v>
      </c>
      <c r="GK16" s="67">
        <v>0.1</v>
      </c>
      <c r="GL16" s="67">
        <v>0.1</v>
      </c>
      <c r="GM16" s="67">
        <v>0.1</v>
      </c>
      <c r="GN16" s="67">
        <v>0.1</v>
      </c>
      <c r="GO16" s="67">
        <v>0.1</v>
      </c>
      <c r="GP16" s="67">
        <v>0.1</v>
      </c>
      <c r="GQ16" s="67">
        <v>0.1</v>
      </c>
      <c r="GR16" s="67">
        <v>0.1</v>
      </c>
      <c r="GS16" s="67">
        <v>0.1</v>
      </c>
      <c r="GT16" s="67">
        <v>0.1</v>
      </c>
      <c r="GU16" s="67">
        <v>0.1</v>
      </c>
      <c r="GV16" s="67">
        <v>0.1</v>
      </c>
      <c r="GW16" s="67">
        <v>0.1</v>
      </c>
      <c r="GX16" s="67">
        <v>0.1</v>
      </c>
      <c r="GY16" s="67">
        <v>0.1</v>
      </c>
      <c r="GZ16" s="72">
        <v>0.1</v>
      </c>
      <c r="HA16" s="66">
        <v>0.1</v>
      </c>
      <c r="HB16" s="67">
        <v>0.1</v>
      </c>
      <c r="HC16" s="67">
        <v>0.1</v>
      </c>
      <c r="HD16" s="67">
        <v>0.1</v>
      </c>
      <c r="HE16" s="67">
        <v>0.1</v>
      </c>
      <c r="HF16" s="67">
        <v>0.1</v>
      </c>
      <c r="HG16" s="67">
        <v>0.1</v>
      </c>
      <c r="HH16" s="67">
        <v>0.1</v>
      </c>
      <c r="HI16" s="67">
        <v>0.1</v>
      </c>
      <c r="HJ16" s="67">
        <v>0.1</v>
      </c>
      <c r="HK16" s="67">
        <v>0.1</v>
      </c>
      <c r="HL16" s="67">
        <v>0.1</v>
      </c>
      <c r="HM16" s="67">
        <v>0.1</v>
      </c>
      <c r="HN16" s="68">
        <v>0.1</v>
      </c>
      <c r="HO16" s="74">
        <v>0.1</v>
      </c>
    </row>
    <row r="17" spans="1:224" ht="15.75" thickBot="1" x14ac:dyDescent="0.3">
      <c r="A17">
        <v>14</v>
      </c>
      <c r="B17" s="268" t="s">
        <v>1176</v>
      </c>
      <c r="C17" s="268">
        <v>1.51</v>
      </c>
      <c r="D17" s="2"/>
      <c r="E17" s="2"/>
      <c r="F17" s="2"/>
      <c r="G17" s="2"/>
      <c r="H17" s="258">
        <v>0.1</v>
      </c>
      <c r="I17" s="259">
        <v>0.1</v>
      </c>
      <c r="J17" s="259">
        <v>0.1</v>
      </c>
      <c r="K17" s="259">
        <v>0.1</v>
      </c>
      <c r="L17" s="259">
        <v>0.1</v>
      </c>
      <c r="M17" s="259">
        <v>0.1</v>
      </c>
      <c r="N17" s="259">
        <v>0.1</v>
      </c>
      <c r="O17" s="259">
        <v>0.1</v>
      </c>
      <c r="P17" s="259">
        <v>0.1</v>
      </c>
      <c r="Q17" s="259">
        <v>0.1</v>
      </c>
      <c r="R17" s="259">
        <v>0.1</v>
      </c>
      <c r="S17" s="259">
        <v>0.1</v>
      </c>
      <c r="T17" s="259">
        <v>0.1</v>
      </c>
      <c r="U17" s="259">
        <v>0.1</v>
      </c>
      <c r="V17" s="259">
        <v>0.1</v>
      </c>
      <c r="W17" s="259">
        <v>0.1</v>
      </c>
      <c r="X17" s="259">
        <v>0.1</v>
      </c>
      <c r="Y17" s="259">
        <v>0.1</v>
      </c>
      <c r="Z17" s="259">
        <v>0.1</v>
      </c>
      <c r="AA17" s="259">
        <v>0.1</v>
      </c>
      <c r="AB17" s="259">
        <v>0.1</v>
      </c>
      <c r="AC17" s="259">
        <v>0.1</v>
      </c>
      <c r="AD17" s="259">
        <v>0.1</v>
      </c>
      <c r="AE17" s="259">
        <v>0.1</v>
      </c>
      <c r="AF17" s="259">
        <v>0.1</v>
      </c>
      <c r="AG17" s="259">
        <v>0.1</v>
      </c>
      <c r="AH17" s="259">
        <v>0.1</v>
      </c>
      <c r="AI17" s="259">
        <v>0.1</v>
      </c>
      <c r="AJ17" s="259">
        <v>0.1</v>
      </c>
      <c r="AK17" s="259">
        <v>0.1</v>
      </c>
      <c r="AL17" s="259">
        <v>0.1</v>
      </c>
      <c r="AM17" s="259">
        <v>0.1</v>
      </c>
      <c r="AN17" s="259">
        <v>0.1</v>
      </c>
      <c r="AO17" s="259">
        <v>0.1</v>
      </c>
      <c r="AP17" s="259">
        <v>0.1</v>
      </c>
      <c r="AQ17" s="259">
        <v>0.1</v>
      </c>
      <c r="AR17" s="259">
        <v>0.1</v>
      </c>
      <c r="AS17" s="259">
        <v>0.1</v>
      </c>
      <c r="AT17" s="259">
        <v>0.1</v>
      </c>
      <c r="AU17" s="260">
        <v>0.1</v>
      </c>
      <c r="AV17" s="258">
        <v>0.1</v>
      </c>
      <c r="AW17" s="259">
        <v>0.1</v>
      </c>
      <c r="AX17" s="259">
        <v>0.1</v>
      </c>
      <c r="AY17" s="259">
        <v>0.1</v>
      </c>
      <c r="AZ17" s="259">
        <v>0.1</v>
      </c>
      <c r="BA17" s="259">
        <v>0.1</v>
      </c>
      <c r="BB17" s="259">
        <v>0.1</v>
      </c>
      <c r="BC17" s="259">
        <v>0.1</v>
      </c>
      <c r="BD17" s="259">
        <v>0.1</v>
      </c>
      <c r="BE17" s="259">
        <v>0.1</v>
      </c>
      <c r="BF17" s="259">
        <v>0.1</v>
      </c>
      <c r="BG17" s="259">
        <v>0.1</v>
      </c>
      <c r="BH17" s="259">
        <v>0.1</v>
      </c>
      <c r="BI17" s="259">
        <v>0.1</v>
      </c>
      <c r="BJ17" s="259">
        <v>0.1</v>
      </c>
      <c r="BK17" s="260">
        <v>0.1</v>
      </c>
      <c r="BL17">
        <v>0.1</v>
      </c>
      <c r="BM17">
        <v>0.1</v>
      </c>
      <c r="BN17">
        <v>0.1</v>
      </c>
      <c r="BO17">
        <v>0.1</v>
      </c>
      <c r="BP17">
        <f>SUM(BL17:BO17)</f>
        <v>0.4</v>
      </c>
      <c r="BS17">
        <v>14</v>
      </c>
      <c r="BT17" s="271" t="s">
        <v>1197</v>
      </c>
      <c r="BU17" s="2"/>
      <c r="BV17" s="2"/>
      <c r="BW17" s="2"/>
      <c r="BX17" s="2"/>
      <c r="BY17" s="258">
        <v>0.1</v>
      </c>
      <c r="BZ17" s="259">
        <v>0.1</v>
      </c>
      <c r="CA17" s="259">
        <v>0.1</v>
      </c>
      <c r="CB17" s="259">
        <v>0.1</v>
      </c>
      <c r="CC17" s="259">
        <v>0.1</v>
      </c>
      <c r="CD17" s="259">
        <v>0.1</v>
      </c>
      <c r="CE17" s="259">
        <v>0.1</v>
      </c>
      <c r="CF17" s="259">
        <v>0.1</v>
      </c>
      <c r="CG17" s="259">
        <v>0.1</v>
      </c>
      <c r="CH17" s="259">
        <v>0.1</v>
      </c>
      <c r="CI17" s="259">
        <v>0.1</v>
      </c>
      <c r="CJ17" s="259">
        <v>0.1</v>
      </c>
      <c r="CK17" s="259">
        <v>0.1</v>
      </c>
      <c r="CL17" s="259">
        <v>0.1</v>
      </c>
      <c r="CM17" s="259">
        <v>0.1</v>
      </c>
      <c r="CN17" s="259">
        <v>0.1</v>
      </c>
      <c r="CO17" s="259">
        <v>0.1</v>
      </c>
      <c r="CP17" s="259">
        <v>0.1</v>
      </c>
      <c r="CQ17" s="259">
        <v>0.1</v>
      </c>
      <c r="CR17" s="259">
        <v>0.1</v>
      </c>
      <c r="CS17" s="259">
        <v>0.1</v>
      </c>
      <c r="CT17" s="259">
        <v>0.1</v>
      </c>
      <c r="CU17" s="259">
        <v>0.1</v>
      </c>
      <c r="CV17" s="259">
        <v>0.1</v>
      </c>
      <c r="CW17" s="259">
        <v>0.1</v>
      </c>
      <c r="CX17" s="259">
        <v>0.1</v>
      </c>
      <c r="CY17" s="259">
        <v>0.1</v>
      </c>
      <c r="CZ17" s="259">
        <v>0.1</v>
      </c>
      <c r="DA17" s="259">
        <v>0.1</v>
      </c>
      <c r="DB17" s="259">
        <v>0.1</v>
      </c>
      <c r="DC17" s="259">
        <v>0.1</v>
      </c>
      <c r="DD17" s="259">
        <v>0.1</v>
      </c>
      <c r="DE17" s="259">
        <v>0.1</v>
      </c>
      <c r="DF17" s="259">
        <v>0.1</v>
      </c>
      <c r="DG17" s="259">
        <v>0.1</v>
      </c>
      <c r="DH17" s="259">
        <v>0.1</v>
      </c>
      <c r="DI17" s="259">
        <v>0.1</v>
      </c>
      <c r="DJ17" s="259">
        <v>0.1</v>
      </c>
      <c r="DK17" s="259">
        <v>0.1</v>
      </c>
      <c r="DL17" s="259">
        <v>0.1</v>
      </c>
      <c r="DM17" s="259">
        <v>0.1</v>
      </c>
      <c r="DN17" s="259">
        <v>0.1</v>
      </c>
      <c r="DO17" s="259">
        <v>0.1</v>
      </c>
      <c r="DP17" s="259">
        <v>0.1</v>
      </c>
      <c r="DQ17" s="259">
        <v>0.1</v>
      </c>
      <c r="DR17" s="259">
        <v>0.1</v>
      </c>
      <c r="DS17" s="259">
        <v>0.1</v>
      </c>
      <c r="DT17" s="259">
        <v>0.1</v>
      </c>
      <c r="DU17" s="259">
        <v>0.1</v>
      </c>
      <c r="DV17" s="259">
        <v>0.1</v>
      </c>
      <c r="DW17" s="259">
        <v>0.1</v>
      </c>
      <c r="DX17" s="259">
        <v>0.1</v>
      </c>
      <c r="DY17" s="259">
        <v>0.1</v>
      </c>
      <c r="DZ17" s="259">
        <v>0.1</v>
      </c>
      <c r="EA17" s="259">
        <v>0.1</v>
      </c>
      <c r="EB17" s="259">
        <v>0.1</v>
      </c>
      <c r="EC17" s="259">
        <v>0.1</v>
      </c>
      <c r="ED17" s="259">
        <v>0.1</v>
      </c>
      <c r="EE17" s="259">
        <v>0.1</v>
      </c>
      <c r="EF17" s="260">
        <v>0.1</v>
      </c>
      <c r="EJ17">
        <v>14</v>
      </c>
      <c r="EN17">
        <v>0.1</v>
      </c>
      <c r="EO17">
        <v>0.1</v>
      </c>
      <c r="EP17">
        <v>0.1</v>
      </c>
      <c r="EQ17">
        <v>0.1</v>
      </c>
      <c r="ER17">
        <v>0.1</v>
      </c>
      <c r="ES17">
        <v>0.1</v>
      </c>
      <c r="ET17">
        <v>0.1</v>
      </c>
      <c r="EU17">
        <v>0.1</v>
      </c>
      <c r="EV17">
        <v>0.1</v>
      </c>
      <c r="EW17">
        <v>0.1</v>
      </c>
      <c r="EX17">
        <v>0.1</v>
      </c>
      <c r="EY17">
        <v>0.1</v>
      </c>
      <c r="EZ17">
        <v>0.1</v>
      </c>
      <c r="FA17">
        <v>0.1</v>
      </c>
      <c r="FB17">
        <v>0.1</v>
      </c>
      <c r="FC17">
        <v>0.1</v>
      </c>
      <c r="FD17">
        <v>0.1</v>
      </c>
      <c r="FE17">
        <v>0.1</v>
      </c>
      <c r="FF17">
        <v>0.1</v>
      </c>
      <c r="FG17">
        <v>0.1</v>
      </c>
      <c r="FH17">
        <v>0.1</v>
      </c>
      <c r="FI17">
        <v>0.1</v>
      </c>
      <c r="FJ17">
        <v>0.1</v>
      </c>
      <c r="FK17">
        <v>0.1</v>
      </c>
      <c r="FL17">
        <v>0.1</v>
      </c>
      <c r="FM17">
        <v>0.1</v>
      </c>
      <c r="FN17">
        <v>0.1</v>
      </c>
      <c r="FO17">
        <v>0.1</v>
      </c>
      <c r="FP17">
        <v>0.1</v>
      </c>
      <c r="FQ17">
        <v>0.1</v>
      </c>
      <c r="FU17">
        <v>14</v>
      </c>
      <c r="FV17">
        <v>2.42</v>
      </c>
      <c r="FW17">
        <v>1.36</v>
      </c>
      <c r="FZ17">
        <v>0.02</v>
      </c>
      <c r="GB17" s="66">
        <v>0.1</v>
      </c>
      <c r="GC17" s="67">
        <v>0.1</v>
      </c>
      <c r="GD17" s="67">
        <v>0.1</v>
      </c>
      <c r="GE17" s="67">
        <v>0.1</v>
      </c>
      <c r="GF17" s="67">
        <v>0.1</v>
      </c>
      <c r="GG17" s="67">
        <v>0.1</v>
      </c>
      <c r="GH17" s="67">
        <v>0.1</v>
      </c>
      <c r="GI17" s="67">
        <v>0.1</v>
      </c>
      <c r="GJ17" s="67">
        <v>0.1</v>
      </c>
      <c r="GK17" s="67">
        <v>0.1</v>
      </c>
      <c r="GL17" s="67">
        <v>0.1</v>
      </c>
      <c r="GM17" s="67">
        <v>0.1</v>
      </c>
      <c r="GN17" s="67">
        <v>0.1</v>
      </c>
      <c r="GO17" s="67">
        <v>0.1</v>
      </c>
      <c r="GP17" s="67">
        <v>0.1</v>
      </c>
      <c r="GQ17" s="67">
        <v>0.1</v>
      </c>
      <c r="GR17" s="67">
        <v>0.1</v>
      </c>
      <c r="GS17" s="67">
        <v>0.1</v>
      </c>
      <c r="GT17" s="67">
        <v>0.1</v>
      </c>
      <c r="GU17" s="67">
        <v>0.1</v>
      </c>
      <c r="GV17" s="67">
        <v>0.1</v>
      </c>
      <c r="GW17" s="67">
        <v>0.1</v>
      </c>
      <c r="GX17" s="67">
        <v>0.1</v>
      </c>
      <c r="GY17" s="67">
        <v>0.1</v>
      </c>
      <c r="GZ17" s="68">
        <v>0.1</v>
      </c>
      <c r="HA17" s="66">
        <v>0.1</v>
      </c>
      <c r="HB17" s="67">
        <v>0.1</v>
      </c>
      <c r="HC17" s="67">
        <v>0.1</v>
      </c>
      <c r="HD17" s="67">
        <v>0.1</v>
      </c>
      <c r="HE17" s="67">
        <v>0.1</v>
      </c>
      <c r="HF17" s="67">
        <v>0.1</v>
      </c>
      <c r="HG17" s="67">
        <v>0.1</v>
      </c>
      <c r="HH17" s="67">
        <v>0.1</v>
      </c>
      <c r="HI17" s="67">
        <v>0.1</v>
      </c>
      <c r="HJ17" s="67">
        <v>0.1</v>
      </c>
      <c r="HK17" s="67">
        <v>0.1</v>
      </c>
      <c r="HL17" s="67">
        <v>0.1</v>
      </c>
      <c r="HM17" s="67">
        <v>0.1</v>
      </c>
      <c r="HN17" s="68">
        <v>0.1</v>
      </c>
      <c r="HO17" s="74">
        <v>0.1</v>
      </c>
    </row>
    <row r="18" spans="1:224" ht="15.75" thickBot="1" x14ac:dyDescent="0.3">
      <c r="A18">
        <v>15</v>
      </c>
      <c r="B18" s="268" t="s">
        <v>1222</v>
      </c>
      <c r="C18" s="269">
        <v>1.51</v>
      </c>
      <c r="D18" s="268">
        <v>1.51</v>
      </c>
      <c r="E18" s="2"/>
      <c r="F18" s="2"/>
      <c r="G18" s="2"/>
      <c r="H18" s="258">
        <v>0.1</v>
      </c>
      <c r="I18" s="259">
        <v>0.1</v>
      </c>
      <c r="J18" s="259">
        <v>0.1</v>
      </c>
      <c r="K18" s="259">
        <v>0.1</v>
      </c>
      <c r="L18" s="259">
        <v>0.1</v>
      </c>
      <c r="M18" s="259">
        <v>0.1</v>
      </c>
      <c r="N18" s="259">
        <v>0.1</v>
      </c>
      <c r="O18" s="259">
        <v>0.1</v>
      </c>
      <c r="P18" s="259">
        <v>0.1</v>
      </c>
      <c r="Q18" s="259">
        <v>0.1</v>
      </c>
      <c r="R18" s="259">
        <v>0.1</v>
      </c>
      <c r="S18" s="259">
        <v>0.1</v>
      </c>
      <c r="T18" s="259">
        <v>0.1</v>
      </c>
      <c r="U18" s="259">
        <v>0.1</v>
      </c>
      <c r="V18" s="259">
        <v>0.1</v>
      </c>
      <c r="W18" s="259">
        <v>0.1</v>
      </c>
      <c r="X18" s="259">
        <v>0.1</v>
      </c>
      <c r="Y18" s="259">
        <v>0.1</v>
      </c>
      <c r="Z18" s="259">
        <v>0.1</v>
      </c>
      <c r="AA18" s="259">
        <v>0.1</v>
      </c>
      <c r="AB18" s="259">
        <v>0.1</v>
      </c>
      <c r="AC18" s="259">
        <v>0.1</v>
      </c>
      <c r="AD18" s="259">
        <v>0.1</v>
      </c>
      <c r="AE18" s="259">
        <v>0.1</v>
      </c>
      <c r="AF18" s="260">
        <v>0.1</v>
      </c>
      <c r="AG18" s="258">
        <v>0.1</v>
      </c>
      <c r="AH18" s="259">
        <v>0.1</v>
      </c>
      <c r="AI18" s="259">
        <v>0.1</v>
      </c>
      <c r="AJ18" s="259">
        <v>0.1</v>
      </c>
      <c r="AK18" s="259">
        <v>0.1</v>
      </c>
      <c r="AL18" s="259">
        <v>0.1</v>
      </c>
      <c r="AM18" s="259">
        <v>0.1</v>
      </c>
      <c r="AN18" s="259">
        <v>0.1</v>
      </c>
      <c r="AO18" s="259">
        <v>0.1</v>
      </c>
      <c r="AP18" s="259">
        <v>0.1</v>
      </c>
      <c r="AQ18" s="259">
        <v>0.1</v>
      </c>
      <c r="AR18" s="259">
        <v>0.1</v>
      </c>
      <c r="AS18" s="259">
        <v>0.1</v>
      </c>
      <c r="AT18" s="259">
        <v>0.1</v>
      </c>
      <c r="AU18" s="259">
        <v>0.1</v>
      </c>
      <c r="AV18" s="260">
        <v>0.1</v>
      </c>
      <c r="AW18" s="258">
        <v>0.1</v>
      </c>
      <c r="AX18" s="259">
        <v>0.1</v>
      </c>
      <c r="AY18" s="259">
        <v>0.1</v>
      </c>
      <c r="AZ18" s="259">
        <v>0.1</v>
      </c>
      <c r="BA18" s="259">
        <v>0.1</v>
      </c>
      <c r="BB18" s="259">
        <v>0.1</v>
      </c>
      <c r="BC18" s="259">
        <v>0.1</v>
      </c>
      <c r="BD18" s="259">
        <v>0.1</v>
      </c>
      <c r="BE18" s="259">
        <v>0.1</v>
      </c>
      <c r="BF18" s="259">
        <v>0.1</v>
      </c>
      <c r="BG18" s="259">
        <v>0.1</v>
      </c>
      <c r="BH18" s="259">
        <v>0.1</v>
      </c>
      <c r="BI18" s="259">
        <v>0.1</v>
      </c>
      <c r="BJ18" s="259">
        <v>0.1</v>
      </c>
      <c r="BK18" s="259">
        <v>0.1</v>
      </c>
      <c r="BL18" s="260">
        <v>0.1</v>
      </c>
      <c r="BM18">
        <v>0.1</v>
      </c>
      <c r="BN18">
        <v>0.1</v>
      </c>
      <c r="BO18">
        <v>0.1</v>
      </c>
      <c r="BP18">
        <f>SUM(BN18:BO18)</f>
        <v>0.2</v>
      </c>
      <c r="BS18">
        <v>15</v>
      </c>
      <c r="BT18" s="271" t="s">
        <v>1198</v>
      </c>
      <c r="BU18" s="2"/>
      <c r="BV18" s="2"/>
      <c r="BW18" s="2"/>
      <c r="BX18" s="2"/>
      <c r="BY18" s="258">
        <v>0.1</v>
      </c>
      <c r="BZ18" s="259">
        <v>0.1</v>
      </c>
      <c r="CA18" s="259">
        <v>0.1</v>
      </c>
      <c r="CB18" s="259">
        <v>0.1</v>
      </c>
      <c r="CC18" s="259">
        <v>0.1</v>
      </c>
      <c r="CD18" s="259">
        <v>0.1</v>
      </c>
      <c r="CE18" s="259">
        <v>0.1</v>
      </c>
      <c r="CF18" s="259">
        <v>0.1</v>
      </c>
      <c r="CG18" s="259">
        <v>0.1</v>
      </c>
      <c r="CH18" s="259">
        <v>0.1</v>
      </c>
      <c r="CI18" s="259">
        <v>0.1</v>
      </c>
      <c r="CJ18" s="259">
        <v>0.1</v>
      </c>
      <c r="CK18" s="259">
        <v>0.1</v>
      </c>
      <c r="CL18" s="259">
        <v>0.1</v>
      </c>
      <c r="CM18" s="259">
        <v>0.1</v>
      </c>
      <c r="CN18" s="259">
        <v>0.1</v>
      </c>
      <c r="CO18" s="259">
        <v>0.1</v>
      </c>
      <c r="CP18" s="259">
        <v>0.1</v>
      </c>
      <c r="CQ18" s="259">
        <v>0.1</v>
      </c>
      <c r="CR18" s="259">
        <v>0.1</v>
      </c>
      <c r="CS18" s="259">
        <v>0.1</v>
      </c>
      <c r="CT18" s="259">
        <v>0.1</v>
      </c>
      <c r="CU18" s="259">
        <v>0.1</v>
      </c>
      <c r="CV18" s="259">
        <v>0.1</v>
      </c>
      <c r="CW18" s="259">
        <v>0.1</v>
      </c>
      <c r="CX18" s="259">
        <v>0.1</v>
      </c>
      <c r="CY18" s="259">
        <v>0.1</v>
      </c>
      <c r="CZ18" s="259">
        <v>0.1</v>
      </c>
      <c r="DA18" s="259">
        <v>0.1</v>
      </c>
      <c r="DB18" s="259">
        <v>0.1</v>
      </c>
      <c r="DC18" s="259">
        <v>0.1</v>
      </c>
      <c r="DD18" s="259">
        <v>0.1</v>
      </c>
      <c r="DE18" s="259">
        <v>0.1</v>
      </c>
      <c r="DF18" s="259">
        <v>0.1</v>
      </c>
      <c r="DG18" s="259">
        <v>0.1</v>
      </c>
      <c r="DH18" s="259">
        <v>0.1</v>
      </c>
      <c r="DI18" s="259">
        <v>0.1</v>
      </c>
      <c r="DJ18" s="259">
        <v>0.1</v>
      </c>
      <c r="DK18" s="259">
        <v>0.1</v>
      </c>
      <c r="DL18" s="259">
        <v>0.1</v>
      </c>
      <c r="DM18" s="259">
        <v>0.1</v>
      </c>
      <c r="DN18" s="259">
        <v>0.1</v>
      </c>
      <c r="DO18" s="259">
        <v>0.1</v>
      </c>
      <c r="DP18" s="259">
        <v>0.1</v>
      </c>
      <c r="DQ18" s="259">
        <v>0.1</v>
      </c>
      <c r="DR18" s="259">
        <v>0.1</v>
      </c>
      <c r="DS18" s="259">
        <v>0.1</v>
      </c>
      <c r="DT18" s="259">
        <v>0.1</v>
      </c>
      <c r="DU18" s="259">
        <v>0.1</v>
      </c>
      <c r="DV18" s="259">
        <v>0.1</v>
      </c>
      <c r="DW18" s="259">
        <v>0.1</v>
      </c>
      <c r="DX18" s="259">
        <v>0.1</v>
      </c>
      <c r="DY18" s="259">
        <v>0.1</v>
      </c>
      <c r="DZ18" s="259">
        <v>0.1</v>
      </c>
      <c r="EA18" s="259">
        <v>0.1</v>
      </c>
      <c r="EB18" s="260">
        <v>0.1</v>
      </c>
      <c r="EC18">
        <v>0.1</v>
      </c>
      <c r="ED18">
        <v>0.1</v>
      </c>
      <c r="EE18">
        <v>0.1</v>
      </c>
      <c r="EF18">
        <v>0.1</v>
      </c>
      <c r="EG18">
        <f>SUM(EC18:EF18)</f>
        <v>0.4</v>
      </c>
      <c r="EJ18">
        <v>15</v>
      </c>
      <c r="EN18">
        <v>0.1</v>
      </c>
      <c r="EO18">
        <v>0.1</v>
      </c>
      <c r="EP18">
        <v>0.1</v>
      </c>
      <c r="EQ18">
        <v>0.1</v>
      </c>
      <c r="ER18">
        <v>0.1</v>
      </c>
      <c r="ES18">
        <v>0.1</v>
      </c>
      <c r="ET18">
        <v>0.1</v>
      </c>
      <c r="EU18">
        <v>0.1</v>
      </c>
      <c r="EV18">
        <v>0.1</v>
      </c>
      <c r="EW18">
        <v>0.1</v>
      </c>
      <c r="EX18">
        <v>0.1</v>
      </c>
      <c r="EY18">
        <v>0.1</v>
      </c>
      <c r="EZ18">
        <v>0.1</v>
      </c>
      <c r="FA18">
        <v>0.1</v>
      </c>
      <c r="FB18">
        <v>0.1</v>
      </c>
      <c r="FC18">
        <v>0.1</v>
      </c>
      <c r="FD18">
        <v>0.1</v>
      </c>
      <c r="FE18">
        <v>0.1</v>
      </c>
      <c r="FF18">
        <v>0.1</v>
      </c>
      <c r="FG18">
        <v>0.1</v>
      </c>
      <c r="FH18">
        <v>0.1</v>
      </c>
      <c r="FI18">
        <v>0.1</v>
      </c>
      <c r="FJ18">
        <v>0.1</v>
      </c>
      <c r="FK18">
        <v>0.1</v>
      </c>
      <c r="FL18">
        <v>0.1</v>
      </c>
      <c r="FM18">
        <v>0.1</v>
      </c>
      <c r="FN18">
        <v>0.1</v>
      </c>
      <c r="FO18">
        <v>0.1</v>
      </c>
      <c r="FP18">
        <v>0.1</v>
      </c>
      <c r="FQ18">
        <v>0.1</v>
      </c>
      <c r="FU18">
        <v>15</v>
      </c>
      <c r="FV18">
        <v>2.46</v>
      </c>
      <c r="FW18">
        <v>1.3</v>
      </c>
      <c r="FZ18">
        <v>0.02</v>
      </c>
      <c r="GB18" s="66">
        <v>0.1</v>
      </c>
      <c r="GC18" s="67">
        <v>0.1</v>
      </c>
      <c r="GD18" s="67">
        <v>0.1</v>
      </c>
      <c r="GE18" s="67">
        <v>0.1</v>
      </c>
      <c r="GF18" s="67">
        <v>0.1</v>
      </c>
      <c r="GG18" s="67">
        <v>0.1</v>
      </c>
      <c r="GH18" s="67">
        <v>0.1</v>
      </c>
      <c r="GI18" s="67">
        <v>0.1</v>
      </c>
      <c r="GJ18" s="67">
        <v>0.1</v>
      </c>
      <c r="GK18" s="67">
        <v>0.1</v>
      </c>
      <c r="GL18" s="67">
        <v>0.1</v>
      </c>
      <c r="GM18" s="67">
        <v>0.1</v>
      </c>
      <c r="GN18" s="67">
        <v>0.1</v>
      </c>
      <c r="GO18" s="67">
        <v>0.1</v>
      </c>
      <c r="GP18" s="67">
        <v>0.1</v>
      </c>
      <c r="GQ18" s="67">
        <v>0.1</v>
      </c>
      <c r="GR18" s="67">
        <v>0.1</v>
      </c>
      <c r="GS18" s="67">
        <v>0.1</v>
      </c>
      <c r="GT18" s="67">
        <v>0.1</v>
      </c>
      <c r="GU18" s="67">
        <v>0.1</v>
      </c>
      <c r="GV18" s="67">
        <v>0.1</v>
      </c>
      <c r="GW18" s="67">
        <v>0.1</v>
      </c>
      <c r="GX18" s="67">
        <v>0.1</v>
      </c>
      <c r="GY18" s="67">
        <v>0.1</v>
      </c>
      <c r="GZ18" s="68">
        <v>0.1</v>
      </c>
      <c r="HA18" s="66">
        <v>0.1</v>
      </c>
      <c r="HB18" s="67">
        <v>0.1</v>
      </c>
      <c r="HC18" s="67">
        <v>0.1</v>
      </c>
      <c r="HD18" s="67">
        <v>0.1</v>
      </c>
      <c r="HE18" s="67">
        <v>0.1</v>
      </c>
      <c r="HF18" s="67">
        <v>0.1</v>
      </c>
      <c r="HG18" s="67">
        <v>0.1</v>
      </c>
      <c r="HH18" s="67">
        <v>0.1</v>
      </c>
      <c r="HI18" s="67">
        <v>0.1</v>
      </c>
      <c r="HJ18" s="67">
        <v>0.1</v>
      </c>
      <c r="HK18" s="67">
        <v>0.1</v>
      </c>
      <c r="HL18" s="67">
        <v>0.1</v>
      </c>
      <c r="HM18" s="67">
        <v>0.1</v>
      </c>
      <c r="HN18" s="68">
        <v>0.1</v>
      </c>
      <c r="HO18" s="74">
        <v>0.1</v>
      </c>
    </row>
    <row r="19" spans="1:224" ht="15.75" thickBot="1" x14ac:dyDescent="0.3">
      <c r="A19">
        <v>16</v>
      </c>
      <c r="B19" s="268" t="s">
        <v>1175</v>
      </c>
      <c r="C19" s="2"/>
      <c r="D19" s="2"/>
      <c r="E19" s="2"/>
      <c r="F19" s="2"/>
      <c r="G19" s="2"/>
      <c r="H19" s="258">
        <v>0.1</v>
      </c>
      <c r="I19" s="259">
        <v>0.1</v>
      </c>
      <c r="J19" s="259">
        <v>0.1</v>
      </c>
      <c r="K19" s="259">
        <v>0.1</v>
      </c>
      <c r="L19" s="259">
        <v>0.1</v>
      </c>
      <c r="M19" s="259">
        <v>0.1</v>
      </c>
      <c r="N19" s="259">
        <v>0.1</v>
      </c>
      <c r="O19" s="259">
        <v>0.1</v>
      </c>
      <c r="P19" s="259">
        <v>0.1</v>
      </c>
      <c r="Q19" s="259">
        <v>0.1</v>
      </c>
      <c r="R19" s="259">
        <v>0.1</v>
      </c>
      <c r="S19" s="259">
        <v>0.1</v>
      </c>
      <c r="T19" s="259">
        <v>0.1</v>
      </c>
      <c r="U19" s="259">
        <v>0.1</v>
      </c>
      <c r="V19" s="259">
        <v>0.1</v>
      </c>
      <c r="W19" s="259">
        <v>0.1</v>
      </c>
      <c r="X19" s="259">
        <v>0.1</v>
      </c>
      <c r="Y19" s="259">
        <v>0.1</v>
      </c>
      <c r="Z19" s="259">
        <v>0.1</v>
      </c>
      <c r="AA19" s="259">
        <v>0.1</v>
      </c>
      <c r="AB19" s="259">
        <v>0.1</v>
      </c>
      <c r="AC19" s="259">
        <v>0.1</v>
      </c>
      <c r="AD19" s="259">
        <v>0.1</v>
      </c>
      <c r="AE19" s="259">
        <v>0.1</v>
      </c>
      <c r="AF19" s="259">
        <v>0.1</v>
      </c>
      <c r="AG19" s="259">
        <v>0.1</v>
      </c>
      <c r="AH19" s="259">
        <v>0.1</v>
      </c>
      <c r="AI19" s="259">
        <v>0.1</v>
      </c>
      <c r="AJ19" s="259">
        <v>0.1</v>
      </c>
      <c r="AK19" s="259">
        <v>0.1</v>
      </c>
      <c r="AL19" s="259">
        <v>0.1</v>
      </c>
      <c r="AM19" s="259">
        <v>0.1</v>
      </c>
      <c r="AN19" s="259">
        <v>0.1</v>
      </c>
      <c r="AO19" s="259">
        <v>0.1</v>
      </c>
      <c r="AP19" s="259">
        <v>0.1</v>
      </c>
      <c r="AQ19" s="259">
        <v>0.1</v>
      </c>
      <c r="AR19" s="259">
        <v>0.1</v>
      </c>
      <c r="AS19" s="259">
        <v>0.1</v>
      </c>
      <c r="AT19" s="259">
        <v>0.1</v>
      </c>
      <c r="AU19" s="259">
        <v>0.1</v>
      </c>
      <c r="AV19" s="259">
        <v>0.1</v>
      </c>
      <c r="AW19" s="259">
        <v>0.1</v>
      </c>
      <c r="AX19" s="259">
        <v>0.1</v>
      </c>
      <c r="AY19" s="259">
        <v>0.1</v>
      </c>
      <c r="AZ19" s="259">
        <v>0.1</v>
      </c>
      <c r="BA19" s="259">
        <v>0.1</v>
      </c>
      <c r="BB19" s="259">
        <v>0.1</v>
      </c>
      <c r="BC19" s="259">
        <v>0.1</v>
      </c>
      <c r="BD19" s="259">
        <v>0.1</v>
      </c>
      <c r="BE19" s="259">
        <v>0.1</v>
      </c>
      <c r="BF19" s="259">
        <v>0.1</v>
      </c>
      <c r="BG19" s="259">
        <v>0.1</v>
      </c>
      <c r="BH19" s="259">
        <v>0.1</v>
      </c>
      <c r="BI19" s="259">
        <v>0.1</v>
      </c>
      <c r="BJ19" s="259">
        <v>0.1</v>
      </c>
      <c r="BK19" s="259">
        <v>0.1</v>
      </c>
      <c r="BL19" s="259">
        <v>0.1</v>
      </c>
      <c r="BM19" s="259">
        <v>0.1</v>
      </c>
      <c r="BN19" s="259">
        <v>0.1</v>
      </c>
      <c r="BO19" s="260">
        <v>0.1</v>
      </c>
      <c r="BS19">
        <v>16</v>
      </c>
      <c r="BT19" s="271" t="s">
        <v>1197</v>
      </c>
      <c r="BU19" s="2"/>
      <c r="BV19" s="2"/>
      <c r="BW19" s="2"/>
      <c r="BX19" s="2"/>
      <c r="BY19" s="258">
        <v>0.1</v>
      </c>
      <c r="BZ19" s="259">
        <v>0.1</v>
      </c>
      <c r="CA19" s="259">
        <v>0.1</v>
      </c>
      <c r="CB19" s="259">
        <v>0.1</v>
      </c>
      <c r="CC19" s="259">
        <v>0.1</v>
      </c>
      <c r="CD19" s="259">
        <v>0.1</v>
      </c>
      <c r="CE19" s="259">
        <v>0.1</v>
      </c>
      <c r="CF19" s="259">
        <v>0.1</v>
      </c>
      <c r="CG19" s="259">
        <v>0.1</v>
      </c>
      <c r="CH19" s="259">
        <v>0.1</v>
      </c>
      <c r="CI19" s="259">
        <v>0.1</v>
      </c>
      <c r="CJ19" s="259">
        <v>0.1</v>
      </c>
      <c r="CK19" s="259">
        <v>0.1</v>
      </c>
      <c r="CL19" s="259">
        <v>0.1</v>
      </c>
      <c r="CM19" s="259">
        <v>0.1</v>
      </c>
      <c r="CN19" s="259">
        <v>0.1</v>
      </c>
      <c r="CO19" s="259">
        <v>0.1</v>
      </c>
      <c r="CP19" s="259">
        <v>0.1</v>
      </c>
      <c r="CQ19" s="259">
        <v>0.1</v>
      </c>
      <c r="CR19" s="259">
        <v>0.1</v>
      </c>
      <c r="CS19" s="259">
        <v>0.1</v>
      </c>
      <c r="CT19" s="259">
        <v>0.1</v>
      </c>
      <c r="CU19" s="259">
        <v>0.1</v>
      </c>
      <c r="CV19" s="259">
        <v>0.1</v>
      </c>
      <c r="CW19" s="259">
        <v>0.1</v>
      </c>
      <c r="CX19" s="259">
        <v>0.1</v>
      </c>
      <c r="CY19" s="259">
        <v>0.1</v>
      </c>
      <c r="CZ19" s="259">
        <v>0.1</v>
      </c>
      <c r="DA19" s="259">
        <v>0.1</v>
      </c>
      <c r="DB19" s="259">
        <v>0.1</v>
      </c>
      <c r="DC19" s="259">
        <v>0.1</v>
      </c>
      <c r="DD19" s="259">
        <v>0.1</v>
      </c>
      <c r="DE19" s="259">
        <v>0.1</v>
      </c>
      <c r="DF19" s="259">
        <v>0.1</v>
      </c>
      <c r="DG19" s="259">
        <v>0.1</v>
      </c>
      <c r="DH19" s="259">
        <v>0.1</v>
      </c>
      <c r="DI19" s="259">
        <v>0.1</v>
      </c>
      <c r="DJ19" s="259">
        <v>0.1</v>
      </c>
      <c r="DK19" s="259">
        <v>0.1</v>
      </c>
      <c r="DL19" s="259">
        <v>0.1</v>
      </c>
      <c r="DM19" s="259">
        <v>0.1</v>
      </c>
      <c r="DN19" s="259">
        <v>0.1</v>
      </c>
      <c r="DO19" s="259">
        <v>0.1</v>
      </c>
      <c r="DP19" s="259">
        <v>0.1</v>
      </c>
      <c r="DQ19" s="259">
        <v>0.1</v>
      </c>
      <c r="DR19" s="259">
        <v>0.1</v>
      </c>
      <c r="DS19" s="259">
        <v>0.1</v>
      </c>
      <c r="DT19" s="259">
        <v>0.1</v>
      </c>
      <c r="DU19" s="259">
        <v>0.1</v>
      </c>
      <c r="DV19" s="259">
        <v>0.1</v>
      </c>
      <c r="DW19" s="259">
        <v>0.1</v>
      </c>
      <c r="DX19" s="259">
        <v>0.1</v>
      </c>
      <c r="DY19" s="259">
        <v>0.1</v>
      </c>
      <c r="DZ19" s="259">
        <v>0.1</v>
      </c>
      <c r="EA19" s="259">
        <v>0.1</v>
      </c>
      <c r="EB19" s="259">
        <v>0.1</v>
      </c>
      <c r="EC19" s="259">
        <v>0.1</v>
      </c>
      <c r="ED19" s="259">
        <v>0.1</v>
      </c>
      <c r="EE19" s="259">
        <v>0.1</v>
      </c>
      <c r="EF19" s="260">
        <v>0.1</v>
      </c>
      <c r="EJ19">
        <v>16</v>
      </c>
      <c r="EN19">
        <v>0.1</v>
      </c>
      <c r="EO19">
        <v>0.1</v>
      </c>
      <c r="EP19">
        <v>0.1</v>
      </c>
      <c r="EQ19">
        <v>0.1</v>
      </c>
      <c r="ER19">
        <v>0.1</v>
      </c>
      <c r="ES19">
        <v>0.1</v>
      </c>
      <c r="ET19">
        <v>0.1</v>
      </c>
      <c r="EU19">
        <v>0.1</v>
      </c>
      <c r="EV19">
        <v>0.1</v>
      </c>
      <c r="EW19">
        <v>0.1</v>
      </c>
      <c r="EX19">
        <v>0.1</v>
      </c>
      <c r="EY19">
        <v>0.1</v>
      </c>
      <c r="EZ19">
        <v>0.1</v>
      </c>
      <c r="FA19">
        <v>0.1</v>
      </c>
      <c r="FB19">
        <v>0.1</v>
      </c>
      <c r="FC19">
        <v>0.1</v>
      </c>
      <c r="FD19">
        <v>0.1</v>
      </c>
      <c r="FE19">
        <v>0.1</v>
      </c>
      <c r="FF19">
        <v>0.1</v>
      </c>
      <c r="FG19">
        <v>0.1</v>
      </c>
      <c r="FH19">
        <v>0.1</v>
      </c>
      <c r="FI19">
        <v>0.1</v>
      </c>
      <c r="FJ19">
        <v>0.1</v>
      </c>
      <c r="FK19">
        <v>0.1</v>
      </c>
      <c r="FL19">
        <v>0.1</v>
      </c>
      <c r="FM19">
        <v>0.1</v>
      </c>
      <c r="FN19">
        <v>0.1</v>
      </c>
      <c r="FO19">
        <v>0.1</v>
      </c>
      <c r="FP19">
        <v>0.1</v>
      </c>
      <c r="FQ19">
        <v>0.1</v>
      </c>
      <c r="FU19">
        <v>16</v>
      </c>
      <c r="FV19">
        <v>2.46</v>
      </c>
      <c r="FW19">
        <v>1.3</v>
      </c>
      <c r="FZ19">
        <v>0.02</v>
      </c>
      <c r="GB19" s="66">
        <v>0.1</v>
      </c>
      <c r="GC19" s="67">
        <v>0.1</v>
      </c>
      <c r="GD19" s="67">
        <v>0.1</v>
      </c>
      <c r="GE19" s="67">
        <v>0.1</v>
      </c>
      <c r="GF19" s="67">
        <v>0.1</v>
      </c>
      <c r="GG19" s="67">
        <v>0.1</v>
      </c>
      <c r="GH19" s="67">
        <v>0.1</v>
      </c>
      <c r="GI19" s="67">
        <v>0.1</v>
      </c>
      <c r="GJ19" s="67">
        <v>0.1</v>
      </c>
      <c r="GK19" s="67">
        <v>0.1</v>
      </c>
      <c r="GL19" s="67">
        <v>0.1</v>
      </c>
      <c r="GM19" s="67">
        <v>0.1</v>
      </c>
      <c r="GN19" s="67">
        <v>0.1</v>
      </c>
      <c r="GO19" s="67">
        <v>0.1</v>
      </c>
      <c r="GP19" s="67">
        <v>0.1</v>
      </c>
      <c r="GQ19" s="67">
        <v>0.1</v>
      </c>
      <c r="GR19" s="67">
        <v>0.1</v>
      </c>
      <c r="GS19" s="67">
        <v>0.1</v>
      </c>
      <c r="GT19" s="67">
        <v>0.1</v>
      </c>
      <c r="GU19" s="67">
        <v>0.1</v>
      </c>
      <c r="GV19" s="67">
        <v>0.1</v>
      </c>
      <c r="GW19" s="67">
        <v>0.1</v>
      </c>
      <c r="GX19" s="67">
        <v>0.1</v>
      </c>
      <c r="GY19" s="67">
        <v>0.1</v>
      </c>
      <c r="GZ19" s="68">
        <v>0.1</v>
      </c>
      <c r="HA19" s="66">
        <v>0.1</v>
      </c>
      <c r="HB19" s="67">
        <v>0.1</v>
      </c>
      <c r="HC19" s="67">
        <v>0.1</v>
      </c>
      <c r="HD19" s="67">
        <v>0.1</v>
      </c>
      <c r="HE19" s="67">
        <v>0.1</v>
      </c>
      <c r="HF19" s="67">
        <v>0.1</v>
      </c>
      <c r="HG19" s="67">
        <v>0.1</v>
      </c>
      <c r="HH19" s="67">
        <v>0.1</v>
      </c>
      <c r="HI19" s="67">
        <v>0.1</v>
      </c>
      <c r="HJ19" s="67">
        <v>0.1</v>
      </c>
      <c r="HK19" s="67">
        <v>0.1</v>
      </c>
      <c r="HL19" s="67">
        <v>0.1</v>
      </c>
      <c r="HM19" s="67">
        <v>0.1</v>
      </c>
      <c r="HN19" s="68">
        <v>0.1</v>
      </c>
      <c r="HO19" s="74">
        <v>0.1</v>
      </c>
    </row>
    <row r="20" spans="1:224" ht="15.75" thickBot="1" x14ac:dyDescent="0.3">
      <c r="A20">
        <v>17</v>
      </c>
      <c r="B20" s="268" t="s">
        <v>1176</v>
      </c>
      <c r="C20" s="269">
        <v>1.51</v>
      </c>
      <c r="D20" s="2"/>
      <c r="E20" s="2"/>
      <c r="F20" s="2"/>
      <c r="G20" s="2"/>
      <c r="H20" s="258">
        <v>0.1</v>
      </c>
      <c r="I20" s="259">
        <v>0.1</v>
      </c>
      <c r="J20" s="259">
        <v>0.1</v>
      </c>
      <c r="K20" s="259">
        <v>0.1</v>
      </c>
      <c r="L20" s="259">
        <v>0.1</v>
      </c>
      <c r="M20" s="259">
        <v>0.1</v>
      </c>
      <c r="N20" s="259">
        <v>0.1</v>
      </c>
      <c r="O20" s="259">
        <v>0.1</v>
      </c>
      <c r="P20" s="259">
        <v>0.1</v>
      </c>
      <c r="Q20" s="259">
        <v>0.1</v>
      </c>
      <c r="R20" s="259">
        <v>0.1</v>
      </c>
      <c r="S20" s="259">
        <v>0.1</v>
      </c>
      <c r="T20" s="259">
        <v>0.1</v>
      </c>
      <c r="U20" s="259">
        <v>0.1</v>
      </c>
      <c r="V20" s="259">
        <v>0.1</v>
      </c>
      <c r="W20" s="259">
        <v>0.1</v>
      </c>
      <c r="X20" s="259">
        <v>0.1</v>
      </c>
      <c r="Y20" s="259">
        <v>0.1</v>
      </c>
      <c r="Z20" s="259">
        <v>0.1</v>
      </c>
      <c r="AA20" s="259">
        <v>0.1</v>
      </c>
      <c r="AB20" s="259">
        <v>0.1</v>
      </c>
      <c r="AC20" s="259">
        <v>0.1</v>
      </c>
      <c r="AD20" s="259">
        <v>0.1</v>
      </c>
      <c r="AE20" s="259">
        <v>0.1</v>
      </c>
      <c r="AF20" s="259">
        <v>0.1</v>
      </c>
      <c r="AG20" s="259">
        <v>0.1</v>
      </c>
      <c r="AH20" s="259">
        <v>0.1</v>
      </c>
      <c r="AI20" s="259">
        <v>0.1</v>
      </c>
      <c r="AJ20" s="259">
        <v>0.1</v>
      </c>
      <c r="AK20" s="259">
        <v>0.1</v>
      </c>
      <c r="AL20" s="259">
        <v>0.1</v>
      </c>
      <c r="AM20" s="259">
        <v>0.1</v>
      </c>
      <c r="AN20" s="259">
        <v>0.1</v>
      </c>
      <c r="AO20" s="259">
        <v>0.1</v>
      </c>
      <c r="AP20" s="259">
        <v>0.1</v>
      </c>
      <c r="AQ20" s="259">
        <v>0.1</v>
      </c>
      <c r="AR20" s="259">
        <v>0.1</v>
      </c>
      <c r="AS20" s="259">
        <v>0.1</v>
      </c>
      <c r="AT20" s="259">
        <v>0.1</v>
      </c>
      <c r="AU20" s="260">
        <v>0.1</v>
      </c>
      <c r="AV20" s="258">
        <v>0.1</v>
      </c>
      <c r="AW20" s="259">
        <v>0.1</v>
      </c>
      <c r="AX20" s="259">
        <v>0.1</v>
      </c>
      <c r="AY20" s="259">
        <v>0.1</v>
      </c>
      <c r="AZ20" s="259">
        <v>0.1</v>
      </c>
      <c r="BA20" s="259">
        <v>0.1</v>
      </c>
      <c r="BB20" s="259">
        <v>0.1</v>
      </c>
      <c r="BC20" s="259">
        <v>0.1</v>
      </c>
      <c r="BD20" s="259">
        <v>0.1</v>
      </c>
      <c r="BE20" s="259">
        <v>0.1</v>
      </c>
      <c r="BF20" s="259">
        <v>0.1</v>
      </c>
      <c r="BG20" s="259">
        <v>0.1</v>
      </c>
      <c r="BH20" s="259">
        <v>0.1</v>
      </c>
      <c r="BI20" s="259">
        <v>0.1</v>
      </c>
      <c r="BJ20" s="259">
        <v>0.1</v>
      </c>
      <c r="BK20" s="260">
        <v>0.1</v>
      </c>
      <c r="BL20">
        <v>0.1</v>
      </c>
      <c r="BM20">
        <v>0.1</v>
      </c>
      <c r="BN20">
        <v>0.1</v>
      </c>
      <c r="BO20">
        <v>0.1</v>
      </c>
      <c r="BP20">
        <f>SUM(BL20:BO20)</f>
        <v>0.4</v>
      </c>
      <c r="BS20">
        <v>17</v>
      </c>
      <c r="BT20" s="271" t="s">
        <v>1198</v>
      </c>
      <c r="BU20" s="2"/>
      <c r="BV20" s="2"/>
      <c r="BW20" s="2"/>
      <c r="BX20" s="2"/>
      <c r="BY20" s="258">
        <v>0.1</v>
      </c>
      <c r="BZ20" s="259">
        <v>0.1</v>
      </c>
      <c r="CA20" s="259">
        <v>0.1</v>
      </c>
      <c r="CB20" s="259">
        <v>0.1</v>
      </c>
      <c r="CC20" s="259">
        <v>0.1</v>
      </c>
      <c r="CD20" s="259">
        <v>0.1</v>
      </c>
      <c r="CE20" s="259">
        <v>0.1</v>
      </c>
      <c r="CF20" s="259">
        <v>0.1</v>
      </c>
      <c r="CG20" s="259">
        <v>0.1</v>
      </c>
      <c r="CH20" s="259">
        <v>0.1</v>
      </c>
      <c r="CI20" s="259">
        <v>0.1</v>
      </c>
      <c r="CJ20" s="259">
        <v>0.1</v>
      </c>
      <c r="CK20" s="259">
        <v>0.1</v>
      </c>
      <c r="CL20" s="259">
        <v>0.1</v>
      </c>
      <c r="CM20" s="259">
        <v>0.1</v>
      </c>
      <c r="CN20" s="259">
        <v>0.1</v>
      </c>
      <c r="CO20" s="259">
        <v>0.1</v>
      </c>
      <c r="CP20" s="259">
        <v>0.1</v>
      </c>
      <c r="CQ20" s="259">
        <v>0.1</v>
      </c>
      <c r="CR20" s="259">
        <v>0.1</v>
      </c>
      <c r="CS20" s="259">
        <v>0.1</v>
      </c>
      <c r="CT20" s="259">
        <v>0.1</v>
      </c>
      <c r="CU20" s="259">
        <v>0.1</v>
      </c>
      <c r="CV20" s="259">
        <v>0.1</v>
      </c>
      <c r="CW20" s="259">
        <v>0.1</v>
      </c>
      <c r="CX20" s="259">
        <v>0.1</v>
      </c>
      <c r="CY20" s="259">
        <v>0.1</v>
      </c>
      <c r="CZ20" s="259">
        <v>0.1</v>
      </c>
      <c r="DA20" s="259">
        <v>0.1</v>
      </c>
      <c r="DB20" s="259">
        <v>0.1</v>
      </c>
      <c r="DC20" s="259">
        <v>0.1</v>
      </c>
      <c r="DD20" s="259">
        <v>0.1</v>
      </c>
      <c r="DE20" s="259">
        <v>0.1</v>
      </c>
      <c r="DF20" s="259">
        <v>0.1</v>
      </c>
      <c r="DG20" s="259">
        <v>0.1</v>
      </c>
      <c r="DH20" s="259">
        <v>0.1</v>
      </c>
      <c r="DI20" s="259">
        <v>0.1</v>
      </c>
      <c r="DJ20" s="259">
        <v>0.1</v>
      </c>
      <c r="DK20" s="259">
        <v>0.1</v>
      </c>
      <c r="DL20" s="259">
        <v>0.1</v>
      </c>
      <c r="DM20" s="259">
        <v>0.1</v>
      </c>
      <c r="DN20" s="259">
        <v>0.1</v>
      </c>
      <c r="DO20" s="259">
        <v>0.1</v>
      </c>
      <c r="DP20" s="259">
        <v>0.1</v>
      </c>
      <c r="DQ20" s="259">
        <v>0.1</v>
      </c>
      <c r="DR20" s="259">
        <v>0.1</v>
      </c>
      <c r="DS20" s="259">
        <v>0.1</v>
      </c>
      <c r="DT20" s="259">
        <v>0.1</v>
      </c>
      <c r="DU20" s="259">
        <v>0.1</v>
      </c>
      <c r="DV20" s="259">
        <v>0.1</v>
      </c>
      <c r="DW20" s="259">
        <v>0.1</v>
      </c>
      <c r="DX20" s="259">
        <v>0.1</v>
      </c>
      <c r="DY20" s="259">
        <v>0.1</v>
      </c>
      <c r="DZ20" s="259">
        <v>0.1</v>
      </c>
      <c r="EA20" s="259">
        <v>0.1</v>
      </c>
      <c r="EB20" s="260">
        <v>0.1</v>
      </c>
      <c r="EC20">
        <v>0.1</v>
      </c>
      <c r="ED20">
        <v>0.1</v>
      </c>
      <c r="EE20">
        <v>0.1</v>
      </c>
      <c r="EF20">
        <v>0.1</v>
      </c>
      <c r="EG20">
        <f>SUM(EC20:EF20)</f>
        <v>0.4</v>
      </c>
      <c r="EJ20">
        <v>17</v>
      </c>
      <c r="EN20">
        <v>0.1</v>
      </c>
      <c r="EO20">
        <v>0.1</v>
      </c>
      <c r="EP20">
        <v>0.1</v>
      </c>
      <c r="EQ20">
        <v>0.1</v>
      </c>
      <c r="ER20">
        <v>0.1</v>
      </c>
      <c r="ES20">
        <v>0.1</v>
      </c>
      <c r="ET20">
        <v>0.1</v>
      </c>
      <c r="EU20">
        <v>0.1</v>
      </c>
      <c r="EV20">
        <v>0.1</v>
      </c>
      <c r="EW20">
        <v>0.1</v>
      </c>
      <c r="EX20">
        <v>0.1</v>
      </c>
      <c r="EY20">
        <v>0.1</v>
      </c>
      <c r="EZ20">
        <v>0.1</v>
      </c>
      <c r="FA20">
        <v>0.1</v>
      </c>
      <c r="FB20">
        <v>0.1</v>
      </c>
      <c r="FC20">
        <v>0.1</v>
      </c>
      <c r="FD20">
        <v>0.1</v>
      </c>
      <c r="FE20">
        <v>0.1</v>
      </c>
      <c r="FF20">
        <v>0.1</v>
      </c>
      <c r="FG20">
        <v>0.1</v>
      </c>
      <c r="FH20">
        <v>0.1</v>
      </c>
      <c r="FI20">
        <v>0.1</v>
      </c>
      <c r="FJ20">
        <v>0.1</v>
      </c>
      <c r="FK20">
        <v>0.1</v>
      </c>
      <c r="FL20">
        <v>0.1</v>
      </c>
      <c r="FM20">
        <v>0.1</v>
      </c>
      <c r="FN20">
        <v>0.1</v>
      </c>
      <c r="FO20">
        <v>0.1</v>
      </c>
      <c r="FP20">
        <v>0.1</v>
      </c>
      <c r="FQ20">
        <v>0.1</v>
      </c>
      <c r="FU20">
        <v>17</v>
      </c>
      <c r="FV20">
        <v>2</v>
      </c>
      <c r="FW20">
        <v>1.94</v>
      </c>
      <c r="GB20" s="66">
        <v>0.1</v>
      </c>
      <c r="GC20" s="67">
        <v>0.1</v>
      </c>
      <c r="GD20" s="67">
        <v>0.1</v>
      </c>
      <c r="GE20" s="67">
        <v>0.1</v>
      </c>
      <c r="GF20" s="67">
        <v>0.1</v>
      </c>
      <c r="GG20" s="67">
        <v>0.1</v>
      </c>
      <c r="GH20" s="67">
        <v>0.1</v>
      </c>
      <c r="GI20" s="67">
        <v>0.1</v>
      </c>
      <c r="GJ20" s="67">
        <v>0.1</v>
      </c>
      <c r="GK20" s="67">
        <v>0.1</v>
      </c>
      <c r="GL20" s="67">
        <v>0.1</v>
      </c>
      <c r="GM20" s="67">
        <v>0.1</v>
      </c>
      <c r="GN20" s="67">
        <v>0.1</v>
      </c>
      <c r="GO20" s="67">
        <v>0.1</v>
      </c>
      <c r="GP20" s="67">
        <v>0.1</v>
      </c>
      <c r="GQ20" s="67">
        <v>0.1</v>
      </c>
      <c r="GR20" s="67">
        <v>0.1</v>
      </c>
      <c r="GS20" s="67">
        <v>0.1</v>
      </c>
      <c r="GT20" s="67">
        <v>0.1</v>
      </c>
      <c r="GU20" s="68">
        <v>0.1</v>
      </c>
      <c r="GV20" s="66">
        <v>0.1</v>
      </c>
      <c r="GW20" s="67">
        <v>0.1</v>
      </c>
      <c r="GX20" s="67">
        <v>0.1</v>
      </c>
      <c r="GY20" s="67">
        <v>0.1</v>
      </c>
      <c r="GZ20" s="67">
        <v>0.1</v>
      </c>
      <c r="HA20" s="67">
        <v>0.1</v>
      </c>
      <c r="HB20" s="67">
        <v>0.1</v>
      </c>
      <c r="HC20" s="67">
        <v>0.1</v>
      </c>
      <c r="HD20" s="67">
        <v>0.1</v>
      </c>
      <c r="HE20" s="67">
        <v>0.1</v>
      </c>
      <c r="HF20" s="67">
        <v>0.1</v>
      </c>
      <c r="HG20" s="67">
        <v>0.1</v>
      </c>
      <c r="HH20" s="67">
        <v>0.1</v>
      </c>
      <c r="HI20" s="67">
        <v>0.1</v>
      </c>
      <c r="HJ20" s="67">
        <v>0.1</v>
      </c>
      <c r="HK20" s="67">
        <v>0.1</v>
      </c>
      <c r="HL20" s="67">
        <v>0.1</v>
      </c>
      <c r="HM20" s="67">
        <v>0.1</v>
      </c>
      <c r="HN20" s="67">
        <v>0.1</v>
      </c>
      <c r="HO20" s="68">
        <v>0.1</v>
      </c>
    </row>
    <row r="21" spans="1:224" ht="15.75" thickBot="1" x14ac:dyDescent="0.3">
      <c r="A21">
        <v>18</v>
      </c>
      <c r="B21" s="268">
        <v>2.97</v>
      </c>
      <c r="C21" s="269">
        <v>2.95</v>
      </c>
      <c r="D21" s="2"/>
      <c r="E21" s="2"/>
      <c r="F21" s="2"/>
      <c r="G21" s="2"/>
      <c r="H21" s="258">
        <v>0.1</v>
      </c>
      <c r="I21" s="259">
        <v>0.1</v>
      </c>
      <c r="J21" s="259">
        <v>0.1</v>
      </c>
      <c r="K21" s="259">
        <v>0.1</v>
      </c>
      <c r="L21" s="259">
        <v>0.1</v>
      </c>
      <c r="M21" s="259">
        <v>0.1</v>
      </c>
      <c r="N21" s="259">
        <v>0.1</v>
      </c>
      <c r="O21" s="259">
        <v>0.1</v>
      </c>
      <c r="P21" s="259">
        <v>0.1</v>
      </c>
      <c r="Q21" s="259">
        <v>0.1</v>
      </c>
      <c r="R21" s="259">
        <v>0.1</v>
      </c>
      <c r="S21" s="259">
        <v>0.1</v>
      </c>
      <c r="T21" s="259">
        <v>0.1</v>
      </c>
      <c r="U21" s="259">
        <v>0.1</v>
      </c>
      <c r="V21" s="259">
        <v>0.1</v>
      </c>
      <c r="W21" s="259">
        <v>0.1</v>
      </c>
      <c r="X21" s="259">
        <v>0.1</v>
      </c>
      <c r="Y21" s="259">
        <v>0.1</v>
      </c>
      <c r="Z21" s="259">
        <v>0.1</v>
      </c>
      <c r="AA21" s="259">
        <v>0.1</v>
      </c>
      <c r="AB21" s="259">
        <v>0.1</v>
      </c>
      <c r="AC21" s="259">
        <v>0.1</v>
      </c>
      <c r="AD21" s="259">
        <v>0.1</v>
      </c>
      <c r="AE21" s="259">
        <v>0.1</v>
      </c>
      <c r="AF21" s="259">
        <v>0.1</v>
      </c>
      <c r="AG21" s="259">
        <v>0.1</v>
      </c>
      <c r="AH21" s="259">
        <v>0.1</v>
      </c>
      <c r="AI21" s="259">
        <v>0.1</v>
      </c>
      <c r="AJ21" s="259">
        <v>0.1</v>
      </c>
      <c r="AK21" s="260">
        <v>0.1</v>
      </c>
      <c r="AL21" s="258">
        <v>0.1</v>
      </c>
      <c r="AM21" s="259">
        <v>0.1</v>
      </c>
      <c r="AN21" s="259">
        <v>0.1</v>
      </c>
      <c r="AO21" s="259">
        <v>0.1</v>
      </c>
      <c r="AP21" s="259">
        <v>0.1</v>
      </c>
      <c r="AQ21" s="259">
        <v>0.1</v>
      </c>
      <c r="AR21" s="259">
        <v>0.1</v>
      </c>
      <c r="AS21" s="259">
        <v>0.1</v>
      </c>
      <c r="AT21" s="259">
        <v>0.1</v>
      </c>
      <c r="AU21" s="259">
        <v>0.1</v>
      </c>
      <c r="AV21" s="259">
        <v>0.1</v>
      </c>
      <c r="AW21" s="259">
        <v>0.1</v>
      </c>
      <c r="AX21" s="259">
        <v>0.1</v>
      </c>
      <c r="AY21" s="259">
        <v>0.1</v>
      </c>
      <c r="AZ21" s="259">
        <v>0.1</v>
      </c>
      <c r="BA21" s="259">
        <v>0.1</v>
      </c>
      <c r="BB21" s="259">
        <v>0.1</v>
      </c>
      <c r="BC21" s="259">
        <v>0.1</v>
      </c>
      <c r="BD21" s="259">
        <v>0.1</v>
      </c>
      <c r="BE21" s="259">
        <v>0.1</v>
      </c>
      <c r="BF21" s="259">
        <v>0.1</v>
      </c>
      <c r="BG21" s="259">
        <v>0.1</v>
      </c>
      <c r="BH21" s="259">
        <v>0.1</v>
      </c>
      <c r="BI21" s="259">
        <v>0.1</v>
      </c>
      <c r="BJ21" s="259">
        <v>0.1</v>
      </c>
      <c r="BK21" s="259">
        <v>0.1</v>
      </c>
      <c r="BL21" s="259">
        <v>0.1</v>
      </c>
      <c r="BM21" s="259">
        <v>0.1</v>
      </c>
      <c r="BN21" s="259">
        <v>0.1</v>
      </c>
      <c r="BO21" s="260">
        <v>0.1</v>
      </c>
      <c r="BS21">
        <v>18</v>
      </c>
      <c r="BT21" s="271" t="s">
        <v>1197</v>
      </c>
      <c r="BU21" s="2"/>
      <c r="BV21" s="2"/>
      <c r="BW21" s="2"/>
      <c r="BX21" s="2"/>
      <c r="BY21" s="258">
        <v>0.1</v>
      </c>
      <c r="BZ21" s="259">
        <v>0.1</v>
      </c>
      <c r="CA21" s="259">
        <v>0.1</v>
      </c>
      <c r="CB21" s="259">
        <v>0.1</v>
      </c>
      <c r="CC21" s="259">
        <v>0.1</v>
      </c>
      <c r="CD21" s="259">
        <v>0.1</v>
      </c>
      <c r="CE21" s="259">
        <v>0.1</v>
      </c>
      <c r="CF21" s="259">
        <v>0.1</v>
      </c>
      <c r="CG21" s="259">
        <v>0.1</v>
      </c>
      <c r="CH21" s="259">
        <v>0.1</v>
      </c>
      <c r="CI21" s="259">
        <v>0.1</v>
      </c>
      <c r="CJ21" s="259">
        <v>0.1</v>
      </c>
      <c r="CK21" s="259">
        <v>0.1</v>
      </c>
      <c r="CL21" s="259">
        <v>0.1</v>
      </c>
      <c r="CM21" s="259">
        <v>0.1</v>
      </c>
      <c r="CN21" s="259">
        <v>0.1</v>
      </c>
      <c r="CO21" s="259">
        <v>0.1</v>
      </c>
      <c r="CP21" s="259">
        <v>0.1</v>
      </c>
      <c r="CQ21" s="259">
        <v>0.1</v>
      </c>
      <c r="CR21" s="259">
        <v>0.1</v>
      </c>
      <c r="CS21" s="259">
        <v>0.1</v>
      </c>
      <c r="CT21" s="259">
        <v>0.1</v>
      </c>
      <c r="CU21" s="259">
        <v>0.1</v>
      </c>
      <c r="CV21" s="259">
        <v>0.1</v>
      </c>
      <c r="CW21" s="259">
        <v>0.1</v>
      </c>
      <c r="CX21" s="259">
        <v>0.1</v>
      </c>
      <c r="CY21" s="259">
        <v>0.1</v>
      </c>
      <c r="CZ21" s="259">
        <v>0.1</v>
      </c>
      <c r="DA21" s="259">
        <v>0.1</v>
      </c>
      <c r="DB21" s="259">
        <v>0.1</v>
      </c>
      <c r="DC21" s="259">
        <v>0.1</v>
      </c>
      <c r="DD21" s="259">
        <v>0.1</v>
      </c>
      <c r="DE21" s="259">
        <v>0.1</v>
      </c>
      <c r="DF21" s="259">
        <v>0.1</v>
      </c>
      <c r="DG21" s="259">
        <v>0.1</v>
      </c>
      <c r="DH21" s="259">
        <v>0.1</v>
      </c>
      <c r="DI21" s="259">
        <v>0.1</v>
      </c>
      <c r="DJ21" s="259">
        <v>0.1</v>
      </c>
      <c r="DK21" s="259">
        <v>0.1</v>
      </c>
      <c r="DL21" s="259">
        <v>0.1</v>
      </c>
      <c r="DM21" s="259">
        <v>0.1</v>
      </c>
      <c r="DN21" s="259">
        <v>0.1</v>
      </c>
      <c r="DO21" s="259">
        <v>0.1</v>
      </c>
      <c r="DP21" s="259">
        <v>0.1</v>
      </c>
      <c r="DQ21" s="259">
        <v>0.1</v>
      </c>
      <c r="DR21" s="259">
        <v>0.1</v>
      </c>
      <c r="DS21" s="259">
        <v>0.1</v>
      </c>
      <c r="DT21" s="259">
        <v>0.1</v>
      </c>
      <c r="DU21" s="259">
        <v>0.1</v>
      </c>
      <c r="DV21" s="259">
        <v>0.1</v>
      </c>
      <c r="DW21" s="259">
        <v>0.1</v>
      </c>
      <c r="DX21" s="259">
        <v>0.1</v>
      </c>
      <c r="DY21" s="259">
        <v>0.1</v>
      </c>
      <c r="DZ21" s="259">
        <v>0.1</v>
      </c>
      <c r="EA21" s="259">
        <v>0.1</v>
      </c>
      <c r="EB21" s="259">
        <v>0.1</v>
      </c>
      <c r="EC21" s="259">
        <v>0.1</v>
      </c>
      <c r="ED21" s="259">
        <v>0.1</v>
      </c>
      <c r="EE21" s="259">
        <v>0.1</v>
      </c>
      <c r="EF21" s="260">
        <v>0.1</v>
      </c>
      <c r="EJ21">
        <v>18</v>
      </c>
      <c r="EN21">
        <v>0.1</v>
      </c>
      <c r="EO21">
        <v>0.1</v>
      </c>
      <c r="EP21">
        <v>0.1</v>
      </c>
      <c r="EQ21">
        <v>0.1</v>
      </c>
      <c r="ER21">
        <v>0.1</v>
      </c>
      <c r="ES21">
        <v>0.1</v>
      </c>
      <c r="ET21">
        <v>0.1</v>
      </c>
      <c r="EU21">
        <v>0.1</v>
      </c>
      <c r="EV21">
        <v>0.1</v>
      </c>
      <c r="EW21">
        <v>0.1</v>
      </c>
      <c r="EX21">
        <v>0.1</v>
      </c>
      <c r="EY21">
        <v>0.1</v>
      </c>
      <c r="EZ21">
        <v>0.1</v>
      </c>
      <c r="FA21">
        <v>0.1</v>
      </c>
      <c r="FB21">
        <v>0.1</v>
      </c>
      <c r="FC21">
        <v>0.1</v>
      </c>
      <c r="FD21">
        <v>0.1</v>
      </c>
      <c r="FE21">
        <v>0.1</v>
      </c>
      <c r="FF21">
        <v>0.1</v>
      </c>
      <c r="FG21">
        <v>0.1</v>
      </c>
      <c r="FH21">
        <v>0.1</v>
      </c>
      <c r="FI21">
        <v>0.1</v>
      </c>
      <c r="FJ21">
        <v>0.1</v>
      </c>
      <c r="FK21">
        <v>0.1</v>
      </c>
      <c r="FL21">
        <v>0.1</v>
      </c>
      <c r="FM21">
        <v>0.1</v>
      </c>
      <c r="FN21">
        <v>0.1</v>
      </c>
      <c r="FO21">
        <v>0.1</v>
      </c>
      <c r="FP21">
        <v>0.1</v>
      </c>
      <c r="FQ21">
        <v>0.1</v>
      </c>
      <c r="FU21">
        <v>18</v>
      </c>
      <c r="FV21">
        <v>2</v>
      </c>
      <c r="FW21">
        <v>1.94</v>
      </c>
      <c r="GB21" s="66">
        <v>0.1</v>
      </c>
      <c r="GC21" s="67">
        <v>0.1</v>
      </c>
      <c r="GD21" s="67">
        <v>0.1</v>
      </c>
      <c r="GE21" s="67">
        <v>0.1</v>
      </c>
      <c r="GF21" s="67">
        <v>0.1</v>
      </c>
      <c r="GG21" s="67">
        <v>0.1</v>
      </c>
      <c r="GH21" s="67">
        <v>0.1</v>
      </c>
      <c r="GI21" s="67">
        <v>0.1</v>
      </c>
      <c r="GJ21" s="67">
        <v>0.1</v>
      </c>
      <c r="GK21" s="67">
        <v>0.1</v>
      </c>
      <c r="GL21" s="67">
        <v>0.1</v>
      </c>
      <c r="GM21" s="67">
        <v>0.1</v>
      </c>
      <c r="GN21" s="67">
        <v>0.1</v>
      </c>
      <c r="GO21" s="67">
        <v>0.1</v>
      </c>
      <c r="GP21" s="67">
        <v>0.1</v>
      </c>
      <c r="GQ21" s="67">
        <v>0.1</v>
      </c>
      <c r="GR21" s="67">
        <v>0.1</v>
      </c>
      <c r="GS21" s="67">
        <v>0.1</v>
      </c>
      <c r="GT21" s="67">
        <v>0.1</v>
      </c>
      <c r="GU21" s="68">
        <v>0.1</v>
      </c>
      <c r="GV21" s="66">
        <v>0.1</v>
      </c>
      <c r="GW21" s="67">
        <v>0.1</v>
      </c>
      <c r="GX21" s="67">
        <v>0.1</v>
      </c>
      <c r="GY21" s="67">
        <v>0.1</v>
      </c>
      <c r="GZ21" s="67">
        <v>0.1</v>
      </c>
      <c r="HA21" s="67">
        <v>0.1</v>
      </c>
      <c r="HB21" s="67">
        <v>0.1</v>
      </c>
      <c r="HC21" s="67">
        <v>0.1</v>
      </c>
      <c r="HD21" s="67">
        <v>0.1</v>
      </c>
      <c r="HE21" s="67">
        <v>0.1</v>
      </c>
      <c r="HF21" s="67">
        <v>0.1</v>
      </c>
      <c r="HG21" s="67">
        <v>0.1</v>
      </c>
      <c r="HH21" s="67">
        <v>0.1</v>
      </c>
      <c r="HI21" s="67">
        <v>0.1</v>
      </c>
      <c r="HJ21" s="67">
        <v>0.1</v>
      </c>
      <c r="HK21" s="67">
        <v>0.1</v>
      </c>
      <c r="HL21" s="67">
        <v>0.1</v>
      </c>
      <c r="HM21" s="67">
        <v>0.1</v>
      </c>
      <c r="HN21" s="67">
        <v>0.1</v>
      </c>
      <c r="HO21" s="68">
        <v>0.1</v>
      </c>
    </row>
    <row r="22" spans="1:224" ht="15.75" thickBot="1" x14ac:dyDescent="0.3">
      <c r="A22">
        <v>19</v>
      </c>
      <c r="B22" s="268" t="s">
        <v>1175</v>
      </c>
      <c r="C22" s="2"/>
      <c r="D22" s="2"/>
      <c r="E22" s="2"/>
      <c r="F22" s="2"/>
      <c r="G22" s="2"/>
      <c r="H22" s="258">
        <v>0.1</v>
      </c>
      <c r="I22" s="259">
        <v>0.1</v>
      </c>
      <c r="J22" s="259">
        <v>0.1</v>
      </c>
      <c r="K22" s="259">
        <v>0.1</v>
      </c>
      <c r="L22" s="259">
        <v>0.1</v>
      </c>
      <c r="M22" s="259">
        <v>0.1</v>
      </c>
      <c r="N22" s="259">
        <v>0.1</v>
      </c>
      <c r="O22" s="259">
        <v>0.1</v>
      </c>
      <c r="P22" s="259">
        <v>0.1</v>
      </c>
      <c r="Q22" s="259">
        <v>0.1</v>
      </c>
      <c r="R22" s="259">
        <v>0.1</v>
      </c>
      <c r="S22" s="259">
        <v>0.1</v>
      </c>
      <c r="T22" s="259">
        <v>0.1</v>
      </c>
      <c r="U22" s="259">
        <v>0.1</v>
      </c>
      <c r="V22" s="259">
        <v>0.1</v>
      </c>
      <c r="W22" s="259">
        <v>0.1</v>
      </c>
      <c r="X22" s="259">
        <v>0.1</v>
      </c>
      <c r="Y22" s="259">
        <v>0.1</v>
      </c>
      <c r="Z22" s="259">
        <v>0.1</v>
      </c>
      <c r="AA22" s="259">
        <v>0.1</v>
      </c>
      <c r="AB22" s="259">
        <v>0.1</v>
      </c>
      <c r="AC22" s="259">
        <v>0.1</v>
      </c>
      <c r="AD22" s="259">
        <v>0.1</v>
      </c>
      <c r="AE22" s="259">
        <v>0.1</v>
      </c>
      <c r="AF22" s="259">
        <v>0.1</v>
      </c>
      <c r="AG22" s="259">
        <v>0.1</v>
      </c>
      <c r="AH22" s="259">
        <v>0.1</v>
      </c>
      <c r="AI22" s="259">
        <v>0.1</v>
      </c>
      <c r="AJ22" s="259">
        <v>0.1</v>
      </c>
      <c r="AK22" s="259">
        <v>0.1</v>
      </c>
      <c r="AL22" s="259">
        <v>0.1</v>
      </c>
      <c r="AM22" s="259">
        <v>0.1</v>
      </c>
      <c r="AN22" s="259">
        <v>0.1</v>
      </c>
      <c r="AO22" s="259">
        <v>0.1</v>
      </c>
      <c r="AP22" s="259">
        <v>0.1</v>
      </c>
      <c r="AQ22" s="259">
        <v>0.1</v>
      </c>
      <c r="AR22" s="259">
        <v>0.1</v>
      </c>
      <c r="AS22" s="259">
        <v>0.1</v>
      </c>
      <c r="AT22" s="259">
        <v>0.1</v>
      </c>
      <c r="AU22" s="259">
        <v>0.1</v>
      </c>
      <c r="AV22" s="259">
        <v>0.1</v>
      </c>
      <c r="AW22" s="259">
        <v>0.1</v>
      </c>
      <c r="AX22" s="259">
        <v>0.1</v>
      </c>
      <c r="AY22" s="259">
        <v>0.1</v>
      </c>
      <c r="AZ22" s="259">
        <v>0.1</v>
      </c>
      <c r="BA22" s="259">
        <v>0.1</v>
      </c>
      <c r="BB22" s="259">
        <v>0.1</v>
      </c>
      <c r="BC22" s="259">
        <v>0.1</v>
      </c>
      <c r="BD22" s="259">
        <v>0.1</v>
      </c>
      <c r="BE22" s="259">
        <v>0.1</v>
      </c>
      <c r="BF22" s="259">
        <v>0.1</v>
      </c>
      <c r="BG22" s="259">
        <v>0.1</v>
      </c>
      <c r="BH22" s="259">
        <v>0.1</v>
      </c>
      <c r="BI22" s="259">
        <v>0.1</v>
      </c>
      <c r="BJ22" s="259">
        <v>0.1</v>
      </c>
      <c r="BK22" s="259">
        <v>0.1</v>
      </c>
      <c r="BL22" s="259">
        <v>0.1</v>
      </c>
      <c r="BM22" s="259">
        <v>0.1</v>
      </c>
      <c r="BN22" s="259">
        <v>0.1</v>
      </c>
      <c r="BO22" s="260">
        <v>0.1</v>
      </c>
      <c r="BS22">
        <v>19</v>
      </c>
      <c r="BT22" s="271" t="s">
        <v>1198</v>
      </c>
      <c r="BU22" s="2"/>
      <c r="BV22" s="2"/>
      <c r="BW22" s="2"/>
      <c r="BX22" s="2"/>
      <c r="BY22" s="258">
        <v>0.1</v>
      </c>
      <c r="BZ22" s="259">
        <v>0.1</v>
      </c>
      <c r="CA22" s="259">
        <v>0.1</v>
      </c>
      <c r="CB22" s="259">
        <v>0.1</v>
      </c>
      <c r="CC22" s="259">
        <v>0.1</v>
      </c>
      <c r="CD22" s="259">
        <v>0.1</v>
      </c>
      <c r="CE22" s="259">
        <v>0.1</v>
      </c>
      <c r="CF22" s="259">
        <v>0.1</v>
      </c>
      <c r="CG22" s="259">
        <v>0.1</v>
      </c>
      <c r="CH22" s="259">
        <v>0.1</v>
      </c>
      <c r="CI22" s="259">
        <v>0.1</v>
      </c>
      <c r="CJ22" s="259">
        <v>0.1</v>
      </c>
      <c r="CK22" s="259">
        <v>0.1</v>
      </c>
      <c r="CL22" s="259">
        <v>0.1</v>
      </c>
      <c r="CM22" s="259">
        <v>0.1</v>
      </c>
      <c r="CN22" s="259">
        <v>0.1</v>
      </c>
      <c r="CO22" s="259">
        <v>0.1</v>
      </c>
      <c r="CP22" s="259">
        <v>0.1</v>
      </c>
      <c r="CQ22" s="259">
        <v>0.1</v>
      </c>
      <c r="CR22" s="259">
        <v>0.1</v>
      </c>
      <c r="CS22" s="259">
        <v>0.1</v>
      </c>
      <c r="CT22" s="259">
        <v>0.1</v>
      </c>
      <c r="CU22" s="259">
        <v>0.1</v>
      </c>
      <c r="CV22" s="259">
        <v>0.1</v>
      </c>
      <c r="CW22" s="259">
        <v>0.1</v>
      </c>
      <c r="CX22" s="259">
        <v>0.1</v>
      </c>
      <c r="CY22" s="259">
        <v>0.1</v>
      </c>
      <c r="CZ22" s="259">
        <v>0.1</v>
      </c>
      <c r="DA22" s="259">
        <v>0.1</v>
      </c>
      <c r="DB22" s="259">
        <v>0.1</v>
      </c>
      <c r="DC22" s="259">
        <v>0.1</v>
      </c>
      <c r="DD22" s="259">
        <v>0.1</v>
      </c>
      <c r="DE22" s="259">
        <v>0.1</v>
      </c>
      <c r="DF22" s="259">
        <v>0.1</v>
      </c>
      <c r="DG22" s="259">
        <v>0.1</v>
      </c>
      <c r="DH22" s="259">
        <v>0.1</v>
      </c>
      <c r="DI22" s="259">
        <v>0.1</v>
      </c>
      <c r="DJ22" s="259">
        <v>0.1</v>
      </c>
      <c r="DK22" s="259">
        <v>0.1</v>
      </c>
      <c r="DL22" s="259">
        <v>0.1</v>
      </c>
      <c r="DM22" s="259">
        <v>0.1</v>
      </c>
      <c r="DN22" s="259">
        <v>0.1</v>
      </c>
      <c r="DO22" s="259">
        <v>0.1</v>
      </c>
      <c r="DP22" s="259">
        <v>0.1</v>
      </c>
      <c r="DQ22" s="259">
        <v>0.1</v>
      </c>
      <c r="DR22" s="259">
        <v>0.1</v>
      </c>
      <c r="DS22" s="259">
        <v>0.1</v>
      </c>
      <c r="DT22" s="259">
        <v>0.1</v>
      </c>
      <c r="DU22" s="259">
        <v>0.1</v>
      </c>
      <c r="DV22" s="259">
        <v>0.1</v>
      </c>
      <c r="DW22" s="259">
        <v>0.1</v>
      </c>
      <c r="DX22" s="259">
        <v>0.1</v>
      </c>
      <c r="DY22" s="259">
        <v>0.1</v>
      </c>
      <c r="DZ22" s="259">
        <v>0.1</v>
      </c>
      <c r="EA22" s="259">
        <v>0.1</v>
      </c>
      <c r="EB22" s="260">
        <v>0.1</v>
      </c>
      <c r="EC22">
        <v>0.1</v>
      </c>
      <c r="ED22">
        <v>0.1</v>
      </c>
      <c r="EE22">
        <v>0.1</v>
      </c>
      <c r="EF22">
        <v>0.1</v>
      </c>
      <c r="EG22">
        <f>SUM(EC22:EF22)</f>
        <v>0.4</v>
      </c>
      <c r="EJ22">
        <v>19</v>
      </c>
      <c r="EN22">
        <v>0.1</v>
      </c>
      <c r="EO22">
        <v>0.1</v>
      </c>
      <c r="EP22">
        <v>0.1</v>
      </c>
      <c r="EQ22">
        <v>0.1</v>
      </c>
      <c r="ER22">
        <v>0.1</v>
      </c>
      <c r="ES22">
        <v>0.1</v>
      </c>
      <c r="ET22">
        <v>0.1</v>
      </c>
      <c r="EU22">
        <v>0.1</v>
      </c>
      <c r="EV22">
        <v>0.1</v>
      </c>
      <c r="EW22">
        <v>0.1</v>
      </c>
      <c r="EX22">
        <v>0.1</v>
      </c>
      <c r="EY22">
        <v>0.1</v>
      </c>
      <c r="EZ22">
        <v>0.1</v>
      </c>
      <c r="FA22">
        <v>0.1</v>
      </c>
      <c r="FB22">
        <v>0.1</v>
      </c>
      <c r="FC22">
        <v>0.1</v>
      </c>
      <c r="FD22">
        <v>0.1</v>
      </c>
      <c r="FE22">
        <v>0.1</v>
      </c>
      <c r="FF22">
        <v>0.1</v>
      </c>
      <c r="FG22">
        <v>0.1</v>
      </c>
      <c r="FH22">
        <v>0.1</v>
      </c>
      <c r="FI22">
        <v>0.1</v>
      </c>
      <c r="FJ22">
        <v>0.1</v>
      </c>
      <c r="FK22">
        <v>0.1</v>
      </c>
      <c r="FL22">
        <v>0.1</v>
      </c>
      <c r="FM22">
        <v>0.1</v>
      </c>
      <c r="FN22">
        <v>0.1</v>
      </c>
      <c r="FO22">
        <v>0.1</v>
      </c>
      <c r="FP22">
        <v>0.1</v>
      </c>
      <c r="FQ22">
        <v>0.1</v>
      </c>
      <c r="FU22">
        <v>19</v>
      </c>
      <c r="FV22">
        <v>1.72</v>
      </c>
      <c r="FW22">
        <v>1.76</v>
      </c>
      <c r="FZ22">
        <v>0.34</v>
      </c>
      <c r="GB22" s="66">
        <v>0.1</v>
      </c>
      <c r="GC22" s="67">
        <v>0.1</v>
      </c>
      <c r="GD22" s="67">
        <v>0.1</v>
      </c>
      <c r="GE22" s="67">
        <v>0.1</v>
      </c>
      <c r="GF22" s="67">
        <v>0.1</v>
      </c>
      <c r="GG22" s="67">
        <v>0.1</v>
      </c>
      <c r="GH22" s="67">
        <v>0.1</v>
      </c>
      <c r="GI22" s="67">
        <v>0.1</v>
      </c>
      <c r="GJ22" s="67">
        <v>0.1</v>
      </c>
      <c r="GK22" s="67">
        <v>0.1</v>
      </c>
      <c r="GL22" s="67">
        <v>0.1</v>
      </c>
      <c r="GM22" s="67">
        <v>0.1</v>
      </c>
      <c r="GN22" s="67">
        <v>0.1</v>
      </c>
      <c r="GO22" s="67">
        <v>0.1</v>
      </c>
      <c r="GP22" s="67">
        <v>0.1</v>
      </c>
      <c r="GQ22" s="67">
        <v>0.1</v>
      </c>
      <c r="GR22" s="67">
        <v>0.1</v>
      </c>
      <c r="GS22" s="68">
        <v>0.1</v>
      </c>
      <c r="GT22" s="66">
        <v>0.1</v>
      </c>
      <c r="GU22" s="67">
        <v>0.1</v>
      </c>
      <c r="GV22" s="67">
        <v>0.1</v>
      </c>
      <c r="GW22" s="67">
        <v>0.1</v>
      </c>
      <c r="GX22" s="67">
        <v>0.1</v>
      </c>
      <c r="GY22" s="67">
        <v>0.1</v>
      </c>
      <c r="GZ22" s="67">
        <v>0.1</v>
      </c>
      <c r="HA22" s="67">
        <v>0.1</v>
      </c>
      <c r="HB22" s="67">
        <v>0.1</v>
      </c>
      <c r="HC22" s="67">
        <v>0.1</v>
      </c>
      <c r="HD22" s="67">
        <v>0.1</v>
      </c>
      <c r="HE22" s="67">
        <v>0.1</v>
      </c>
      <c r="HF22" s="67">
        <v>0.1</v>
      </c>
      <c r="HG22" s="67">
        <v>0.1</v>
      </c>
      <c r="HH22" s="67">
        <v>0.1</v>
      </c>
      <c r="HI22" s="67">
        <v>0.1</v>
      </c>
      <c r="HJ22" s="67">
        <v>0.1</v>
      </c>
      <c r="HK22" s="68">
        <v>0.1</v>
      </c>
      <c r="HL22" s="66">
        <v>0.1</v>
      </c>
      <c r="HM22" s="67">
        <v>0.1</v>
      </c>
      <c r="HN22" s="67">
        <v>0.1</v>
      </c>
      <c r="HO22" s="68">
        <v>0.1</v>
      </c>
    </row>
    <row r="23" spans="1:224" ht="15.75" thickBot="1" x14ac:dyDescent="0.3">
      <c r="A23">
        <v>20</v>
      </c>
      <c r="B23" s="268" t="s">
        <v>1176</v>
      </c>
      <c r="C23" s="268">
        <v>1.51</v>
      </c>
      <c r="D23" s="2"/>
      <c r="E23" s="2"/>
      <c r="F23" s="2"/>
      <c r="G23" s="2"/>
      <c r="H23" s="258">
        <v>0.1</v>
      </c>
      <c r="I23" s="259">
        <v>0.1</v>
      </c>
      <c r="J23" s="259">
        <v>0.1</v>
      </c>
      <c r="K23" s="259">
        <v>0.1</v>
      </c>
      <c r="L23" s="259">
        <v>0.1</v>
      </c>
      <c r="M23" s="259">
        <v>0.1</v>
      </c>
      <c r="N23" s="259">
        <v>0.1</v>
      </c>
      <c r="O23" s="259">
        <v>0.1</v>
      </c>
      <c r="P23" s="259">
        <v>0.1</v>
      </c>
      <c r="Q23" s="259">
        <v>0.1</v>
      </c>
      <c r="R23" s="259">
        <v>0.1</v>
      </c>
      <c r="S23" s="259">
        <v>0.1</v>
      </c>
      <c r="T23" s="259">
        <v>0.1</v>
      </c>
      <c r="U23" s="259">
        <v>0.1</v>
      </c>
      <c r="V23" s="259">
        <v>0.1</v>
      </c>
      <c r="W23" s="259">
        <v>0.1</v>
      </c>
      <c r="X23" s="259">
        <v>0.1</v>
      </c>
      <c r="Y23" s="259">
        <v>0.1</v>
      </c>
      <c r="Z23" s="259">
        <v>0.1</v>
      </c>
      <c r="AA23" s="259">
        <v>0.1</v>
      </c>
      <c r="AB23" s="259">
        <v>0.1</v>
      </c>
      <c r="AC23" s="259">
        <v>0.1</v>
      </c>
      <c r="AD23" s="259">
        <v>0.1</v>
      </c>
      <c r="AE23" s="259">
        <v>0.1</v>
      </c>
      <c r="AF23" s="259">
        <v>0.1</v>
      </c>
      <c r="AG23" s="259">
        <v>0.1</v>
      </c>
      <c r="AH23" s="259">
        <v>0.1</v>
      </c>
      <c r="AI23" s="259">
        <v>0.1</v>
      </c>
      <c r="AJ23" s="259">
        <v>0.1</v>
      </c>
      <c r="AK23" s="259">
        <v>0.1</v>
      </c>
      <c r="AL23" s="259">
        <v>0.1</v>
      </c>
      <c r="AM23" s="259">
        <v>0.1</v>
      </c>
      <c r="AN23" s="259">
        <v>0.1</v>
      </c>
      <c r="AO23" s="259">
        <v>0.1</v>
      </c>
      <c r="AP23" s="259">
        <v>0.1</v>
      </c>
      <c r="AQ23" s="259">
        <v>0.1</v>
      </c>
      <c r="AR23" s="259">
        <v>0.1</v>
      </c>
      <c r="AS23" s="259">
        <v>0.1</v>
      </c>
      <c r="AT23" s="259">
        <v>0.1</v>
      </c>
      <c r="AU23" s="260">
        <v>0.1</v>
      </c>
      <c r="AV23" s="258">
        <v>0.1</v>
      </c>
      <c r="AW23" s="259">
        <v>0.1</v>
      </c>
      <c r="AX23" s="259">
        <v>0.1</v>
      </c>
      <c r="AY23" s="259">
        <v>0.1</v>
      </c>
      <c r="AZ23" s="259">
        <v>0.1</v>
      </c>
      <c r="BA23" s="259">
        <v>0.1</v>
      </c>
      <c r="BB23" s="259">
        <v>0.1</v>
      </c>
      <c r="BC23" s="259">
        <v>0.1</v>
      </c>
      <c r="BD23" s="259">
        <v>0.1</v>
      </c>
      <c r="BE23" s="259">
        <v>0.1</v>
      </c>
      <c r="BF23" s="259">
        <v>0.1</v>
      </c>
      <c r="BG23" s="259">
        <v>0.1</v>
      </c>
      <c r="BH23" s="259">
        <v>0.1</v>
      </c>
      <c r="BI23" s="259">
        <v>0.1</v>
      </c>
      <c r="BJ23" s="259">
        <v>0.1</v>
      </c>
      <c r="BK23" s="260">
        <v>0.1</v>
      </c>
      <c r="BL23">
        <v>0.1</v>
      </c>
      <c r="BM23">
        <v>0.1</v>
      </c>
      <c r="BN23">
        <v>0.1</v>
      </c>
      <c r="BO23">
        <v>0.1</v>
      </c>
      <c r="BP23">
        <f>SUM(BL23:BO23)</f>
        <v>0.4</v>
      </c>
      <c r="BS23">
        <v>20</v>
      </c>
      <c r="BT23" s="271" t="s">
        <v>1197</v>
      </c>
      <c r="BU23" s="2"/>
      <c r="BV23" s="2"/>
      <c r="BW23" s="2"/>
      <c r="BX23" s="2"/>
      <c r="BY23" s="258">
        <v>0.1</v>
      </c>
      <c r="BZ23" s="259">
        <v>0.1</v>
      </c>
      <c r="CA23" s="259">
        <v>0.1</v>
      </c>
      <c r="CB23" s="259">
        <v>0.1</v>
      </c>
      <c r="CC23" s="259">
        <v>0.1</v>
      </c>
      <c r="CD23" s="259">
        <v>0.1</v>
      </c>
      <c r="CE23" s="259">
        <v>0.1</v>
      </c>
      <c r="CF23" s="259">
        <v>0.1</v>
      </c>
      <c r="CG23" s="259">
        <v>0.1</v>
      </c>
      <c r="CH23" s="259">
        <v>0.1</v>
      </c>
      <c r="CI23" s="259">
        <v>0.1</v>
      </c>
      <c r="CJ23" s="259">
        <v>0.1</v>
      </c>
      <c r="CK23" s="259">
        <v>0.1</v>
      </c>
      <c r="CL23" s="259">
        <v>0.1</v>
      </c>
      <c r="CM23" s="259">
        <v>0.1</v>
      </c>
      <c r="CN23" s="259">
        <v>0.1</v>
      </c>
      <c r="CO23" s="259">
        <v>0.1</v>
      </c>
      <c r="CP23" s="259">
        <v>0.1</v>
      </c>
      <c r="CQ23" s="259">
        <v>0.1</v>
      </c>
      <c r="CR23" s="259">
        <v>0.1</v>
      </c>
      <c r="CS23" s="259">
        <v>0.1</v>
      </c>
      <c r="CT23" s="259">
        <v>0.1</v>
      </c>
      <c r="CU23" s="259">
        <v>0.1</v>
      </c>
      <c r="CV23" s="259">
        <v>0.1</v>
      </c>
      <c r="CW23" s="259">
        <v>0.1</v>
      </c>
      <c r="CX23" s="259">
        <v>0.1</v>
      </c>
      <c r="CY23" s="259">
        <v>0.1</v>
      </c>
      <c r="CZ23" s="259">
        <v>0.1</v>
      </c>
      <c r="DA23" s="259">
        <v>0.1</v>
      </c>
      <c r="DB23" s="259">
        <v>0.1</v>
      </c>
      <c r="DC23" s="259">
        <v>0.1</v>
      </c>
      <c r="DD23" s="259">
        <v>0.1</v>
      </c>
      <c r="DE23" s="259">
        <v>0.1</v>
      </c>
      <c r="DF23" s="259">
        <v>0.1</v>
      </c>
      <c r="DG23" s="259">
        <v>0.1</v>
      </c>
      <c r="DH23" s="259">
        <v>0.1</v>
      </c>
      <c r="DI23" s="259">
        <v>0.1</v>
      </c>
      <c r="DJ23" s="259">
        <v>0.1</v>
      </c>
      <c r="DK23" s="259">
        <v>0.1</v>
      </c>
      <c r="DL23" s="259">
        <v>0.1</v>
      </c>
      <c r="DM23" s="259">
        <v>0.1</v>
      </c>
      <c r="DN23" s="259">
        <v>0.1</v>
      </c>
      <c r="DO23" s="259">
        <v>0.1</v>
      </c>
      <c r="DP23" s="259">
        <v>0.1</v>
      </c>
      <c r="DQ23" s="259">
        <v>0.1</v>
      </c>
      <c r="DR23" s="259">
        <v>0.1</v>
      </c>
      <c r="DS23" s="259">
        <v>0.1</v>
      </c>
      <c r="DT23" s="259">
        <v>0.1</v>
      </c>
      <c r="DU23" s="259">
        <v>0.1</v>
      </c>
      <c r="DV23" s="259">
        <v>0.1</v>
      </c>
      <c r="DW23" s="259">
        <v>0.1</v>
      </c>
      <c r="DX23" s="259">
        <v>0.1</v>
      </c>
      <c r="DY23" s="259">
        <v>0.1</v>
      </c>
      <c r="DZ23" s="259">
        <v>0.1</v>
      </c>
      <c r="EA23" s="259">
        <v>0.1</v>
      </c>
      <c r="EB23" s="259">
        <v>0.1</v>
      </c>
      <c r="EC23" s="259">
        <v>0.1</v>
      </c>
      <c r="ED23" s="259">
        <v>0.1</v>
      </c>
      <c r="EE23" s="259">
        <v>0.1</v>
      </c>
      <c r="EF23" s="260">
        <v>0.1</v>
      </c>
      <c r="EJ23">
        <v>20</v>
      </c>
      <c r="EN23">
        <v>0.1</v>
      </c>
      <c r="EO23">
        <v>0.1</v>
      </c>
      <c r="EP23">
        <v>0.1</v>
      </c>
      <c r="EQ23">
        <v>0.1</v>
      </c>
      <c r="ER23">
        <v>0.1</v>
      </c>
      <c r="ES23">
        <v>0.1</v>
      </c>
      <c r="ET23">
        <v>0.1</v>
      </c>
      <c r="EU23">
        <v>0.1</v>
      </c>
      <c r="EV23">
        <v>0.1</v>
      </c>
      <c r="EW23">
        <v>0.1</v>
      </c>
      <c r="EX23">
        <v>0.1</v>
      </c>
      <c r="EY23">
        <v>0.1</v>
      </c>
      <c r="EZ23">
        <v>0.1</v>
      </c>
      <c r="FA23">
        <v>0.1</v>
      </c>
      <c r="FB23">
        <v>0.1</v>
      </c>
      <c r="FC23">
        <v>0.1</v>
      </c>
      <c r="FD23">
        <v>0.1</v>
      </c>
      <c r="FE23">
        <v>0.1</v>
      </c>
      <c r="FF23">
        <v>0.1</v>
      </c>
      <c r="FG23">
        <v>0.1</v>
      </c>
      <c r="FH23">
        <v>0.1</v>
      </c>
      <c r="FI23">
        <v>0.1</v>
      </c>
      <c r="FJ23">
        <v>0.1</v>
      </c>
      <c r="FK23">
        <v>0.1</v>
      </c>
      <c r="FL23">
        <v>0.1</v>
      </c>
      <c r="FM23">
        <v>0.1</v>
      </c>
      <c r="FN23">
        <v>0.1</v>
      </c>
      <c r="FO23">
        <v>0.1</v>
      </c>
      <c r="FP23">
        <v>0.1</v>
      </c>
      <c r="FQ23">
        <v>0.1</v>
      </c>
      <c r="FU23">
        <v>20</v>
      </c>
      <c r="FV23">
        <v>1.72</v>
      </c>
      <c r="FW23">
        <v>1.76</v>
      </c>
      <c r="FZ23">
        <v>0.34</v>
      </c>
      <c r="GB23" s="66">
        <v>0.1</v>
      </c>
      <c r="GC23" s="67">
        <v>0.1</v>
      </c>
      <c r="GD23" s="67">
        <v>0.1</v>
      </c>
      <c r="GE23" s="67">
        <v>0.1</v>
      </c>
      <c r="GF23" s="67">
        <v>0.1</v>
      </c>
      <c r="GG23" s="67">
        <v>0.1</v>
      </c>
      <c r="GH23" s="67">
        <v>0.1</v>
      </c>
      <c r="GI23" s="67">
        <v>0.1</v>
      </c>
      <c r="GJ23" s="67">
        <v>0.1</v>
      </c>
      <c r="GK23" s="67">
        <v>0.1</v>
      </c>
      <c r="GL23" s="67">
        <v>0.1</v>
      </c>
      <c r="GM23" s="67">
        <v>0.1</v>
      </c>
      <c r="GN23" s="67">
        <v>0.1</v>
      </c>
      <c r="GO23" s="67">
        <v>0.1</v>
      </c>
      <c r="GP23" s="67">
        <v>0.1</v>
      </c>
      <c r="GQ23" s="67">
        <v>0.1</v>
      </c>
      <c r="GR23" s="67">
        <v>0.1</v>
      </c>
      <c r="GS23" s="68">
        <v>0.1</v>
      </c>
      <c r="GT23" s="66">
        <v>0.1</v>
      </c>
      <c r="GU23" s="67">
        <v>0.1</v>
      </c>
      <c r="GV23" s="67">
        <v>0.1</v>
      </c>
      <c r="GW23" s="67">
        <v>0.1</v>
      </c>
      <c r="GX23" s="67">
        <v>0.1</v>
      </c>
      <c r="GY23" s="67">
        <v>0.1</v>
      </c>
      <c r="GZ23" s="67">
        <v>0.1</v>
      </c>
      <c r="HA23" s="67">
        <v>0.1</v>
      </c>
      <c r="HB23" s="67">
        <v>0.1</v>
      </c>
      <c r="HC23" s="67">
        <v>0.1</v>
      </c>
      <c r="HD23" s="67">
        <v>0.1</v>
      </c>
      <c r="HE23" s="67">
        <v>0.1</v>
      </c>
      <c r="HF23" s="67">
        <v>0.1</v>
      </c>
      <c r="HG23" s="67">
        <v>0.1</v>
      </c>
      <c r="HH23" s="67">
        <v>0.1</v>
      </c>
      <c r="HI23" s="67">
        <v>0.1</v>
      </c>
      <c r="HJ23" s="67">
        <v>0.1</v>
      </c>
      <c r="HK23" s="68">
        <v>0.1</v>
      </c>
      <c r="HL23" s="66">
        <v>0.1</v>
      </c>
      <c r="HM23" s="67">
        <v>0.1</v>
      </c>
      <c r="HN23" s="67">
        <v>0.1</v>
      </c>
      <c r="HO23" s="68">
        <v>0.1</v>
      </c>
    </row>
    <row r="24" spans="1:224" ht="15.75" thickBot="1" x14ac:dyDescent="0.3">
      <c r="A24">
        <v>21</v>
      </c>
      <c r="B24" s="268">
        <v>2.94</v>
      </c>
      <c r="C24" s="269">
        <v>2.91</v>
      </c>
      <c r="D24" s="2"/>
      <c r="E24" s="2"/>
      <c r="F24" s="2"/>
      <c r="G24" s="2"/>
      <c r="H24" s="258">
        <v>0.1</v>
      </c>
      <c r="I24" s="259">
        <v>0.1</v>
      </c>
      <c r="J24" s="259">
        <v>0.1</v>
      </c>
      <c r="K24" s="259">
        <v>0.1</v>
      </c>
      <c r="L24" s="259">
        <v>0.1</v>
      </c>
      <c r="M24" s="259">
        <v>0.1</v>
      </c>
      <c r="N24" s="259">
        <v>0.1</v>
      </c>
      <c r="O24" s="259">
        <v>0.1</v>
      </c>
      <c r="P24" s="259">
        <v>0.1</v>
      </c>
      <c r="Q24" s="259">
        <v>0.1</v>
      </c>
      <c r="R24" s="259">
        <v>0.1</v>
      </c>
      <c r="S24" s="259">
        <v>0.1</v>
      </c>
      <c r="T24" s="259">
        <v>0.1</v>
      </c>
      <c r="U24" s="259">
        <v>0.1</v>
      </c>
      <c r="V24" s="259">
        <v>0.1</v>
      </c>
      <c r="W24" s="259">
        <v>0.1</v>
      </c>
      <c r="X24" s="259">
        <v>0.1</v>
      </c>
      <c r="Y24" s="259">
        <v>0.1</v>
      </c>
      <c r="Z24" s="259">
        <v>0.1</v>
      </c>
      <c r="AA24" s="259">
        <v>0.1</v>
      </c>
      <c r="AB24" s="259">
        <v>0.1</v>
      </c>
      <c r="AC24" s="259">
        <v>0.1</v>
      </c>
      <c r="AD24" s="259">
        <v>0.1</v>
      </c>
      <c r="AE24" s="259">
        <v>0.1</v>
      </c>
      <c r="AF24" s="259">
        <v>0.1</v>
      </c>
      <c r="AG24" s="259">
        <v>0.1</v>
      </c>
      <c r="AH24" s="259">
        <v>0.1</v>
      </c>
      <c r="AI24" s="259">
        <v>0.1</v>
      </c>
      <c r="AJ24" s="259">
        <v>0.1</v>
      </c>
      <c r="AK24" s="260">
        <v>0.1</v>
      </c>
      <c r="AL24" s="258">
        <v>0.1</v>
      </c>
      <c r="AM24" s="259">
        <v>0.1</v>
      </c>
      <c r="AN24" s="259">
        <v>0.1</v>
      </c>
      <c r="AO24" s="259">
        <v>0.1</v>
      </c>
      <c r="AP24" s="259">
        <v>0.1</v>
      </c>
      <c r="AQ24" s="259">
        <v>0.1</v>
      </c>
      <c r="AR24" s="259">
        <v>0.1</v>
      </c>
      <c r="AS24" s="259">
        <v>0.1</v>
      </c>
      <c r="AT24" s="259">
        <v>0.1</v>
      </c>
      <c r="AU24" s="259">
        <v>0.1</v>
      </c>
      <c r="AV24" s="259">
        <v>0.1</v>
      </c>
      <c r="AW24" s="259">
        <v>0.1</v>
      </c>
      <c r="AX24" s="259">
        <v>0.1</v>
      </c>
      <c r="AY24" s="259">
        <v>0.1</v>
      </c>
      <c r="AZ24" s="259">
        <v>0.1</v>
      </c>
      <c r="BA24" s="259">
        <v>0.1</v>
      </c>
      <c r="BB24" s="259">
        <v>0.1</v>
      </c>
      <c r="BC24" s="259">
        <v>0.1</v>
      </c>
      <c r="BD24" s="259">
        <v>0.1</v>
      </c>
      <c r="BE24" s="259">
        <v>0.1</v>
      </c>
      <c r="BF24" s="259">
        <v>0.1</v>
      </c>
      <c r="BG24" s="259">
        <v>0.1</v>
      </c>
      <c r="BH24" s="259">
        <v>0.1</v>
      </c>
      <c r="BI24" s="259">
        <v>0.1</v>
      </c>
      <c r="BJ24" s="259">
        <v>0.1</v>
      </c>
      <c r="BK24" s="259">
        <v>0.1</v>
      </c>
      <c r="BL24" s="259">
        <v>0.1</v>
      </c>
      <c r="BM24" s="259">
        <v>0.1</v>
      </c>
      <c r="BN24" s="259">
        <v>0.1</v>
      </c>
      <c r="BO24" s="260">
        <v>0.1</v>
      </c>
      <c r="BS24">
        <v>21</v>
      </c>
      <c r="BT24" s="271" t="s">
        <v>1198</v>
      </c>
      <c r="BU24" s="2"/>
      <c r="BV24" s="2"/>
      <c r="BW24" s="2"/>
      <c r="BX24" s="2"/>
      <c r="BY24" s="258">
        <v>0.1</v>
      </c>
      <c r="BZ24" s="259">
        <v>0.1</v>
      </c>
      <c r="CA24" s="259">
        <v>0.1</v>
      </c>
      <c r="CB24" s="259">
        <v>0.1</v>
      </c>
      <c r="CC24" s="259">
        <v>0.1</v>
      </c>
      <c r="CD24" s="259">
        <v>0.1</v>
      </c>
      <c r="CE24" s="259">
        <v>0.1</v>
      </c>
      <c r="CF24" s="259">
        <v>0.1</v>
      </c>
      <c r="CG24" s="259">
        <v>0.1</v>
      </c>
      <c r="CH24" s="259">
        <v>0.1</v>
      </c>
      <c r="CI24" s="259">
        <v>0.1</v>
      </c>
      <c r="CJ24" s="259">
        <v>0.1</v>
      </c>
      <c r="CK24" s="259">
        <v>0.1</v>
      </c>
      <c r="CL24" s="259">
        <v>0.1</v>
      </c>
      <c r="CM24" s="259">
        <v>0.1</v>
      </c>
      <c r="CN24" s="259">
        <v>0.1</v>
      </c>
      <c r="CO24" s="259">
        <v>0.1</v>
      </c>
      <c r="CP24" s="259">
        <v>0.1</v>
      </c>
      <c r="CQ24" s="259">
        <v>0.1</v>
      </c>
      <c r="CR24" s="259">
        <v>0.1</v>
      </c>
      <c r="CS24" s="259">
        <v>0.1</v>
      </c>
      <c r="CT24" s="259">
        <v>0.1</v>
      </c>
      <c r="CU24" s="259">
        <v>0.1</v>
      </c>
      <c r="CV24" s="259">
        <v>0.1</v>
      </c>
      <c r="CW24" s="259">
        <v>0.1</v>
      </c>
      <c r="CX24" s="259">
        <v>0.1</v>
      </c>
      <c r="CY24" s="259">
        <v>0.1</v>
      </c>
      <c r="CZ24" s="259">
        <v>0.1</v>
      </c>
      <c r="DA24" s="259">
        <v>0.1</v>
      </c>
      <c r="DB24" s="259">
        <v>0.1</v>
      </c>
      <c r="DC24" s="259">
        <v>0.1</v>
      </c>
      <c r="DD24" s="259">
        <v>0.1</v>
      </c>
      <c r="DE24" s="259">
        <v>0.1</v>
      </c>
      <c r="DF24" s="259">
        <v>0.1</v>
      </c>
      <c r="DG24" s="259">
        <v>0.1</v>
      </c>
      <c r="DH24" s="259">
        <v>0.1</v>
      </c>
      <c r="DI24" s="259">
        <v>0.1</v>
      </c>
      <c r="DJ24" s="259">
        <v>0.1</v>
      </c>
      <c r="DK24" s="259">
        <v>0.1</v>
      </c>
      <c r="DL24" s="259">
        <v>0.1</v>
      </c>
      <c r="DM24" s="259">
        <v>0.1</v>
      </c>
      <c r="DN24" s="259">
        <v>0.1</v>
      </c>
      <c r="DO24" s="259">
        <v>0.1</v>
      </c>
      <c r="DP24" s="259">
        <v>0.1</v>
      </c>
      <c r="DQ24" s="259">
        <v>0.1</v>
      </c>
      <c r="DR24" s="259">
        <v>0.1</v>
      </c>
      <c r="DS24" s="259">
        <v>0.1</v>
      </c>
      <c r="DT24" s="259">
        <v>0.1</v>
      </c>
      <c r="DU24" s="259">
        <v>0.1</v>
      </c>
      <c r="DV24" s="259">
        <v>0.1</v>
      </c>
      <c r="DW24" s="259">
        <v>0.1</v>
      </c>
      <c r="DX24" s="259">
        <v>0.1</v>
      </c>
      <c r="DY24" s="259">
        <v>0.1</v>
      </c>
      <c r="DZ24" s="259">
        <v>0.1</v>
      </c>
      <c r="EA24" s="259">
        <v>0.1</v>
      </c>
      <c r="EB24" s="260">
        <v>0.1</v>
      </c>
      <c r="EC24">
        <v>0.1</v>
      </c>
      <c r="ED24">
        <v>0.1</v>
      </c>
      <c r="EE24">
        <v>0.1</v>
      </c>
      <c r="EF24">
        <v>0.1</v>
      </c>
      <c r="EG24">
        <f>SUM(EC24:EF24)</f>
        <v>0.4</v>
      </c>
      <c r="EJ24">
        <v>21</v>
      </c>
      <c r="EN24">
        <v>0.1</v>
      </c>
      <c r="EO24">
        <v>0.1</v>
      </c>
      <c r="EP24">
        <v>0.1</v>
      </c>
      <c r="EQ24">
        <v>0.1</v>
      </c>
      <c r="ER24">
        <v>0.1</v>
      </c>
      <c r="ES24">
        <v>0.1</v>
      </c>
      <c r="ET24">
        <v>0.1</v>
      </c>
      <c r="EU24">
        <v>0.1</v>
      </c>
      <c r="EV24">
        <v>0.1</v>
      </c>
      <c r="EW24">
        <v>0.1</v>
      </c>
      <c r="EX24">
        <v>0.1</v>
      </c>
      <c r="EY24">
        <v>0.1</v>
      </c>
      <c r="EZ24">
        <v>0.1</v>
      </c>
      <c r="FA24">
        <v>0.1</v>
      </c>
      <c r="FB24">
        <v>0.1</v>
      </c>
      <c r="FC24">
        <v>0.1</v>
      </c>
      <c r="FD24">
        <v>0.1</v>
      </c>
      <c r="FE24">
        <v>0.1</v>
      </c>
      <c r="FF24">
        <v>0.1</v>
      </c>
      <c r="FG24">
        <v>0.1</v>
      </c>
      <c r="FH24">
        <v>0.1</v>
      </c>
      <c r="FI24">
        <v>0.1</v>
      </c>
      <c r="FJ24">
        <v>0.1</v>
      </c>
      <c r="FK24">
        <v>0.1</v>
      </c>
      <c r="FL24">
        <v>0.1</v>
      </c>
      <c r="FM24">
        <v>0.1</v>
      </c>
      <c r="FN24">
        <v>0.1</v>
      </c>
      <c r="FO24">
        <v>0.1</v>
      </c>
      <c r="FP24">
        <v>0.1</v>
      </c>
      <c r="FQ24">
        <v>0.1</v>
      </c>
      <c r="FU24">
        <v>21</v>
      </c>
      <c r="FV24">
        <v>1.08</v>
      </c>
      <c r="FW24">
        <v>1.08</v>
      </c>
      <c r="FZ24">
        <v>1.1200000000000001</v>
      </c>
      <c r="GA24">
        <v>0.59</v>
      </c>
      <c r="GB24" s="66">
        <v>0.1</v>
      </c>
      <c r="GC24" s="67">
        <v>0.1</v>
      </c>
      <c r="GD24" s="67">
        <v>0.1</v>
      </c>
      <c r="GE24" s="67">
        <v>0.1</v>
      </c>
      <c r="GF24" s="67">
        <v>0.1</v>
      </c>
      <c r="GG24" s="67">
        <v>0.1</v>
      </c>
      <c r="GH24" s="67">
        <v>0.1</v>
      </c>
      <c r="GI24" s="67">
        <v>0.1</v>
      </c>
      <c r="GJ24" s="67">
        <v>0.1</v>
      </c>
      <c r="GK24" s="67">
        <v>0.1</v>
      </c>
      <c r="GL24" s="68">
        <v>0.1</v>
      </c>
      <c r="GM24" s="66">
        <v>0.1</v>
      </c>
      <c r="GN24" s="67">
        <v>0.1</v>
      </c>
      <c r="GO24" s="67">
        <v>0.1</v>
      </c>
      <c r="GP24" s="67">
        <v>0.1</v>
      </c>
      <c r="GQ24" s="67">
        <v>0.1</v>
      </c>
      <c r="GR24" s="67">
        <v>0.1</v>
      </c>
      <c r="GS24" s="67">
        <v>0.1</v>
      </c>
      <c r="GT24" s="67">
        <v>0.1</v>
      </c>
      <c r="GU24" s="67">
        <v>0.1</v>
      </c>
      <c r="GV24" s="67">
        <v>0.1</v>
      </c>
      <c r="GW24" s="68">
        <v>0.1</v>
      </c>
      <c r="GX24" s="66">
        <v>0.1</v>
      </c>
      <c r="GY24" s="67">
        <v>0.1</v>
      </c>
      <c r="GZ24" s="67">
        <v>0.1</v>
      </c>
      <c r="HA24" s="67">
        <v>0.1</v>
      </c>
      <c r="HB24" s="67">
        <v>0.1</v>
      </c>
      <c r="HC24" s="67">
        <v>0.1</v>
      </c>
      <c r="HD24" s="67">
        <v>0.1</v>
      </c>
      <c r="HE24" s="67">
        <v>0.1</v>
      </c>
      <c r="HF24" s="67">
        <v>0.1</v>
      </c>
      <c r="HG24" s="67">
        <v>0.1</v>
      </c>
      <c r="HH24" s="67">
        <v>0.1</v>
      </c>
      <c r="HI24" s="68">
        <v>0.1</v>
      </c>
      <c r="HJ24" s="66">
        <v>0.1</v>
      </c>
      <c r="HK24" s="67">
        <v>0.1</v>
      </c>
      <c r="HL24" s="67">
        <v>0.1</v>
      </c>
      <c r="HM24" s="67">
        <v>0.1</v>
      </c>
      <c r="HN24" s="67">
        <v>0.1</v>
      </c>
      <c r="HO24" s="68">
        <v>0.1</v>
      </c>
    </row>
    <row r="25" spans="1:224" ht="15.75" thickBot="1" x14ac:dyDescent="0.3">
      <c r="A25">
        <v>22</v>
      </c>
      <c r="B25" s="268" t="s">
        <v>1175</v>
      </c>
      <c r="C25" s="2"/>
      <c r="D25" s="2"/>
      <c r="E25" s="2"/>
      <c r="F25" s="2"/>
      <c r="G25" s="2"/>
      <c r="H25" s="258">
        <v>0.1</v>
      </c>
      <c r="I25" s="259">
        <v>0.1</v>
      </c>
      <c r="J25" s="259">
        <v>0.1</v>
      </c>
      <c r="K25" s="259">
        <v>0.1</v>
      </c>
      <c r="L25" s="259">
        <v>0.1</v>
      </c>
      <c r="M25" s="259">
        <v>0.1</v>
      </c>
      <c r="N25" s="259">
        <v>0.1</v>
      </c>
      <c r="O25" s="259">
        <v>0.1</v>
      </c>
      <c r="P25" s="259">
        <v>0.1</v>
      </c>
      <c r="Q25" s="259">
        <v>0.1</v>
      </c>
      <c r="R25" s="259">
        <v>0.1</v>
      </c>
      <c r="S25" s="259">
        <v>0.1</v>
      </c>
      <c r="T25" s="259">
        <v>0.1</v>
      </c>
      <c r="U25" s="259">
        <v>0.1</v>
      </c>
      <c r="V25" s="259">
        <v>0.1</v>
      </c>
      <c r="W25" s="259">
        <v>0.1</v>
      </c>
      <c r="X25" s="259">
        <v>0.1</v>
      </c>
      <c r="Y25" s="259">
        <v>0.1</v>
      </c>
      <c r="Z25" s="259">
        <v>0.1</v>
      </c>
      <c r="AA25" s="259">
        <v>0.1</v>
      </c>
      <c r="AB25" s="259">
        <v>0.1</v>
      </c>
      <c r="AC25" s="259">
        <v>0.1</v>
      </c>
      <c r="AD25" s="259">
        <v>0.1</v>
      </c>
      <c r="AE25" s="259">
        <v>0.1</v>
      </c>
      <c r="AF25" s="259">
        <v>0.1</v>
      </c>
      <c r="AG25" s="259">
        <v>0.1</v>
      </c>
      <c r="AH25" s="259">
        <v>0.1</v>
      </c>
      <c r="AI25" s="259">
        <v>0.1</v>
      </c>
      <c r="AJ25" s="259">
        <v>0.1</v>
      </c>
      <c r="AK25" s="259">
        <v>0.1</v>
      </c>
      <c r="AL25" s="259">
        <v>0.1</v>
      </c>
      <c r="AM25" s="259">
        <v>0.1</v>
      </c>
      <c r="AN25" s="259">
        <v>0.1</v>
      </c>
      <c r="AO25" s="259">
        <v>0.1</v>
      </c>
      <c r="AP25" s="259">
        <v>0.1</v>
      </c>
      <c r="AQ25" s="259">
        <v>0.1</v>
      </c>
      <c r="AR25" s="259">
        <v>0.1</v>
      </c>
      <c r="AS25" s="259">
        <v>0.1</v>
      </c>
      <c r="AT25" s="259">
        <v>0.1</v>
      </c>
      <c r="AU25" s="259">
        <v>0.1</v>
      </c>
      <c r="AV25" s="259">
        <v>0.1</v>
      </c>
      <c r="AW25" s="259">
        <v>0.1</v>
      </c>
      <c r="AX25" s="259">
        <v>0.1</v>
      </c>
      <c r="AY25" s="259">
        <v>0.1</v>
      </c>
      <c r="AZ25" s="259">
        <v>0.1</v>
      </c>
      <c r="BA25" s="259">
        <v>0.1</v>
      </c>
      <c r="BB25" s="259">
        <v>0.1</v>
      </c>
      <c r="BC25" s="259">
        <v>0.1</v>
      </c>
      <c r="BD25" s="259">
        <v>0.1</v>
      </c>
      <c r="BE25" s="259">
        <v>0.1</v>
      </c>
      <c r="BF25" s="259">
        <v>0.1</v>
      </c>
      <c r="BG25" s="259">
        <v>0.1</v>
      </c>
      <c r="BH25" s="259">
        <v>0.1</v>
      </c>
      <c r="BI25" s="259">
        <v>0.1</v>
      </c>
      <c r="BJ25" s="259">
        <v>0.1</v>
      </c>
      <c r="BK25" s="259">
        <v>0.1</v>
      </c>
      <c r="BL25" s="259">
        <v>0.1</v>
      </c>
      <c r="BM25" s="259">
        <v>0.1</v>
      </c>
      <c r="BN25" s="259">
        <v>0.1</v>
      </c>
      <c r="BO25" s="260">
        <v>0.1</v>
      </c>
      <c r="BS25">
        <v>22</v>
      </c>
      <c r="BT25" s="271" t="s">
        <v>1199</v>
      </c>
      <c r="BU25" s="2"/>
      <c r="BV25" s="2"/>
      <c r="BW25" s="2"/>
      <c r="BX25" s="2"/>
      <c r="BY25" s="258">
        <v>0.1</v>
      </c>
      <c r="BZ25" s="259">
        <v>0.1</v>
      </c>
      <c r="CA25" s="259">
        <v>0.1</v>
      </c>
      <c r="CB25" s="259">
        <v>0.1</v>
      </c>
      <c r="CC25" s="259">
        <v>0.1</v>
      </c>
      <c r="CD25" s="259">
        <v>0.1</v>
      </c>
      <c r="CE25" s="259">
        <v>0.1</v>
      </c>
      <c r="CF25" s="259">
        <v>0.1</v>
      </c>
      <c r="CG25" s="259">
        <v>0.1</v>
      </c>
      <c r="CH25" s="259">
        <v>0.1</v>
      </c>
      <c r="CI25" s="259">
        <v>0.1</v>
      </c>
      <c r="CJ25" s="259">
        <v>0.1</v>
      </c>
      <c r="CK25" s="259">
        <v>0.1</v>
      </c>
      <c r="CL25" s="259">
        <v>0.1</v>
      </c>
      <c r="CM25" s="259">
        <v>0.1</v>
      </c>
      <c r="CN25" s="259">
        <v>0.1</v>
      </c>
      <c r="CO25" s="259">
        <v>0.1</v>
      </c>
      <c r="CP25" s="259">
        <v>0.1</v>
      </c>
      <c r="CQ25" s="259">
        <v>0.1</v>
      </c>
      <c r="CR25" s="259">
        <v>0.1</v>
      </c>
      <c r="CS25" s="259">
        <v>0.1</v>
      </c>
      <c r="CT25" s="259">
        <v>0.1</v>
      </c>
      <c r="CU25" s="259">
        <v>0.1</v>
      </c>
      <c r="CV25" s="259">
        <v>0.1</v>
      </c>
      <c r="CW25" s="259">
        <v>0.1</v>
      </c>
      <c r="CX25" s="259">
        <v>0.1</v>
      </c>
      <c r="CY25" s="259">
        <v>0.1</v>
      </c>
      <c r="CZ25" s="259">
        <v>0.1</v>
      </c>
      <c r="DA25" s="259">
        <v>0.1</v>
      </c>
      <c r="DB25" s="259">
        <v>0.1</v>
      </c>
      <c r="DC25" s="259">
        <v>0.1</v>
      </c>
      <c r="DD25" s="259">
        <v>0.1</v>
      </c>
      <c r="DE25" s="259">
        <v>0.1</v>
      </c>
      <c r="DF25" s="259">
        <v>0.1</v>
      </c>
      <c r="DG25" s="259">
        <v>0.1</v>
      </c>
      <c r="DH25" s="259">
        <v>0.1</v>
      </c>
      <c r="DI25" s="259">
        <v>0.1</v>
      </c>
      <c r="DJ25" s="259">
        <v>0.1</v>
      </c>
      <c r="DK25" s="259">
        <v>0.1</v>
      </c>
      <c r="DL25" s="259">
        <v>0.1</v>
      </c>
      <c r="DM25" s="259">
        <v>0.1</v>
      </c>
      <c r="DN25" s="259">
        <v>0.1</v>
      </c>
      <c r="DO25" s="259">
        <v>0.1</v>
      </c>
      <c r="DP25" s="259">
        <v>0.1</v>
      </c>
      <c r="DQ25" s="259">
        <v>0.1</v>
      </c>
      <c r="DR25" s="259">
        <v>0.1</v>
      </c>
      <c r="DS25" s="259">
        <v>0.1</v>
      </c>
      <c r="DT25" s="259">
        <v>0.1</v>
      </c>
      <c r="DU25" s="259">
        <v>0.1</v>
      </c>
      <c r="DV25" s="259">
        <v>0.1</v>
      </c>
      <c r="DW25" s="259">
        <v>0.1</v>
      </c>
      <c r="DX25" s="259">
        <v>0.1</v>
      </c>
      <c r="DY25" s="259">
        <v>0.1</v>
      </c>
      <c r="DZ25" s="259">
        <v>0.1</v>
      </c>
      <c r="EA25" s="259">
        <v>0.1</v>
      </c>
      <c r="EB25" s="259">
        <v>0.1</v>
      </c>
      <c r="EC25" s="259">
        <v>0.1</v>
      </c>
      <c r="ED25" s="259">
        <v>0.1</v>
      </c>
      <c r="EE25" s="259">
        <v>0.1</v>
      </c>
      <c r="EF25" s="260">
        <v>0.1</v>
      </c>
      <c r="EJ25">
        <v>22</v>
      </c>
      <c r="EN25">
        <v>0.1</v>
      </c>
      <c r="EO25">
        <v>0.1</v>
      </c>
      <c r="EP25">
        <v>0.1</v>
      </c>
      <c r="EQ25">
        <v>0.1</v>
      </c>
      <c r="ER25">
        <v>0.1</v>
      </c>
      <c r="ES25">
        <v>0.1</v>
      </c>
      <c r="ET25">
        <v>0.1</v>
      </c>
      <c r="EU25">
        <v>0.1</v>
      </c>
      <c r="EV25">
        <v>0.1</v>
      </c>
      <c r="EW25">
        <v>0.1</v>
      </c>
      <c r="EX25">
        <v>0.1</v>
      </c>
      <c r="EY25">
        <v>0.1</v>
      </c>
      <c r="EZ25">
        <v>0.1</v>
      </c>
      <c r="FA25">
        <v>0.1</v>
      </c>
      <c r="FB25">
        <v>0.1</v>
      </c>
      <c r="FC25">
        <v>0.1</v>
      </c>
      <c r="FD25">
        <v>0.1</v>
      </c>
      <c r="FE25">
        <v>0.1</v>
      </c>
      <c r="FF25">
        <v>0.1</v>
      </c>
      <c r="FG25">
        <v>0.1</v>
      </c>
      <c r="FH25">
        <v>0.1</v>
      </c>
      <c r="FI25">
        <v>0.1</v>
      </c>
      <c r="FJ25">
        <v>0.1</v>
      </c>
      <c r="FK25">
        <v>0.1</v>
      </c>
      <c r="FL25">
        <v>0.1</v>
      </c>
      <c r="FM25">
        <v>0.1</v>
      </c>
      <c r="FN25">
        <v>0.1</v>
      </c>
      <c r="FO25">
        <v>0.1</v>
      </c>
      <c r="FP25">
        <v>0.1</v>
      </c>
      <c r="FQ25">
        <v>0.1</v>
      </c>
      <c r="FU25">
        <v>22</v>
      </c>
      <c r="FV25">
        <v>1.1200000000000001</v>
      </c>
      <c r="FW25">
        <v>1.2</v>
      </c>
      <c r="FZ25">
        <v>1.2</v>
      </c>
      <c r="GA25">
        <v>0.32</v>
      </c>
      <c r="GB25" s="66">
        <v>0.1</v>
      </c>
      <c r="GC25" s="67">
        <v>0.1</v>
      </c>
      <c r="GD25" s="67">
        <v>0.1</v>
      </c>
      <c r="GE25" s="67">
        <v>0.1</v>
      </c>
      <c r="GF25" s="67">
        <v>0.1</v>
      </c>
      <c r="GG25" s="67">
        <v>0.1</v>
      </c>
      <c r="GH25" s="67">
        <v>0.1</v>
      </c>
      <c r="GI25" s="67">
        <v>0.1</v>
      </c>
      <c r="GJ25" s="67">
        <v>0.1</v>
      </c>
      <c r="GK25" s="67">
        <v>0.1</v>
      </c>
      <c r="GL25" s="67">
        <v>0.1</v>
      </c>
      <c r="GM25" s="68">
        <v>0.1</v>
      </c>
      <c r="GN25" s="66">
        <v>0.1</v>
      </c>
      <c r="GO25" s="67">
        <v>0.1</v>
      </c>
      <c r="GP25" s="67">
        <v>0.1</v>
      </c>
      <c r="GQ25" s="67">
        <v>0.1</v>
      </c>
      <c r="GR25" s="67">
        <v>0.1</v>
      </c>
      <c r="GS25" s="67">
        <v>0.1</v>
      </c>
      <c r="GT25" s="67">
        <v>0.1</v>
      </c>
      <c r="GU25" s="67">
        <v>0.1</v>
      </c>
      <c r="GV25" s="67">
        <v>0.1</v>
      </c>
      <c r="GW25" s="67">
        <v>0.1</v>
      </c>
      <c r="GX25" s="67">
        <v>0.1</v>
      </c>
      <c r="GY25" s="68">
        <v>0.1</v>
      </c>
      <c r="GZ25" s="66">
        <v>0.1</v>
      </c>
      <c r="HA25" s="67">
        <v>0.1</v>
      </c>
      <c r="HB25" s="67">
        <v>0.1</v>
      </c>
      <c r="HC25" s="67">
        <v>0.1</v>
      </c>
      <c r="HD25" s="67">
        <v>0.1</v>
      </c>
      <c r="HE25" s="67">
        <v>0.1</v>
      </c>
      <c r="HF25" s="67">
        <v>0.1</v>
      </c>
      <c r="HG25" s="67">
        <v>0.1</v>
      </c>
      <c r="HH25" s="67">
        <v>0.1</v>
      </c>
      <c r="HI25" s="67">
        <v>0.1</v>
      </c>
      <c r="HJ25" s="73">
        <v>0.1</v>
      </c>
      <c r="HK25" s="72">
        <v>0.1</v>
      </c>
      <c r="HL25" s="66">
        <v>0.1</v>
      </c>
      <c r="HM25" s="67">
        <v>0.1</v>
      </c>
      <c r="HN25" s="67">
        <v>0.1</v>
      </c>
      <c r="HO25" s="68">
        <v>0.1</v>
      </c>
      <c r="HP25" s="75"/>
    </row>
    <row r="26" spans="1:224" ht="15.75" thickBot="1" x14ac:dyDescent="0.3">
      <c r="A26">
        <v>23</v>
      </c>
      <c r="B26" s="268" t="s">
        <v>1176</v>
      </c>
      <c r="C26" s="269">
        <v>1.51</v>
      </c>
      <c r="D26" s="2"/>
      <c r="E26" s="2"/>
      <c r="F26" s="2"/>
      <c r="G26" s="2"/>
      <c r="H26" s="258">
        <v>0.1</v>
      </c>
      <c r="I26" s="259">
        <v>0.1</v>
      </c>
      <c r="J26" s="259">
        <v>0.1</v>
      </c>
      <c r="K26" s="259">
        <v>0.1</v>
      </c>
      <c r="L26" s="259">
        <v>0.1</v>
      </c>
      <c r="M26" s="259">
        <v>0.1</v>
      </c>
      <c r="N26" s="259">
        <v>0.1</v>
      </c>
      <c r="O26" s="259">
        <v>0.1</v>
      </c>
      <c r="P26" s="259">
        <v>0.1</v>
      </c>
      <c r="Q26" s="259">
        <v>0.1</v>
      </c>
      <c r="R26" s="259">
        <v>0.1</v>
      </c>
      <c r="S26" s="259">
        <v>0.1</v>
      </c>
      <c r="T26" s="259">
        <v>0.1</v>
      </c>
      <c r="U26" s="259">
        <v>0.1</v>
      </c>
      <c r="V26" s="259">
        <v>0.1</v>
      </c>
      <c r="W26" s="259">
        <v>0.1</v>
      </c>
      <c r="X26" s="259">
        <v>0.1</v>
      </c>
      <c r="Y26" s="259">
        <v>0.1</v>
      </c>
      <c r="Z26" s="259">
        <v>0.1</v>
      </c>
      <c r="AA26" s="259">
        <v>0.1</v>
      </c>
      <c r="AB26" s="259">
        <v>0.1</v>
      </c>
      <c r="AC26" s="259">
        <v>0.1</v>
      </c>
      <c r="AD26" s="259">
        <v>0.1</v>
      </c>
      <c r="AE26" s="259">
        <v>0.1</v>
      </c>
      <c r="AF26" s="259">
        <v>0.1</v>
      </c>
      <c r="AG26" s="259">
        <v>0.1</v>
      </c>
      <c r="AH26" s="259">
        <v>0.1</v>
      </c>
      <c r="AI26" s="259">
        <v>0.1</v>
      </c>
      <c r="AJ26" s="259">
        <v>0.1</v>
      </c>
      <c r="AK26" s="259">
        <v>0.1</v>
      </c>
      <c r="AL26" s="259">
        <v>0.1</v>
      </c>
      <c r="AM26" s="259">
        <v>0.1</v>
      </c>
      <c r="AN26" s="259">
        <v>0.1</v>
      </c>
      <c r="AO26" s="259">
        <v>0.1</v>
      </c>
      <c r="AP26" s="259">
        <v>0.1</v>
      </c>
      <c r="AQ26" s="259">
        <v>0.1</v>
      </c>
      <c r="AR26" s="259">
        <v>0.1</v>
      </c>
      <c r="AS26" s="259">
        <v>0.1</v>
      </c>
      <c r="AT26" s="259">
        <v>0.1</v>
      </c>
      <c r="AU26" s="260">
        <v>0.1</v>
      </c>
      <c r="AV26" s="258">
        <v>0.1</v>
      </c>
      <c r="AW26" s="259">
        <v>0.1</v>
      </c>
      <c r="AX26" s="259">
        <v>0.1</v>
      </c>
      <c r="AY26" s="259">
        <v>0.1</v>
      </c>
      <c r="AZ26" s="259">
        <v>0.1</v>
      </c>
      <c r="BA26" s="259">
        <v>0.1</v>
      </c>
      <c r="BB26" s="259">
        <v>0.1</v>
      </c>
      <c r="BC26" s="259">
        <v>0.1</v>
      </c>
      <c r="BD26" s="259">
        <v>0.1</v>
      </c>
      <c r="BE26" s="259">
        <v>0.1</v>
      </c>
      <c r="BF26" s="259">
        <v>0.1</v>
      </c>
      <c r="BG26" s="259">
        <v>0.1</v>
      </c>
      <c r="BH26" s="259">
        <v>0.1</v>
      </c>
      <c r="BI26" s="259">
        <v>0.1</v>
      </c>
      <c r="BJ26" s="259">
        <v>0.1</v>
      </c>
      <c r="BK26" s="260">
        <v>0.1</v>
      </c>
      <c r="BL26">
        <v>0.1</v>
      </c>
      <c r="BM26">
        <v>0.1</v>
      </c>
      <c r="BN26">
        <v>0.1</v>
      </c>
      <c r="BO26">
        <v>0.1</v>
      </c>
      <c r="BP26">
        <f>SUM(BL26:BO26)</f>
        <v>0.4</v>
      </c>
      <c r="BS26">
        <v>23</v>
      </c>
      <c r="BT26" s="271" t="s">
        <v>1200</v>
      </c>
      <c r="BU26" s="271" t="s">
        <v>1200</v>
      </c>
      <c r="BV26" s="2"/>
      <c r="BW26" s="2"/>
      <c r="BX26" s="2"/>
      <c r="BY26" s="258">
        <v>0.1</v>
      </c>
      <c r="BZ26" s="259">
        <v>0.1</v>
      </c>
      <c r="CA26" s="259">
        <v>0.1</v>
      </c>
      <c r="CB26" s="259">
        <v>0.1</v>
      </c>
      <c r="CC26" s="259">
        <v>0.1</v>
      </c>
      <c r="CD26" s="259">
        <v>0.1</v>
      </c>
      <c r="CE26" s="259">
        <v>0.1</v>
      </c>
      <c r="CF26" s="259">
        <v>0.1</v>
      </c>
      <c r="CG26" s="259">
        <v>0.1</v>
      </c>
      <c r="CH26" s="259">
        <v>0.1</v>
      </c>
      <c r="CI26" s="259">
        <v>0.1</v>
      </c>
      <c r="CJ26" s="259">
        <v>0.1</v>
      </c>
      <c r="CK26" s="259">
        <v>0.1</v>
      </c>
      <c r="CL26" s="259">
        <v>0.1</v>
      </c>
      <c r="CM26" s="259">
        <v>0.1</v>
      </c>
      <c r="CN26" s="259">
        <v>0.1</v>
      </c>
      <c r="CO26" s="259">
        <v>0.1</v>
      </c>
      <c r="CP26" s="259">
        <v>0.1</v>
      </c>
      <c r="CQ26" s="259">
        <v>0.1</v>
      </c>
      <c r="CR26" s="259">
        <v>0.1</v>
      </c>
      <c r="CS26" s="259">
        <v>0.1</v>
      </c>
      <c r="CT26" s="259">
        <v>0.1</v>
      </c>
      <c r="CU26" s="259">
        <v>0.1</v>
      </c>
      <c r="CV26" s="259">
        <v>0.1</v>
      </c>
      <c r="CW26" s="259">
        <v>0.1</v>
      </c>
      <c r="CX26" s="259">
        <v>0.1</v>
      </c>
      <c r="CY26" s="259">
        <v>0.1</v>
      </c>
      <c r="CZ26" s="259">
        <v>0.1</v>
      </c>
      <c r="DA26" s="259">
        <v>0.1</v>
      </c>
      <c r="DB26" s="260">
        <v>0.1</v>
      </c>
      <c r="DC26" s="258">
        <v>0.1</v>
      </c>
      <c r="DD26" s="259">
        <v>0.1</v>
      </c>
      <c r="DE26" s="259">
        <v>0.1</v>
      </c>
      <c r="DF26" s="259">
        <v>0.1</v>
      </c>
      <c r="DG26" s="259">
        <v>0.1</v>
      </c>
      <c r="DH26" s="259">
        <v>0.1</v>
      </c>
      <c r="DI26" s="259">
        <v>0.1</v>
      </c>
      <c r="DJ26" s="259">
        <v>0.1</v>
      </c>
      <c r="DK26" s="259">
        <v>0.1</v>
      </c>
      <c r="DL26" s="259">
        <v>0.1</v>
      </c>
      <c r="DM26" s="259">
        <v>0.1</v>
      </c>
      <c r="DN26" s="259">
        <v>0.1</v>
      </c>
      <c r="DO26" s="259">
        <v>0.1</v>
      </c>
      <c r="DP26" s="259">
        <v>0.1</v>
      </c>
      <c r="DQ26" s="259">
        <v>0.1</v>
      </c>
      <c r="DR26" s="259">
        <v>0.1</v>
      </c>
      <c r="DS26" s="259">
        <v>0.1</v>
      </c>
      <c r="DT26" s="259">
        <v>0.1</v>
      </c>
      <c r="DU26" s="259">
        <v>0.1</v>
      </c>
      <c r="DV26" s="259">
        <v>0.1</v>
      </c>
      <c r="DW26" s="259">
        <v>0.1</v>
      </c>
      <c r="DX26" s="259">
        <v>0.1</v>
      </c>
      <c r="DY26" s="259">
        <v>0.1</v>
      </c>
      <c r="DZ26" s="259">
        <v>0.1</v>
      </c>
      <c r="EA26" s="259">
        <v>0.1</v>
      </c>
      <c r="EB26" s="259">
        <v>0.1</v>
      </c>
      <c r="EC26" s="259">
        <v>0.1</v>
      </c>
      <c r="ED26" s="259">
        <v>0.1</v>
      </c>
      <c r="EE26" s="260">
        <v>0.1</v>
      </c>
      <c r="EF26">
        <v>0.1</v>
      </c>
      <c r="EG26">
        <f>SUM(EF26)</f>
        <v>0.1</v>
      </c>
      <c r="EJ26">
        <v>23</v>
      </c>
      <c r="EN26">
        <v>0.1</v>
      </c>
      <c r="EO26">
        <v>0.1</v>
      </c>
      <c r="EP26">
        <v>0.1</v>
      </c>
      <c r="EQ26">
        <v>0.1</v>
      </c>
      <c r="ER26">
        <v>0.1</v>
      </c>
      <c r="ES26">
        <v>0.1</v>
      </c>
      <c r="ET26">
        <v>0.1</v>
      </c>
      <c r="EU26">
        <v>0.1</v>
      </c>
      <c r="EV26">
        <v>0.1</v>
      </c>
      <c r="EW26">
        <v>0.1</v>
      </c>
      <c r="EX26">
        <v>0.1</v>
      </c>
      <c r="EY26">
        <v>0.1</v>
      </c>
      <c r="EZ26">
        <v>0.1</v>
      </c>
      <c r="FA26">
        <v>0.1</v>
      </c>
      <c r="FB26">
        <v>0.1</v>
      </c>
      <c r="FC26">
        <v>0.1</v>
      </c>
      <c r="FD26">
        <v>0.1</v>
      </c>
      <c r="FE26">
        <v>0.1</v>
      </c>
      <c r="FF26">
        <v>0.1</v>
      </c>
      <c r="FG26">
        <v>0.1</v>
      </c>
      <c r="FH26">
        <v>0.1</v>
      </c>
      <c r="FI26">
        <v>0.1</v>
      </c>
      <c r="FJ26">
        <v>0.1</v>
      </c>
      <c r="FK26">
        <v>0.1</v>
      </c>
      <c r="FL26">
        <v>0.1</v>
      </c>
      <c r="FM26">
        <v>0.1</v>
      </c>
      <c r="FN26">
        <v>0.1</v>
      </c>
      <c r="FO26">
        <v>0.1</v>
      </c>
      <c r="FP26">
        <v>0.1</v>
      </c>
      <c r="FQ26">
        <v>0.1</v>
      </c>
      <c r="FU26">
        <v>23</v>
      </c>
      <c r="FV26">
        <v>1.24</v>
      </c>
      <c r="FW26">
        <v>1.24</v>
      </c>
      <c r="FZ26">
        <v>0.64</v>
      </c>
      <c r="GA26">
        <v>0.64</v>
      </c>
      <c r="GB26" s="66">
        <v>0.1</v>
      </c>
      <c r="GC26" s="67">
        <v>0.1</v>
      </c>
      <c r="GD26" s="67">
        <v>0.1</v>
      </c>
      <c r="GE26" s="67">
        <v>0.1</v>
      </c>
      <c r="GF26" s="67">
        <v>0.1</v>
      </c>
      <c r="GG26" s="67">
        <v>0.1</v>
      </c>
      <c r="GH26" s="67">
        <v>0.1</v>
      </c>
      <c r="GI26" s="67">
        <v>0.1</v>
      </c>
      <c r="GJ26" s="67">
        <v>0.1</v>
      </c>
      <c r="GK26" s="67">
        <v>0.1</v>
      </c>
      <c r="GL26" s="67">
        <v>0.1</v>
      </c>
      <c r="GM26" s="67">
        <v>0.1</v>
      </c>
      <c r="GN26" s="68">
        <v>0.1</v>
      </c>
      <c r="GO26" s="66">
        <v>0.1</v>
      </c>
      <c r="GP26" s="67">
        <v>0.1</v>
      </c>
      <c r="GQ26" s="67">
        <v>0.1</v>
      </c>
      <c r="GR26" s="67">
        <v>0.1</v>
      </c>
      <c r="GS26" s="67">
        <v>0.1</v>
      </c>
      <c r="GT26" s="67">
        <v>0.1</v>
      </c>
      <c r="GU26" s="67">
        <v>0.1</v>
      </c>
      <c r="GV26" s="67">
        <v>0.1</v>
      </c>
      <c r="GW26" s="67">
        <v>0.1</v>
      </c>
      <c r="GX26" s="67">
        <v>0.1</v>
      </c>
      <c r="GY26" s="67">
        <v>0.1</v>
      </c>
      <c r="GZ26" s="67">
        <v>0.1</v>
      </c>
      <c r="HA26" s="68">
        <v>0.1</v>
      </c>
      <c r="HB26" s="66">
        <v>0.1</v>
      </c>
      <c r="HC26" s="67">
        <v>0.1</v>
      </c>
      <c r="HD26" s="67">
        <v>0.1</v>
      </c>
      <c r="HE26" s="67">
        <v>0.1</v>
      </c>
      <c r="HF26" s="67">
        <v>0.1</v>
      </c>
      <c r="HG26" s="67">
        <v>0.1</v>
      </c>
      <c r="HH26" s="68">
        <v>0.1</v>
      </c>
      <c r="HI26" s="66">
        <v>0.1</v>
      </c>
      <c r="HJ26" s="67">
        <v>0.1</v>
      </c>
      <c r="HK26" s="67">
        <v>0.1</v>
      </c>
      <c r="HL26" s="67">
        <v>0.1</v>
      </c>
      <c r="HM26" s="67">
        <v>0.1</v>
      </c>
      <c r="HN26" s="67">
        <v>0.1</v>
      </c>
      <c r="HO26" s="68">
        <v>0.1</v>
      </c>
    </row>
    <row r="27" spans="1:224" ht="15.75" thickBot="1" x14ac:dyDescent="0.3">
      <c r="A27">
        <v>24</v>
      </c>
      <c r="B27" s="2">
        <v>1.49</v>
      </c>
      <c r="C27" s="2">
        <v>1.49</v>
      </c>
      <c r="D27" s="2">
        <v>1.49</v>
      </c>
      <c r="E27" s="2">
        <v>1.49</v>
      </c>
      <c r="F27" s="2"/>
      <c r="G27" s="2"/>
      <c r="H27" s="258">
        <v>0.1</v>
      </c>
      <c r="I27" s="259">
        <v>0.1</v>
      </c>
      <c r="J27" s="259">
        <v>0.1</v>
      </c>
      <c r="K27" s="259">
        <v>0.1</v>
      </c>
      <c r="L27" s="259">
        <v>0.1</v>
      </c>
      <c r="M27" s="259">
        <v>0.1</v>
      </c>
      <c r="N27" s="259">
        <v>0.1</v>
      </c>
      <c r="O27" s="259">
        <v>0.1</v>
      </c>
      <c r="P27" s="259">
        <v>0.1</v>
      </c>
      <c r="Q27" s="259">
        <v>0.1</v>
      </c>
      <c r="R27" s="259">
        <v>0.1</v>
      </c>
      <c r="S27" s="259">
        <v>0.1</v>
      </c>
      <c r="T27" s="259">
        <v>0.1</v>
      </c>
      <c r="U27" s="259">
        <v>0.1</v>
      </c>
      <c r="V27" s="260">
        <v>0.1</v>
      </c>
      <c r="W27" s="258">
        <v>0.1</v>
      </c>
      <c r="X27" s="259">
        <v>0.1</v>
      </c>
      <c r="Y27" s="259">
        <v>0.1</v>
      </c>
      <c r="Z27" s="259">
        <v>0.1</v>
      </c>
      <c r="AA27" s="259">
        <v>0.1</v>
      </c>
      <c r="AB27" s="259">
        <v>0.1</v>
      </c>
      <c r="AC27" s="259">
        <v>0.1</v>
      </c>
      <c r="AD27" s="259">
        <v>0.1</v>
      </c>
      <c r="AE27" s="259">
        <v>0.1</v>
      </c>
      <c r="AF27" s="259">
        <v>0.1</v>
      </c>
      <c r="AG27" s="259">
        <v>0.1</v>
      </c>
      <c r="AH27" s="259">
        <v>0.1</v>
      </c>
      <c r="AI27" s="259">
        <v>0.1</v>
      </c>
      <c r="AJ27" s="259">
        <v>0.1</v>
      </c>
      <c r="AK27" s="260">
        <v>0.1</v>
      </c>
      <c r="AL27" s="258">
        <v>0.1</v>
      </c>
      <c r="AM27" s="259">
        <v>0.1</v>
      </c>
      <c r="AN27" s="259">
        <v>0.1</v>
      </c>
      <c r="AO27" s="259">
        <v>0.1</v>
      </c>
      <c r="AP27" s="259">
        <v>0.1</v>
      </c>
      <c r="AQ27" s="259">
        <v>0.1</v>
      </c>
      <c r="AR27" s="259">
        <v>0.1</v>
      </c>
      <c r="AS27" s="259">
        <v>0.1</v>
      </c>
      <c r="AT27" s="259">
        <v>0.1</v>
      </c>
      <c r="AU27" s="259">
        <v>0.1</v>
      </c>
      <c r="AV27" s="259">
        <v>0.1</v>
      </c>
      <c r="AW27" s="259">
        <v>0.1</v>
      </c>
      <c r="AX27" s="259">
        <v>0.1</v>
      </c>
      <c r="AY27" s="259">
        <v>0.1</v>
      </c>
      <c r="AZ27" s="260">
        <v>0.1</v>
      </c>
      <c r="BA27" s="258">
        <v>0.1</v>
      </c>
      <c r="BB27" s="259">
        <v>0.1</v>
      </c>
      <c r="BC27" s="259">
        <v>0.1</v>
      </c>
      <c r="BD27" s="259">
        <v>0.1</v>
      </c>
      <c r="BE27" s="259">
        <v>0.1</v>
      </c>
      <c r="BF27" s="259">
        <v>0.1</v>
      </c>
      <c r="BG27" s="259">
        <v>0.1</v>
      </c>
      <c r="BH27" s="259">
        <v>0.1</v>
      </c>
      <c r="BI27" s="259">
        <v>0.1</v>
      </c>
      <c r="BJ27" s="259">
        <v>0.1</v>
      </c>
      <c r="BK27" s="259">
        <v>0.1</v>
      </c>
      <c r="BL27" s="259">
        <v>0.1</v>
      </c>
      <c r="BM27" s="259">
        <v>0.1</v>
      </c>
      <c r="BN27" s="259">
        <v>0.1</v>
      </c>
      <c r="BO27" s="260">
        <v>0.1</v>
      </c>
      <c r="BS27">
        <v>24</v>
      </c>
      <c r="BT27" s="271" t="s">
        <v>1199</v>
      </c>
      <c r="BU27" s="2"/>
      <c r="BV27" s="2"/>
      <c r="BW27" s="2"/>
      <c r="BX27" s="2"/>
      <c r="BY27" s="258">
        <v>0.1</v>
      </c>
      <c r="BZ27" s="259">
        <v>0.1</v>
      </c>
      <c r="CA27" s="259">
        <v>0.1</v>
      </c>
      <c r="CB27" s="259">
        <v>0.1</v>
      </c>
      <c r="CC27" s="259">
        <v>0.1</v>
      </c>
      <c r="CD27" s="259">
        <v>0.1</v>
      </c>
      <c r="CE27" s="259">
        <v>0.1</v>
      </c>
      <c r="CF27" s="259">
        <v>0.1</v>
      </c>
      <c r="CG27" s="259">
        <v>0.1</v>
      </c>
      <c r="CH27" s="259">
        <v>0.1</v>
      </c>
      <c r="CI27" s="259">
        <v>0.1</v>
      </c>
      <c r="CJ27" s="259">
        <v>0.1</v>
      </c>
      <c r="CK27" s="259">
        <v>0.1</v>
      </c>
      <c r="CL27" s="259">
        <v>0.1</v>
      </c>
      <c r="CM27" s="259">
        <v>0.1</v>
      </c>
      <c r="CN27" s="259">
        <v>0.1</v>
      </c>
      <c r="CO27" s="259">
        <v>0.1</v>
      </c>
      <c r="CP27" s="259">
        <v>0.1</v>
      </c>
      <c r="CQ27" s="259">
        <v>0.1</v>
      </c>
      <c r="CR27" s="259">
        <v>0.1</v>
      </c>
      <c r="CS27" s="259">
        <v>0.1</v>
      </c>
      <c r="CT27" s="259">
        <v>0.1</v>
      </c>
      <c r="CU27" s="259">
        <v>0.1</v>
      </c>
      <c r="CV27" s="259">
        <v>0.1</v>
      </c>
      <c r="CW27" s="259">
        <v>0.1</v>
      </c>
      <c r="CX27" s="259">
        <v>0.1</v>
      </c>
      <c r="CY27" s="259">
        <v>0.1</v>
      </c>
      <c r="CZ27" s="259">
        <v>0.1</v>
      </c>
      <c r="DA27" s="259">
        <v>0.1</v>
      </c>
      <c r="DB27" s="259">
        <v>0.1</v>
      </c>
      <c r="DC27" s="259">
        <v>0.1</v>
      </c>
      <c r="DD27" s="259">
        <v>0.1</v>
      </c>
      <c r="DE27" s="259">
        <v>0.1</v>
      </c>
      <c r="DF27" s="259">
        <v>0.1</v>
      </c>
      <c r="DG27" s="259">
        <v>0.1</v>
      </c>
      <c r="DH27" s="259">
        <v>0.1</v>
      </c>
      <c r="DI27" s="259">
        <v>0.1</v>
      </c>
      <c r="DJ27" s="259">
        <v>0.1</v>
      </c>
      <c r="DK27" s="259">
        <v>0.1</v>
      </c>
      <c r="DL27" s="259">
        <v>0.1</v>
      </c>
      <c r="DM27" s="259">
        <v>0.1</v>
      </c>
      <c r="DN27" s="259">
        <v>0.1</v>
      </c>
      <c r="DO27" s="259">
        <v>0.1</v>
      </c>
      <c r="DP27" s="259">
        <v>0.1</v>
      </c>
      <c r="DQ27" s="259">
        <v>0.1</v>
      </c>
      <c r="DR27" s="259">
        <v>0.1</v>
      </c>
      <c r="DS27" s="259">
        <v>0.1</v>
      </c>
      <c r="DT27" s="259">
        <v>0.1</v>
      </c>
      <c r="DU27" s="259">
        <v>0.1</v>
      </c>
      <c r="DV27" s="259">
        <v>0.1</v>
      </c>
      <c r="DW27" s="259">
        <v>0.1</v>
      </c>
      <c r="DX27" s="259">
        <v>0.1</v>
      </c>
      <c r="DY27" s="259">
        <v>0.1</v>
      </c>
      <c r="DZ27" s="259">
        <v>0.1</v>
      </c>
      <c r="EA27" s="259">
        <v>0.1</v>
      </c>
      <c r="EB27" s="259">
        <v>0.1</v>
      </c>
      <c r="EC27" s="259">
        <v>0.1</v>
      </c>
      <c r="ED27" s="259">
        <v>0.1</v>
      </c>
      <c r="EE27" s="259">
        <v>0.1</v>
      </c>
      <c r="EF27" s="260">
        <v>0.1</v>
      </c>
      <c r="EJ27">
        <v>24</v>
      </c>
      <c r="EN27">
        <v>0.1</v>
      </c>
      <c r="EO27">
        <v>0.1</v>
      </c>
      <c r="EP27">
        <v>0.1</v>
      </c>
      <c r="EQ27">
        <v>0.1</v>
      </c>
      <c r="ER27">
        <v>0.1</v>
      </c>
      <c r="ES27">
        <v>0.1</v>
      </c>
      <c r="ET27">
        <v>0.1</v>
      </c>
      <c r="EU27">
        <v>0.1</v>
      </c>
      <c r="EV27">
        <v>0.1</v>
      </c>
      <c r="EW27">
        <v>0.1</v>
      </c>
      <c r="EX27">
        <v>0.1</v>
      </c>
      <c r="EY27">
        <v>0.1</v>
      </c>
      <c r="EZ27">
        <v>0.1</v>
      </c>
      <c r="FA27">
        <v>0.1</v>
      </c>
      <c r="FB27">
        <v>0.1</v>
      </c>
      <c r="FC27">
        <v>0.1</v>
      </c>
      <c r="FD27">
        <v>0.1</v>
      </c>
      <c r="FE27">
        <v>0.1</v>
      </c>
      <c r="FF27">
        <v>0.1</v>
      </c>
      <c r="FG27">
        <v>0.1</v>
      </c>
      <c r="FH27">
        <v>0.1</v>
      </c>
      <c r="FI27">
        <v>0.1</v>
      </c>
      <c r="FJ27">
        <v>0.1</v>
      </c>
      <c r="FK27">
        <v>0.1</v>
      </c>
      <c r="FL27">
        <v>0.1</v>
      </c>
      <c r="FM27">
        <v>0.1</v>
      </c>
      <c r="FN27">
        <v>0.1</v>
      </c>
      <c r="FO27">
        <v>0.1</v>
      </c>
      <c r="FP27">
        <v>0.1</v>
      </c>
      <c r="FQ27">
        <v>0.1</v>
      </c>
      <c r="FU27">
        <v>24</v>
      </c>
      <c r="FV27">
        <v>0.66</v>
      </c>
      <c r="FW27">
        <v>0.66</v>
      </c>
      <c r="FX27">
        <v>0.66</v>
      </c>
      <c r="FY27">
        <v>0.66</v>
      </c>
      <c r="FZ27">
        <v>0.51</v>
      </c>
      <c r="GA27">
        <v>0.53</v>
      </c>
      <c r="GB27" s="66">
        <v>0.1</v>
      </c>
      <c r="GC27" s="67">
        <v>0.1</v>
      </c>
      <c r="GD27" s="67">
        <v>0.1</v>
      </c>
      <c r="GE27" s="67">
        <v>0.1</v>
      </c>
      <c r="GF27" s="67">
        <v>0.1</v>
      </c>
      <c r="GG27" s="67">
        <v>0.1</v>
      </c>
      <c r="GH27" s="68">
        <v>0.1</v>
      </c>
      <c r="GI27" s="66">
        <v>0.1</v>
      </c>
      <c r="GJ27" s="67">
        <v>0.1</v>
      </c>
      <c r="GK27" s="67">
        <v>0.1</v>
      </c>
      <c r="GL27" s="67">
        <v>0.1</v>
      </c>
      <c r="GM27" s="67">
        <v>0.1</v>
      </c>
      <c r="GN27" s="67">
        <v>0.1</v>
      </c>
      <c r="GO27" s="68">
        <v>0.1</v>
      </c>
      <c r="GP27" s="66">
        <v>0.1</v>
      </c>
      <c r="GQ27" s="67">
        <v>0.1</v>
      </c>
      <c r="GR27" s="67">
        <v>0.1</v>
      </c>
      <c r="GS27" s="67">
        <v>0.1</v>
      </c>
      <c r="GT27" s="67">
        <v>0.1</v>
      </c>
      <c r="GU27" s="67">
        <v>0.1</v>
      </c>
      <c r="GV27" s="68">
        <v>0.1</v>
      </c>
      <c r="GW27" s="66">
        <v>0.1</v>
      </c>
      <c r="GX27" s="67">
        <v>0.1</v>
      </c>
      <c r="GY27" s="67">
        <v>0.1</v>
      </c>
      <c r="GZ27" s="67">
        <v>0.1</v>
      </c>
      <c r="HA27" s="67">
        <v>0.1</v>
      </c>
      <c r="HB27" s="67">
        <v>0.1</v>
      </c>
      <c r="HC27" s="68">
        <v>0.1</v>
      </c>
      <c r="HD27" s="66">
        <v>0.1</v>
      </c>
      <c r="HE27" s="67">
        <v>0.1</v>
      </c>
      <c r="HF27" s="67">
        <v>0.1</v>
      </c>
      <c r="HG27" s="67">
        <v>0.1</v>
      </c>
      <c r="HH27" s="67">
        <v>0.1</v>
      </c>
      <c r="HI27" s="68">
        <v>0.1</v>
      </c>
      <c r="HJ27" s="66">
        <v>0.1</v>
      </c>
      <c r="HK27" s="67">
        <v>0.1</v>
      </c>
      <c r="HL27" s="67">
        <v>0.1</v>
      </c>
      <c r="HM27" s="67">
        <v>0.1</v>
      </c>
      <c r="HN27" s="67">
        <v>0.1</v>
      </c>
      <c r="HO27" s="68">
        <v>0.1</v>
      </c>
    </row>
    <row r="28" spans="1:224" ht="15.75" thickBot="1" x14ac:dyDescent="0.3">
      <c r="A28">
        <v>25</v>
      </c>
      <c r="B28" s="268" t="s">
        <v>1175</v>
      </c>
      <c r="C28" s="2"/>
      <c r="D28" s="2"/>
      <c r="E28" s="2"/>
      <c r="F28" s="2"/>
      <c r="G28" s="2"/>
      <c r="H28" s="258">
        <v>0.1</v>
      </c>
      <c r="I28" s="259">
        <v>0.1</v>
      </c>
      <c r="J28" s="259">
        <v>0.1</v>
      </c>
      <c r="K28" s="259">
        <v>0.1</v>
      </c>
      <c r="L28" s="259">
        <v>0.1</v>
      </c>
      <c r="M28" s="259">
        <v>0.1</v>
      </c>
      <c r="N28" s="259">
        <v>0.1</v>
      </c>
      <c r="O28" s="259">
        <v>0.1</v>
      </c>
      <c r="P28" s="259">
        <v>0.1</v>
      </c>
      <c r="Q28" s="259">
        <v>0.1</v>
      </c>
      <c r="R28" s="259">
        <v>0.1</v>
      </c>
      <c r="S28" s="259">
        <v>0.1</v>
      </c>
      <c r="T28" s="259">
        <v>0.1</v>
      </c>
      <c r="U28" s="259">
        <v>0.1</v>
      </c>
      <c r="V28" s="259">
        <v>0.1</v>
      </c>
      <c r="W28" s="259">
        <v>0.1</v>
      </c>
      <c r="X28" s="259">
        <v>0.1</v>
      </c>
      <c r="Y28" s="259">
        <v>0.1</v>
      </c>
      <c r="Z28" s="259">
        <v>0.1</v>
      </c>
      <c r="AA28" s="259">
        <v>0.1</v>
      </c>
      <c r="AB28" s="259">
        <v>0.1</v>
      </c>
      <c r="AC28" s="259">
        <v>0.1</v>
      </c>
      <c r="AD28" s="259">
        <v>0.1</v>
      </c>
      <c r="AE28" s="259">
        <v>0.1</v>
      </c>
      <c r="AF28" s="259">
        <v>0.1</v>
      </c>
      <c r="AG28" s="259">
        <v>0.1</v>
      </c>
      <c r="AH28" s="259">
        <v>0.1</v>
      </c>
      <c r="AI28" s="259">
        <v>0.1</v>
      </c>
      <c r="AJ28" s="259">
        <v>0.1</v>
      </c>
      <c r="AK28" s="259">
        <v>0.1</v>
      </c>
      <c r="AL28" s="259">
        <v>0.1</v>
      </c>
      <c r="AM28" s="259">
        <v>0.1</v>
      </c>
      <c r="AN28" s="259">
        <v>0.1</v>
      </c>
      <c r="AO28" s="259">
        <v>0.1</v>
      </c>
      <c r="AP28" s="259">
        <v>0.1</v>
      </c>
      <c r="AQ28" s="259">
        <v>0.1</v>
      </c>
      <c r="AR28" s="259">
        <v>0.1</v>
      </c>
      <c r="AS28" s="259">
        <v>0.1</v>
      </c>
      <c r="AT28" s="259">
        <v>0.1</v>
      </c>
      <c r="AU28" s="259">
        <v>0.1</v>
      </c>
      <c r="AV28" s="259">
        <v>0.1</v>
      </c>
      <c r="AW28" s="259">
        <v>0.1</v>
      </c>
      <c r="AX28" s="259">
        <v>0.1</v>
      </c>
      <c r="AY28" s="259">
        <v>0.1</v>
      </c>
      <c r="AZ28" s="259">
        <v>0.1</v>
      </c>
      <c r="BA28" s="259">
        <v>0.1</v>
      </c>
      <c r="BB28" s="259">
        <v>0.1</v>
      </c>
      <c r="BC28" s="259">
        <v>0.1</v>
      </c>
      <c r="BD28" s="259">
        <v>0.1</v>
      </c>
      <c r="BE28" s="259">
        <v>0.1</v>
      </c>
      <c r="BF28" s="259">
        <v>0.1</v>
      </c>
      <c r="BG28" s="259">
        <v>0.1</v>
      </c>
      <c r="BH28" s="259">
        <v>0.1</v>
      </c>
      <c r="BI28" s="259">
        <v>0.1</v>
      </c>
      <c r="BJ28" s="259">
        <v>0.1</v>
      </c>
      <c r="BK28" s="259">
        <v>0.1</v>
      </c>
      <c r="BL28" s="259">
        <v>0.1</v>
      </c>
      <c r="BM28" s="259">
        <v>0.1</v>
      </c>
      <c r="BN28" s="259">
        <v>0.1</v>
      </c>
      <c r="BO28" s="260">
        <v>0.1</v>
      </c>
      <c r="BS28">
        <v>25</v>
      </c>
      <c r="BT28" s="271" t="s">
        <v>1201</v>
      </c>
      <c r="BU28" s="2"/>
      <c r="BV28" s="2"/>
      <c r="BW28" s="2"/>
      <c r="BX28" s="2"/>
      <c r="BY28" s="258">
        <v>0.1</v>
      </c>
      <c r="BZ28" s="259">
        <v>0.1</v>
      </c>
      <c r="CA28" s="259">
        <v>0.1</v>
      </c>
      <c r="CB28" s="259">
        <v>0.1</v>
      </c>
      <c r="CC28" s="259">
        <v>0.1</v>
      </c>
      <c r="CD28" s="259">
        <v>0.1</v>
      </c>
      <c r="CE28" s="259">
        <v>0.1</v>
      </c>
      <c r="CF28" s="259">
        <v>0.1</v>
      </c>
      <c r="CG28" s="259">
        <v>0.1</v>
      </c>
      <c r="CH28" s="259">
        <v>0.1</v>
      </c>
      <c r="CI28" s="259">
        <v>0.1</v>
      </c>
      <c r="CJ28" s="259">
        <v>0.1</v>
      </c>
      <c r="CK28" s="259">
        <v>0.1</v>
      </c>
      <c r="CL28" s="259">
        <v>0.1</v>
      </c>
      <c r="CM28" s="259">
        <v>0.1</v>
      </c>
      <c r="CN28" s="259">
        <v>0.1</v>
      </c>
      <c r="CO28" s="259">
        <v>0.1</v>
      </c>
      <c r="CP28" s="259">
        <v>0.1</v>
      </c>
      <c r="CQ28" s="259">
        <v>0.1</v>
      </c>
      <c r="CR28" s="259">
        <v>0.1</v>
      </c>
      <c r="CS28" s="259">
        <v>0.1</v>
      </c>
      <c r="CT28" s="259">
        <v>0.1</v>
      </c>
      <c r="CU28" s="259">
        <v>0.1</v>
      </c>
      <c r="CV28" s="259">
        <v>0.1</v>
      </c>
      <c r="CW28" s="259">
        <v>0.1</v>
      </c>
      <c r="CX28" s="259">
        <v>0.1</v>
      </c>
      <c r="CY28" s="259">
        <v>0.1</v>
      </c>
      <c r="CZ28" s="259">
        <v>0.1</v>
      </c>
      <c r="DA28" s="259">
        <v>0.1</v>
      </c>
      <c r="DB28" s="259">
        <v>0.1</v>
      </c>
      <c r="DC28" s="259">
        <v>0.1</v>
      </c>
      <c r="DD28" s="259">
        <v>0.1</v>
      </c>
      <c r="DE28" s="259">
        <v>0.1</v>
      </c>
      <c r="DF28" s="259">
        <v>0.1</v>
      </c>
      <c r="DG28" s="259">
        <v>0.1</v>
      </c>
      <c r="DH28" s="259">
        <v>0.1</v>
      </c>
      <c r="DI28" s="259">
        <v>0.1</v>
      </c>
      <c r="DJ28" s="259">
        <v>0.1</v>
      </c>
      <c r="DK28" s="259">
        <v>0.1</v>
      </c>
      <c r="DL28" s="259">
        <v>0.1</v>
      </c>
      <c r="DM28" s="259">
        <v>0.1</v>
      </c>
      <c r="DN28" s="259">
        <v>0.1</v>
      </c>
      <c r="DO28" s="259">
        <v>0.1</v>
      </c>
      <c r="DP28" s="259">
        <v>0.1</v>
      </c>
      <c r="DQ28" s="259">
        <v>0.1</v>
      </c>
      <c r="DR28" s="259">
        <v>0.1</v>
      </c>
      <c r="DS28" s="259">
        <v>0.1</v>
      </c>
      <c r="DT28" s="259">
        <v>0.1</v>
      </c>
      <c r="DU28" s="259">
        <v>0.1</v>
      </c>
      <c r="DV28" s="259">
        <v>0.1</v>
      </c>
      <c r="DW28" s="259">
        <v>0.1</v>
      </c>
      <c r="DX28" s="259">
        <v>0.1</v>
      </c>
      <c r="DY28" s="259">
        <v>0.1</v>
      </c>
      <c r="DZ28" s="259">
        <v>0.1</v>
      </c>
      <c r="EA28" s="259">
        <v>0.1</v>
      </c>
      <c r="EB28" s="259">
        <v>0.1</v>
      </c>
      <c r="EC28" s="259">
        <v>0.1</v>
      </c>
      <c r="ED28" s="259">
        <v>0.1</v>
      </c>
      <c r="EE28" s="259">
        <v>0.1</v>
      </c>
      <c r="EF28" s="260">
        <v>0.1</v>
      </c>
      <c r="EJ28">
        <v>25</v>
      </c>
      <c r="EN28">
        <v>0.1</v>
      </c>
      <c r="EO28">
        <v>0.1</v>
      </c>
      <c r="EP28">
        <v>0.1</v>
      </c>
      <c r="EQ28">
        <v>0.1</v>
      </c>
      <c r="ER28">
        <v>0.1</v>
      </c>
      <c r="ES28">
        <v>0.1</v>
      </c>
      <c r="ET28">
        <v>0.1</v>
      </c>
      <c r="EU28">
        <v>0.1</v>
      </c>
      <c r="EV28">
        <v>0.1</v>
      </c>
      <c r="EW28">
        <v>0.1</v>
      </c>
      <c r="EX28">
        <v>0.1</v>
      </c>
      <c r="EY28">
        <v>0.1</v>
      </c>
      <c r="EZ28">
        <v>0.1</v>
      </c>
      <c r="FA28">
        <v>0.1</v>
      </c>
      <c r="FB28">
        <v>0.1</v>
      </c>
      <c r="FC28">
        <v>0.1</v>
      </c>
      <c r="FD28">
        <v>0.1</v>
      </c>
      <c r="FE28">
        <v>0.1</v>
      </c>
      <c r="FF28">
        <v>0.1</v>
      </c>
      <c r="FG28">
        <v>0.1</v>
      </c>
      <c r="FH28">
        <v>0.1</v>
      </c>
      <c r="FI28">
        <v>0.1</v>
      </c>
      <c r="FJ28">
        <v>0.1</v>
      </c>
      <c r="FK28">
        <v>0.1</v>
      </c>
      <c r="FL28">
        <v>0.1</v>
      </c>
      <c r="FM28">
        <v>0.1</v>
      </c>
      <c r="FN28">
        <v>0.1</v>
      </c>
      <c r="FO28">
        <v>0.1</v>
      </c>
      <c r="FP28">
        <v>0.1</v>
      </c>
      <c r="FQ28">
        <v>0.1</v>
      </c>
      <c r="FU28">
        <v>25</v>
      </c>
      <c r="FV28">
        <v>0.7</v>
      </c>
      <c r="FW28">
        <v>0.7</v>
      </c>
      <c r="FX28">
        <v>0.68</v>
      </c>
      <c r="FY28">
        <v>0.68</v>
      </c>
      <c r="FZ28">
        <v>0.68</v>
      </c>
      <c r="GA28">
        <v>0.49</v>
      </c>
      <c r="GB28" s="66">
        <v>0.1</v>
      </c>
      <c r="GC28" s="67">
        <v>0.1</v>
      </c>
      <c r="GD28" s="67">
        <v>0.1</v>
      </c>
      <c r="GE28" s="67">
        <v>0.1</v>
      </c>
      <c r="GF28" s="67">
        <v>0.1</v>
      </c>
      <c r="GG28" s="67">
        <v>0.1</v>
      </c>
      <c r="GH28" s="68">
        <v>0.1</v>
      </c>
      <c r="GI28" s="66">
        <v>0.1</v>
      </c>
      <c r="GJ28" s="67">
        <v>0.1</v>
      </c>
      <c r="GK28" s="67">
        <v>0.1</v>
      </c>
      <c r="GL28" s="67">
        <v>0.1</v>
      </c>
      <c r="GM28" s="67">
        <v>0.1</v>
      </c>
      <c r="GN28" s="67">
        <v>0.1</v>
      </c>
      <c r="GO28" s="68">
        <v>0.1</v>
      </c>
      <c r="GP28" s="66">
        <v>0.1</v>
      </c>
      <c r="GQ28" s="67">
        <v>0.1</v>
      </c>
      <c r="GR28" s="67">
        <v>0.1</v>
      </c>
      <c r="GS28" s="67">
        <v>0.1</v>
      </c>
      <c r="GT28" s="67">
        <v>0.1</v>
      </c>
      <c r="GU28" s="67">
        <v>0.1</v>
      </c>
      <c r="GV28" s="68">
        <v>0.1</v>
      </c>
      <c r="GW28" s="66">
        <v>0.1</v>
      </c>
      <c r="GX28" s="67">
        <v>0.1</v>
      </c>
      <c r="GY28" s="67">
        <v>0.1</v>
      </c>
      <c r="GZ28" s="67">
        <v>0.1</v>
      </c>
      <c r="HA28" s="67">
        <v>0.1</v>
      </c>
      <c r="HB28" s="67">
        <v>0.1</v>
      </c>
      <c r="HC28" s="68">
        <v>0.1</v>
      </c>
      <c r="HD28" s="66">
        <v>0.1</v>
      </c>
      <c r="HE28" s="67">
        <v>0.1</v>
      </c>
      <c r="HF28" s="67">
        <v>0.1</v>
      </c>
      <c r="HG28" s="67">
        <v>0.1</v>
      </c>
      <c r="HH28" s="67">
        <v>0.1</v>
      </c>
      <c r="HI28" s="67">
        <v>0.1</v>
      </c>
      <c r="HJ28" s="68">
        <v>0.1</v>
      </c>
      <c r="HK28" s="66">
        <v>0.1</v>
      </c>
      <c r="HL28" s="67">
        <v>0.1</v>
      </c>
      <c r="HM28" s="67">
        <v>0.1</v>
      </c>
      <c r="HN28" s="67">
        <v>0.1</v>
      </c>
      <c r="HO28" s="68">
        <v>0.1</v>
      </c>
    </row>
    <row r="29" spans="1:224" ht="15.75" thickBot="1" x14ac:dyDescent="0.3">
      <c r="A29">
        <v>26</v>
      </c>
      <c r="B29" s="268" t="s">
        <v>1176</v>
      </c>
      <c r="C29" s="268">
        <v>1.51</v>
      </c>
      <c r="D29" s="2"/>
      <c r="E29" s="2"/>
      <c r="F29" s="2"/>
      <c r="G29" s="2"/>
      <c r="H29" s="261">
        <v>0.1</v>
      </c>
      <c r="I29" s="262">
        <v>0.1</v>
      </c>
      <c r="J29" s="262">
        <v>0.1</v>
      </c>
      <c r="K29" s="262">
        <v>0.1</v>
      </c>
      <c r="L29" s="262">
        <v>0.1</v>
      </c>
      <c r="M29" s="262">
        <v>0.1</v>
      </c>
      <c r="N29" s="262">
        <v>0.1</v>
      </c>
      <c r="O29" s="262">
        <v>0.1</v>
      </c>
      <c r="P29" s="262">
        <v>0.1</v>
      </c>
      <c r="Q29" s="262">
        <v>0.1</v>
      </c>
      <c r="R29" s="262">
        <v>0.1</v>
      </c>
      <c r="S29" s="262">
        <v>0.1</v>
      </c>
      <c r="T29" s="262">
        <v>0.1</v>
      </c>
      <c r="U29" s="262">
        <v>0.1</v>
      </c>
      <c r="V29" s="262">
        <v>0.1</v>
      </c>
      <c r="W29" s="262">
        <v>0.1</v>
      </c>
      <c r="X29" s="262">
        <v>0.1</v>
      </c>
      <c r="Y29" s="262">
        <v>0.1</v>
      </c>
      <c r="Z29" s="262">
        <v>0.1</v>
      </c>
      <c r="AA29" s="262">
        <v>0.1</v>
      </c>
      <c r="AB29" s="262">
        <v>0.1</v>
      </c>
      <c r="AC29" s="262">
        <v>0.1</v>
      </c>
      <c r="AD29" s="262">
        <v>0.1</v>
      </c>
      <c r="AE29" s="262">
        <v>0.1</v>
      </c>
      <c r="AF29" s="262">
        <v>0.1</v>
      </c>
      <c r="AG29" s="262">
        <v>0.1</v>
      </c>
      <c r="AH29" s="262">
        <v>0.1</v>
      </c>
      <c r="AI29" s="262">
        <v>0.1</v>
      </c>
      <c r="AJ29" s="262">
        <v>0.1</v>
      </c>
      <c r="AK29" s="262">
        <v>0.1</v>
      </c>
      <c r="AL29" s="262">
        <v>0.1</v>
      </c>
      <c r="AM29" s="262">
        <v>0.1</v>
      </c>
      <c r="AN29" s="262">
        <v>0.1</v>
      </c>
      <c r="AO29" s="262">
        <v>0.1</v>
      </c>
      <c r="AP29" s="262">
        <v>0.1</v>
      </c>
      <c r="AQ29" s="262">
        <v>0.1</v>
      </c>
      <c r="AR29" s="262">
        <v>0.1</v>
      </c>
      <c r="AS29" s="262">
        <v>0.1</v>
      </c>
      <c r="AT29" s="262">
        <v>0.1</v>
      </c>
      <c r="AU29" s="263">
        <v>0.1</v>
      </c>
      <c r="AV29" s="258">
        <v>0.1</v>
      </c>
      <c r="AW29" s="259">
        <v>0.1</v>
      </c>
      <c r="AX29" s="259">
        <v>0.1</v>
      </c>
      <c r="AY29" s="259">
        <v>0.1</v>
      </c>
      <c r="AZ29" s="259">
        <v>0.1</v>
      </c>
      <c r="BA29" s="259">
        <v>0.1</v>
      </c>
      <c r="BB29" s="259">
        <v>0.1</v>
      </c>
      <c r="BC29" s="259">
        <v>0.1</v>
      </c>
      <c r="BD29" s="259">
        <v>0.1</v>
      </c>
      <c r="BE29" s="259">
        <v>0.1</v>
      </c>
      <c r="BF29" s="259">
        <v>0.1</v>
      </c>
      <c r="BG29" s="259">
        <v>0.1</v>
      </c>
      <c r="BH29" s="259">
        <v>0.1</v>
      </c>
      <c r="BI29" s="259">
        <v>0.1</v>
      </c>
      <c r="BJ29" s="259">
        <v>0.1</v>
      </c>
      <c r="BK29" s="260">
        <v>0.1</v>
      </c>
      <c r="BL29">
        <v>0.1</v>
      </c>
      <c r="BM29">
        <v>0.1</v>
      </c>
      <c r="BN29">
        <v>0.1</v>
      </c>
      <c r="BO29">
        <v>0.1</v>
      </c>
      <c r="BP29">
        <f>SUM(BL29:BO29)</f>
        <v>0.4</v>
      </c>
      <c r="BS29">
        <v>26</v>
      </c>
      <c r="BT29" s="271" t="s">
        <v>1202</v>
      </c>
      <c r="BU29" s="270" t="s">
        <v>1204</v>
      </c>
      <c r="BV29" s="271">
        <v>1.05</v>
      </c>
      <c r="BW29" s="2"/>
      <c r="BX29" s="2"/>
      <c r="BY29" s="258">
        <v>0.1</v>
      </c>
      <c r="BZ29" s="259">
        <v>0.1</v>
      </c>
      <c r="CA29" s="259">
        <v>0.1</v>
      </c>
      <c r="CB29" s="259">
        <v>0.1</v>
      </c>
      <c r="CC29" s="259">
        <v>0.1</v>
      </c>
      <c r="CD29" s="259">
        <v>0.1</v>
      </c>
      <c r="CE29" s="259">
        <v>0.1</v>
      </c>
      <c r="CF29" s="259">
        <v>0.1</v>
      </c>
      <c r="CG29" s="259">
        <v>0.1</v>
      </c>
      <c r="CH29" s="259">
        <v>0.1</v>
      </c>
      <c r="CI29" s="259">
        <v>0.1</v>
      </c>
      <c r="CJ29" s="259">
        <v>0.1</v>
      </c>
      <c r="CK29" s="259">
        <v>0.1</v>
      </c>
      <c r="CL29" s="259">
        <v>0.1</v>
      </c>
      <c r="CM29" s="259">
        <v>0.1</v>
      </c>
      <c r="CN29" s="259">
        <v>0.1</v>
      </c>
      <c r="CO29" s="259">
        <v>0.1</v>
      </c>
      <c r="CP29" s="259">
        <v>0.1</v>
      </c>
      <c r="CQ29" s="259">
        <v>0.1</v>
      </c>
      <c r="CR29" s="259">
        <v>0.1</v>
      </c>
      <c r="CS29" s="259">
        <v>0.1</v>
      </c>
      <c r="CT29" s="259">
        <v>0.1</v>
      </c>
      <c r="CU29" s="259">
        <v>0.1</v>
      </c>
      <c r="CV29" s="259">
        <v>0.1</v>
      </c>
      <c r="CW29" s="260">
        <v>0.1</v>
      </c>
      <c r="CX29" s="258">
        <v>0.1</v>
      </c>
      <c r="CY29" s="259">
        <v>0.1</v>
      </c>
      <c r="CZ29" s="259">
        <v>0.1</v>
      </c>
      <c r="DA29" s="259">
        <v>0.1</v>
      </c>
      <c r="DB29" s="259">
        <v>0.1</v>
      </c>
      <c r="DC29" s="259">
        <v>0.1</v>
      </c>
      <c r="DD29" s="259">
        <v>0.1</v>
      </c>
      <c r="DE29" s="259">
        <v>0.1</v>
      </c>
      <c r="DF29" s="259">
        <v>0.1</v>
      </c>
      <c r="DG29" s="259">
        <v>0.1</v>
      </c>
      <c r="DH29" s="259">
        <v>0.1</v>
      </c>
      <c r="DI29" s="259">
        <v>0.1</v>
      </c>
      <c r="DJ29" s="259">
        <v>0.1</v>
      </c>
      <c r="DK29" s="259">
        <v>0.1</v>
      </c>
      <c r="DL29" s="259">
        <v>0.1</v>
      </c>
      <c r="DM29" s="259">
        <v>0.1</v>
      </c>
      <c r="DN29" s="259">
        <v>0.1</v>
      </c>
      <c r="DO29" s="259">
        <v>0.1</v>
      </c>
      <c r="DP29" s="259">
        <v>0.1</v>
      </c>
      <c r="DQ29" s="259">
        <v>0.1</v>
      </c>
      <c r="DR29" s="259">
        <v>0.1</v>
      </c>
      <c r="DS29" s="259">
        <v>0.1</v>
      </c>
      <c r="DT29" s="260">
        <v>0.1</v>
      </c>
      <c r="DU29" s="258">
        <v>0.1</v>
      </c>
      <c r="DV29" s="259">
        <v>0.1</v>
      </c>
      <c r="DW29" s="259">
        <v>0.1</v>
      </c>
      <c r="DX29" s="259">
        <v>0.1</v>
      </c>
      <c r="DY29" s="259">
        <v>0.1</v>
      </c>
      <c r="DZ29" s="259">
        <v>0.1</v>
      </c>
      <c r="EA29" s="259">
        <v>0.1</v>
      </c>
      <c r="EB29" s="259">
        <v>0.1</v>
      </c>
      <c r="EC29" s="259">
        <v>0.1</v>
      </c>
      <c r="ED29" s="259">
        <v>0.1</v>
      </c>
      <c r="EE29" s="260">
        <v>0.1</v>
      </c>
      <c r="EF29">
        <v>0.1</v>
      </c>
      <c r="EG29">
        <f>SUM(EF29)</f>
        <v>0.1</v>
      </c>
      <c r="EJ29">
        <v>26</v>
      </c>
      <c r="EN29">
        <v>0.1</v>
      </c>
      <c r="EO29">
        <v>0.1</v>
      </c>
      <c r="EP29">
        <v>0.1</v>
      </c>
      <c r="EQ29">
        <v>0.1</v>
      </c>
      <c r="ER29">
        <v>0.1</v>
      </c>
      <c r="ES29">
        <v>0.1</v>
      </c>
      <c r="ET29">
        <v>0.1</v>
      </c>
      <c r="EU29">
        <v>0.1</v>
      </c>
      <c r="EV29">
        <v>0.1</v>
      </c>
      <c r="EW29">
        <v>0.1</v>
      </c>
      <c r="EX29">
        <v>0.1</v>
      </c>
      <c r="EY29">
        <v>0.1</v>
      </c>
      <c r="EZ29">
        <v>0.1</v>
      </c>
      <c r="FA29">
        <v>0.1</v>
      </c>
      <c r="FB29">
        <v>0.1</v>
      </c>
      <c r="FC29">
        <v>0.1</v>
      </c>
      <c r="FD29">
        <v>0.1</v>
      </c>
      <c r="FE29">
        <v>0.1</v>
      </c>
      <c r="FF29">
        <v>0.1</v>
      </c>
      <c r="FG29">
        <v>0.1</v>
      </c>
      <c r="FH29">
        <v>0.1</v>
      </c>
      <c r="FI29">
        <v>0.1</v>
      </c>
      <c r="FJ29">
        <v>0.1</v>
      </c>
      <c r="FK29">
        <v>0.1</v>
      </c>
      <c r="FL29">
        <v>0.1</v>
      </c>
      <c r="FM29">
        <v>0.1</v>
      </c>
      <c r="FN29">
        <v>0.1</v>
      </c>
      <c r="FO29">
        <v>0.1</v>
      </c>
      <c r="FP29">
        <v>0.1</v>
      </c>
      <c r="FQ29">
        <v>0.1</v>
      </c>
      <c r="FU29">
        <v>26</v>
      </c>
      <c r="FV29">
        <v>0.72</v>
      </c>
      <c r="FW29">
        <v>0.72</v>
      </c>
      <c r="FX29">
        <v>0.72</v>
      </c>
      <c r="FY29">
        <v>0.72</v>
      </c>
      <c r="FZ29">
        <v>0.78</v>
      </c>
      <c r="GB29" s="66">
        <v>0.1</v>
      </c>
      <c r="GC29" s="67">
        <v>0.1</v>
      </c>
      <c r="GD29" s="67">
        <v>0.1</v>
      </c>
      <c r="GE29" s="67">
        <v>0.1</v>
      </c>
      <c r="GF29" s="67">
        <v>0.1</v>
      </c>
      <c r="GG29" s="67">
        <v>0.1</v>
      </c>
      <c r="GH29" s="67">
        <v>0.1</v>
      </c>
      <c r="GI29" s="68">
        <v>0.1</v>
      </c>
      <c r="GJ29" s="66">
        <v>0.1</v>
      </c>
      <c r="GK29" s="67">
        <v>0.1</v>
      </c>
      <c r="GL29" s="67">
        <v>0.1</v>
      </c>
      <c r="GM29" s="67">
        <v>0.1</v>
      </c>
      <c r="GN29" s="67">
        <v>0.1</v>
      </c>
      <c r="GO29" s="67">
        <v>0.1</v>
      </c>
      <c r="GP29" s="67">
        <v>0.1</v>
      </c>
      <c r="GQ29" s="68">
        <v>0.1</v>
      </c>
      <c r="GR29" s="66">
        <v>0.1</v>
      </c>
      <c r="GS29" s="67">
        <v>0.1</v>
      </c>
      <c r="GT29" s="67">
        <v>0.1</v>
      </c>
      <c r="GU29" s="67">
        <v>0.1</v>
      </c>
      <c r="GV29" s="67">
        <v>0.1</v>
      </c>
      <c r="GW29" s="67">
        <v>0.1</v>
      </c>
      <c r="GX29" s="67">
        <v>0.1</v>
      </c>
      <c r="GY29" s="68">
        <v>0.1</v>
      </c>
      <c r="GZ29" s="66">
        <v>0.1</v>
      </c>
      <c r="HA29" s="67">
        <v>0.1</v>
      </c>
      <c r="HB29" s="67">
        <v>0.1</v>
      </c>
      <c r="HC29" s="67">
        <v>0.1</v>
      </c>
      <c r="HD29" s="67">
        <v>0.1</v>
      </c>
      <c r="HE29" s="67">
        <v>0.1</v>
      </c>
      <c r="HF29" s="67">
        <v>0.1</v>
      </c>
      <c r="HG29" s="68">
        <v>0.1</v>
      </c>
      <c r="HH29" s="66">
        <v>0.1</v>
      </c>
      <c r="HI29" s="67">
        <v>0.1</v>
      </c>
      <c r="HJ29" s="67">
        <v>0.1</v>
      </c>
      <c r="HK29" s="67">
        <v>0.1</v>
      </c>
      <c r="HL29" s="67">
        <v>0.1</v>
      </c>
      <c r="HM29" s="67">
        <v>0.1</v>
      </c>
      <c r="HN29" s="67">
        <v>0.1</v>
      </c>
      <c r="HO29" s="68">
        <v>0.1</v>
      </c>
    </row>
    <row r="30" spans="1:224" ht="15.75" thickBot="1" x14ac:dyDescent="0.3">
      <c r="A30">
        <v>27</v>
      </c>
      <c r="B30" s="269" t="s">
        <v>1177</v>
      </c>
      <c r="C30" s="2"/>
      <c r="D30" s="2"/>
      <c r="E30" s="2"/>
      <c r="F30" s="2"/>
      <c r="G30" s="2"/>
      <c r="H30" s="258">
        <v>0.1</v>
      </c>
      <c r="I30" s="259">
        <v>0.1</v>
      </c>
      <c r="J30" s="259">
        <v>0.1</v>
      </c>
      <c r="K30" s="259">
        <v>0.1</v>
      </c>
      <c r="L30" s="259">
        <v>0.1</v>
      </c>
      <c r="M30" s="259">
        <v>0.1</v>
      </c>
      <c r="N30" s="259">
        <v>0.1</v>
      </c>
      <c r="O30" s="259">
        <v>0.1</v>
      </c>
      <c r="P30" s="259">
        <v>0.1</v>
      </c>
      <c r="Q30" s="259">
        <v>0.1</v>
      </c>
      <c r="R30" s="259">
        <v>0.1</v>
      </c>
      <c r="S30" s="259">
        <v>0.1</v>
      </c>
      <c r="T30" s="259">
        <v>0.1</v>
      </c>
      <c r="U30" s="259">
        <v>0.1</v>
      </c>
      <c r="V30" s="259">
        <v>0.1</v>
      </c>
      <c r="W30" s="259">
        <v>0.1</v>
      </c>
      <c r="X30" s="259">
        <v>0.1</v>
      </c>
      <c r="Y30" s="259">
        <v>0.1</v>
      </c>
      <c r="Z30" s="259">
        <v>0.1</v>
      </c>
      <c r="AA30" s="259">
        <v>0.1</v>
      </c>
      <c r="AB30" s="259">
        <v>0.1</v>
      </c>
      <c r="AC30" s="259">
        <v>0.1</v>
      </c>
      <c r="AD30" s="259">
        <v>0.1</v>
      </c>
      <c r="AE30" s="259">
        <v>0.1</v>
      </c>
      <c r="AF30" s="259">
        <v>0.1</v>
      </c>
      <c r="AG30" s="259">
        <v>0.1</v>
      </c>
      <c r="AH30" s="259">
        <v>0.1</v>
      </c>
      <c r="AI30" s="259">
        <v>0.1</v>
      </c>
      <c r="AJ30" s="259">
        <v>0.1</v>
      </c>
      <c r="AK30" s="259">
        <v>0.1</v>
      </c>
      <c r="AL30" s="259">
        <v>0.1</v>
      </c>
      <c r="AM30" s="259">
        <v>0.1</v>
      </c>
      <c r="AN30" s="259">
        <v>0.1</v>
      </c>
      <c r="AO30" s="259">
        <v>0.1</v>
      </c>
      <c r="AP30" s="259">
        <v>0.1</v>
      </c>
      <c r="AQ30" s="259">
        <v>0.1</v>
      </c>
      <c r="AR30" s="259">
        <v>0.1</v>
      </c>
      <c r="AS30" s="259">
        <v>0.1</v>
      </c>
      <c r="AT30" s="259">
        <v>0.1</v>
      </c>
      <c r="AU30" s="259">
        <v>0.1</v>
      </c>
      <c r="AV30" s="259">
        <v>0.1</v>
      </c>
      <c r="AW30" s="259">
        <v>0.1</v>
      </c>
      <c r="AX30" s="259">
        <v>0.1</v>
      </c>
      <c r="AY30" s="259">
        <v>0.1</v>
      </c>
      <c r="AZ30" s="259">
        <v>0.1</v>
      </c>
      <c r="BA30" s="259">
        <v>0.1</v>
      </c>
      <c r="BB30" s="259">
        <v>0.1</v>
      </c>
      <c r="BC30" s="259">
        <v>0.1</v>
      </c>
      <c r="BD30" s="259">
        <v>0.1</v>
      </c>
      <c r="BE30" s="259">
        <v>0.1</v>
      </c>
      <c r="BF30" s="259">
        <v>0.1</v>
      </c>
      <c r="BG30" s="259">
        <v>0.1</v>
      </c>
      <c r="BH30" s="259">
        <v>0.1</v>
      </c>
      <c r="BI30" s="259">
        <v>0.1</v>
      </c>
      <c r="BJ30" s="259">
        <v>0.1</v>
      </c>
      <c r="BK30" s="259">
        <v>0.1</v>
      </c>
      <c r="BL30" s="259">
        <v>0.1</v>
      </c>
      <c r="BM30" s="259">
        <v>0.1</v>
      </c>
      <c r="BN30" s="259">
        <v>0.1</v>
      </c>
      <c r="BO30" s="260">
        <v>0.1</v>
      </c>
      <c r="BS30">
        <v>27</v>
      </c>
      <c r="BT30" s="270" t="s">
        <v>1203</v>
      </c>
      <c r="BU30" s="2"/>
      <c r="BV30" s="2"/>
      <c r="BW30" s="2"/>
      <c r="BX30" s="2"/>
      <c r="BY30" s="258">
        <v>0.1</v>
      </c>
      <c r="BZ30" s="259">
        <v>0.1</v>
      </c>
      <c r="CA30" s="259">
        <v>0.1</v>
      </c>
      <c r="CB30" s="259">
        <v>0.1</v>
      </c>
      <c r="CC30" s="259">
        <v>0.1</v>
      </c>
      <c r="CD30" s="259">
        <v>0.1</v>
      </c>
      <c r="CE30" s="259">
        <v>0.1</v>
      </c>
      <c r="CF30" s="259">
        <v>0.1</v>
      </c>
      <c r="CG30" s="259">
        <v>0.1</v>
      </c>
      <c r="CH30" s="259">
        <v>0.1</v>
      </c>
      <c r="CI30" s="259">
        <v>0.1</v>
      </c>
      <c r="CJ30" s="259">
        <v>0.1</v>
      </c>
      <c r="CK30" s="259">
        <v>0.1</v>
      </c>
      <c r="CL30" s="259">
        <v>0.1</v>
      </c>
      <c r="CM30" s="259">
        <v>0.1</v>
      </c>
      <c r="CN30" s="259">
        <v>0.1</v>
      </c>
      <c r="CO30" s="259">
        <v>0.1</v>
      </c>
      <c r="CP30" s="259">
        <v>0.1</v>
      </c>
      <c r="CQ30" s="259">
        <v>0.1</v>
      </c>
      <c r="CR30" s="259">
        <v>0.1</v>
      </c>
      <c r="CS30" s="259">
        <v>0.1</v>
      </c>
      <c r="CT30" s="259">
        <v>0.1</v>
      </c>
      <c r="CU30" s="259">
        <v>0.1</v>
      </c>
      <c r="CV30" s="259">
        <v>0.1</v>
      </c>
      <c r="CW30" s="259">
        <v>0.1</v>
      </c>
      <c r="CX30" s="259">
        <v>0.1</v>
      </c>
      <c r="CY30" s="259">
        <v>0.1</v>
      </c>
      <c r="CZ30" s="259">
        <v>0.1</v>
      </c>
      <c r="DA30" s="259">
        <v>0.1</v>
      </c>
      <c r="DB30" s="259">
        <v>0.1</v>
      </c>
      <c r="DC30" s="259">
        <v>0.1</v>
      </c>
      <c r="DD30" s="259">
        <v>0.1</v>
      </c>
      <c r="DE30" s="259">
        <v>0.1</v>
      </c>
      <c r="DF30" s="259">
        <v>0.1</v>
      </c>
      <c r="DG30" s="259">
        <v>0.1</v>
      </c>
      <c r="DH30" s="259">
        <v>0.1</v>
      </c>
      <c r="DI30" s="259">
        <v>0.1</v>
      </c>
      <c r="DJ30" s="259">
        <v>0.1</v>
      </c>
      <c r="DK30" s="259">
        <v>0.1</v>
      </c>
      <c r="DL30" s="259">
        <v>0.1</v>
      </c>
      <c r="DM30" s="259">
        <v>0.1</v>
      </c>
      <c r="DN30" s="259">
        <v>0.1</v>
      </c>
      <c r="DO30" s="259">
        <v>0.1</v>
      </c>
      <c r="DP30" s="259">
        <v>0.1</v>
      </c>
      <c r="DQ30" s="259">
        <v>0.1</v>
      </c>
      <c r="DR30" s="259">
        <v>0.1</v>
      </c>
      <c r="DS30" s="259">
        <v>0.1</v>
      </c>
      <c r="DT30" s="259">
        <v>0.1</v>
      </c>
      <c r="DU30" s="259">
        <v>0.1</v>
      </c>
      <c r="DV30" s="259">
        <v>0.1</v>
      </c>
      <c r="DW30" s="259">
        <v>0.1</v>
      </c>
      <c r="DX30" s="259">
        <v>0.1</v>
      </c>
      <c r="DY30" s="259">
        <v>0.1</v>
      </c>
      <c r="DZ30" s="259">
        <v>0.1</v>
      </c>
      <c r="EA30" s="259">
        <v>0.1</v>
      </c>
      <c r="EB30" s="259">
        <v>0.1</v>
      </c>
      <c r="EC30" s="259">
        <v>0.1</v>
      </c>
      <c r="ED30" s="259">
        <v>0.1</v>
      </c>
      <c r="EE30" s="259">
        <v>0.1</v>
      </c>
      <c r="EF30" s="260">
        <v>0.1</v>
      </c>
      <c r="EI30">
        <v>0</v>
      </c>
      <c r="EJ30">
        <v>27</v>
      </c>
      <c r="EN30">
        <v>0.1</v>
      </c>
      <c r="EO30">
        <v>0.1</v>
      </c>
      <c r="EP30">
        <v>0.1</v>
      </c>
      <c r="EQ30">
        <v>0.1</v>
      </c>
      <c r="ER30">
        <v>0.1</v>
      </c>
      <c r="ES30">
        <v>0.1</v>
      </c>
      <c r="ET30">
        <v>0.1</v>
      </c>
      <c r="EU30">
        <v>0.1</v>
      </c>
      <c r="EV30">
        <v>0.1</v>
      </c>
      <c r="EW30">
        <v>0.1</v>
      </c>
      <c r="EX30">
        <v>0.1</v>
      </c>
      <c r="EY30">
        <v>0.1</v>
      </c>
      <c r="EZ30">
        <v>0.1</v>
      </c>
      <c r="FA30">
        <v>0.1</v>
      </c>
      <c r="FB30">
        <v>0.1</v>
      </c>
      <c r="FC30">
        <v>0.1</v>
      </c>
      <c r="FD30">
        <v>0.1</v>
      </c>
      <c r="FE30">
        <v>0.1</v>
      </c>
      <c r="FF30">
        <v>0.1</v>
      </c>
      <c r="FG30">
        <v>0.1</v>
      </c>
      <c r="FH30">
        <v>0.1</v>
      </c>
      <c r="FI30">
        <v>0.1</v>
      </c>
      <c r="FJ30">
        <v>0.1</v>
      </c>
      <c r="FK30">
        <v>0.1</v>
      </c>
      <c r="FL30">
        <v>0.1</v>
      </c>
      <c r="FM30">
        <v>0.1</v>
      </c>
      <c r="FN30">
        <v>0.1</v>
      </c>
      <c r="FO30">
        <v>0.1</v>
      </c>
      <c r="FP30">
        <v>0.1</v>
      </c>
      <c r="FQ30">
        <v>0.1</v>
      </c>
      <c r="FU30">
        <v>27</v>
      </c>
      <c r="FV30">
        <v>0.74</v>
      </c>
      <c r="FW30">
        <v>0.74</v>
      </c>
      <c r="FX30">
        <v>0.74</v>
      </c>
      <c r="FY30">
        <v>0.74</v>
      </c>
      <c r="FZ30">
        <v>0.74</v>
      </c>
      <c r="GB30" s="66">
        <v>0.1</v>
      </c>
      <c r="GC30" s="67">
        <v>0.1</v>
      </c>
      <c r="GD30" s="67">
        <v>0.1</v>
      </c>
      <c r="GE30" s="67">
        <v>0.1</v>
      </c>
      <c r="GF30" s="67">
        <v>0.1</v>
      </c>
      <c r="GG30" s="67">
        <v>0.1</v>
      </c>
      <c r="GH30" s="67">
        <v>0.1</v>
      </c>
      <c r="GI30" s="68">
        <v>0.1</v>
      </c>
      <c r="GJ30" s="66">
        <v>0.1</v>
      </c>
      <c r="GK30" s="67">
        <v>0.1</v>
      </c>
      <c r="GL30" s="67">
        <v>0.1</v>
      </c>
      <c r="GM30" s="67">
        <v>0.1</v>
      </c>
      <c r="GN30" s="67">
        <v>0.1</v>
      </c>
      <c r="GO30" s="67">
        <v>0.1</v>
      </c>
      <c r="GP30" s="67">
        <v>0.1</v>
      </c>
      <c r="GQ30" s="68">
        <v>0.1</v>
      </c>
      <c r="GR30" s="66">
        <v>0.1</v>
      </c>
      <c r="GS30" s="67">
        <v>0.1</v>
      </c>
      <c r="GT30" s="67">
        <v>0.1</v>
      </c>
      <c r="GU30" s="67">
        <v>0.1</v>
      </c>
      <c r="GV30" s="67">
        <v>0.1</v>
      </c>
      <c r="GW30" s="67">
        <v>0.1</v>
      </c>
      <c r="GX30" s="67">
        <v>0.1</v>
      </c>
      <c r="GY30" s="68">
        <v>0.1</v>
      </c>
      <c r="GZ30" s="66">
        <v>0.1</v>
      </c>
      <c r="HA30" s="67">
        <v>0.1</v>
      </c>
      <c r="HB30" s="67">
        <v>0.1</v>
      </c>
      <c r="HC30" s="67">
        <v>0.1</v>
      </c>
      <c r="HD30" s="67">
        <v>0.1</v>
      </c>
      <c r="HE30" s="67">
        <v>0.1</v>
      </c>
      <c r="HF30" s="67">
        <v>0.1</v>
      </c>
      <c r="HG30" s="68">
        <v>0.1</v>
      </c>
      <c r="HH30" s="66">
        <v>0.1</v>
      </c>
      <c r="HI30" s="67">
        <v>0.1</v>
      </c>
      <c r="HJ30" s="67">
        <v>0.1</v>
      </c>
      <c r="HK30" s="67">
        <v>0.1</v>
      </c>
      <c r="HL30" s="67">
        <v>0.1</v>
      </c>
      <c r="HM30" s="67">
        <v>0.1</v>
      </c>
      <c r="HN30" s="67">
        <v>0.1</v>
      </c>
      <c r="HO30" s="68">
        <v>0.1</v>
      </c>
    </row>
    <row r="31" spans="1:224" ht="15.75" thickBot="1" x14ac:dyDescent="0.3">
      <c r="A31">
        <v>28</v>
      </c>
      <c r="B31" s="269" t="s">
        <v>1178</v>
      </c>
      <c r="C31" s="2"/>
      <c r="D31" s="2"/>
      <c r="E31" s="2"/>
      <c r="F31" s="2"/>
      <c r="G31" s="2"/>
      <c r="H31" s="258">
        <v>0.1</v>
      </c>
      <c r="I31" s="259">
        <v>0.1</v>
      </c>
      <c r="J31" s="259">
        <v>0.1</v>
      </c>
      <c r="K31" s="259">
        <v>0.1</v>
      </c>
      <c r="L31" s="259">
        <v>0.1</v>
      </c>
      <c r="M31" s="259">
        <v>0.1</v>
      </c>
      <c r="N31" s="259">
        <v>0.1</v>
      </c>
      <c r="O31" s="259">
        <v>0.1</v>
      </c>
      <c r="P31" s="259">
        <v>0.1</v>
      </c>
      <c r="Q31" s="259">
        <v>0.1</v>
      </c>
      <c r="R31" s="259">
        <v>0.1</v>
      </c>
      <c r="S31" s="259">
        <v>0.1</v>
      </c>
      <c r="T31" s="259">
        <v>0.1</v>
      </c>
      <c r="U31" s="259">
        <v>0.1</v>
      </c>
      <c r="V31" s="259">
        <v>0.1</v>
      </c>
      <c r="W31" s="259">
        <v>0.1</v>
      </c>
      <c r="X31" s="259">
        <v>0.1</v>
      </c>
      <c r="Y31" s="259">
        <v>0.1</v>
      </c>
      <c r="Z31" s="259">
        <v>0.1</v>
      </c>
      <c r="AA31" s="259">
        <v>0.1</v>
      </c>
      <c r="AB31" s="259">
        <v>0.1</v>
      </c>
      <c r="AC31" s="259">
        <v>0.1</v>
      </c>
      <c r="AD31" s="259">
        <v>0.1</v>
      </c>
      <c r="AE31" s="259">
        <v>0.1</v>
      </c>
      <c r="AF31" s="259">
        <v>0.1</v>
      </c>
      <c r="AG31" s="259">
        <v>0.1</v>
      </c>
      <c r="AH31" s="259">
        <v>0.1</v>
      </c>
      <c r="AI31" s="259">
        <v>0.1</v>
      </c>
      <c r="AJ31" s="259">
        <v>0.1</v>
      </c>
      <c r="AK31" s="259">
        <v>0.1</v>
      </c>
      <c r="AL31" s="259">
        <v>0.1</v>
      </c>
      <c r="AM31" s="259">
        <v>0.1</v>
      </c>
      <c r="AN31" s="259">
        <v>0.1</v>
      </c>
      <c r="AO31" s="259">
        <v>0.1</v>
      </c>
      <c r="AP31" s="259">
        <v>0.1</v>
      </c>
      <c r="AQ31" s="259">
        <v>0.1</v>
      </c>
      <c r="AR31" s="259">
        <v>0.1</v>
      </c>
      <c r="AS31" s="259">
        <v>0.1</v>
      </c>
      <c r="AT31" s="259">
        <v>0.1</v>
      </c>
      <c r="AU31" s="259">
        <v>0.1</v>
      </c>
      <c r="AV31" s="259">
        <v>0.1</v>
      </c>
      <c r="AW31" s="259">
        <v>0.1</v>
      </c>
      <c r="AX31" s="259">
        <v>0.1</v>
      </c>
      <c r="AY31" s="259">
        <v>0.1</v>
      </c>
      <c r="AZ31" s="259">
        <v>0.1</v>
      </c>
      <c r="BA31" s="259">
        <v>0.1</v>
      </c>
      <c r="BB31" s="259">
        <v>0.1</v>
      </c>
      <c r="BC31" s="259">
        <v>0.1</v>
      </c>
      <c r="BD31" s="259">
        <v>0.1</v>
      </c>
      <c r="BE31" s="259">
        <v>0.1</v>
      </c>
      <c r="BF31" s="259">
        <v>0.1</v>
      </c>
      <c r="BG31" s="259">
        <v>0.1</v>
      </c>
      <c r="BH31" s="259">
        <v>0.1</v>
      </c>
      <c r="BI31" s="259">
        <v>0.1</v>
      </c>
      <c r="BJ31" s="260">
        <v>0.1</v>
      </c>
      <c r="BK31">
        <v>0.1</v>
      </c>
      <c r="BL31">
        <v>0.1</v>
      </c>
      <c r="BM31">
        <v>0.1</v>
      </c>
      <c r="BN31">
        <v>0.1</v>
      </c>
      <c r="BO31">
        <v>0.1</v>
      </c>
      <c r="BP31">
        <f>SUM(BK31:BO31)</f>
        <v>0.5</v>
      </c>
      <c r="BS31">
        <v>28</v>
      </c>
      <c r="BT31" s="271" t="s">
        <v>1205</v>
      </c>
      <c r="BU31" s="2"/>
      <c r="BV31" s="2"/>
      <c r="BW31" s="2"/>
      <c r="BX31" s="2"/>
      <c r="BY31" s="258">
        <v>0.1</v>
      </c>
      <c r="BZ31" s="259">
        <v>0.1</v>
      </c>
      <c r="CA31" s="259">
        <v>0.1</v>
      </c>
      <c r="CB31" s="259">
        <v>0.1</v>
      </c>
      <c r="CC31" s="259">
        <v>0.1</v>
      </c>
      <c r="CD31" s="259">
        <v>0.1</v>
      </c>
      <c r="CE31" s="259">
        <v>0.1</v>
      </c>
      <c r="CF31" s="259">
        <v>0.1</v>
      </c>
      <c r="CG31" s="259">
        <v>0.1</v>
      </c>
      <c r="CH31" s="259">
        <v>0.1</v>
      </c>
      <c r="CI31" s="259">
        <v>0.1</v>
      </c>
      <c r="CJ31" s="259">
        <v>0.1</v>
      </c>
      <c r="CK31" s="259">
        <v>0.1</v>
      </c>
      <c r="CL31" s="259">
        <v>0.1</v>
      </c>
      <c r="CM31" s="259">
        <v>0.1</v>
      </c>
      <c r="CN31" s="259">
        <v>0.1</v>
      </c>
      <c r="CO31" s="259">
        <v>0.1</v>
      </c>
      <c r="CP31" s="259">
        <v>0.1</v>
      </c>
      <c r="CQ31" s="259">
        <v>0.1</v>
      </c>
      <c r="CR31" s="259">
        <v>0.1</v>
      </c>
      <c r="CS31" s="259">
        <v>0.1</v>
      </c>
      <c r="CT31" s="259">
        <v>0.1</v>
      </c>
      <c r="CU31" s="259">
        <v>0.1</v>
      </c>
      <c r="CV31" s="259">
        <v>0.1</v>
      </c>
      <c r="CW31" s="259">
        <v>0.1</v>
      </c>
      <c r="CX31" s="259">
        <v>0.1</v>
      </c>
      <c r="CY31" s="259">
        <v>0.1</v>
      </c>
      <c r="CZ31" s="259">
        <v>0.1</v>
      </c>
      <c r="DA31" s="259">
        <v>0.1</v>
      </c>
      <c r="DB31" s="259">
        <v>0.1</v>
      </c>
      <c r="DC31" s="259">
        <v>0.1</v>
      </c>
      <c r="DD31" s="259">
        <v>0.1</v>
      </c>
      <c r="DE31" s="259">
        <v>0.1</v>
      </c>
      <c r="DF31" s="259">
        <v>0.1</v>
      </c>
      <c r="DG31" s="259">
        <v>0.1</v>
      </c>
      <c r="DH31" s="259">
        <v>0.1</v>
      </c>
      <c r="DI31" s="259">
        <v>0.1</v>
      </c>
      <c r="DJ31" s="259">
        <v>0.1</v>
      </c>
      <c r="DK31" s="259">
        <v>0.1</v>
      </c>
      <c r="DL31" s="259">
        <v>0.1</v>
      </c>
      <c r="DM31" s="259">
        <v>0.1</v>
      </c>
      <c r="DN31" s="259">
        <v>0.1</v>
      </c>
      <c r="DO31" s="259">
        <v>0.1</v>
      </c>
      <c r="DP31" s="259">
        <v>0.1</v>
      </c>
      <c r="DQ31" s="259">
        <v>0.1</v>
      </c>
      <c r="DR31" s="259">
        <v>0.1</v>
      </c>
      <c r="DS31" s="259">
        <v>0.1</v>
      </c>
      <c r="DT31" s="259">
        <v>0.1</v>
      </c>
      <c r="DU31" s="259">
        <v>0.1</v>
      </c>
      <c r="DV31" s="259">
        <v>0.1</v>
      </c>
      <c r="DW31" s="259">
        <v>0.1</v>
      </c>
      <c r="DX31" s="259">
        <v>0.1</v>
      </c>
      <c r="DY31" s="259">
        <v>0.1</v>
      </c>
      <c r="DZ31" s="259">
        <v>0.1</v>
      </c>
      <c r="EA31" s="259">
        <v>0.1</v>
      </c>
      <c r="EB31" s="259">
        <v>0.1</v>
      </c>
      <c r="EC31" s="259">
        <v>0.1</v>
      </c>
      <c r="ED31" s="259">
        <v>0.1</v>
      </c>
      <c r="EE31" s="259">
        <v>0.1</v>
      </c>
      <c r="EF31" s="260">
        <v>0.1</v>
      </c>
      <c r="EI31">
        <v>0</v>
      </c>
      <c r="EJ31">
        <v>28</v>
      </c>
      <c r="EN31">
        <v>0.1</v>
      </c>
      <c r="EO31">
        <v>0.1</v>
      </c>
      <c r="EP31">
        <v>0.1</v>
      </c>
      <c r="EQ31">
        <v>0.1</v>
      </c>
      <c r="ER31">
        <v>0.1</v>
      </c>
      <c r="ES31">
        <v>0.1</v>
      </c>
      <c r="ET31">
        <v>0.1</v>
      </c>
      <c r="EU31">
        <v>0.1</v>
      </c>
      <c r="EV31">
        <v>0.1</v>
      </c>
      <c r="EW31">
        <v>0.1</v>
      </c>
      <c r="EX31">
        <v>0.1</v>
      </c>
      <c r="EY31">
        <v>0.1</v>
      </c>
      <c r="EZ31">
        <v>0.1</v>
      </c>
      <c r="FA31">
        <v>0.1</v>
      </c>
      <c r="FB31">
        <v>0.1</v>
      </c>
      <c r="FC31">
        <v>0.1</v>
      </c>
      <c r="FD31">
        <v>0.1</v>
      </c>
      <c r="FE31">
        <v>0.1</v>
      </c>
      <c r="FF31">
        <v>0.1</v>
      </c>
      <c r="FG31">
        <v>0.1</v>
      </c>
      <c r="FH31">
        <v>0.1</v>
      </c>
      <c r="FI31">
        <v>0.1</v>
      </c>
      <c r="FJ31">
        <v>0.1</v>
      </c>
      <c r="FK31">
        <v>0.1</v>
      </c>
      <c r="FL31">
        <v>0.1</v>
      </c>
      <c r="FM31">
        <v>0.1</v>
      </c>
      <c r="FN31">
        <v>0.1</v>
      </c>
      <c r="FO31">
        <v>0.1</v>
      </c>
      <c r="FP31">
        <v>0.1</v>
      </c>
      <c r="FQ31">
        <v>0.1</v>
      </c>
      <c r="FU31">
        <v>28</v>
      </c>
      <c r="FV31">
        <v>0.76</v>
      </c>
      <c r="FW31">
        <v>0.76</v>
      </c>
      <c r="FX31">
        <v>0.76</v>
      </c>
      <c r="FY31">
        <v>0.76</v>
      </c>
      <c r="FZ31">
        <v>0.76</v>
      </c>
      <c r="GB31" s="66">
        <v>0.1</v>
      </c>
      <c r="GC31" s="67">
        <v>0.1</v>
      </c>
      <c r="GD31" s="67">
        <v>0.1</v>
      </c>
      <c r="GE31" s="67">
        <v>0.1</v>
      </c>
      <c r="GF31" s="67">
        <v>0.1</v>
      </c>
      <c r="GG31" s="67">
        <v>0.1</v>
      </c>
      <c r="GH31" s="67">
        <v>0.1</v>
      </c>
      <c r="GI31" s="68">
        <v>0.1</v>
      </c>
      <c r="GJ31" s="66">
        <v>0.1</v>
      </c>
      <c r="GK31" s="67">
        <v>0.1</v>
      </c>
      <c r="GL31" s="67">
        <v>0.1</v>
      </c>
      <c r="GM31" s="67">
        <v>0.1</v>
      </c>
      <c r="GN31" s="67">
        <v>0.1</v>
      </c>
      <c r="GO31" s="67">
        <v>0.1</v>
      </c>
      <c r="GP31" s="67">
        <v>0.1</v>
      </c>
      <c r="GQ31" s="68">
        <v>0.1</v>
      </c>
      <c r="GR31" s="66">
        <v>0.1</v>
      </c>
      <c r="GS31" s="67">
        <v>0.1</v>
      </c>
      <c r="GT31" s="67">
        <v>0.1</v>
      </c>
      <c r="GU31" s="67">
        <v>0.1</v>
      </c>
      <c r="GV31" s="67">
        <v>0.1</v>
      </c>
      <c r="GW31" s="67">
        <v>0.1</v>
      </c>
      <c r="GX31" s="67">
        <v>0.1</v>
      </c>
      <c r="GY31" s="68">
        <v>0.1</v>
      </c>
      <c r="GZ31" s="66">
        <v>0.1</v>
      </c>
      <c r="HA31" s="67">
        <v>0.1</v>
      </c>
      <c r="HB31" s="67">
        <v>0.1</v>
      </c>
      <c r="HC31" s="67">
        <v>0.1</v>
      </c>
      <c r="HD31" s="67">
        <v>0.1</v>
      </c>
      <c r="HE31" s="67">
        <v>0.1</v>
      </c>
      <c r="HF31" s="67">
        <v>0.1</v>
      </c>
      <c r="HG31" s="68">
        <v>0.1</v>
      </c>
      <c r="HH31" s="66">
        <v>0.1</v>
      </c>
      <c r="HI31" s="67">
        <v>0.1</v>
      </c>
      <c r="HJ31" s="67">
        <v>0.1</v>
      </c>
      <c r="HK31" s="67">
        <v>0.1</v>
      </c>
      <c r="HL31" s="67">
        <v>0.1</v>
      </c>
      <c r="HM31" s="67">
        <v>0.1</v>
      </c>
      <c r="HN31" s="67">
        <v>0.1</v>
      </c>
      <c r="HO31" s="68">
        <v>0.1</v>
      </c>
    </row>
    <row r="32" spans="1:224" ht="15.75" thickBot="1" x14ac:dyDescent="0.3">
      <c r="A32">
        <v>29</v>
      </c>
      <c r="B32" s="269" t="s">
        <v>1177</v>
      </c>
      <c r="C32" s="2"/>
      <c r="D32" s="2"/>
      <c r="E32" s="2"/>
      <c r="F32" s="2"/>
      <c r="G32" s="2"/>
      <c r="H32" s="258">
        <v>0.1</v>
      </c>
      <c r="I32" s="259">
        <v>0.1</v>
      </c>
      <c r="J32" s="259">
        <v>0.1</v>
      </c>
      <c r="K32" s="259">
        <v>0.1</v>
      </c>
      <c r="L32" s="259">
        <v>0.1</v>
      </c>
      <c r="M32" s="259">
        <v>0.1</v>
      </c>
      <c r="N32" s="259">
        <v>0.1</v>
      </c>
      <c r="O32" s="259">
        <v>0.1</v>
      </c>
      <c r="P32" s="259">
        <v>0.1</v>
      </c>
      <c r="Q32" s="259">
        <v>0.1</v>
      </c>
      <c r="R32" s="259">
        <v>0.1</v>
      </c>
      <c r="S32" s="259">
        <v>0.1</v>
      </c>
      <c r="T32" s="259">
        <v>0.1</v>
      </c>
      <c r="U32" s="259">
        <v>0.1</v>
      </c>
      <c r="V32" s="259">
        <v>0.1</v>
      </c>
      <c r="W32" s="259">
        <v>0.1</v>
      </c>
      <c r="X32" s="259">
        <v>0.1</v>
      </c>
      <c r="Y32" s="259">
        <v>0.1</v>
      </c>
      <c r="Z32" s="259">
        <v>0.1</v>
      </c>
      <c r="AA32" s="259">
        <v>0.1</v>
      </c>
      <c r="AB32" s="259">
        <v>0.1</v>
      </c>
      <c r="AC32" s="259">
        <v>0.1</v>
      </c>
      <c r="AD32" s="259">
        <v>0.1</v>
      </c>
      <c r="AE32" s="259">
        <v>0.1</v>
      </c>
      <c r="AF32" s="259">
        <v>0.1</v>
      </c>
      <c r="AG32" s="259">
        <v>0.1</v>
      </c>
      <c r="AH32" s="259">
        <v>0.1</v>
      </c>
      <c r="AI32" s="259">
        <v>0.1</v>
      </c>
      <c r="AJ32" s="259">
        <v>0.1</v>
      </c>
      <c r="AK32" s="259">
        <v>0.1</v>
      </c>
      <c r="AL32" s="259">
        <v>0.1</v>
      </c>
      <c r="AM32" s="259">
        <v>0.1</v>
      </c>
      <c r="AN32" s="259">
        <v>0.1</v>
      </c>
      <c r="AO32" s="259">
        <v>0.1</v>
      </c>
      <c r="AP32" s="259">
        <v>0.1</v>
      </c>
      <c r="AQ32" s="259">
        <v>0.1</v>
      </c>
      <c r="AR32" s="259">
        <v>0.1</v>
      </c>
      <c r="AS32" s="259">
        <v>0.1</v>
      </c>
      <c r="AT32" s="259">
        <v>0.1</v>
      </c>
      <c r="AU32" s="259">
        <v>0.1</v>
      </c>
      <c r="AV32" s="259">
        <v>0.1</v>
      </c>
      <c r="AW32" s="259">
        <v>0.1</v>
      </c>
      <c r="AX32" s="259">
        <v>0.1</v>
      </c>
      <c r="AY32" s="259">
        <v>0.1</v>
      </c>
      <c r="AZ32" s="259">
        <v>0.1</v>
      </c>
      <c r="BA32" s="259">
        <v>0.1</v>
      </c>
      <c r="BB32" s="259">
        <v>0.1</v>
      </c>
      <c r="BC32" s="259">
        <v>0.1</v>
      </c>
      <c r="BD32" s="259">
        <v>0.1</v>
      </c>
      <c r="BE32" s="259">
        <v>0.1</v>
      </c>
      <c r="BF32" s="259">
        <v>0.1</v>
      </c>
      <c r="BG32" s="259">
        <v>0.1</v>
      </c>
      <c r="BH32" s="259">
        <v>0.1</v>
      </c>
      <c r="BI32" s="259">
        <v>0.1</v>
      </c>
      <c r="BJ32" s="259">
        <v>0.1</v>
      </c>
      <c r="BK32" s="259">
        <v>0.1</v>
      </c>
      <c r="BL32" s="259">
        <v>0.1</v>
      </c>
      <c r="BM32" s="259">
        <v>0.1</v>
      </c>
      <c r="BN32" s="259">
        <v>0.1</v>
      </c>
      <c r="BO32" s="260">
        <v>0.1</v>
      </c>
      <c r="BS32">
        <v>29</v>
      </c>
      <c r="BT32" s="271" t="s">
        <v>1206</v>
      </c>
      <c r="BU32" s="270" t="s">
        <v>1208</v>
      </c>
      <c r="BV32" s="2"/>
      <c r="BW32" s="2"/>
      <c r="BX32" s="2"/>
      <c r="BY32" s="258">
        <v>0.1</v>
      </c>
      <c r="BZ32" s="259">
        <v>0.1</v>
      </c>
      <c r="CA32" s="259">
        <v>0.1</v>
      </c>
      <c r="CB32" s="259">
        <v>0.1</v>
      </c>
      <c r="CC32" s="259">
        <v>0.1</v>
      </c>
      <c r="CD32" s="259">
        <v>0.1</v>
      </c>
      <c r="CE32" s="259">
        <v>0.1</v>
      </c>
      <c r="CF32" s="259">
        <v>0.1</v>
      </c>
      <c r="CG32" s="259">
        <v>0.1</v>
      </c>
      <c r="CH32" s="259">
        <v>0.1</v>
      </c>
      <c r="CI32" s="259">
        <v>0.1</v>
      </c>
      <c r="CJ32" s="259">
        <v>0.1</v>
      </c>
      <c r="CK32" s="259">
        <v>0.1</v>
      </c>
      <c r="CL32" s="259">
        <v>0.1</v>
      </c>
      <c r="CM32" s="259">
        <v>0.1</v>
      </c>
      <c r="CN32" s="259">
        <v>0.1</v>
      </c>
      <c r="CO32" s="259">
        <v>0.1</v>
      </c>
      <c r="CP32" s="259">
        <v>0.1</v>
      </c>
      <c r="CQ32" s="259">
        <v>0.1</v>
      </c>
      <c r="CR32" s="259">
        <v>0.1</v>
      </c>
      <c r="CS32" s="259">
        <v>0.1</v>
      </c>
      <c r="CT32" s="259">
        <v>0.1</v>
      </c>
      <c r="CU32" s="259">
        <v>0.1</v>
      </c>
      <c r="CV32" s="259">
        <v>0.1</v>
      </c>
      <c r="CW32" s="259">
        <v>0.1</v>
      </c>
      <c r="CX32" s="259">
        <v>0.1</v>
      </c>
      <c r="CY32" s="259">
        <v>0.1</v>
      </c>
      <c r="CZ32" s="259">
        <v>0.1</v>
      </c>
      <c r="DA32" s="260">
        <v>0.1</v>
      </c>
      <c r="DB32" s="258">
        <v>0.1</v>
      </c>
      <c r="DC32" s="259">
        <v>0.1</v>
      </c>
      <c r="DD32" s="259">
        <v>0.1</v>
      </c>
      <c r="DE32" s="259">
        <v>0.1</v>
      </c>
      <c r="DF32" s="259">
        <v>0.1</v>
      </c>
      <c r="DG32" s="259">
        <v>0.1</v>
      </c>
      <c r="DH32" s="259">
        <v>0.1</v>
      </c>
      <c r="DI32" s="259">
        <v>0.1</v>
      </c>
      <c r="DJ32" s="259">
        <v>0.1</v>
      </c>
      <c r="DK32" s="259">
        <v>0.1</v>
      </c>
      <c r="DL32" s="259">
        <v>0.1</v>
      </c>
      <c r="DM32" s="259">
        <v>0.1</v>
      </c>
      <c r="DN32" s="259">
        <v>0.1</v>
      </c>
      <c r="DO32" s="259">
        <v>0.1</v>
      </c>
      <c r="DP32" s="259">
        <v>0.1</v>
      </c>
      <c r="DQ32" s="259">
        <v>0.1</v>
      </c>
      <c r="DR32" s="259">
        <v>0.1</v>
      </c>
      <c r="DS32" s="259">
        <v>0.1</v>
      </c>
      <c r="DT32" s="259">
        <v>0.1</v>
      </c>
      <c r="DU32" s="259">
        <v>0.1</v>
      </c>
      <c r="DV32" s="259">
        <v>0.1</v>
      </c>
      <c r="DW32" s="259">
        <v>0.1</v>
      </c>
      <c r="DX32" s="259">
        <v>0.1</v>
      </c>
      <c r="DY32" s="259">
        <v>0.1</v>
      </c>
      <c r="DZ32" s="259">
        <v>0.1</v>
      </c>
      <c r="EA32" s="259">
        <v>0.1</v>
      </c>
      <c r="EB32" s="259">
        <v>0.1</v>
      </c>
      <c r="EC32" s="259">
        <v>0.1</v>
      </c>
      <c r="ED32" s="260">
        <v>0.1</v>
      </c>
      <c r="EE32">
        <v>0.1</v>
      </c>
      <c r="EF32">
        <v>0.1</v>
      </c>
      <c r="EG32">
        <f>SUM(EE32:EF32)</f>
        <v>0.2</v>
      </c>
      <c r="EI32">
        <v>0</v>
      </c>
      <c r="EJ32">
        <v>29</v>
      </c>
      <c r="EN32">
        <v>0.1</v>
      </c>
      <c r="EO32">
        <v>0.1</v>
      </c>
      <c r="EP32">
        <v>0.1</v>
      </c>
      <c r="EQ32">
        <v>0.1</v>
      </c>
      <c r="ER32">
        <v>0.1</v>
      </c>
      <c r="ES32">
        <v>0.1</v>
      </c>
      <c r="ET32">
        <v>0.1</v>
      </c>
      <c r="EU32">
        <v>0.1</v>
      </c>
      <c r="EV32">
        <v>0.1</v>
      </c>
      <c r="EW32">
        <v>0.1</v>
      </c>
      <c r="EX32">
        <v>0.1</v>
      </c>
      <c r="EY32">
        <v>0.1</v>
      </c>
      <c r="EZ32">
        <v>0.1</v>
      </c>
      <c r="FA32">
        <v>0.1</v>
      </c>
      <c r="FB32">
        <v>0.1</v>
      </c>
      <c r="FC32">
        <v>0.1</v>
      </c>
      <c r="FD32">
        <v>0.1</v>
      </c>
      <c r="FE32">
        <v>0.1</v>
      </c>
      <c r="FF32">
        <v>0.1</v>
      </c>
      <c r="FG32">
        <v>0.1</v>
      </c>
      <c r="FH32">
        <v>0.1</v>
      </c>
      <c r="FI32">
        <v>0.1</v>
      </c>
      <c r="FJ32">
        <v>0.1</v>
      </c>
      <c r="FK32">
        <v>0.1</v>
      </c>
      <c r="FL32">
        <v>0.1</v>
      </c>
      <c r="FM32">
        <v>0.1</v>
      </c>
      <c r="FN32">
        <v>0.1</v>
      </c>
      <c r="FO32">
        <v>0.1</v>
      </c>
      <c r="FP32">
        <v>0.1</v>
      </c>
      <c r="FQ32">
        <v>0.1</v>
      </c>
      <c r="FU32">
        <v>29</v>
      </c>
      <c r="FV32">
        <v>0.76</v>
      </c>
      <c r="FW32">
        <v>0.36</v>
      </c>
      <c r="FX32">
        <v>0.36</v>
      </c>
      <c r="FY32">
        <v>0.36</v>
      </c>
      <c r="FZ32">
        <v>0.97</v>
      </c>
      <c r="GA32">
        <v>0.97</v>
      </c>
      <c r="GB32" s="66">
        <v>0.1</v>
      </c>
      <c r="GC32" s="67">
        <v>0.1</v>
      </c>
      <c r="GD32" s="67">
        <v>0.1</v>
      </c>
      <c r="GE32" s="67">
        <v>0.1</v>
      </c>
      <c r="GF32" s="67">
        <v>0.1</v>
      </c>
      <c r="GG32" s="67">
        <v>0.1</v>
      </c>
      <c r="GH32" s="67">
        <v>0.1</v>
      </c>
      <c r="GI32" s="68">
        <v>0.1</v>
      </c>
      <c r="GJ32" s="66">
        <v>0.1</v>
      </c>
      <c r="GK32" s="67">
        <v>0.1</v>
      </c>
      <c r="GL32" s="67">
        <v>0.1</v>
      </c>
      <c r="GM32" s="68">
        <v>0.1</v>
      </c>
      <c r="GN32" s="66">
        <v>0.1</v>
      </c>
      <c r="GO32" s="67">
        <v>0.1</v>
      </c>
      <c r="GP32" s="67">
        <v>0.1</v>
      </c>
      <c r="GQ32" s="68">
        <v>0.1</v>
      </c>
      <c r="GR32" s="66">
        <v>0.1</v>
      </c>
      <c r="GS32" s="67">
        <v>0.1</v>
      </c>
      <c r="GT32" s="67">
        <v>0.1</v>
      </c>
      <c r="GU32" s="68">
        <v>0.1</v>
      </c>
      <c r="GV32" s="66">
        <v>0.1</v>
      </c>
      <c r="GW32" s="67">
        <v>0.1</v>
      </c>
      <c r="GX32" s="67">
        <v>0.1</v>
      </c>
      <c r="GY32" s="67">
        <v>0.1</v>
      </c>
      <c r="GZ32" s="67">
        <v>0.1</v>
      </c>
      <c r="HA32" s="67">
        <v>0.1</v>
      </c>
      <c r="HB32" s="67">
        <v>0.1</v>
      </c>
      <c r="HC32" s="67">
        <v>0.1</v>
      </c>
      <c r="HD32" s="67">
        <v>0.1</v>
      </c>
      <c r="HE32" s="68">
        <v>0.1</v>
      </c>
      <c r="HF32" s="66">
        <v>0.1</v>
      </c>
      <c r="HG32" s="67">
        <v>0.1</v>
      </c>
      <c r="HH32" s="67">
        <v>0.1</v>
      </c>
      <c r="HI32" s="67">
        <v>0.1</v>
      </c>
      <c r="HJ32" s="67">
        <v>0.1</v>
      </c>
      <c r="HK32" s="67">
        <v>0.1</v>
      </c>
      <c r="HL32" s="67">
        <v>0.1</v>
      </c>
      <c r="HM32" s="67">
        <v>0.1</v>
      </c>
      <c r="HN32" s="67">
        <v>0.1</v>
      </c>
      <c r="HO32" s="68">
        <v>0.1</v>
      </c>
    </row>
    <row r="33" spans="1:224" ht="15.75" thickBot="1" x14ac:dyDescent="0.3">
      <c r="A33">
        <v>30</v>
      </c>
      <c r="B33" s="269" t="s">
        <v>1178</v>
      </c>
      <c r="C33" s="2"/>
      <c r="D33" s="2"/>
      <c r="E33" s="2"/>
      <c r="F33" s="2"/>
      <c r="G33" s="2"/>
      <c r="H33" s="258">
        <v>0.1</v>
      </c>
      <c r="I33" s="259">
        <v>0.1</v>
      </c>
      <c r="J33" s="259">
        <v>0.1</v>
      </c>
      <c r="K33" s="259">
        <v>0.1</v>
      </c>
      <c r="L33" s="259">
        <v>0.1</v>
      </c>
      <c r="M33" s="259">
        <v>0.1</v>
      </c>
      <c r="N33" s="259">
        <v>0.1</v>
      </c>
      <c r="O33" s="259">
        <v>0.1</v>
      </c>
      <c r="P33" s="259">
        <v>0.1</v>
      </c>
      <c r="Q33" s="259">
        <v>0.1</v>
      </c>
      <c r="R33" s="259">
        <v>0.1</v>
      </c>
      <c r="S33" s="259">
        <v>0.1</v>
      </c>
      <c r="T33" s="259">
        <v>0.1</v>
      </c>
      <c r="U33" s="259">
        <v>0.1</v>
      </c>
      <c r="V33" s="259">
        <v>0.1</v>
      </c>
      <c r="W33" s="259">
        <v>0.1</v>
      </c>
      <c r="X33" s="259">
        <v>0.1</v>
      </c>
      <c r="Y33" s="259">
        <v>0.1</v>
      </c>
      <c r="Z33" s="259">
        <v>0.1</v>
      </c>
      <c r="AA33" s="259">
        <v>0.1</v>
      </c>
      <c r="AB33" s="259">
        <v>0.1</v>
      </c>
      <c r="AC33" s="259">
        <v>0.1</v>
      </c>
      <c r="AD33" s="259">
        <v>0.1</v>
      </c>
      <c r="AE33" s="259">
        <v>0.1</v>
      </c>
      <c r="AF33" s="259">
        <v>0.1</v>
      </c>
      <c r="AG33" s="259">
        <v>0.1</v>
      </c>
      <c r="AH33" s="259">
        <v>0.1</v>
      </c>
      <c r="AI33" s="259">
        <v>0.1</v>
      </c>
      <c r="AJ33" s="259">
        <v>0.1</v>
      </c>
      <c r="AK33" s="259">
        <v>0.1</v>
      </c>
      <c r="AL33" s="259">
        <v>0.1</v>
      </c>
      <c r="AM33" s="259">
        <v>0.1</v>
      </c>
      <c r="AN33" s="259">
        <v>0.1</v>
      </c>
      <c r="AO33" s="259">
        <v>0.1</v>
      </c>
      <c r="AP33" s="259">
        <v>0.1</v>
      </c>
      <c r="AQ33" s="259">
        <v>0.1</v>
      </c>
      <c r="AR33" s="259">
        <v>0.1</v>
      </c>
      <c r="AS33" s="259">
        <v>0.1</v>
      </c>
      <c r="AT33" s="259">
        <v>0.1</v>
      </c>
      <c r="AU33" s="259">
        <v>0.1</v>
      </c>
      <c r="AV33" s="259">
        <v>0.1</v>
      </c>
      <c r="AW33" s="259">
        <v>0.1</v>
      </c>
      <c r="AX33" s="259">
        <v>0.1</v>
      </c>
      <c r="AY33" s="259">
        <v>0.1</v>
      </c>
      <c r="AZ33" s="259">
        <v>0.1</v>
      </c>
      <c r="BA33" s="259">
        <v>0.1</v>
      </c>
      <c r="BB33" s="259">
        <v>0.1</v>
      </c>
      <c r="BC33" s="259">
        <v>0.1</v>
      </c>
      <c r="BD33" s="259">
        <v>0.1</v>
      </c>
      <c r="BE33" s="259">
        <v>0.1</v>
      </c>
      <c r="BF33" s="259">
        <v>0.1</v>
      </c>
      <c r="BG33" s="259">
        <v>0.1</v>
      </c>
      <c r="BH33" s="259">
        <v>0.1</v>
      </c>
      <c r="BI33" s="259">
        <v>0.1</v>
      </c>
      <c r="BJ33" s="260">
        <v>0.1</v>
      </c>
      <c r="BK33">
        <v>0.1</v>
      </c>
      <c r="BL33">
        <v>0.1</v>
      </c>
      <c r="BM33">
        <v>0.1</v>
      </c>
      <c r="BN33">
        <v>0.1</v>
      </c>
      <c r="BO33">
        <v>0.1</v>
      </c>
      <c r="BP33">
        <f>SUM(BK33:BO33)</f>
        <v>0.5</v>
      </c>
      <c r="BS33">
        <v>30</v>
      </c>
      <c r="BT33" s="270" t="s">
        <v>1207</v>
      </c>
      <c r="BU33" s="271">
        <v>0.97</v>
      </c>
      <c r="BV33" s="270">
        <v>0.95</v>
      </c>
      <c r="BW33" s="2"/>
      <c r="BX33" s="2"/>
      <c r="BY33" s="258">
        <v>0.1</v>
      </c>
      <c r="BZ33" s="259">
        <v>0.1</v>
      </c>
      <c r="CA33" s="259">
        <v>0.1</v>
      </c>
      <c r="CB33" s="259">
        <v>0.1</v>
      </c>
      <c r="CC33" s="259">
        <v>0.1</v>
      </c>
      <c r="CD33" s="259">
        <v>0.1</v>
      </c>
      <c r="CE33" s="259">
        <v>0.1</v>
      </c>
      <c r="CF33" s="259">
        <v>0.1</v>
      </c>
      <c r="CG33" s="259">
        <v>0.1</v>
      </c>
      <c r="CH33" s="259">
        <v>0.1</v>
      </c>
      <c r="CI33" s="259">
        <v>0.1</v>
      </c>
      <c r="CJ33" s="259">
        <v>0.1</v>
      </c>
      <c r="CK33" s="259">
        <v>0.1</v>
      </c>
      <c r="CL33" s="259">
        <v>0.1</v>
      </c>
      <c r="CM33" s="259">
        <v>0.1</v>
      </c>
      <c r="CN33" s="259">
        <v>0.1</v>
      </c>
      <c r="CO33" s="259">
        <v>0.1</v>
      </c>
      <c r="CP33" s="259">
        <v>0.1</v>
      </c>
      <c r="CQ33" s="259">
        <v>0.1</v>
      </c>
      <c r="CR33" s="259">
        <v>0.1</v>
      </c>
      <c r="CS33" s="259">
        <v>0.1</v>
      </c>
      <c r="CT33" s="259">
        <v>0.1</v>
      </c>
      <c r="CU33" s="259">
        <v>0.1</v>
      </c>
      <c r="CV33" s="259">
        <v>0.1</v>
      </c>
      <c r="CW33" s="259">
        <v>0.1</v>
      </c>
      <c r="CX33" s="259">
        <v>0.1</v>
      </c>
      <c r="CY33" s="259">
        <v>0.1</v>
      </c>
      <c r="CZ33" s="259">
        <v>0.1</v>
      </c>
      <c r="DA33" s="259">
        <v>0.1</v>
      </c>
      <c r="DB33" s="259">
        <v>0.1</v>
      </c>
      <c r="DC33" s="259">
        <v>0.1</v>
      </c>
      <c r="DD33" s="259">
        <v>0.1</v>
      </c>
      <c r="DE33" s="259">
        <v>0.1</v>
      </c>
      <c r="DF33" s="259">
        <v>0.1</v>
      </c>
      <c r="DG33" s="259">
        <v>0.1</v>
      </c>
      <c r="DH33" s="259">
        <v>0.1</v>
      </c>
      <c r="DI33" s="259">
        <v>0.1</v>
      </c>
      <c r="DJ33" s="259">
        <v>0.1</v>
      </c>
      <c r="DK33" s="259">
        <v>0.1</v>
      </c>
      <c r="DL33" s="260">
        <v>0.1</v>
      </c>
      <c r="DM33" s="258">
        <v>0.1</v>
      </c>
      <c r="DN33" s="259">
        <v>0.1</v>
      </c>
      <c r="DO33" s="259">
        <v>0.1</v>
      </c>
      <c r="DP33" s="259">
        <v>0.1</v>
      </c>
      <c r="DQ33" s="259">
        <v>0.1</v>
      </c>
      <c r="DR33" s="259">
        <v>0.1</v>
      </c>
      <c r="DS33" s="259">
        <v>0.1</v>
      </c>
      <c r="DT33" s="259">
        <v>0.1</v>
      </c>
      <c r="DU33" s="259">
        <v>0.1</v>
      </c>
      <c r="DV33" s="260">
        <v>0.1</v>
      </c>
      <c r="DW33" s="258">
        <v>0.1</v>
      </c>
      <c r="DX33" s="259">
        <v>0.1</v>
      </c>
      <c r="DY33" s="259">
        <v>0.1</v>
      </c>
      <c r="DZ33" s="259">
        <v>0.1</v>
      </c>
      <c r="EA33" s="259">
        <v>0.1</v>
      </c>
      <c r="EB33" s="259">
        <v>0.1</v>
      </c>
      <c r="EC33" s="259">
        <v>0.1</v>
      </c>
      <c r="ED33" s="259">
        <v>0.1</v>
      </c>
      <c r="EE33" s="259">
        <v>0.1</v>
      </c>
      <c r="EF33" s="260">
        <v>0.1</v>
      </c>
      <c r="EI33">
        <v>0</v>
      </c>
      <c r="EJ33">
        <v>30</v>
      </c>
      <c r="EN33">
        <v>0.1</v>
      </c>
      <c r="EO33">
        <v>0.1</v>
      </c>
      <c r="EP33">
        <v>0.1</v>
      </c>
      <c r="EQ33">
        <v>0.1</v>
      </c>
      <c r="ER33">
        <v>0.1</v>
      </c>
      <c r="ES33">
        <v>0.1</v>
      </c>
      <c r="ET33">
        <v>0.1</v>
      </c>
      <c r="EU33">
        <v>0.1</v>
      </c>
      <c r="EV33">
        <v>0.1</v>
      </c>
      <c r="EW33">
        <v>0.1</v>
      </c>
      <c r="EX33">
        <v>0.1</v>
      </c>
      <c r="EY33">
        <v>0.1</v>
      </c>
      <c r="EZ33">
        <v>0.1</v>
      </c>
      <c r="FA33">
        <v>0.1</v>
      </c>
      <c r="FB33">
        <v>0.1</v>
      </c>
      <c r="FC33">
        <v>0.1</v>
      </c>
      <c r="FD33">
        <v>0.1</v>
      </c>
      <c r="FE33">
        <v>0.1</v>
      </c>
      <c r="FF33">
        <v>0.1</v>
      </c>
      <c r="FG33">
        <v>0.1</v>
      </c>
      <c r="FH33">
        <v>0.1</v>
      </c>
      <c r="FI33">
        <v>0.1</v>
      </c>
      <c r="FJ33">
        <v>0.1</v>
      </c>
      <c r="FK33">
        <v>0.1</v>
      </c>
      <c r="FL33">
        <v>0.1</v>
      </c>
      <c r="FM33">
        <v>0.1</v>
      </c>
      <c r="FN33">
        <v>0.1</v>
      </c>
      <c r="FO33">
        <v>0.1</v>
      </c>
      <c r="FP33">
        <v>0.1</v>
      </c>
      <c r="FQ33">
        <v>0.1</v>
      </c>
      <c r="FU33">
        <v>30</v>
      </c>
      <c r="FV33">
        <v>0.8</v>
      </c>
      <c r="FW33">
        <v>0.8</v>
      </c>
      <c r="FX33">
        <v>0.8</v>
      </c>
      <c r="FY33">
        <v>0.8</v>
      </c>
      <c r="FZ33">
        <v>0.8</v>
      </c>
      <c r="GB33" s="66">
        <v>0.1</v>
      </c>
      <c r="GC33" s="67">
        <v>0.1</v>
      </c>
      <c r="GD33" s="67">
        <v>0.1</v>
      </c>
      <c r="GE33" s="67">
        <v>0.1</v>
      </c>
      <c r="GF33" s="67">
        <v>0.1</v>
      </c>
      <c r="GG33" s="67">
        <v>0.1</v>
      </c>
      <c r="GH33" s="67">
        <v>0.1</v>
      </c>
      <c r="GI33" s="68">
        <v>0.1</v>
      </c>
      <c r="GJ33" s="66">
        <v>0.1</v>
      </c>
      <c r="GK33" s="67">
        <v>0.1</v>
      </c>
      <c r="GL33" s="67">
        <v>0.1</v>
      </c>
      <c r="GM33" s="67">
        <v>0.1</v>
      </c>
      <c r="GN33" s="67">
        <v>0.1</v>
      </c>
      <c r="GO33" s="67">
        <v>0.1</v>
      </c>
      <c r="GP33" s="67">
        <v>0.1</v>
      </c>
      <c r="GQ33" s="68">
        <v>0.1</v>
      </c>
      <c r="GR33" s="66">
        <v>0.1</v>
      </c>
      <c r="GS33" s="67">
        <v>0.1</v>
      </c>
      <c r="GT33" s="67">
        <v>0.1</v>
      </c>
      <c r="GU33" s="67">
        <v>0.1</v>
      </c>
      <c r="GV33" s="67">
        <v>0.1</v>
      </c>
      <c r="GW33" s="67">
        <v>0.1</v>
      </c>
      <c r="GX33" s="67">
        <v>0.1</v>
      </c>
      <c r="GY33" s="68">
        <v>0.1</v>
      </c>
      <c r="GZ33" s="66">
        <v>0.1</v>
      </c>
      <c r="HA33" s="67">
        <v>0.1</v>
      </c>
      <c r="HB33" s="67">
        <v>0.1</v>
      </c>
      <c r="HC33" s="67">
        <v>0.1</v>
      </c>
      <c r="HD33" s="67">
        <v>0.1</v>
      </c>
      <c r="HE33" s="67">
        <v>0.1</v>
      </c>
      <c r="HF33" s="67">
        <v>0.1</v>
      </c>
      <c r="HG33" s="68">
        <v>0.1</v>
      </c>
      <c r="HH33" s="66">
        <v>0.1</v>
      </c>
      <c r="HI33" s="67">
        <v>0.1</v>
      </c>
      <c r="HJ33" s="67">
        <v>0.1</v>
      </c>
      <c r="HK33" s="67">
        <v>0.1</v>
      </c>
      <c r="HL33" s="67">
        <v>0.1</v>
      </c>
      <c r="HM33" s="67">
        <v>0.1</v>
      </c>
      <c r="HN33" s="67">
        <v>0.1</v>
      </c>
      <c r="HO33" s="68">
        <v>0.1</v>
      </c>
    </row>
    <row r="34" spans="1:224" ht="15.75" thickBot="1" x14ac:dyDescent="0.3">
      <c r="A34">
        <v>31</v>
      </c>
      <c r="B34" s="269" t="s">
        <v>1177</v>
      </c>
      <c r="C34" s="2"/>
      <c r="D34" s="2"/>
      <c r="E34" s="2"/>
      <c r="F34" s="2"/>
      <c r="G34" s="2"/>
      <c r="H34" s="258">
        <v>0.1</v>
      </c>
      <c r="I34" s="259">
        <v>0.1</v>
      </c>
      <c r="J34" s="259">
        <v>0.1</v>
      </c>
      <c r="K34" s="259">
        <v>0.1</v>
      </c>
      <c r="L34" s="259">
        <v>0.1</v>
      </c>
      <c r="M34" s="259">
        <v>0.1</v>
      </c>
      <c r="N34" s="259">
        <v>0.1</v>
      </c>
      <c r="O34" s="259">
        <v>0.1</v>
      </c>
      <c r="P34" s="259">
        <v>0.1</v>
      </c>
      <c r="Q34" s="259">
        <v>0.1</v>
      </c>
      <c r="R34" s="259">
        <v>0.1</v>
      </c>
      <c r="S34" s="259">
        <v>0.1</v>
      </c>
      <c r="T34" s="259">
        <v>0.1</v>
      </c>
      <c r="U34" s="259">
        <v>0.1</v>
      </c>
      <c r="V34" s="259">
        <v>0.1</v>
      </c>
      <c r="W34" s="259">
        <v>0.1</v>
      </c>
      <c r="X34" s="259">
        <v>0.1</v>
      </c>
      <c r="Y34" s="259">
        <v>0.1</v>
      </c>
      <c r="Z34" s="259">
        <v>0.1</v>
      </c>
      <c r="AA34" s="259">
        <v>0.1</v>
      </c>
      <c r="AB34" s="259">
        <v>0.1</v>
      </c>
      <c r="AC34" s="259">
        <v>0.1</v>
      </c>
      <c r="AD34" s="259">
        <v>0.1</v>
      </c>
      <c r="AE34" s="259">
        <v>0.1</v>
      </c>
      <c r="AF34" s="259">
        <v>0.1</v>
      </c>
      <c r="AG34" s="259">
        <v>0.1</v>
      </c>
      <c r="AH34" s="259">
        <v>0.1</v>
      </c>
      <c r="AI34" s="259">
        <v>0.1</v>
      </c>
      <c r="AJ34" s="259">
        <v>0.1</v>
      </c>
      <c r="AK34" s="259">
        <v>0.1</v>
      </c>
      <c r="AL34" s="259">
        <v>0.1</v>
      </c>
      <c r="AM34" s="259">
        <v>0.1</v>
      </c>
      <c r="AN34" s="259">
        <v>0.1</v>
      </c>
      <c r="AO34" s="259">
        <v>0.1</v>
      </c>
      <c r="AP34" s="259">
        <v>0.1</v>
      </c>
      <c r="AQ34" s="259">
        <v>0.1</v>
      </c>
      <c r="AR34" s="259">
        <v>0.1</v>
      </c>
      <c r="AS34" s="259">
        <v>0.1</v>
      </c>
      <c r="AT34" s="259">
        <v>0.1</v>
      </c>
      <c r="AU34" s="259">
        <v>0.1</v>
      </c>
      <c r="AV34" s="259">
        <v>0.1</v>
      </c>
      <c r="AW34" s="259">
        <v>0.1</v>
      </c>
      <c r="AX34" s="259">
        <v>0.1</v>
      </c>
      <c r="AY34" s="259">
        <v>0.1</v>
      </c>
      <c r="AZ34" s="259">
        <v>0.1</v>
      </c>
      <c r="BA34" s="259">
        <v>0.1</v>
      </c>
      <c r="BB34" s="259">
        <v>0.1</v>
      </c>
      <c r="BC34" s="259">
        <v>0.1</v>
      </c>
      <c r="BD34" s="259">
        <v>0.1</v>
      </c>
      <c r="BE34" s="259">
        <v>0.1</v>
      </c>
      <c r="BF34" s="259">
        <v>0.1</v>
      </c>
      <c r="BG34" s="259">
        <v>0.1</v>
      </c>
      <c r="BH34" s="259">
        <v>0.1</v>
      </c>
      <c r="BI34" s="259">
        <v>0.1</v>
      </c>
      <c r="BJ34" s="259">
        <v>0.1</v>
      </c>
      <c r="BK34" s="259">
        <v>0.1</v>
      </c>
      <c r="BL34" s="259">
        <v>0.1</v>
      </c>
      <c r="BM34" s="259">
        <v>0.1</v>
      </c>
      <c r="BN34" s="259">
        <v>0.1</v>
      </c>
      <c r="BO34" s="260">
        <v>0.1</v>
      </c>
      <c r="BS34">
        <v>31</v>
      </c>
      <c r="BT34" s="271" t="s">
        <v>1209</v>
      </c>
      <c r="BU34" s="271">
        <v>0.95</v>
      </c>
      <c r="BV34" s="270">
        <v>0.9</v>
      </c>
      <c r="BW34" s="2"/>
      <c r="BX34" s="2"/>
      <c r="BY34" s="258">
        <v>0.1</v>
      </c>
      <c r="BZ34" s="259">
        <v>0.1</v>
      </c>
      <c r="CA34" s="259">
        <v>0.1</v>
      </c>
      <c r="CB34" s="259">
        <v>0.1</v>
      </c>
      <c r="CC34" s="259">
        <v>0.1</v>
      </c>
      <c r="CD34" s="259">
        <v>0.1</v>
      </c>
      <c r="CE34" s="259">
        <v>0.1</v>
      </c>
      <c r="CF34" s="259">
        <v>0.1</v>
      </c>
      <c r="CG34" s="259">
        <v>0.1</v>
      </c>
      <c r="CH34" s="259">
        <v>0.1</v>
      </c>
      <c r="CI34" s="259">
        <v>0.1</v>
      </c>
      <c r="CJ34" s="259">
        <v>0.1</v>
      </c>
      <c r="CK34" s="259">
        <v>0.1</v>
      </c>
      <c r="CL34" s="259">
        <v>0.1</v>
      </c>
      <c r="CM34" s="259">
        <v>0.1</v>
      </c>
      <c r="CN34" s="259">
        <v>0.1</v>
      </c>
      <c r="CO34" s="259">
        <v>0.1</v>
      </c>
      <c r="CP34" s="259">
        <v>0.1</v>
      </c>
      <c r="CQ34" s="259">
        <v>0.1</v>
      </c>
      <c r="CR34" s="259">
        <v>0.1</v>
      </c>
      <c r="CS34" s="259">
        <v>0.1</v>
      </c>
      <c r="CT34" s="259">
        <v>0.1</v>
      </c>
      <c r="CU34" s="259">
        <v>0.1</v>
      </c>
      <c r="CV34" s="262">
        <v>0.1</v>
      </c>
      <c r="CW34" s="262">
        <v>0.1</v>
      </c>
      <c r="CX34" s="262">
        <v>0.1</v>
      </c>
      <c r="CY34" s="262">
        <v>0.1</v>
      </c>
      <c r="CZ34" s="262">
        <v>0.1</v>
      </c>
      <c r="DA34" s="262">
        <v>0.1</v>
      </c>
      <c r="DB34" s="262">
        <v>0.1</v>
      </c>
      <c r="DC34" s="262">
        <v>0.1</v>
      </c>
      <c r="DD34" s="262">
        <v>0.1</v>
      </c>
      <c r="DE34" s="262">
        <v>0.1</v>
      </c>
      <c r="DF34" s="262">
        <v>0.1</v>
      </c>
      <c r="DG34" s="262">
        <v>0.1</v>
      </c>
      <c r="DH34" s="262">
        <v>0.1</v>
      </c>
      <c r="DI34" s="262">
        <v>0.1</v>
      </c>
      <c r="DJ34" s="262">
        <v>0.1</v>
      </c>
      <c r="DK34" s="262">
        <v>0.1</v>
      </c>
      <c r="DL34" s="263">
        <v>0.1</v>
      </c>
      <c r="DM34" s="258">
        <v>0.1</v>
      </c>
      <c r="DN34" s="259">
        <v>0.1</v>
      </c>
      <c r="DO34" s="259">
        <v>0.1</v>
      </c>
      <c r="DP34" s="259">
        <v>0.1</v>
      </c>
      <c r="DQ34" s="259">
        <v>0.1</v>
      </c>
      <c r="DR34" s="259">
        <v>0.1</v>
      </c>
      <c r="DS34" s="259">
        <v>0.1</v>
      </c>
      <c r="DT34" s="259">
        <v>0.1</v>
      </c>
      <c r="DU34" s="259">
        <v>0.1</v>
      </c>
      <c r="DV34" s="260">
        <v>0.1</v>
      </c>
      <c r="DW34" s="258">
        <v>0.1</v>
      </c>
      <c r="DX34" s="259">
        <v>0.1</v>
      </c>
      <c r="DY34" s="273">
        <v>0.1</v>
      </c>
      <c r="DZ34" s="259">
        <v>0.1</v>
      </c>
      <c r="EA34" s="259">
        <v>0.1</v>
      </c>
      <c r="EB34" s="259">
        <v>0.1</v>
      </c>
      <c r="EC34" s="259">
        <v>0.1</v>
      </c>
      <c r="ED34" s="259">
        <v>0.1</v>
      </c>
      <c r="EE34" s="260">
        <v>0.1</v>
      </c>
      <c r="EF34">
        <v>0.1</v>
      </c>
      <c r="EG34">
        <f>SUM(EF34)</f>
        <v>0.1</v>
      </c>
      <c r="EI34">
        <v>0</v>
      </c>
      <c r="EJ34">
        <v>31</v>
      </c>
      <c r="EN34">
        <v>0.1</v>
      </c>
      <c r="EO34">
        <v>0.1</v>
      </c>
      <c r="EP34">
        <v>0.1</v>
      </c>
      <c r="EQ34">
        <v>0.1</v>
      </c>
      <c r="ER34">
        <v>0.1</v>
      </c>
      <c r="ES34">
        <v>0.1</v>
      </c>
      <c r="ET34">
        <v>0.1</v>
      </c>
      <c r="EU34">
        <v>0.1</v>
      </c>
      <c r="EV34">
        <v>0.1</v>
      </c>
      <c r="EW34">
        <v>0.1</v>
      </c>
      <c r="EX34">
        <v>0.1</v>
      </c>
      <c r="EY34">
        <v>0.1</v>
      </c>
      <c r="EZ34">
        <v>0.1</v>
      </c>
      <c r="FA34">
        <v>0.1</v>
      </c>
      <c r="FB34">
        <v>0.1</v>
      </c>
      <c r="FC34">
        <v>0.1</v>
      </c>
      <c r="FD34">
        <v>0.1</v>
      </c>
      <c r="FE34">
        <v>0.1</v>
      </c>
      <c r="FF34">
        <v>0.1</v>
      </c>
      <c r="FG34">
        <v>0.1</v>
      </c>
      <c r="FH34">
        <v>0.1</v>
      </c>
      <c r="FI34">
        <v>0.1</v>
      </c>
      <c r="FJ34">
        <v>0.1</v>
      </c>
      <c r="FK34">
        <v>0.1</v>
      </c>
      <c r="FL34">
        <v>0.1</v>
      </c>
      <c r="FM34">
        <v>0.1</v>
      </c>
      <c r="FN34">
        <v>0.1</v>
      </c>
      <c r="FO34">
        <v>0.1</v>
      </c>
      <c r="FP34">
        <v>0.1</v>
      </c>
      <c r="FQ34">
        <v>0.1</v>
      </c>
      <c r="FU34">
        <v>31</v>
      </c>
      <c r="FV34">
        <v>0.84</v>
      </c>
      <c r="FW34">
        <v>0.84</v>
      </c>
      <c r="FX34">
        <v>0.84</v>
      </c>
      <c r="FY34">
        <v>0.84</v>
      </c>
      <c r="FZ34">
        <v>0.32</v>
      </c>
      <c r="GB34" s="66">
        <v>0.1</v>
      </c>
      <c r="GC34" s="67">
        <v>0.1</v>
      </c>
      <c r="GD34" s="67">
        <v>0.1</v>
      </c>
      <c r="GE34" s="67">
        <v>0.1</v>
      </c>
      <c r="GF34" s="67">
        <v>0.1</v>
      </c>
      <c r="GG34" s="67">
        <v>0.1</v>
      </c>
      <c r="GH34" s="67">
        <v>0.1</v>
      </c>
      <c r="GI34" s="67">
        <v>0.1</v>
      </c>
      <c r="GJ34" s="68">
        <v>0.1</v>
      </c>
      <c r="GK34" s="66">
        <v>0.1</v>
      </c>
      <c r="GL34" s="67">
        <v>0.1</v>
      </c>
      <c r="GM34" s="67">
        <v>0.1</v>
      </c>
      <c r="GN34" s="67">
        <v>0.1</v>
      </c>
      <c r="GO34" s="67">
        <v>0.1</v>
      </c>
      <c r="GP34" s="67">
        <v>0.1</v>
      </c>
      <c r="GQ34" s="67">
        <v>0.1</v>
      </c>
      <c r="GR34" s="67">
        <v>0.1</v>
      </c>
      <c r="GS34" s="68">
        <v>0.1</v>
      </c>
      <c r="GT34" s="66">
        <v>0.1</v>
      </c>
      <c r="GU34" s="67">
        <v>0.1</v>
      </c>
      <c r="GV34" s="67">
        <v>0.1</v>
      </c>
      <c r="GW34" s="67">
        <v>0.1</v>
      </c>
      <c r="GX34" s="67">
        <v>0.1</v>
      </c>
      <c r="GY34" s="67">
        <v>0.1</v>
      </c>
      <c r="GZ34" s="67">
        <v>0.1</v>
      </c>
      <c r="HA34" s="67">
        <v>0.1</v>
      </c>
      <c r="HB34" s="68">
        <v>0.1</v>
      </c>
      <c r="HC34" s="66">
        <v>0.1</v>
      </c>
      <c r="HD34" s="67">
        <v>0.1</v>
      </c>
      <c r="HE34" s="67">
        <v>0.1</v>
      </c>
      <c r="HF34" s="67">
        <v>0.1</v>
      </c>
      <c r="HG34" s="67">
        <v>0.1</v>
      </c>
      <c r="HH34" s="67">
        <v>0.1</v>
      </c>
      <c r="HI34" s="67">
        <v>0.1</v>
      </c>
      <c r="HJ34" s="67">
        <v>0.1</v>
      </c>
      <c r="HK34" s="68">
        <v>0.1</v>
      </c>
      <c r="HL34" s="66">
        <v>0.1</v>
      </c>
      <c r="HM34" s="67">
        <v>0.1</v>
      </c>
      <c r="HN34" s="67">
        <v>0.1</v>
      </c>
      <c r="HO34" s="68">
        <v>0.1</v>
      </c>
    </row>
    <row r="35" spans="1:224" ht="15.75" thickBot="1" x14ac:dyDescent="0.3">
      <c r="A35">
        <v>32</v>
      </c>
      <c r="B35" s="269" t="s">
        <v>1178</v>
      </c>
      <c r="C35" s="2"/>
      <c r="D35" s="2"/>
      <c r="E35" s="2"/>
      <c r="F35" s="2"/>
      <c r="G35" s="2"/>
      <c r="H35" s="258">
        <v>0.1</v>
      </c>
      <c r="I35" s="259">
        <v>0.1</v>
      </c>
      <c r="J35" s="259">
        <v>0.1</v>
      </c>
      <c r="K35" s="259">
        <v>0.1</v>
      </c>
      <c r="L35" s="259">
        <v>0.1</v>
      </c>
      <c r="M35" s="259">
        <v>0.1</v>
      </c>
      <c r="N35" s="259">
        <v>0.1</v>
      </c>
      <c r="O35" s="259">
        <v>0.1</v>
      </c>
      <c r="P35" s="259">
        <v>0.1</v>
      </c>
      <c r="Q35" s="259">
        <v>0.1</v>
      </c>
      <c r="R35" s="259">
        <v>0.1</v>
      </c>
      <c r="S35" s="259">
        <v>0.1</v>
      </c>
      <c r="T35" s="259">
        <v>0.1</v>
      </c>
      <c r="U35" s="259">
        <v>0.1</v>
      </c>
      <c r="V35" s="259">
        <v>0.1</v>
      </c>
      <c r="W35" s="259">
        <v>0.1</v>
      </c>
      <c r="X35" s="259">
        <v>0.1</v>
      </c>
      <c r="Y35" s="259">
        <v>0.1</v>
      </c>
      <c r="Z35" s="259">
        <v>0.1</v>
      </c>
      <c r="AA35" s="259">
        <v>0.1</v>
      </c>
      <c r="AB35" s="259">
        <v>0.1</v>
      </c>
      <c r="AC35" s="259">
        <v>0.1</v>
      </c>
      <c r="AD35" s="259">
        <v>0.1</v>
      </c>
      <c r="AE35" s="259">
        <v>0.1</v>
      </c>
      <c r="AF35" s="259">
        <v>0.1</v>
      </c>
      <c r="AG35" s="259">
        <v>0.1</v>
      </c>
      <c r="AH35" s="259">
        <v>0.1</v>
      </c>
      <c r="AI35" s="259">
        <v>0.1</v>
      </c>
      <c r="AJ35" s="259">
        <v>0.1</v>
      </c>
      <c r="AK35" s="259">
        <v>0.1</v>
      </c>
      <c r="AL35" s="259">
        <v>0.1</v>
      </c>
      <c r="AM35" s="259">
        <v>0.1</v>
      </c>
      <c r="AN35" s="259">
        <v>0.1</v>
      </c>
      <c r="AO35" s="259">
        <v>0.1</v>
      </c>
      <c r="AP35" s="259">
        <v>0.1</v>
      </c>
      <c r="AQ35" s="259">
        <v>0.1</v>
      </c>
      <c r="AR35" s="259">
        <v>0.1</v>
      </c>
      <c r="AS35" s="259">
        <v>0.1</v>
      </c>
      <c r="AT35" s="259">
        <v>0.1</v>
      </c>
      <c r="AU35" s="259">
        <v>0.1</v>
      </c>
      <c r="AV35" s="259">
        <v>0.1</v>
      </c>
      <c r="AW35" s="259">
        <v>0.1</v>
      </c>
      <c r="AX35" s="259">
        <v>0.1</v>
      </c>
      <c r="AY35" s="259">
        <v>0.1</v>
      </c>
      <c r="AZ35" s="259">
        <v>0.1</v>
      </c>
      <c r="BA35" s="259">
        <v>0.1</v>
      </c>
      <c r="BB35" s="259">
        <v>0.1</v>
      </c>
      <c r="BC35" s="259">
        <v>0.1</v>
      </c>
      <c r="BD35" s="259">
        <v>0.1</v>
      </c>
      <c r="BE35" s="259">
        <v>0.1</v>
      </c>
      <c r="BF35" s="259">
        <v>0.1</v>
      </c>
      <c r="BG35" s="259">
        <v>0.1</v>
      </c>
      <c r="BH35" s="259">
        <v>0.1</v>
      </c>
      <c r="BI35" s="259">
        <v>0.1</v>
      </c>
      <c r="BJ35" s="260">
        <v>0.1</v>
      </c>
      <c r="BK35">
        <v>0.1</v>
      </c>
      <c r="BL35">
        <v>0.1</v>
      </c>
      <c r="BM35">
        <v>0.1</v>
      </c>
      <c r="BN35">
        <v>0.1</v>
      </c>
      <c r="BO35">
        <v>0.1</v>
      </c>
      <c r="BP35">
        <f>SUM(BK35:BO35)</f>
        <v>0.5</v>
      </c>
      <c r="BS35">
        <v>32</v>
      </c>
      <c r="BT35" s="271" t="s">
        <v>1210</v>
      </c>
      <c r="BU35" s="270" t="s">
        <v>1211</v>
      </c>
      <c r="BV35" s="270">
        <v>1.04</v>
      </c>
      <c r="BW35" s="2"/>
      <c r="BX35" s="2"/>
      <c r="BY35" s="258">
        <v>0.1</v>
      </c>
      <c r="BZ35" s="259">
        <v>0.1</v>
      </c>
      <c r="CA35" s="259">
        <v>0.1</v>
      </c>
      <c r="CB35" s="259">
        <v>0.1</v>
      </c>
      <c r="CC35" s="259">
        <v>0.1</v>
      </c>
      <c r="CD35" s="259">
        <v>0.1</v>
      </c>
      <c r="CE35" s="259">
        <v>0.1</v>
      </c>
      <c r="CF35" s="259">
        <v>0.1</v>
      </c>
      <c r="CG35" s="259">
        <v>0.1</v>
      </c>
      <c r="CH35" s="259">
        <v>0.1</v>
      </c>
      <c r="CI35" s="259">
        <v>0.1</v>
      </c>
      <c r="CJ35" s="259">
        <v>0.1</v>
      </c>
      <c r="CK35" s="259">
        <v>0.1</v>
      </c>
      <c r="CL35" s="259">
        <v>0.1</v>
      </c>
      <c r="CM35" s="259">
        <v>0.1</v>
      </c>
      <c r="CN35" s="259">
        <v>0.1</v>
      </c>
      <c r="CO35" s="259">
        <v>0.1</v>
      </c>
      <c r="CP35" s="259">
        <v>0.1</v>
      </c>
      <c r="CQ35" s="259">
        <v>0.1</v>
      </c>
      <c r="CR35" s="259">
        <v>0.1</v>
      </c>
      <c r="CS35" s="259">
        <v>0.1</v>
      </c>
      <c r="CT35" s="259">
        <v>0.1</v>
      </c>
      <c r="CU35" s="260">
        <v>0.1</v>
      </c>
      <c r="CV35" s="258">
        <v>0.1</v>
      </c>
      <c r="CW35" s="259">
        <v>0.1</v>
      </c>
      <c r="CX35" s="259">
        <v>0.1</v>
      </c>
      <c r="CY35" s="259">
        <v>0.1</v>
      </c>
      <c r="CZ35" s="259">
        <v>0.1</v>
      </c>
      <c r="DA35" s="259">
        <v>0.1</v>
      </c>
      <c r="DB35" s="259">
        <v>0.1</v>
      </c>
      <c r="DC35" s="259">
        <v>0.1</v>
      </c>
      <c r="DD35" s="259">
        <v>0.1</v>
      </c>
      <c r="DE35" s="259">
        <v>0.1</v>
      </c>
      <c r="DF35" s="259">
        <v>0.1</v>
      </c>
      <c r="DG35" s="259">
        <v>0.1</v>
      </c>
      <c r="DH35" s="259">
        <v>0.1</v>
      </c>
      <c r="DI35" s="259">
        <v>0.1</v>
      </c>
      <c r="DJ35" s="259">
        <v>0.1</v>
      </c>
      <c r="DK35" s="259">
        <v>0.1</v>
      </c>
      <c r="DL35" s="259">
        <v>0.1</v>
      </c>
      <c r="DM35" s="259">
        <v>0.1</v>
      </c>
      <c r="DN35" s="259">
        <v>0.1</v>
      </c>
      <c r="DO35" s="259">
        <v>0.1</v>
      </c>
      <c r="DP35" s="259">
        <v>0.1</v>
      </c>
      <c r="DQ35" s="260">
        <v>0.1</v>
      </c>
      <c r="DR35" s="258">
        <v>0.1</v>
      </c>
      <c r="DS35" s="259">
        <v>0.1</v>
      </c>
      <c r="DT35" s="259">
        <v>0.1</v>
      </c>
      <c r="DU35" s="259">
        <v>0.1</v>
      </c>
      <c r="DV35" s="259">
        <v>0.1</v>
      </c>
      <c r="DW35" s="259">
        <v>0.1</v>
      </c>
      <c r="DX35" s="259">
        <v>0.1</v>
      </c>
      <c r="DY35" s="259">
        <v>0.1</v>
      </c>
      <c r="DZ35" s="259">
        <v>0.1</v>
      </c>
      <c r="EA35" s="259">
        <v>0.1</v>
      </c>
      <c r="EB35" s="260">
        <v>0.1</v>
      </c>
      <c r="EC35">
        <v>0.1</v>
      </c>
      <c r="ED35">
        <v>0.1</v>
      </c>
      <c r="EE35">
        <v>0.1</v>
      </c>
      <c r="EF35">
        <v>0.1</v>
      </c>
      <c r="EG35">
        <f>SUM(EC35:EF35)</f>
        <v>0.4</v>
      </c>
      <c r="EI35">
        <v>0</v>
      </c>
      <c r="EJ35">
        <v>32</v>
      </c>
      <c r="EN35">
        <v>0.1</v>
      </c>
      <c r="EO35">
        <v>0.1</v>
      </c>
      <c r="EP35">
        <v>0.1</v>
      </c>
      <c r="EQ35">
        <v>0.1</v>
      </c>
      <c r="ER35">
        <v>0.1</v>
      </c>
      <c r="ES35">
        <v>0.1</v>
      </c>
      <c r="ET35">
        <v>0.1</v>
      </c>
      <c r="EU35">
        <v>0.1</v>
      </c>
      <c r="EV35">
        <v>0.1</v>
      </c>
      <c r="EW35">
        <v>0.1</v>
      </c>
      <c r="EX35">
        <v>0.1</v>
      </c>
      <c r="EY35">
        <v>0.1</v>
      </c>
      <c r="EZ35">
        <v>0.1</v>
      </c>
      <c r="FA35">
        <v>0.1</v>
      </c>
      <c r="FB35">
        <v>0.1</v>
      </c>
      <c r="FC35">
        <v>0.1</v>
      </c>
      <c r="FD35">
        <v>0.1</v>
      </c>
      <c r="FE35">
        <v>0.1</v>
      </c>
      <c r="FF35">
        <v>0.1</v>
      </c>
      <c r="FG35">
        <v>0.1</v>
      </c>
      <c r="FH35">
        <v>0.1</v>
      </c>
      <c r="FI35">
        <v>0.1</v>
      </c>
      <c r="FJ35">
        <v>0.1</v>
      </c>
      <c r="FK35">
        <v>0.1</v>
      </c>
      <c r="FL35">
        <v>0.1</v>
      </c>
      <c r="FM35">
        <v>0.1</v>
      </c>
      <c r="FN35">
        <v>0.1</v>
      </c>
      <c r="FO35">
        <v>0.1</v>
      </c>
      <c r="FP35">
        <v>0.1</v>
      </c>
      <c r="FQ35">
        <v>0.1</v>
      </c>
      <c r="FU35">
        <v>32</v>
      </c>
      <c r="FV35">
        <v>0.86</v>
      </c>
      <c r="FW35">
        <v>0.86</v>
      </c>
      <c r="FX35">
        <v>0.86</v>
      </c>
      <c r="FY35">
        <v>0.88</v>
      </c>
      <c r="FZ35">
        <v>0.32</v>
      </c>
      <c r="GB35" s="66">
        <v>0.1</v>
      </c>
      <c r="GC35" s="67">
        <v>0.1</v>
      </c>
      <c r="GD35" s="67">
        <v>0.1</v>
      </c>
      <c r="GE35" s="67">
        <v>0.1</v>
      </c>
      <c r="GF35" s="67">
        <v>0.1</v>
      </c>
      <c r="GG35" s="67">
        <v>0.1</v>
      </c>
      <c r="GH35" s="67">
        <v>0.1</v>
      </c>
      <c r="GI35" s="67">
        <v>0.1</v>
      </c>
      <c r="GJ35" s="68">
        <v>0.1</v>
      </c>
      <c r="GK35" s="66">
        <v>0.1</v>
      </c>
      <c r="GL35" s="67">
        <v>0.1</v>
      </c>
      <c r="GM35" s="67">
        <v>0.1</v>
      </c>
      <c r="GN35" s="67">
        <v>0.1</v>
      </c>
      <c r="GO35" s="67">
        <v>0.1</v>
      </c>
      <c r="GP35" s="67">
        <v>0.1</v>
      </c>
      <c r="GQ35" s="67">
        <v>0.1</v>
      </c>
      <c r="GR35" s="67">
        <v>0.1</v>
      </c>
      <c r="GS35" s="68">
        <v>0.1</v>
      </c>
      <c r="GT35" s="66">
        <v>0.1</v>
      </c>
      <c r="GU35" s="67">
        <v>0.1</v>
      </c>
      <c r="GV35" s="67">
        <v>0.1</v>
      </c>
      <c r="GW35" s="67">
        <v>0.1</v>
      </c>
      <c r="GX35" s="67">
        <v>0.1</v>
      </c>
      <c r="GY35" s="67">
        <v>0.1</v>
      </c>
      <c r="GZ35" s="67">
        <v>0.1</v>
      </c>
      <c r="HA35" s="67">
        <v>0.1</v>
      </c>
      <c r="HB35" s="68">
        <v>0.1</v>
      </c>
      <c r="HC35" s="66">
        <v>0.1</v>
      </c>
      <c r="HD35" s="67">
        <v>0.1</v>
      </c>
      <c r="HE35" s="67">
        <v>0.1</v>
      </c>
      <c r="HF35" s="67">
        <v>0.1</v>
      </c>
      <c r="HG35" s="67">
        <v>0.1</v>
      </c>
      <c r="HH35" s="67">
        <v>0.1</v>
      </c>
      <c r="HI35" s="67">
        <v>0.1</v>
      </c>
      <c r="HJ35" s="67">
        <v>0.1</v>
      </c>
      <c r="HK35" s="68">
        <v>0.1</v>
      </c>
      <c r="HL35" s="66">
        <v>0.1</v>
      </c>
      <c r="HM35" s="67">
        <v>0.1</v>
      </c>
      <c r="HN35" s="67">
        <v>0.1</v>
      </c>
      <c r="HO35" s="68">
        <v>0.1</v>
      </c>
    </row>
    <row r="36" spans="1:224" ht="15.75" thickBot="1" x14ac:dyDescent="0.3">
      <c r="A36">
        <v>33</v>
      </c>
      <c r="B36" s="269" t="s">
        <v>1177</v>
      </c>
      <c r="C36" s="2"/>
      <c r="D36" s="2"/>
      <c r="E36" s="2"/>
      <c r="F36" s="2"/>
      <c r="G36" s="2"/>
      <c r="H36" s="258">
        <v>0.1</v>
      </c>
      <c r="I36" s="259">
        <v>0.1</v>
      </c>
      <c r="J36" s="259">
        <v>0.1</v>
      </c>
      <c r="K36" s="259">
        <v>0.1</v>
      </c>
      <c r="L36" s="259">
        <v>0.1</v>
      </c>
      <c r="M36" s="259">
        <v>0.1</v>
      </c>
      <c r="N36" s="259">
        <v>0.1</v>
      </c>
      <c r="O36" s="259">
        <v>0.1</v>
      </c>
      <c r="P36" s="259">
        <v>0.1</v>
      </c>
      <c r="Q36" s="259">
        <v>0.1</v>
      </c>
      <c r="R36" s="259">
        <v>0.1</v>
      </c>
      <c r="S36" s="259">
        <v>0.1</v>
      </c>
      <c r="T36" s="259">
        <v>0.1</v>
      </c>
      <c r="U36" s="259">
        <v>0.1</v>
      </c>
      <c r="V36" s="259">
        <v>0.1</v>
      </c>
      <c r="W36" s="259">
        <v>0.1</v>
      </c>
      <c r="X36" s="259">
        <v>0.1</v>
      </c>
      <c r="Y36" s="259">
        <v>0.1</v>
      </c>
      <c r="Z36" s="259">
        <v>0.1</v>
      </c>
      <c r="AA36" s="259">
        <v>0.1</v>
      </c>
      <c r="AB36" s="259">
        <v>0.1</v>
      </c>
      <c r="AC36" s="259">
        <v>0.1</v>
      </c>
      <c r="AD36" s="259">
        <v>0.1</v>
      </c>
      <c r="AE36" s="259">
        <v>0.1</v>
      </c>
      <c r="AF36" s="259">
        <v>0.1</v>
      </c>
      <c r="AG36" s="259">
        <v>0.1</v>
      </c>
      <c r="AH36" s="259">
        <v>0.1</v>
      </c>
      <c r="AI36" s="259">
        <v>0.1</v>
      </c>
      <c r="AJ36" s="259">
        <v>0.1</v>
      </c>
      <c r="AK36" s="259">
        <v>0.1</v>
      </c>
      <c r="AL36" s="259">
        <v>0.1</v>
      </c>
      <c r="AM36" s="259">
        <v>0.1</v>
      </c>
      <c r="AN36" s="259">
        <v>0.1</v>
      </c>
      <c r="AO36" s="259">
        <v>0.1</v>
      </c>
      <c r="AP36" s="259">
        <v>0.1</v>
      </c>
      <c r="AQ36" s="259">
        <v>0.1</v>
      </c>
      <c r="AR36" s="259">
        <v>0.1</v>
      </c>
      <c r="AS36" s="259">
        <v>0.1</v>
      </c>
      <c r="AT36" s="259">
        <v>0.1</v>
      </c>
      <c r="AU36" s="259">
        <v>0.1</v>
      </c>
      <c r="AV36" s="259">
        <v>0.1</v>
      </c>
      <c r="AW36" s="259">
        <v>0.1</v>
      </c>
      <c r="AX36" s="259">
        <v>0.1</v>
      </c>
      <c r="AY36" s="259">
        <v>0.1</v>
      </c>
      <c r="AZ36" s="259">
        <v>0.1</v>
      </c>
      <c r="BA36" s="259">
        <v>0.1</v>
      </c>
      <c r="BB36" s="259">
        <v>0.1</v>
      </c>
      <c r="BC36" s="259">
        <v>0.1</v>
      </c>
      <c r="BD36" s="259">
        <v>0.1</v>
      </c>
      <c r="BE36" s="259">
        <v>0.1</v>
      </c>
      <c r="BF36" s="259">
        <v>0.1</v>
      </c>
      <c r="BG36" s="259">
        <v>0.1</v>
      </c>
      <c r="BH36" s="259">
        <v>0.1</v>
      </c>
      <c r="BI36" s="259">
        <v>0.1</v>
      </c>
      <c r="BJ36" s="259">
        <v>0.1</v>
      </c>
      <c r="BK36" s="259">
        <v>0.1</v>
      </c>
      <c r="BL36" s="259">
        <v>0.1</v>
      </c>
      <c r="BM36" s="259">
        <v>0.1</v>
      </c>
      <c r="BN36" s="259">
        <v>0.1</v>
      </c>
      <c r="BO36" s="260">
        <v>0.1</v>
      </c>
      <c r="BS36">
        <v>33</v>
      </c>
      <c r="BT36" s="270" t="s">
        <v>1212</v>
      </c>
      <c r="BU36" s="271">
        <v>0.9</v>
      </c>
      <c r="BV36" s="270">
        <v>0.89</v>
      </c>
      <c r="BW36" s="2"/>
      <c r="BX36" s="2"/>
      <c r="BY36" s="258">
        <v>0.1</v>
      </c>
      <c r="BZ36" s="259">
        <v>0.1</v>
      </c>
      <c r="CA36" s="259">
        <v>0.1</v>
      </c>
      <c r="CB36" s="259">
        <v>0.1</v>
      </c>
      <c r="CC36" s="259">
        <v>0.1</v>
      </c>
      <c r="CD36" s="259">
        <v>0.1</v>
      </c>
      <c r="CE36" s="259">
        <v>0.1</v>
      </c>
      <c r="CF36" s="259">
        <v>0.1</v>
      </c>
      <c r="CG36" s="259">
        <v>0.1</v>
      </c>
      <c r="CH36" s="259">
        <v>0.1</v>
      </c>
      <c r="CI36" s="259">
        <v>0.1</v>
      </c>
      <c r="CJ36" s="259">
        <v>0.1</v>
      </c>
      <c r="CK36" s="259">
        <v>0.1</v>
      </c>
      <c r="CL36" s="259">
        <v>0.1</v>
      </c>
      <c r="CM36" s="259">
        <v>0.1</v>
      </c>
      <c r="CN36" s="259">
        <v>0.1</v>
      </c>
      <c r="CO36" s="259">
        <v>0.1</v>
      </c>
      <c r="CP36" s="259">
        <v>0.1</v>
      </c>
      <c r="CQ36" s="259">
        <v>0.1</v>
      </c>
      <c r="CR36" s="259">
        <v>0.1</v>
      </c>
      <c r="CS36" s="259">
        <v>0.1</v>
      </c>
      <c r="CT36" s="259">
        <v>0.1</v>
      </c>
      <c r="CU36" s="259">
        <v>0.1</v>
      </c>
      <c r="CV36" s="264">
        <v>0.1</v>
      </c>
      <c r="CW36" s="264">
        <v>0.1</v>
      </c>
      <c r="CX36" s="264">
        <v>0.1</v>
      </c>
      <c r="CY36" s="264">
        <v>0.1</v>
      </c>
      <c r="CZ36" s="264">
        <v>0.1</v>
      </c>
      <c r="DA36" s="264">
        <v>0.1</v>
      </c>
      <c r="DB36" s="264">
        <v>0.1</v>
      </c>
      <c r="DC36" s="264">
        <v>0.1</v>
      </c>
      <c r="DD36" s="264">
        <v>0.1</v>
      </c>
      <c r="DE36" s="264">
        <v>0.1</v>
      </c>
      <c r="DF36" s="264">
        <v>0.1</v>
      </c>
      <c r="DG36" s="264">
        <v>0.1</v>
      </c>
      <c r="DH36" s="264">
        <v>0.1</v>
      </c>
      <c r="DI36" s="264">
        <v>0.1</v>
      </c>
      <c r="DJ36" s="264">
        <v>0.1</v>
      </c>
      <c r="DK36" s="264">
        <v>0.1</v>
      </c>
      <c r="DL36" s="265">
        <v>0.1</v>
      </c>
      <c r="DM36" s="258">
        <v>0.1</v>
      </c>
      <c r="DN36" s="259">
        <v>0.1</v>
      </c>
      <c r="DO36" s="273">
        <v>0.1</v>
      </c>
      <c r="DP36" s="259">
        <v>0.1</v>
      </c>
      <c r="DQ36" s="259">
        <v>0.1</v>
      </c>
      <c r="DR36" s="259">
        <v>0.1</v>
      </c>
      <c r="DS36" s="259">
        <v>0.1</v>
      </c>
      <c r="DT36" s="259">
        <v>0.1</v>
      </c>
      <c r="DU36" s="260">
        <v>0.1</v>
      </c>
      <c r="DV36" s="258">
        <v>0.1</v>
      </c>
      <c r="DW36" s="259">
        <v>0.1</v>
      </c>
      <c r="DX36" s="273">
        <v>0.1</v>
      </c>
      <c r="DY36" s="259">
        <v>0.1</v>
      </c>
      <c r="DZ36" s="259">
        <v>0.1</v>
      </c>
      <c r="EA36" s="259">
        <v>0.1</v>
      </c>
      <c r="EB36" s="259">
        <v>0.1</v>
      </c>
      <c r="EC36" s="259">
        <v>0.1</v>
      </c>
      <c r="ED36" s="260">
        <v>0.1</v>
      </c>
      <c r="EE36">
        <v>0.1</v>
      </c>
      <c r="EF36">
        <v>0.1</v>
      </c>
      <c r="EG36">
        <f>SUM(EE36:EF36)</f>
        <v>0.2</v>
      </c>
      <c r="EI36">
        <v>0</v>
      </c>
      <c r="EJ36">
        <v>33</v>
      </c>
      <c r="EN36">
        <v>0.1</v>
      </c>
      <c r="EO36">
        <v>0.1</v>
      </c>
      <c r="EP36">
        <v>0.1</v>
      </c>
      <c r="EQ36">
        <v>0.1</v>
      </c>
      <c r="ER36">
        <v>0.1</v>
      </c>
      <c r="ES36">
        <v>0.1</v>
      </c>
      <c r="ET36">
        <v>0.1</v>
      </c>
      <c r="EU36">
        <v>0.1</v>
      </c>
      <c r="EV36">
        <v>0.1</v>
      </c>
      <c r="EW36">
        <v>0.1</v>
      </c>
      <c r="EX36">
        <v>0.1</v>
      </c>
      <c r="EY36">
        <v>0.1</v>
      </c>
      <c r="EZ36">
        <v>0.1</v>
      </c>
      <c r="FA36">
        <v>0.1</v>
      </c>
      <c r="FB36">
        <v>0.1</v>
      </c>
      <c r="FC36">
        <v>0.1</v>
      </c>
      <c r="FD36">
        <v>0.1</v>
      </c>
      <c r="FE36">
        <v>0.1</v>
      </c>
      <c r="FF36">
        <v>0.1</v>
      </c>
      <c r="FG36">
        <v>0.1</v>
      </c>
      <c r="FH36">
        <v>0.1</v>
      </c>
      <c r="FI36">
        <v>0.1</v>
      </c>
      <c r="FJ36">
        <v>0.1</v>
      </c>
      <c r="FK36">
        <v>0.1</v>
      </c>
      <c r="FL36">
        <v>0.1</v>
      </c>
      <c r="FM36">
        <v>0.1</v>
      </c>
      <c r="FN36">
        <v>0.1</v>
      </c>
      <c r="FO36">
        <v>0.1</v>
      </c>
      <c r="FP36">
        <v>0.1</v>
      </c>
      <c r="FQ36">
        <v>0.1</v>
      </c>
      <c r="FU36">
        <v>33</v>
      </c>
      <c r="FV36">
        <v>0.88</v>
      </c>
      <c r="FW36">
        <v>0.88</v>
      </c>
      <c r="FX36">
        <v>0.88</v>
      </c>
      <c r="FY36">
        <v>0.88</v>
      </c>
      <c r="FZ36">
        <v>0.32</v>
      </c>
      <c r="GB36" s="66">
        <v>0.1</v>
      </c>
      <c r="GC36" s="67">
        <v>0.1</v>
      </c>
      <c r="GD36" s="67">
        <v>0.1</v>
      </c>
      <c r="GE36" s="67">
        <v>0.1</v>
      </c>
      <c r="GF36" s="67">
        <v>0.1</v>
      </c>
      <c r="GG36" s="67">
        <v>0.1</v>
      </c>
      <c r="GH36" s="67">
        <v>0.1</v>
      </c>
      <c r="GI36" s="67">
        <v>0.1</v>
      </c>
      <c r="GJ36" s="68">
        <v>0.1</v>
      </c>
      <c r="GK36" s="66">
        <v>0.1</v>
      </c>
      <c r="GL36" s="67">
        <v>0.1</v>
      </c>
      <c r="GM36" s="67">
        <v>0.1</v>
      </c>
      <c r="GN36" s="67">
        <v>0.1</v>
      </c>
      <c r="GO36" s="67">
        <v>0.1</v>
      </c>
      <c r="GP36" s="67">
        <v>0.1</v>
      </c>
      <c r="GQ36" s="67">
        <v>0.1</v>
      </c>
      <c r="GR36" s="67">
        <v>0.1</v>
      </c>
      <c r="GS36" s="68">
        <v>0.1</v>
      </c>
      <c r="GT36" s="66">
        <v>0.1</v>
      </c>
      <c r="GU36" s="67">
        <v>0.1</v>
      </c>
      <c r="GV36" s="67">
        <v>0.1</v>
      </c>
      <c r="GW36" s="67">
        <v>0.1</v>
      </c>
      <c r="GX36" s="67">
        <v>0.1</v>
      </c>
      <c r="GY36" s="67">
        <v>0.1</v>
      </c>
      <c r="GZ36" s="67">
        <v>0.1</v>
      </c>
      <c r="HA36" s="67">
        <v>0.1</v>
      </c>
      <c r="HB36" s="68">
        <v>0.1</v>
      </c>
      <c r="HC36" s="66">
        <v>0.1</v>
      </c>
      <c r="HD36" s="67">
        <v>0.1</v>
      </c>
      <c r="HE36" s="67">
        <v>0.1</v>
      </c>
      <c r="HF36" s="67">
        <v>0.1</v>
      </c>
      <c r="HG36" s="67">
        <v>0.1</v>
      </c>
      <c r="HH36" s="67">
        <v>0.1</v>
      </c>
      <c r="HI36" s="67">
        <v>0.1</v>
      </c>
      <c r="HJ36" s="67">
        <v>0.1</v>
      </c>
      <c r="HK36" s="68">
        <v>0.1</v>
      </c>
      <c r="HL36" s="66">
        <v>0.1</v>
      </c>
      <c r="HM36" s="67">
        <v>0.1</v>
      </c>
      <c r="HN36" s="67">
        <v>0.1</v>
      </c>
      <c r="HO36" s="68">
        <v>0.1</v>
      </c>
    </row>
    <row r="37" spans="1:224" ht="15.75" thickBot="1" x14ac:dyDescent="0.3">
      <c r="A37">
        <v>34</v>
      </c>
      <c r="B37" s="269" t="s">
        <v>1178</v>
      </c>
      <c r="C37" s="2"/>
      <c r="D37" s="2"/>
      <c r="E37" s="2"/>
      <c r="F37" s="2"/>
      <c r="G37" s="2"/>
      <c r="H37" s="258">
        <v>0.1</v>
      </c>
      <c r="I37" s="259">
        <v>0.1</v>
      </c>
      <c r="J37" s="259">
        <v>0.1</v>
      </c>
      <c r="K37" s="259">
        <v>0.1</v>
      </c>
      <c r="L37" s="259">
        <v>0.1</v>
      </c>
      <c r="M37" s="259">
        <v>0.1</v>
      </c>
      <c r="N37" s="259">
        <v>0.1</v>
      </c>
      <c r="O37" s="259">
        <v>0.1</v>
      </c>
      <c r="P37" s="259">
        <v>0.1</v>
      </c>
      <c r="Q37" s="259">
        <v>0.1</v>
      </c>
      <c r="R37" s="259">
        <v>0.1</v>
      </c>
      <c r="S37" s="259">
        <v>0.1</v>
      </c>
      <c r="T37" s="259">
        <v>0.1</v>
      </c>
      <c r="U37" s="259">
        <v>0.1</v>
      </c>
      <c r="V37" s="259">
        <v>0.1</v>
      </c>
      <c r="W37" s="259">
        <v>0.1</v>
      </c>
      <c r="X37" s="259">
        <v>0.1</v>
      </c>
      <c r="Y37" s="259">
        <v>0.1</v>
      </c>
      <c r="Z37" s="259">
        <v>0.1</v>
      </c>
      <c r="AA37" s="259">
        <v>0.1</v>
      </c>
      <c r="AB37" s="259">
        <v>0.1</v>
      </c>
      <c r="AC37" s="259">
        <v>0.1</v>
      </c>
      <c r="AD37" s="259">
        <v>0.1</v>
      </c>
      <c r="AE37" s="259">
        <v>0.1</v>
      </c>
      <c r="AF37" s="259">
        <v>0.1</v>
      </c>
      <c r="AG37" s="259">
        <v>0.1</v>
      </c>
      <c r="AH37" s="259">
        <v>0.1</v>
      </c>
      <c r="AI37" s="259">
        <v>0.1</v>
      </c>
      <c r="AJ37" s="259">
        <v>0.1</v>
      </c>
      <c r="AK37" s="259">
        <v>0.1</v>
      </c>
      <c r="AL37" s="259">
        <v>0.1</v>
      </c>
      <c r="AM37" s="259">
        <v>0.1</v>
      </c>
      <c r="AN37" s="259">
        <v>0.1</v>
      </c>
      <c r="AO37" s="259">
        <v>0.1</v>
      </c>
      <c r="AP37" s="259">
        <v>0.1</v>
      </c>
      <c r="AQ37" s="259">
        <v>0.1</v>
      </c>
      <c r="AR37" s="259">
        <v>0.1</v>
      </c>
      <c r="AS37" s="259">
        <v>0.1</v>
      </c>
      <c r="AT37" s="259">
        <v>0.1</v>
      </c>
      <c r="AU37" s="259">
        <v>0.1</v>
      </c>
      <c r="AV37" s="259">
        <v>0.1</v>
      </c>
      <c r="AW37" s="259">
        <v>0.1</v>
      </c>
      <c r="AX37" s="259">
        <v>0.1</v>
      </c>
      <c r="AY37" s="259">
        <v>0.1</v>
      </c>
      <c r="AZ37" s="259">
        <v>0.1</v>
      </c>
      <c r="BA37" s="259">
        <v>0.1</v>
      </c>
      <c r="BB37" s="259">
        <v>0.1</v>
      </c>
      <c r="BC37" s="259">
        <v>0.1</v>
      </c>
      <c r="BD37" s="259">
        <v>0.1</v>
      </c>
      <c r="BE37" s="259">
        <v>0.1</v>
      </c>
      <c r="BF37" s="259">
        <v>0.1</v>
      </c>
      <c r="BG37" s="259">
        <v>0.1</v>
      </c>
      <c r="BH37" s="259">
        <v>0.1</v>
      </c>
      <c r="BI37" s="259">
        <v>0.1</v>
      </c>
      <c r="BJ37" s="260">
        <v>0.1</v>
      </c>
      <c r="BK37">
        <v>0.1</v>
      </c>
      <c r="BL37">
        <v>0.1</v>
      </c>
      <c r="BM37">
        <v>0.1</v>
      </c>
      <c r="BN37">
        <v>0.1</v>
      </c>
      <c r="BO37">
        <v>0.1</v>
      </c>
      <c r="BP37">
        <f>SUM(BK37:BO37)</f>
        <v>0.5</v>
      </c>
      <c r="BS37">
        <v>34</v>
      </c>
      <c r="BT37" s="270" t="s">
        <v>1212</v>
      </c>
      <c r="BU37" s="271">
        <v>0.89</v>
      </c>
      <c r="BV37" s="270">
        <v>0.89</v>
      </c>
      <c r="BW37" s="2"/>
      <c r="BX37" s="2"/>
      <c r="BY37" s="258">
        <v>0.1</v>
      </c>
      <c r="BZ37" s="259">
        <v>0.1</v>
      </c>
      <c r="CA37" s="259">
        <v>0.1</v>
      </c>
      <c r="CB37" s="259">
        <v>0.1</v>
      </c>
      <c r="CC37" s="259">
        <v>0.1</v>
      </c>
      <c r="CD37" s="259">
        <v>0.1</v>
      </c>
      <c r="CE37" s="259">
        <v>0.1</v>
      </c>
      <c r="CF37" s="259">
        <v>0.1</v>
      </c>
      <c r="CG37" s="259">
        <v>0.1</v>
      </c>
      <c r="CH37" s="259">
        <v>0.1</v>
      </c>
      <c r="CI37" s="259">
        <v>0.1</v>
      </c>
      <c r="CJ37" s="259">
        <v>0.1</v>
      </c>
      <c r="CK37" s="259">
        <v>0.1</v>
      </c>
      <c r="CL37" s="259">
        <v>0.1</v>
      </c>
      <c r="CM37" s="259">
        <v>0.1</v>
      </c>
      <c r="CN37" s="259">
        <v>0.1</v>
      </c>
      <c r="CO37" s="259">
        <v>0.1</v>
      </c>
      <c r="CP37" s="259">
        <v>0.1</v>
      </c>
      <c r="CQ37" s="259">
        <v>0.1</v>
      </c>
      <c r="CR37" s="259">
        <v>0.1</v>
      </c>
      <c r="CS37" s="259">
        <v>0.1</v>
      </c>
      <c r="CT37" s="259">
        <v>0.1</v>
      </c>
      <c r="CU37" s="259">
        <v>0.1</v>
      </c>
      <c r="CV37" s="259">
        <v>0.1</v>
      </c>
      <c r="CW37" s="259">
        <v>0.1</v>
      </c>
      <c r="CX37" s="259">
        <v>0.1</v>
      </c>
      <c r="CY37" s="259">
        <v>0.1</v>
      </c>
      <c r="CZ37" s="259">
        <v>0.1</v>
      </c>
      <c r="DA37" s="259">
        <v>0.1</v>
      </c>
      <c r="DB37" s="259">
        <v>0.1</v>
      </c>
      <c r="DC37" s="259">
        <v>0.1</v>
      </c>
      <c r="DD37" s="259">
        <v>0.1</v>
      </c>
      <c r="DE37" s="259">
        <v>0.1</v>
      </c>
      <c r="DF37" s="259">
        <v>0.1</v>
      </c>
      <c r="DG37" s="259">
        <v>0.1</v>
      </c>
      <c r="DH37" s="259">
        <v>0.1</v>
      </c>
      <c r="DI37" s="259">
        <v>0.1</v>
      </c>
      <c r="DJ37" s="259">
        <v>0.1</v>
      </c>
      <c r="DK37" s="259">
        <v>0.1</v>
      </c>
      <c r="DL37" s="260">
        <v>0.1</v>
      </c>
      <c r="DM37" s="258">
        <v>0.1</v>
      </c>
      <c r="DN37" s="259">
        <v>0.1</v>
      </c>
      <c r="DO37" s="273">
        <v>0.1</v>
      </c>
      <c r="DP37" s="259">
        <v>0.1</v>
      </c>
      <c r="DQ37" s="259">
        <v>0.1</v>
      </c>
      <c r="DR37" s="259">
        <v>0.1</v>
      </c>
      <c r="DS37" s="259">
        <v>0.1</v>
      </c>
      <c r="DT37" s="259">
        <v>0.1</v>
      </c>
      <c r="DU37" s="260">
        <v>0.1</v>
      </c>
      <c r="DV37" s="258">
        <v>0.1</v>
      </c>
      <c r="DW37" s="259">
        <v>0.1</v>
      </c>
      <c r="DX37" s="273">
        <v>0.1</v>
      </c>
      <c r="DY37" s="259">
        <v>0.1</v>
      </c>
      <c r="DZ37" s="259">
        <v>0.1</v>
      </c>
      <c r="EA37" s="259">
        <v>0.1</v>
      </c>
      <c r="EB37" s="259">
        <v>0.1</v>
      </c>
      <c r="EC37" s="259">
        <v>0.1</v>
      </c>
      <c r="ED37" s="260">
        <v>0.1</v>
      </c>
      <c r="EE37">
        <v>0.1</v>
      </c>
      <c r="EF37">
        <v>0.1</v>
      </c>
      <c r="EG37">
        <f>SUM(EE37:EF37)</f>
        <v>0.2</v>
      </c>
      <c r="EJ37">
        <v>34</v>
      </c>
      <c r="EN37">
        <v>0.1</v>
      </c>
      <c r="EO37">
        <v>0.1</v>
      </c>
      <c r="EP37">
        <v>0.1</v>
      </c>
      <c r="EQ37">
        <v>0.1</v>
      </c>
      <c r="ER37">
        <v>0.1</v>
      </c>
      <c r="ES37">
        <v>0.1</v>
      </c>
      <c r="ET37">
        <v>0.1</v>
      </c>
      <c r="EU37">
        <v>0.1</v>
      </c>
      <c r="EV37">
        <v>0.1</v>
      </c>
      <c r="EW37">
        <v>0.1</v>
      </c>
      <c r="EX37">
        <v>0.1</v>
      </c>
      <c r="EY37">
        <v>0.1</v>
      </c>
      <c r="EZ37">
        <v>0.1</v>
      </c>
      <c r="FA37">
        <v>0.1</v>
      </c>
      <c r="FB37">
        <v>0.1</v>
      </c>
      <c r="FC37">
        <v>0.1</v>
      </c>
      <c r="FD37">
        <v>0.1</v>
      </c>
      <c r="FE37">
        <v>0.1</v>
      </c>
      <c r="FF37">
        <v>0.1</v>
      </c>
      <c r="FG37">
        <v>0.1</v>
      </c>
      <c r="FH37">
        <v>0.1</v>
      </c>
      <c r="FI37">
        <v>0.1</v>
      </c>
      <c r="FJ37">
        <v>0.1</v>
      </c>
      <c r="FK37">
        <v>0.1</v>
      </c>
      <c r="FL37">
        <v>0.1</v>
      </c>
      <c r="FM37">
        <v>0.1</v>
      </c>
      <c r="FN37">
        <v>0.1</v>
      </c>
      <c r="FO37">
        <v>0.1</v>
      </c>
      <c r="FP37">
        <v>0.1</v>
      </c>
      <c r="FQ37">
        <v>0.1</v>
      </c>
      <c r="FU37">
        <v>34</v>
      </c>
      <c r="FV37">
        <v>0.9</v>
      </c>
      <c r="FW37">
        <v>0.9</v>
      </c>
      <c r="FX37">
        <v>0.96</v>
      </c>
      <c r="FY37">
        <v>0.96</v>
      </c>
      <c r="FZ37">
        <v>0.16</v>
      </c>
      <c r="GB37" s="66">
        <v>0.1</v>
      </c>
      <c r="GC37" s="67">
        <v>0.1</v>
      </c>
      <c r="GD37" s="67">
        <v>0.1</v>
      </c>
      <c r="GE37" s="67">
        <v>0.1</v>
      </c>
      <c r="GF37" s="67">
        <v>0.1</v>
      </c>
      <c r="GG37" s="67">
        <v>0.1</v>
      </c>
      <c r="GH37" s="67">
        <v>0.1</v>
      </c>
      <c r="GI37" s="67">
        <v>0.1</v>
      </c>
      <c r="GJ37" s="68">
        <v>0.1</v>
      </c>
      <c r="GK37" s="66">
        <v>0.1</v>
      </c>
      <c r="GL37" s="67">
        <v>0.1</v>
      </c>
      <c r="GM37" s="67">
        <v>0.1</v>
      </c>
      <c r="GN37" s="67">
        <v>0.1</v>
      </c>
      <c r="GO37" s="67">
        <v>0.1</v>
      </c>
      <c r="GP37" s="67">
        <v>0.1</v>
      </c>
      <c r="GQ37" s="67">
        <v>0.1</v>
      </c>
      <c r="GR37" s="67">
        <v>0.1</v>
      </c>
      <c r="GS37" s="68">
        <v>0.1</v>
      </c>
      <c r="GT37" s="66">
        <v>0.1</v>
      </c>
      <c r="GU37" s="67">
        <v>0.1</v>
      </c>
      <c r="GV37" s="67">
        <v>0.1</v>
      </c>
      <c r="GW37" s="67">
        <v>0.1</v>
      </c>
      <c r="GX37" s="67">
        <v>0.1</v>
      </c>
      <c r="GY37" s="67">
        <v>0.1</v>
      </c>
      <c r="GZ37" s="67">
        <v>0.1</v>
      </c>
      <c r="HA37" s="67">
        <v>0.1</v>
      </c>
      <c r="HB37" s="67">
        <v>0.1</v>
      </c>
      <c r="HC37" s="68">
        <v>0.1</v>
      </c>
      <c r="HD37" s="66">
        <v>0.1</v>
      </c>
      <c r="HE37" s="67">
        <v>0.1</v>
      </c>
      <c r="HF37" s="67">
        <v>0.1</v>
      </c>
      <c r="HG37" s="67">
        <v>0.1</v>
      </c>
      <c r="HH37" s="67">
        <v>0.1</v>
      </c>
      <c r="HI37" s="67">
        <v>0.1</v>
      </c>
      <c r="HJ37" s="67">
        <v>0.1</v>
      </c>
      <c r="HK37" s="67">
        <v>0.1</v>
      </c>
      <c r="HL37" s="67">
        <v>0.1</v>
      </c>
      <c r="HM37" s="68">
        <v>0.1</v>
      </c>
      <c r="HN37" s="66">
        <v>0.1</v>
      </c>
      <c r="HO37" s="68">
        <v>0.1</v>
      </c>
    </row>
    <row r="38" spans="1:224" ht="15.75" thickBot="1" x14ac:dyDescent="0.3">
      <c r="A38">
        <v>35</v>
      </c>
      <c r="B38" s="269" t="s">
        <v>1177</v>
      </c>
      <c r="C38" s="2"/>
      <c r="D38" s="2"/>
      <c r="E38" s="2"/>
      <c r="F38" s="2"/>
      <c r="G38" s="2"/>
      <c r="H38" s="258">
        <v>0.1</v>
      </c>
      <c r="I38" s="259">
        <v>0.1</v>
      </c>
      <c r="J38" s="259">
        <v>0.1</v>
      </c>
      <c r="K38" s="259">
        <v>0.1</v>
      </c>
      <c r="L38" s="259">
        <v>0.1</v>
      </c>
      <c r="M38" s="259">
        <v>0.1</v>
      </c>
      <c r="N38" s="259">
        <v>0.1</v>
      </c>
      <c r="O38" s="259">
        <v>0.1</v>
      </c>
      <c r="P38" s="259">
        <v>0.1</v>
      </c>
      <c r="Q38" s="259">
        <v>0.1</v>
      </c>
      <c r="R38" s="259">
        <v>0.1</v>
      </c>
      <c r="S38" s="259">
        <v>0.1</v>
      </c>
      <c r="T38" s="259">
        <v>0.1</v>
      </c>
      <c r="U38" s="259">
        <v>0.1</v>
      </c>
      <c r="V38" s="259">
        <v>0.1</v>
      </c>
      <c r="W38" s="259">
        <v>0.1</v>
      </c>
      <c r="X38" s="259">
        <v>0.1</v>
      </c>
      <c r="Y38" s="259">
        <v>0.1</v>
      </c>
      <c r="Z38" s="259">
        <v>0.1</v>
      </c>
      <c r="AA38" s="259">
        <v>0.1</v>
      </c>
      <c r="AB38" s="259">
        <v>0.1</v>
      </c>
      <c r="AC38" s="259">
        <v>0.1</v>
      </c>
      <c r="AD38" s="259">
        <v>0.1</v>
      </c>
      <c r="AE38" s="259">
        <v>0.1</v>
      </c>
      <c r="AF38" s="259">
        <v>0.1</v>
      </c>
      <c r="AG38" s="259">
        <v>0.1</v>
      </c>
      <c r="AH38" s="259">
        <v>0.1</v>
      </c>
      <c r="AI38" s="259">
        <v>0.1</v>
      </c>
      <c r="AJ38" s="259">
        <v>0.1</v>
      </c>
      <c r="AK38" s="259">
        <v>0.1</v>
      </c>
      <c r="AL38" s="259">
        <v>0.1</v>
      </c>
      <c r="AM38" s="259">
        <v>0.1</v>
      </c>
      <c r="AN38" s="259">
        <v>0.1</v>
      </c>
      <c r="AO38" s="259">
        <v>0.1</v>
      </c>
      <c r="AP38" s="259">
        <v>0.1</v>
      </c>
      <c r="AQ38" s="259">
        <v>0.1</v>
      </c>
      <c r="AR38" s="259">
        <v>0.1</v>
      </c>
      <c r="AS38" s="259">
        <v>0.1</v>
      </c>
      <c r="AT38" s="259">
        <v>0.1</v>
      </c>
      <c r="AU38" s="259">
        <v>0.1</v>
      </c>
      <c r="AV38" s="259">
        <v>0.1</v>
      </c>
      <c r="AW38" s="259">
        <v>0.1</v>
      </c>
      <c r="AX38" s="259">
        <v>0.1</v>
      </c>
      <c r="AY38" s="259">
        <v>0.1</v>
      </c>
      <c r="AZ38" s="259">
        <v>0.1</v>
      </c>
      <c r="BA38" s="259">
        <v>0.1</v>
      </c>
      <c r="BB38" s="259">
        <v>0.1</v>
      </c>
      <c r="BC38" s="259">
        <v>0.1</v>
      </c>
      <c r="BD38" s="259">
        <v>0.1</v>
      </c>
      <c r="BE38" s="259">
        <v>0.1</v>
      </c>
      <c r="BF38" s="259">
        <v>0.1</v>
      </c>
      <c r="BG38" s="259">
        <v>0.1</v>
      </c>
      <c r="BH38" s="259">
        <v>0.1</v>
      </c>
      <c r="BI38" s="259">
        <v>0.1</v>
      </c>
      <c r="BJ38" s="259">
        <v>0.1</v>
      </c>
      <c r="BK38" s="259">
        <v>0.1</v>
      </c>
      <c r="BL38" s="259">
        <v>0.1</v>
      </c>
      <c r="BM38" s="259">
        <v>0.1</v>
      </c>
      <c r="BN38" s="259">
        <v>0.1</v>
      </c>
      <c r="BO38" s="260">
        <v>0.1</v>
      </c>
      <c r="BS38">
        <v>35</v>
      </c>
      <c r="BT38" s="270" t="s">
        <v>1211</v>
      </c>
      <c r="BU38" s="270" t="s">
        <v>1211</v>
      </c>
      <c r="BV38" s="271">
        <v>1.04</v>
      </c>
      <c r="BW38" s="2"/>
      <c r="BX38" s="2"/>
      <c r="BY38" s="258">
        <v>0.1</v>
      </c>
      <c r="BZ38" s="259">
        <v>0.1</v>
      </c>
      <c r="CA38" s="259">
        <v>0.1</v>
      </c>
      <c r="CB38" s="259">
        <v>0.1</v>
      </c>
      <c r="CC38" s="259">
        <v>0.1</v>
      </c>
      <c r="CD38" s="259">
        <v>0.1</v>
      </c>
      <c r="CE38" s="259">
        <v>0.1</v>
      </c>
      <c r="CF38" s="259">
        <v>0.1</v>
      </c>
      <c r="CG38" s="259">
        <v>0.1</v>
      </c>
      <c r="CH38" s="259">
        <v>0.1</v>
      </c>
      <c r="CI38" s="259">
        <v>0.1</v>
      </c>
      <c r="CJ38" s="259">
        <v>0.1</v>
      </c>
      <c r="CK38" s="259">
        <v>0.1</v>
      </c>
      <c r="CL38" s="259">
        <v>0.1</v>
      </c>
      <c r="CM38" s="259">
        <v>0.1</v>
      </c>
      <c r="CN38" s="259">
        <v>0.1</v>
      </c>
      <c r="CO38" s="259">
        <v>0.1</v>
      </c>
      <c r="CP38" s="259">
        <v>0.1</v>
      </c>
      <c r="CQ38" s="259">
        <v>0.1</v>
      </c>
      <c r="CR38" s="259">
        <v>0.1</v>
      </c>
      <c r="CS38" s="259">
        <v>0.1</v>
      </c>
      <c r="CT38" s="260">
        <v>0.1</v>
      </c>
      <c r="CU38" s="258">
        <v>0.1</v>
      </c>
      <c r="CV38" s="259">
        <v>0.1</v>
      </c>
      <c r="CW38" s="259">
        <v>0.1</v>
      </c>
      <c r="CX38" s="259">
        <v>0.1</v>
      </c>
      <c r="CY38" s="259">
        <v>0.1</v>
      </c>
      <c r="CZ38" s="259">
        <v>0.1</v>
      </c>
      <c r="DA38" s="259">
        <v>0.1</v>
      </c>
      <c r="DB38" s="259">
        <v>0.1</v>
      </c>
      <c r="DC38" s="259">
        <v>0.1</v>
      </c>
      <c r="DD38" s="259">
        <v>0.1</v>
      </c>
      <c r="DE38" s="259">
        <v>0.1</v>
      </c>
      <c r="DF38" s="259">
        <v>0.1</v>
      </c>
      <c r="DG38" s="259">
        <v>0.1</v>
      </c>
      <c r="DH38" s="259">
        <v>0.1</v>
      </c>
      <c r="DI38" s="259">
        <v>0.1</v>
      </c>
      <c r="DJ38" s="259">
        <v>0.1</v>
      </c>
      <c r="DK38" s="259">
        <v>0.1</v>
      </c>
      <c r="DL38" s="259">
        <v>0.1</v>
      </c>
      <c r="DM38" s="259">
        <v>0.1</v>
      </c>
      <c r="DN38" s="259">
        <v>0.1</v>
      </c>
      <c r="DO38" s="259">
        <v>0.1</v>
      </c>
      <c r="DP38" s="260">
        <v>0.1</v>
      </c>
      <c r="DQ38" s="258">
        <v>0.1</v>
      </c>
      <c r="DR38" s="259">
        <v>0.1</v>
      </c>
      <c r="DS38" s="259">
        <v>0.1</v>
      </c>
      <c r="DT38" s="259">
        <v>0.1</v>
      </c>
      <c r="DU38" s="259">
        <v>0.1</v>
      </c>
      <c r="DV38" s="259">
        <v>0.1</v>
      </c>
      <c r="DW38" s="259">
        <v>0.1</v>
      </c>
      <c r="DX38" s="259">
        <v>0.1</v>
      </c>
      <c r="DY38" s="259">
        <v>0.1</v>
      </c>
      <c r="DZ38" s="259">
        <v>0.1</v>
      </c>
      <c r="EA38" s="260">
        <v>0.1</v>
      </c>
      <c r="EB38">
        <v>0.1</v>
      </c>
      <c r="EC38">
        <v>0.1</v>
      </c>
      <c r="ED38">
        <v>0.1</v>
      </c>
      <c r="EE38">
        <v>0.1</v>
      </c>
      <c r="EF38">
        <v>0.1</v>
      </c>
      <c r="EG38">
        <f>SUM(EB38:EF38)</f>
        <v>0.5</v>
      </c>
      <c r="EJ38">
        <v>35</v>
      </c>
      <c r="EN38">
        <v>0.1</v>
      </c>
      <c r="EO38">
        <v>0.1</v>
      </c>
      <c r="EP38">
        <v>0.1</v>
      </c>
      <c r="EQ38">
        <v>0.1</v>
      </c>
      <c r="ER38">
        <v>0.1</v>
      </c>
      <c r="ES38">
        <v>0.1</v>
      </c>
      <c r="ET38">
        <v>0.1</v>
      </c>
      <c r="EU38">
        <v>0.1</v>
      </c>
      <c r="EV38">
        <v>0.1</v>
      </c>
      <c r="EW38">
        <v>0.1</v>
      </c>
      <c r="EX38">
        <v>0.1</v>
      </c>
      <c r="EY38">
        <v>0.1</v>
      </c>
      <c r="EZ38">
        <v>0.1</v>
      </c>
      <c r="FA38">
        <v>0.1</v>
      </c>
      <c r="FB38">
        <v>0.1</v>
      </c>
      <c r="FC38">
        <v>0.1</v>
      </c>
      <c r="FD38">
        <v>0.1</v>
      </c>
      <c r="FE38">
        <v>0.1</v>
      </c>
      <c r="FF38">
        <v>0.1</v>
      </c>
      <c r="FG38">
        <v>0.1</v>
      </c>
      <c r="FH38">
        <v>0.1</v>
      </c>
      <c r="FI38">
        <v>0.1</v>
      </c>
      <c r="FJ38">
        <v>0.1</v>
      </c>
      <c r="FK38">
        <v>0.1</v>
      </c>
      <c r="FL38">
        <v>0.1</v>
      </c>
      <c r="FM38">
        <v>0.1</v>
      </c>
      <c r="FN38">
        <v>0.1</v>
      </c>
      <c r="FO38">
        <v>0.1</v>
      </c>
      <c r="FP38">
        <v>0.1</v>
      </c>
      <c r="FQ38">
        <v>0.1</v>
      </c>
      <c r="FU38">
        <v>35</v>
      </c>
      <c r="FV38">
        <v>1</v>
      </c>
      <c r="FW38">
        <v>1</v>
      </c>
      <c r="FX38">
        <v>0.94</v>
      </c>
      <c r="FY38">
        <v>0.94</v>
      </c>
      <c r="GB38" s="66">
        <v>0.1</v>
      </c>
      <c r="GC38" s="67">
        <v>0.1</v>
      </c>
      <c r="GD38" s="67">
        <v>0.1</v>
      </c>
      <c r="GE38" s="67">
        <v>0.1</v>
      </c>
      <c r="GF38" s="67">
        <v>0.1</v>
      </c>
      <c r="GG38" s="67">
        <v>0.1</v>
      </c>
      <c r="GH38" s="67">
        <v>0.1</v>
      </c>
      <c r="GI38" s="67">
        <v>0.1</v>
      </c>
      <c r="GJ38" s="67">
        <v>0.1</v>
      </c>
      <c r="GK38" s="68">
        <v>0.1</v>
      </c>
      <c r="GL38" s="66">
        <v>0.1</v>
      </c>
      <c r="GM38" s="67">
        <v>0.1</v>
      </c>
      <c r="GN38" s="67">
        <v>0.1</v>
      </c>
      <c r="GO38" s="67">
        <v>0.1</v>
      </c>
      <c r="GP38" s="67">
        <v>0.1</v>
      </c>
      <c r="GQ38" s="67">
        <v>0.1</v>
      </c>
      <c r="GR38" s="67">
        <v>0.1</v>
      </c>
      <c r="GS38" s="67">
        <v>0.1</v>
      </c>
      <c r="GT38" s="67">
        <v>0.1</v>
      </c>
      <c r="GU38" s="68">
        <v>0.1</v>
      </c>
      <c r="GV38" s="66">
        <v>0.1</v>
      </c>
      <c r="GW38" s="67">
        <v>0.1</v>
      </c>
      <c r="GX38" s="67">
        <v>0.1</v>
      </c>
      <c r="GY38" s="67">
        <v>0.1</v>
      </c>
      <c r="GZ38" s="67">
        <v>0.1</v>
      </c>
      <c r="HA38" s="67">
        <v>0.1</v>
      </c>
      <c r="HB38" s="67">
        <v>0.1</v>
      </c>
      <c r="HC38" s="67">
        <v>0.1</v>
      </c>
      <c r="HD38" s="67">
        <v>0.1</v>
      </c>
      <c r="HE38" s="68">
        <v>0.1</v>
      </c>
      <c r="HF38" s="66">
        <v>0.1</v>
      </c>
      <c r="HG38" s="67">
        <v>0.1</v>
      </c>
      <c r="HH38" s="67">
        <v>0.1</v>
      </c>
      <c r="HI38" s="67">
        <v>0.1</v>
      </c>
      <c r="HJ38" s="67">
        <v>0.1</v>
      </c>
      <c r="HK38" s="67">
        <v>0.1</v>
      </c>
      <c r="HL38" s="67">
        <v>0.1</v>
      </c>
      <c r="HM38" s="67">
        <v>0.1</v>
      </c>
      <c r="HN38" s="67">
        <v>0.1</v>
      </c>
      <c r="HO38" s="68">
        <v>0.1</v>
      </c>
    </row>
    <row r="39" spans="1:224" ht="15.75" thickBot="1" x14ac:dyDescent="0.3">
      <c r="A39">
        <v>36</v>
      </c>
      <c r="B39" s="269" t="s">
        <v>1178</v>
      </c>
      <c r="C39" s="2"/>
      <c r="D39" s="2"/>
      <c r="E39" s="2"/>
      <c r="F39" s="2"/>
      <c r="G39" s="2"/>
      <c r="H39" s="258">
        <v>0.1</v>
      </c>
      <c r="I39" s="259">
        <v>0.1</v>
      </c>
      <c r="J39" s="259">
        <v>0.1</v>
      </c>
      <c r="K39" s="259">
        <v>0.1</v>
      </c>
      <c r="L39" s="259">
        <v>0.1</v>
      </c>
      <c r="M39" s="259">
        <v>0.1</v>
      </c>
      <c r="N39" s="259">
        <v>0.1</v>
      </c>
      <c r="O39" s="259">
        <v>0.1</v>
      </c>
      <c r="P39" s="259">
        <v>0.1</v>
      </c>
      <c r="Q39" s="259">
        <v>0.1</v>
      </c>
      <c r="R39" s="259">
        <v>0.1</v>
      </c>
      <c r="S39" s="259">
        <v>0.1</v>
      </c>
      <c r="T39" s="259">
        <v>0.1</v>
      </c>
      <c r="U39" s="259">
        <v>0.1</v>
      </c>
      <c r="V39" s="259">
        <v>0.1</v>
      </c>
      <c r="W39" s="259">
        <v>0.1</v>
      </c>
      <c r="X39" s="259">
        <v>0.1</v>
      </c>
      <c r="Y39" s="259">
        <v>0.1</v>
      </c>
      <c r="Z39" s="259">
        <v>0.1</v>
      </c>
      <c r="AA39" s="259">
        <v>0.1</v>
      </c>
      <c r="AB39" s="259">
        <v>0.1</v>
      </c>
      <c r="AC39" s="259">
        <v>0.1</v>
      </c>
      <c r="AD39" s="259">
        <v>0.1</v>
      </c>
      <c r="AE39" s="259">
        <v>0.1</v>
      </c>
      <c r="AF39" s="259">
        <v>0.1</v>
      </c>
      <c r="AG39" s="259">
        <v>0.1</v>
      </c>
      <c r="AH39" s="259">
        <v>0.1</v>
      </c>
      <c r="AI39" s="259">
        <v>0.1</v>
      </c>
      <c r="AJ39" s="259">
        <v>0.1</v>
      </c>
      <c r="AK39" s="259">
        <v>0.1</v>
      </c>
      <c r="AL39" s="259">
        <v>0.1</v>
      </c>
      <c r="AM39" s="259">
        <v>0.1</v>
      </c>
      <c r="AN39" s="259">
        <v>0.1</v>
      </c>
      <c r="AO39" s="259">
        <v>0.1</v>
      </c>
      <c r="AP39" s="259">
        <v>0.1</v>
      </c>
      <c r="AQ39" s="259">
        <v>0.1</v>
      </c>
      <c r="AR39" s="259">
        <v>0.1</v>
      </c>
      <c r="AS39" s="259">
        <v>0.1</v>
      </c>
      <c r="AT39" s="259">
        <v>0.1</v>
      </c>
      <c r="AU39" s="259">
        <v>0.1</v>
      </c>
      <c r="AV39" s="259">
        <v>0.1</v>
      </c>
      <c r="AW39" s="259">
        <v>0.1</v>
      </c>
      <c r="AX39" s="259">
        <v>0.1</v>
      </c>
      <c r="AY39" s="259">
        <v>0.1</v>
      </c>
      <c r="AZ39" s="259">
        <v>0.1</v>
      </c>
      <c r="BA39" s="259">
        <v>0.1</v>
      </c>
      <c r="BB39" s="259">
        <v>0.1</v>
      </c>
      <c r="BC39" s="259">
        <v>0.1</v>
      </c>
      <c r="BD39" s="259">
        <v>0.1</v>
      </c>
      <c r="BE39" s="259">
        <v>0.1</v>
      </c>
      <c r="BF39" s="259">
        <v>0.1</v>
      </c>
      <c r="BG39" s="259">
        <v>0.1</v>
      </c>
      <c r="BH39" s="259">
        <v>0.1</v>
      </c>
      <c r="BI39" s="259">
        <v>0.1</v>
      </c>
      <c r="BJ39" s="260">
        <v>0.1</v>
      </c>
      <c r="BK39">
        <v>0.1</v>
      </c>
      <c r="BL39">
        <v>0.1</v>
      </c>
      <c r="BM39">
        <v>0.1</v>
      </c>
      <c r="BN39">
        <v>0.1</v>
      </c>
      <c r="BO39">
        <v>0.1</v>
      </c>
      <c r="BP39">
        <f>SUM(BK39:BO39)</f>
        <v>0.5</v>
      </c>
      <c r="BS39">
        <v>36</v>
      </c>
      <c r="BT39" s="270" t="s">
        <v>1212</v>
      </c>
      <c r="BU39" s="271">
        <v>0.88</v>
      </c>
      <c r="BV39" s="270">
        <v>0.87</v>
      </c>
      <c r="BW39" s="2"/>
      <c r="BX39" s="2"/>
      <c r="BY39" s="261">
        <v>0.1</v>
      </c>
      <c r="BZ39" s="262">
        <v>0.1</v>
      </c>
      <c r="CA39" s="262">
        <v>0.1</v>
      </c>
      <c r="CB39" s="262">
        <v>0.1</v>
      </c>
      <c r="CC39" s="262">
        <v>0.1</v>
      </c>
      <c r="CD39" s="262">
        <v>0.1</v>
      </c>
      <c r="CE39" s="262">
        <v>0.1</v>
      </c>
      <c r="CF39" s="262">
        <v>0.1</v>
      </c>
      <c r="CG39" s="262">
        <v>0.1</v>
      </c>
      <c r="CH39" s="262">
        <v>0.1</v>
      </c>
      <c r="CI39" s="262">
        <v>0.1</v>
      </c>
      <c r="CJ39" s="262">
        <v>0.1</v>
      </c>
      <c r="CK39" s="262">
        <v>0.1</v>
      </c>
      <c r="CL39" s="262">
        <v>0.1</v>
      </c>
      <c r="CM39" s="262">
        <v>0.1</v>
      </c>
      <c r="CN39" s="262">
        <v>0.1</v>
      </c>
      <c r="CO39" s="262">
        <v>0.1</v>
      </c>
      <c r="CP39" s="262">
        <v>0.1</v>
      </c>
      <c r="CQ39" s="262">
        <v>0.1</v>
      </c>
      <c r="CR39" s="262">
        <v>0.1</v>
      </c>
      <c r="CS39" s="262">
        <v>0.1</v>
      </c>
      <c r="CT39" s="262">
        <v>0.1</v>
      </c>
      <c r="CU39" s="262">
        <v>0.1</v>
      </c>
      <c r="CV39" s="262">
        <v>0.1</v>
      </c>
      <c r="CW39" s="262">
        <v>0.1</v>
      </c>
      <c r="CX39" s="262">
        <v>0.1</v>
      </c>
      <c r="CY39" s="262">
        <v>0.1</v>
      </c>
      <c r="CZ39" s="262">
        <v>0.1</v>
      </c>
      <c r="DA39" s="262">
        <v>0.1</v>
      </c>
      <c r="DB39" s="262">
        <v>0.1</v>
      </c>
      <c r="DC39" s="262">
        <v>0.1</v>
      </c>
      <c r="DD39" s="262">
        <v>0.1</v>
      </c>
      <c r="DE39" s="262">
        <v>0.1</v>
      </c>
      <c r="DF39" s="262">
        <v>0.1</v>
      </c>
      <c r="DG39" s="262">
        <v>0.1</v>
      </c>
      <c r="DH39" s="262">
        <v>0.1</v>
      </c>
      <c r="DI39" s="262">
        <v>0.1</v>
      </c>
      <c r="DJ39" s="262">
        <v>0.1</v>
      </c>
      <c r="DK39" s="262">
        <v>0.1</v>
      </c>
      <c r="DL39" s="263">
        <v>0.1</v>
      </c>
      <c r="DM39" s="258">
        <v>0.1</v>
      </c>
      <c r="DN39" s="259">
        <v>0.1</v>
      </c>
      <c r="DO39" s="273">
        <v>0.1</v>
      </c>
      <c r="DP39" s="259">
        <v>0.1</v>
      </c>
      <c r="DQ39" s="259">
        <v>0.1</v>
      </c>
      <c r="DR39" s="259">
        <v>0.1</v>
      </c>
      <c r="DS39" s="259">
        <v>0.1</v>
      </c>
      <c r="DT39" s="259">
        <v>0.1</v>
      </c>
      <c r="DU39" s="260">
        <v>0.1</v>
      </c>
      <c r="DV39" s="258">
        <v>0.1</v>
      </c>
      <c r="DW39" s="259">
        <v>0.1</v>
      </c>
      <c r="DX39" s="273">
        <v>0.1</v>
      </c>
      <c r="DY39" s="259">
        <v>0.1</v>
      </c>
      <c r="DZ39" s="259">
        <v>0.1</v>
      </c>
      <c r="EA39" s="259">
        <v>0.1</v>
      </c>
      <c r="EB39" s="259">
        <v>0.1</v>
      </c>
      <c r="EC39" s="259">
        <v>0.1</v>
      </c>
      <c r="ED39" s="260">
        <v>0.1</v>
      </c>
      <c r="EE39">
        <v>0.1</v>
      </c>
      <c r="EF39">
        <v>0.1</v>
      </c>
      <c r="EG39">
        <f>SUM(EE39:EF39)</f>
        <v>0.2</v>
      </c>
      <c r="EJ39">
        <v>36</v>
      </c>
      <c r="EN39">
        <v>0.1</v>
      </c>
      <c r="EO39">
        <v>0.1</v>
      </c>
      <c r="EP39">
        <v>0.1</v>
      </c>
      <c r="EQ39">
        <v>0.1</v>
      </c>
      <c r="ER39">
        <v>0.1</v>
      </c>
      <c r="ES39">
        <v>0.1</v>
      </c>
      <c r="ET39">
        <v>0.1</v>
      </c>
      <c r="EU39">
        <v>0.1</v>
      </c>
      <c r="EV39">
        <v>0.1</v>
      </c>
      <c r="EW39">
        <v>0.1</v>
      </c>
      <c r="EX39">
        <v>0.1</v>
      </c>
      <c r="EY39">
        <v>0.1</v>
      </c>
      <c r="EZ39">
        <v>0.1</v>
      </c>
      <c r="FA39">
        <v>0.1</v>
      </c>
      <c r="FB39">
        <v>0.1</v>
      </c>
      <c r="FC39">
        <v>0.1</v>
      </c>
      <c r="FD39">
        <v>0.1</v>
      </c>
      <c r="FE39">
        <v>0.1</v>
      </c>
      <c r="FF39">
        <v>0.1</v>
      </c>
      <c r="FG39">
        <v>0.1</v>
      </c>
      <c r="FH39">
        <v>0.1</v>
      </c>
      <c r="FI39">
        <v>0.1</v>
      </c>
      <c r="FJ39">
        <v>0.1</v>
      </c>
      <c r="FK39">
        <v>0.1</v>
      </c>
      <c r="FL39">
        <v>0.1</v>
      </c>
      <c r="FM39">
        <v>0.1</v>
      </c>
      <c r="FN39">
        <v>0.1</v>
      </c>
      <c r="FO39">
        <v>0.1</v>
      </c>
      <c r="FP39">
        <v>0.1</v>
      </c>
      <c r="FQ39">
        <v>0.1</v>
      </c>
      <c r="FU39">
        <v>36</v>
      </c>
      <c r="FV39">
        <v>0.94</v>
      </c>
      <c r="FW39">
        <v>0.94</v>
      </c>
      <c r="FX39">
        <v>0.94</v>
      </c>
      <c r="FY39">
        <v>0.32</v>
      </c>
      <c r="FZ39">
        <v>0.32</v>
      </c>
      <c r="GA39">
        <v>0.2</v>
      </c>
      <c r="GB39" s="66">
        <v>0.1</v>
      </c>
      <c r="GC39" s="67">
        <v>0.1</v>
      </c>
      <c r="GD39" s="67">
        <v>0.1</v>
      </c>
      <c r="GE39" s="67">
        <v>0.1</v>
      </c>
      <c r="GF39" s="67">
        <v>0.1</v>
      </c>
      <c r="GG39" s="67">
        <v>0.1</v>
      </c>
      <c r="GH39" s="67">
        <v>0.1</v>
      </c>
      <c r="GI39" s="67">
        <v>0.1</v>
      </c>
      <c r="GJ39" s="67">
        <v>0.1</v>
      </c>
      <c r="GK39" s="68">
        <v>0.1</v>
      </c>
      <c r="GL39" s="66">
        <v>0.1</v>
      </c>
      <c r="GM39" s="67">
        <v>0.1</v>
      </c>
      <c r="GN39" s="67">
        <v>0.1</v>
      </c>
      <c r="GO39" s="67">
        <v>0.1</v>
      </c>
      <c r="GP39" s="67">
        <v>0.1</v>
      </c>
      <c r="GQ39" s="67">
        <v>0.1</v>
      </c>
      <c r="GR39" s="67">
        <v>0.1</v>
      </c>
      <c r="GS39" s="67">
        <v>0.1</v>
      </c>
      <c r="GT39" s="67">
        <v>0.1</v>
      </c>
      <c r="GU39" s="68">
        <v>0.1</v>
      </c>
      <c r="GV39" s="66">
        <v>0.1</v>
      </c>
      <c r="GW39" s="67">
        <v>0.1</v>
      </c>
      <c r="GX39" s="67">
        <v>0.1</v>
      </c>
      <c r="GY39" s="67">
        <v>0.1</v>
      </c>
      <c r="GZ39" s="67">
        <v>0.1</v>
      </c>
      <c r="HA39" s="67">
        <v>0.1</v>
      </c>
      <c r="HB39" s="67">
        <v>0.1</v>
      </c>
      <c r="HC39" s="67">
        <v>0.1</v>
      </c>
      <c r="HD39" s="67">
        <v>0.1</v>
      </c>
      <c r="HE39" s="68">
        <v>0.1</v>
      </c>
      <c r="HF39" s="66">
        <v>0.1</v>
      </c>
      <c r="HG39" s="67">
        <v>0.1</v>
      </c>
      <c r="HH39" s="67">
        <v>0.1</v>
      </c>
      <c r="HI39" s="68">
        <v>0.1</v>
      </c>
      <c r="HJ39" s="66">
        <v>0.1</v>
      </c>
      <c r="HK39" s="67">
        <v>0.1</v>
      </c>
      <c r="HL39" s="67">
        <v>0.1</v>
      </c>
      <c r="HM39" s="68">
        <v>0.1</v>
      </c>
      <c r="HN39" s="66">
        <v>0.1</v>
      </c>
      <c r="HO39" s="68">
        <v>0.1</v>
      </c>
    </row>
    <row r="40" spans="1:224" ht="15.75" thickBot="1" x14ac:dyDescent="0.3">
      <c r="A40">
        <v>37</v>
      </c>
      <c r="B40" s="269" t="s">
        <v>1177</v>
      </c>
      <c r="C40" s="2"/>
      <c r="D40" s="2"/>
      <c r="E40" s="2"/>
      <c r="F40" s="2"/>
      <c r="G40" s="2"/>
      <c r="H40" s="258">
        <v>0.1</v>
      </c>
      <c r="I40" s="259">
        <v>0.1</v>
      </c>
      <c r="J40" s="259">
        <v>0.1</v>
      </c>
      <c r="K40" s="259">
        <v>0.1</v>
      </c>
      <c r="L40" s="259">
        <v>0.1</v>
      </c>
      <c r="M40" s="259">
        <v>0.1</v>
      </c>
      <c r="N40" s="259">
        <v>0.1</v>
      </c>
      <c r="O40" s="259">
        <v>0.1</v>
      </c>
      <c r="P40" s="259">
        <v>0.1</v>
      </c>
      <c r="Q40" s="259">
        <v>0.1</v>
      </c>
      <c r="R40" s="259">
        <v>0.1</v>
      </c>
      <c r="S40" s="259">
        <v>0.1</v>
      </c>
      <c r="T40" s="259">
        <v>0.1</v>
      </c>
      <c r="U40" s="259">
        <v>0.1</v>
      </c>
      <c r="V40" s="259">
        <v>0.1</v>
      </c>
      <c r="W40" s="259">
        <v>0.1</v>
      </c>
      <c r="X40" s="259">
        <v>0.1</v>
      </c>
      <c r="Y40" s="259">
        <v>0.1</v>
      </c>
      <c r="Z40" s="259">
        <v>0.1</v>
      </c>
      <c r="AA40" s="259">
        <v>0.1</v>
      </c>
      <c r="AB40" s="259">
        <v>0.1</v>
      </c>
      <c r="AC40" s="259">
        <v>0.1</v>
      </c>
      <c r="AD40" s="259">
        <v>0.1</v>
      </c>
      <c r="AE40" s="259">
        <v>0.1</v>
      </c>
      <c r="AF40" s="259">
        <v>0.1</v>
      </c>
      <c r="AG40" s="259">
        <v>0.1</v>
      </c>
      <c r="AH40" s="259">
        <v>0.1</v>
      </c>
      <c r="AI40" s="259">
        <v>0.1</v>
      </c>
      <c r="AJ40" s="259">
        <v>0.1</v>
      </c>
      <c r="AK40" s="259">
        <v>0.1</v>
      </c>
      <c r="AL40" s="259">
        <v>0.1</v>
      </c>
      <c r="AM40" s="259">
        <v>0.1</v>
      </c>
      <c r="AN40" s="259">
        <v>0.1</v>
      </c>
      <c r="AO40" s="259">
        <v>0.1</v>
      </c>
      <c r="AP40" s="259">
        <v>0.1</v>
      </c>
      <c r="AQ40" s="259">
        <v>0.1</v>
      </c>
      <c r="AR40" s="259">
        <v>0.1</v>
      </c>
      <c r="AS40" s="259">
        <v>0.1</v>
      </c>
      <c r="AT40" s="259">
        <v>0.1</v>
      </c>
      <c r="AU40" s="259">
        <v>0.1</v>
      </c>
      <c r="AV40" s="259">
        <v>0.1</v>
      </c>
      <c r="AW40" s="259">
        <v>0.1</v>
      </c>
      <c r="AX40" s="259">
        <v>0.1</v>
      </c>
      <c r="AY40" s="259">
        <v>0.1</v>
      </c>
      <c r="AZ40" s="259">
        <v>0.1</v>
      </c>
      <c r="BA40" s="259">
        <v>0.1</v>
      </c>
      <c r="BB40" s="259">
        <v>0.1</v>
      </c>
      <c r="BC40" s="259">
        <v>0.1</v>
      </c>
      <c r="BD40" s="259">
        <v>0.1</v>
      </c>
      <c r="BE40" s="259">
        <v>0.1</v>
      </c>
      <c r="BF40" s="259">
        <v>0.1</v>
      </c>
      <c r="BG40" s="259">
        <v>0.1</v>
      </c>
      <c r="BH40" s="259">
        <v>0.1</v>
      </c>
      <c r="BI40" s="259">
        <v>0.1</v>
      </c>
      <c r="BJ40" s="259">
        <v>0.1</v>
      </c>
      <c r="BK40" s="259">
        <v>0.1</v>
      </c>
      <c r="BL40" s="259">
        <v>0.1</v>
      </c>
      <c r="BM40" s="259">
        <v>0.1</v>
      </c>
      <c r="BN40" s="259">
        <v>0.1</v>
      </c>
      <c r="BO40" s="260">
        <v>0.1</v>
      </c>
      <c r="BS40">
        <v>37</v>
      </c>
      <c r="BT40" s="271">
        <v>5.94</v>
      </c>
      <c r="BU40" s="2"/>
      <c r="BV40" s="2"/>
      <c r="BW40" s="2"/>
      <c r="BX40" s="2"/>
      <c r="BY40" s="258">
        <v>0.1</v>
      </c>
      <c r="BZ40" s="259">
        <v>0.1</v>
      </c>
      <c r="CA40" s="259">
        <v>0.1</v>
      </c>
      <c r="CB40" s="259">
        <v>0.1</v>
      </c>
      <c r="CC40" s="259">
        <v>0.1</v>
      </c>
      <c r="CD40" s="259">
        <v>0.1</v>
      </c>
      <c r="CE40" s="259">
        <v>0.1</v>
      </c>
      <c r="CF40" s="259">
        <v>0.1</v>
      </c>
      <c r="CG40" s="259">
        <v>0.1</v>
      </c>
      <c r="CH40" s="259">
        <v>0.1</v>
      </c>
      <c r="CI40" s="259">
        <v>0.1</v>
      </c>
      <c r="CJ40" s="259">
        <v>0.1</v>
      </c>
      <c r="CK40" s="259">
        <v>0.1</v>
      </c>
      <c r="CL40" s="259">
        <v>0.1</v>
      </c>
      <c r="CM40" s="259">
        <v>0.1</v>
      </c>
      <c r="CN40" s="259">
        <v>0.1</v>
      </c>
      <c r="CO40" s="259">
        <v>0.1</v>
      </c>
      <c r="CP40" s="259">
        <v>0.1</v>
      </c>
      <c r="CQ40" s="259">
        <v>0.1</v>
      </c>
      <c r="CR40" s="259">
        <v>0.1</v>
      </c>
      <c r="CS40" s="259">
        <v>0.1</v>
      </c>
      <c r="CT40" s="259">
        <v>0.1</v>
      </c>
      <c r="CU40" s="259">
        <v>0.1</v>
      </c>
      <c r="CV40" s="259">
        <v>0.1</v>
      </c>
      <c r="CW40" s="259">
        <v>0.1</v>
      </c>
      <c r="CX40" s="259">
        <v>0.1</v>
      </c>
      <c r="CY40" s="259">
        <v>0.1</v>
      </c>
      <c r="CZ40" s="259">
        <v>0.1</v>
      </c>
      <c r="DA40" s="259">
        <v>0.1</v>
      </c>
      <c r="DB40" s="259">
        <v>0.1</v>
      </c>
      <c r="DC40" s="259">
        <v>0.1</v>
      </c>
      <c r="DD40" s="259">
        <v>0.1</v>
      </c>
      <c r="DE40" s="259">
        <v>0.1</v>
      </c>
      <c r="DF40" s="259">
        <v>0.1</v>
      </c>
      <c r="DG40" s="259">
        <v>0.1</v>
      </c>
      <c r="DH40" s="259">
        <v>0.1</v>
      </c>
      <c r="DI40" s="259">
        <v>0.1</v>
      </c>
      <c r="DJ40" s="259">
        <v>0.1</v>
      </c>
      <c r="DK40" s="259">
        <v>0.1</v>
      </c>
      <c r="DL40" s="259">
        <v>0.1</v>
      </c>
      <c r="DM40" s="259">
        <v>0.1</v>
      </c>
      <c r="DN40" s="259">
        <v>0.1</v>
      </c>
      <c r="DO40" s="259">
        <v>0.1</v>
      </c>
      <c r="DP40" s="259">
        <v>0.1</v>
      </c>
      <c r="DQ40" s="259">
        <v>0.1</v>
      </c>
      <c r="DR40" s="259">
        <v>0.1</v>
      </c>
      <c r="DS40" s="259">
        <v>0.1</v>
      </c>
      <c r="DT40" s="259">
        <v>0.1</v>
      </c>
      <c r="DU40" s="259">
        <v>0.1</v>
      </c>
      <c r="DV40" s="259">
        <v>0.1</v>
      </c>
      <c r="DW40" s="259">
        <v>0.1</v>
      </c>
      <c r="DX40" s="259">
        <v>0.1</v>
      </c>
      <c r="DY40" s="259">
        <v>0.1</v>
      </c>
      <c r="DZ40" s="259">
        <v>0.1</v>
      </c>
      <c r="EA40" s="259">
        <v>0.1</v>
      </c>
      <c r="EB40" s="259">
        <v>0.1</v>
      </c>
      <c r="EC40" s="259">
        <v>0.1</v>
      </c>
      <c r="ED40" s="259">
        <v>0.1</v>
      </c>
      <c r="EE40" s="259">
        <v>0.1</v>
      </c>
      <c r="EF40" s="260">
        <v>0.1</v>
      </c>
      <c r="EJ40">
        <v>37</v>
      </c>
      <c r="EN40">
        <v>0.1</v>
      </c>
      <c r="EO40">
        <v>0.1</v>
      </c>
      <c r="EP40">
        <v>0.1</v>
      </c>
      <c r="EQ40">
        <v>0.1</v>
      </c>
      <c r="ER40">
        <v>0.1</v>
      </c>
      <c r="ES40">
        <v>0.1</v>
      </c>
      <c r="ET40">
        <v>0.1</v>
      </c>
      <c r="EU40">
        <v>0.1</v>
      </c>
      <c r="EV40">
        <v>0.1</v>
      </c>
      <c r="EW40">
        <v>0.1</v>
      </c>
      <c r="EX40">
        <v>0.1</v>
      </c>
      <c r="EY40">
        <v>0.1</v>
      </c>
      <c r="EZ40">
        <v>0.1</v>
      </c>
      <c r="FA40">
        <v>0.1</v>
      </c>
      <c r="FB40">
        <v>0.1</v>
      </c>
      <c r="FC40">
        <v>0.1</v>
      </c>
      <c r="FD40">
        <v>0.1</v>
      </c>
      <c r="FE40">
        <v>0.1</v>
      </c>
      <c r="FF40">
        <v>0.1</v>
      </c>
      <c r="FG40">
        <v>0.1</v>
      </c>
      <c r="FH40">
        <v>0.1</v>
      </c>
      <c r="FI40">
        <v>0.1</v>
      </c>
      <c r="FJ40">
        <v>0.1</v>
      </c>
      <c r="FK40">
        <v>0.1</v>
      </c>
      <c r="FL40">
        <v>0.1</v>
      </c>
      <c r="FM40">
        <v>0.1</v>
      </c>
      <c r="FN40">
        <v>0.1</v>
      </c>
      <c r="FO40">
        <v>0.1</v>
      </c>
      <c r="FP40">
        <v>0.1</v>
      </c>
      <c r="FQ40">
        <v>0.1</v>
      </c>
      <c r="FU40">
        <v>37</v>
      </c>
      <c r="FV40">
        <v>1.03</v>
      </c>
      <c r="FW40">
        <v>1.03</v>
      </c>
      <c r="FX40">
        <v>1.03</v>
      </c>
      <c r="FY40">
        <v>0.62</v>
      </c>
      <c r="GB40" s="66">
        <v>0.1</v>
      </c>
      <c r="GC40" s="67">
        <v>0.1</v>
      </c>
      <c r="GD40" s="67">
        <v>0.1</v>
      </c>
      <c r="GE40" s="67">
        <v>0.1</v>
      </c>
      <c r="GF40" s="67">
        <v>0.1</v>
      </c>
      <c r="GG40" s="67">
        <v>0.1</v>
      </c>
      <c r="GH40" s="67">
        <v>0.1</v>
      </c>
      <c r="GI40" s="67">
        <v>0.1</v>
      </c>
      <c r="GJ40" s="67">
        <v>0.1</v>
      </c>
      <c r="GK40" s="67">
        <v>0.1</v>
      </c>
      <c r="GL40" s="68">
        <v>0.1</v>
      </c>
      <c r="GM40" s="66">
        <v>0.1</v>
      </c>
      <c r="GN40" s="67">
        <v>0.1</v>
      </c>
      <c r="GO40" s="67">
        <v>0.1</v>
      </c>
      <c r="GP40" s="67">
        <v>0.1</v>
      </c>
      <c r="GQ40" s="67">
        <v>0.1</v>
      </c>
      <c r="GR40" s="67">
        <v>0.1</v>
      </c>
      <c r="GS40" s="67">
        <v>0.1</v>
      </c>
      <c r="GT40" s="67">
        <v>0.1</v>
      </c>
      <c r="GU40" s="67">
        <v>0.1</v>
      </c>
      <c r="GV40" s="67">
        <v>0.1</v>
      </c>
      <c r="GW40" s="68">
        <v>0.1</v>
      </c>
      <c r="GX40" s="66">
        <v>0.1</v>
      </c>
      <c r="GY40" s="67">
        <v>0.1</v>
      </c>
      <c r="GZ40" s="67">
        <v>0.1</v>
      </c>
      <c r="HA40" s="67">
        <v>0.1</v>
      </c>
      <c r="HB40" s="67">
        <v>0.1</v>
      </c>
      <c r="HC40" s="67">
        <v>0.1</v>
      </c>
      <c r="HD40" s="67">
        <v>0.1</v>
      </c>
      <c r="HE40" s="67">
        <v>0.1</v>
      </c>
      <c r="HF40" s="67">
        <v>0.1</v>
      </c>
      <c r="HG40" s="67">
        <v>0.1</v>
      </c>
      <c r="HH40" s="68">
        <v>0.1</v>
      </c>
      <c r="HI40" s="66">
        <v>0.1</v>
      </c>
      <c r="HJ40" s="67">
        <v>0.1</v>
      </c>
      <c r="HK40" s="67">
        <v>0.1</v>
      </c>
      <c r="HL40" s="67">
        <v>0.1</v>
      </c>
      <c r="HM40" s="67">
        <v>0.1</v>
      </c>
      <c r="HN40" s="67">
        <v>0.1</v>
      </c>
      <c r="HO40" s="68">
        <v>0.1</v>
      </c>
    </row>
    <row r="41" spans="1:224" ht="15.75" thickBot="1" x14ac:dyDescent="0.3">
      <c r="A41">
        <v>38</v>
      </c>
      <c r="B41" s="269" t="s">
        <v>1178</v>
      </c>
      <c r="C41" s="2"/>
      <c r="D41" s="2"/>
      <c r="E41" s="2"/>
      <c r="F41" s="2"/>
      <c r="G41" s="2"/>
      <c r="H41" s="258">
        <v>0.1</v>
      </c>
      <c r="I41" s="259">
        <v>0.1</v>
      </c>
      <c r="J41" s="259">
        <v>0.1</v>
      </c>
      <c r="K41" s="259">
        <v>0.1</v>
      </c>
      <c r="L41" s="259">
        <v>0.1</v>
      </c>
      <c r="M41" s="259">
        <v>0.1</v>
      </c>
      <c r="N41" s="259">
        <v>0.1</v>
      </c>
      <c r="O41" s="259">
        <v>0.1</v>
      </c>
      <c r="P41" s="259">
        <v>0.1</v>
      </c>
      <c r="Q41" s="259">
        <v>0.1</v>
      </c>
      <c r="R41" s="259">
        <v>0.1</v>
      </c>
      <c r="S41" s="259">
        <v>0.1</v>
      </c>
      <c r="T41" s="259">
        <v>0.1</v>
      </c>
      <c r="U41" s="259">
        <v>0.1</v>
      </c>
      <c r="V41" s="259">
        <v>0.1</v>
      </c>
      <c r="W41" s="259">
        <v>0.1</v>
      </c>
      <c r="X41" s="259">
        <v>0.1</v>
      </c>
      <c r="Y41" s="259">
        <v>0.1</v>
      </c>
      <c r="Z41" s="259">
        <v>0.1</v>
      </c>
      <c r="AA41" s="259">
        <v>0.1</v>
      </c>
      <c r="AB41" s="259">
        <v>0.1</v>
      </c>
      <c r="AC41" s="259">
        <v>0.1</v>
      </c>
      <c r="AD41" s="259">
        <v>0.1</v>
      </c>
      <c r="AE41" s="259">
        <v>0.1</v>
      </c>
      <c r="AF41" s="259">
        <v>0.1</v>
      </c>
      <c r="AG41" s="259">
        <v>0.1</v>
      </c>
      <c r="AH41" s="259">
        <v>0.1</v>
      </c>
      <c r="AI41" s="259">
        <v>0.1</v>
      </c>
      <c r="AJ41" s="259">
        <v>0.1</v>
      </c>
      <c r="AK41" s="259">
        <v>0.1</v>
      </c>
      <c r="AL41" s="259">
        <v>0.1</v>
      </c>
      <c r="AM41" s="259">
        <v>0.1</v>
      </c>
      <c r="AN41" s="259">
        <v>0.1</v>
      </c>
      <c r="AO41" s="259">
        <v>0.1</v>
      </c>
      <c r="AP41" s="259">
        <v>0.1</v>
      </c>
      <c r="AQ41" s="259">
        <v>0.1</v>
      </c>
      <c r="AR41" s="259">
        <v>0.1</v>
      </c>
      <c r="AS41" s="259">
        <v>0.1</v>
      </c>
      <c r="AT41" s="259">
        <v>0.1</v>
      </c>
      <c r="AU41" s="259">
        <v>0.1</v>
      </c>
      <c r="AV41" s="259">
        <v>0.1</v>
      </c>
      <c r="AW41" s="259">
        <v>0.1</v>
      </c>
      <c r="AX41" s="259">
        <v>0.1</v>
      </c>
      <c r="AY41" s="259">
        <v>0.1</v>
      </c>
      <c r="AZ41" s="259">
        <v>0.1</v>
      </c>
      <c r="BA41" s="259">
        <v>0.1</v>
      </c>
      <c r="BB41" s="259">
        <v>0.1</v>
      </c>
      <c r="BC41" s="259">
        <v>0.1</v>
      </c>
      <c r="BD41" s="259">
        <v>0.1</v>
      </c>
      <c r="BE41" s="259">
        <v>0.1</v>
      </c>
      <c r="BF41" s="259">
        <v>0.1</v>
      </c>
      <c r="BG41" s="259">
        <v>0.1</v>
      </c>
      <c r="BH41" s="259">
        <v>0.1</v>
      </c>
      <c r="BI41" s="259">
        <v>0.1</v>
      </c>
      <c r="BJ41" s="260">
        <v>0.1</v>
      </c>
      <c r="BK41">
        <v>0.1</v>
      </c>
      <c r="BL41">
        <v>0.1</v>
      </c>
      <c r="BM41">
        <v>0.1</v>
      </c>
      <c r="BN41">
        <v>0.1</v>
      </c>
      <c r="BO41">
        <v>0.1</v>
      </c>
      <c r="BP41">
        <f>SUM(BK41:BO41)</f>
        <v>0.5</v>
      </c>
      <c r="BS41">
        <v>38</v>
      </c>
      <c r="BT41" s="270">
        <v>5.85</v>
      </c>
      <c r="BU41" s="2"/>
      <c r="BV41" s="2"/>
      <c r="BW41" s="2"/>
      <c r="BX41" s="2"/>
      <c r="BY41" s="258">
        <v>0.1</v>
      </c>
      <c r="BZ41" s="259">
        <v>0.1</v>
      </c>
      <c r="CA41" s="259">
        <v>0.1</v>
      </c>
      <c r="CB41" s="259">
        <v>0.1</v>
      </c>
      <c r="CC41" s="259">
        <v>0.1</v>
      </c>
      <c r="CD41" s="259">
        <v>0.1</v>
      </c>
      <c r="CE41" s="259">
        <v>0.1</v>
      </c>
      <c r="CF41" s="259">
        <v>0.1</v>
      </c>
      <c r="CG41" s="259">
        <v>0.1</v>
      </c>
      <c r="CH41" s="259">
        <v>0.1</v>
      </c>
      <c r="CI41" s="259">
        <v>0.1</v>
      </c>
      <c r="CJ41" s="259">
        <v>0.1</v>
      </c>
      <c r="CK41" s="259">
        <v>0.1</v>
      </c>
      <c r="CL41" s="259">
        <v>0.1</v>
      </c>
      <c r="CM41" s="259">
        <v>0.1</v>
      </c>
      <c r="CN41" s="259">
        <v>0.1</v>
      </c>
      <c r="CO41" s="259">
        <v>0.1</v>
      </c>
      <c r="CP41" s="259">
        <v>0.1</v>
      </c>
      <c r="CQ41" s="259">
        <v>0.1</v>
      </c>
      <c r="CR41" s="259">
        <v>0.1</v>
      </c>
      <c r="CS41" s="259">
        <v>0.1</v>
      </c>
      <c r="CT41" s="259">
        <v>0.1</v>
      </c>
      <c r="CU41" s="259">
        <v>0.1</v>
      </c>
      <c r="CV41" s="259">
        <v>0.1</v>
      </c>
      <c r="CW41" s="259">
        <v>0.1</v>
      </c>
      <c r="CX41" s="259">
        <v>0.1</v>
      </c>
      <c r="CY41" s="259">
        <v>0.1</v>
      </c>
      <c r="CZ41" s="259">
        <v>0.1</v>
      </c>
      <c r="DA41" s="259">
        <v>0.1</v>
      </c>
      <c r="DB41" s="259">
        <v>0.1</v>
      </c>
      <c r="DC41" s="259">
        <v>0.1</v>
      </c>
      <c r="DD41" s="259">
        <v>0.1</v>
      </c>
      <c r="DE41" s="259">
        <v>0.1</v>
      </c>
      <c r="DF41" s="259">
        <v>0.1</v>
      </c>
      <c r="DG41" s="259">
        <v>0.1</v>
      </c>
      <c r="DH41" s="259">
        <v>0.1</v>
      </c>
      <c r="DI41" s="259">
        <v>0.1</v>
      </c>
      <c r="DJ41" s="259">
        <v>0.1</v>
      </c>
      <c r="DK41" s="259">
        <v>0.1</v>
      </c>
      <c r="DL41" s="259">
        <v>0.1</v>
      </c>
      <c r="DM41" s="259">
        <v>0.1</v>
      </c>
      <c r="DN41" s="259">
        <v>0.1</v>
      </c>
      <c r="DO41" s="259">
        <v>0.1</v>
      </c>
      <c r="DP41" s="259">
        <v>0.1</v>
      </c>
      <c r="DQ41" s="259">
        <v>0.1</v>
      </c>
      <c r="DR41" s="259">
        <v>0.1</v>
      </c>
      <c r="DS41" s="259">
        <v>0.1</v>
      </c>
      <c r="DT41" s="259">
        <v>0.1</v>
      </c>
      <c r="DU41" s="259">
        <v>0.1</v>
      </c>
      <c r="DV41" s="259">
        <v>0.1</v>
      </c>
      <c r="DW41" s="259">
        <v>0.1</v>
      </c>
      <c r="DX41" s="259">
        <v>0.1</v>
      </c>
      <c r="DY41" s="259">
        <v>0.1</v>
      </c>
      <c r="DZ41" s="259">
        <v>0.1</v>
      </c>
      <c r="EA41" s="259">
        <v>0.1</v>
      </c>
      <c r="EB41" s="259">
        <v>0.1</v>
      </c>
      <c r="EC41" s="259">
        <v>0.1</v>
      </c>
      <c r="ED41" s="259">
        <v>0.1</v>
      </c>
      <c r="EE41" s="260">
        <v>0.1</v>
      </c>
      <c r="EF41">
        <v>0.1</v>
      </c>
      <c r="EG41">
        <f>SUM(EF41)</f>
        <v>0.1</v>
      </c>
      <c r="EJ41">
        <v>38</v>
      </c>
      <c r="EN41">
        <v>0.1</v>
      </c>
      <c r="EO41">
        <v>0.1</v>
      </c>
      <c r="EP41">
        <v>0.1</v>
      </c>
      <c r="EQ41">
        <v>0.1</v>
      </c>
      <c r="ER41">
        <v>0.1</v>
      </c>
      <c r="ES41">
        <v>0.1</v>
      </c>
      <c r="ET41">
        <v>0.1</v>
      </c>
      <c r="EU41">
        <v>0.1</v>
      </c>
      <c r="EV41">
        <v>0.1</v>
      </c>
      <c r="EW41">
        <v>0.1</v>
      </c>
      <c r="EX41">
        <v>0.1</v>
      </c>
      <c r="EY41">
        <v>0.1</v>
      </c>
      <c r="EZ41">
        <v>0.1</v>
      </c>
      <c r="FA41">
        <v>0.1</v>
      </c>
      <c r="FB41">
        <v>0.1</v>
      </c>
      <c r="FC41">
        <v>0.1</v>
      </c>
      <c r="FD41">
        <v>0.1</v>
      </c>
      <c r="FE41">
        <v>0.1</v>
      </c>
      <c r="FF41">
        <v>0.1</v>
      </c>
      <c r="FG41">
        <v>0.1</v>
      </c>
      <c r="FH41">
        <v>0.1</v>
      </c>
      <c r="FI41">
        <v>0.1</v>
      </c>
      <c r="FJ41">
        <v>0.1</v>
      </c>
      <c r="FK41">
        <v>0.1</v>
      </c>
      <c r="FL41">
        <v>0.1</v>
      </c>
      <c r="FM41">
        <v>0.1</v>
      </c>
      <c r="FN41">
        <v>0.1</v>
      </c>
      <c r="FO41">
        <v>0.1</v>
      </c>
      <c r="FP41">
        <v>0.1</v>
      </c>
      <c r="FQ41">
        <v>0.1</v>
      </c>
      <c r="FT41">
        <f>120/3</f>
        <v>40</v>
      </c>
      <c r="FU41">
        <v>38</v>
      </c>
      <c r="FV41">
        <v>1.03</v>
      </c>
      <c r="FW41">
        <v>1.03</v>
      </c>
      <c r="FX41">
        <v>1.03</v>
      </c>
      <c r="FY41">
        <v>0.62</v>
      </c>
      <c r="GB41" s="66">
        <v>0.1</v>
      </c>
      <c r="GC41" s="67">
        <v>0.1</v>
      </c>
      <c r="GD41" s="67">
        <v>0.1</v>
      </c>
      <c r="GE41" s="67">
        <v>0.1</v>
      </c>
      <c r="GF41" s="67">
        <v>0.1</v>
      </c>
      <c r="GG41" s="67">
        <v>0.1</v>
      </c>
      <c r="GH41" s="67">
        <v>0.1</v>
      </c>
      <c r="GI41" s="67">
        <v>0.1</v>
      </c>
      <c r="GJ41" s="67">
        <v>0.1</v>
      </c>
      <c r="GK41" s="67">
        <v>0.1</v>
      </c>
      <c r="GL41" s="68">
        <v>0.1</v>
      </c>
      <c r="GM41" s="66">
        <v>0.1</v>
      </c>
      <c r="GN41" s="67">
        <v>0.1</v>
      </c>
      <c r="GO41" s="67">
        <v>0.1</v>
      </c>
      <c r="GP41" s="67">
        <v>0.1</v>
      </c>
      <c r="GQ41" s="67">
        <v>0.1</v>
      </c>
      <c r="GR41" s="67">
        <v>0.1</v>
      </c>
      <c r="GS41" s="67">
        <v>0.1</v>
      </c>
      <c r="GT41" s="67">
        <v>0.1</v>
      </c>
      <c r="GU41" s="67">
        <v>0.1</v>
      </c>
      <c r="GV41" s="67">
        <v>0.1</v>
      </c>
      <c r="GW41" s="68">
        <v>0.1</v>
      </c>
      <c r="GX41" s="66">
        <v>0.1</v>
      </c>
      <c r="GY41" s="67">
        <v>0.1</v>
      </c>
      <c r="GZ41" s="67">
        <v>0.1</v>
      </c>
      <c r="HA41" s="67">
        <v>0.1</v>
      </c>
      <c r="HB41" s="67">
        <v>0.1</v>
      </c>
      <c r="HC41" s="67">
        <v>0.1</v>
      </c>
      <c r="HD41" s="67">
        <v>0.1</v>
      </c>
      <c r="HE41" s="67">
        <v>0.1</v>
      </c>
      <c r="HF41" s="67">
        <v>0.1</v>
      </c>
      <c r="HG41" s="67">
        <v>0.1</v>
      </c>
      <c r="HH41" s="68">
        <v>0.1</v>
      </c>
      <c r="HI41" s="66">
        <v>0.1</v>
      </c>
      <c r="HJ41" s="67">
        <v>0.1</v>
      </c>
      <c r="HK41" s="67">
        <v>0.1</v>
      </c>
      <c r="HL41" s="67">
        <v>0.1</v>
      </c>
      <c r="HM41" s="67">
        <v>0.1</v>
      </c>
      <c r="HN41" s="67">
        <v>0.1</v>
      </c>
      <c r="HO41" s="68">
        <v>0.1</v>
      </c>
    </row>
    <row r="42" spans="1:224" ht="15.75" thickBot="1" x14ac:dyDescent="0.3">
      <c r="A42">
        <v>39</v>
      </c>
      <c r="B42" s="269" t="s">
        <v>1177</v>
      </c>
      <c r="C42" s="2"/>
      <c r="D42" s="2"/>
      <c r="E42" s="2"/>
      <c r="F42" s="2"/>
      <c r="G42" s="2"/>
      <c r="H42" s="258">
        <v>0.1</v>
      </c>
      <c r="I42" s="259">
        <v>0.1</v>
      </c>
      <c r="J42" s="259">
        <v>0.1</v>
      </c>
      <c r="K42" s="259">
        <v>0.1</v>
      </c>
      <c r="L42" s="259">
        <v>0.1</v>
      </c>
      <c r="M42" s="259">
        <v>0.1</v>
      </c>
      <c r="N42" s="259">
        <v>0.1</v>
      </c>
      <c r="O42" s="259">
        <v>0.1</v>
      </c>
      <c r="P42" s="259">
        <v>0.1</v>
      </c>
      <c r="Q42" s="259">
        <v>0.1</v>
      </c>
      <c r="R42" s="259">
        <v>0.1</v>
      </c>
      <c r="S42" s="259">
        <v>0.1</v>
      </c>
      <c r="T42" s="259">
        <v>0.1</v>
      </c>
      <c r="U42" s="259">
        <v>0.1</v>
      </c>
      <c r="V42" s="259">
        <v>0.1</v>
      </c>
      <c r="W42" s="259">
        <v>0.1</v>
      </c>
      <c r="X42" s="259">
        <v>0.1</v>
      </c>
      <c r="Y42" s="259">
        <v>0.1</v>
      </c>
      <c r="Z42" s="259">
        <v>0.1</v>
      </c>
      <c r="AA42" s="259">
        <v>0.1</v>
      </c>
      <c r="AB42" s="259">
        <v>0.1</v>
      </c>
      <c r="AC42" s="259">
        <v>0.1</v>
      </c>
      <c r="AD42" s="259">
        <v>0.1</v>
      </c>
      <c r="AE42" s="259">
        <v>0.1</v>
      </c>
      <c r="AF42" s="259">
        <v>0.1</v>
      </c>
      <c r="AG42" s="259">
        <v>0.1</v>
      </c>
      <c r="AH42" s="259">
        <v>0.1</v>
      </c>
      <c r="AI42" s="259">
        <v>0.1</v>
      </c>
      <c r="AJ42" s="259">
        <v>0.1</v>
      </c>
      <c r="AK42" s="259">
        <v>0.1</v>
      </c>
      <c r="AL42" s="259">
        <v>0.1</v>
      </c>
      <c r="AM42" s="259">
        <v>0.1</v>
      </c>
      <c r="AN42" s="259">
        <v>0.1</v>
      </c>
      <c r="AO42" s="259">
        <v>0.1</v>
      </c>
      <c r="AP42" s="259">
        <v>0.1</v>
      </c>
      <c r="AQ42" s="259">
        <v>0.1</v>
      </c>
      <c r="AR42" s="259">
        <v>0.1</v>
      </c>
      <c r="AS42" s="259">
        <v>0.1</v>
      </c>
      <c r="AT42" s="259">
        <v>0.1</v>
      </c>
      <c r="AU42" s="259">
        <v>0.1</v>
      </c>
      <c r="AV42" s="259">
        <v>0.1</v>
      </c>
      <c r="AW42" s="259">
        <v>0.1</v>
      </c>
      <c r="AX42" s="259">
        <v>0.1</v>
      </c>
      <c r="AY42" s="259">
        <v>0.1</v>
      </c>
      <c r="AZ42" s="259">
        <v>0.1</v>
      </c>
      <c r="BA42" s="259">
        <v>0.1</v>
      </c>
      <c r="BB42" s="259">
        <v>0.1</v>
      </c>
      <c r="BC42" s="259">
        <v>0.1</v>
      </c>
      <c r="BD42" s="259">
        <v>0.1</v>
      </c>
      <c r="BE42" s="259">
        <v>0.1</v>
      </c>
      <c r="BF42" s="259">
        <v>0.1</v>
      </c>
      <c r="BG42" s="259">
        <v>0.1</v>
      </c>
      <c r="BH42" s="259">
        <v>0.1</v>
      </c>
      <c r="BI42" s="259">
        <v>0.1</v>
      </c>
      <c r="BJ42" s="259">
        <v>0.1</v>
      </c>
      <c r="BK42" s="259">
        <v>0.1</v>
      </c>
      <c r="BL42" s="259">
        <v>0.1</v>
      </c>
      <c r="BM42" s="259">
        <v>0.1</v>
      </c>
      <c r="BN42" s="259">
        <v>0.1</v>
      </c>
      <c r="BO42" s="260">
        <v>0.1</v>
      </c>
      <c r="BS42">
        <v>39</v>
      </c>
      <c r="BT42" s="271">
        <v>5.79</v>
      </c>
      <c r="BU42" s="2"/>
      <c r="BV42" s="2"/>
      <c r="BW42" s="2"/>
      <c r="BX42" s="2"/>
      <c r="BY42" s="258">
        <v>0.1</v>
      </c>
      <c r="BZ42" s="259">
        <v>0.1</v>
      </c>
      <c r="CA42" s="259">
        <v>0.1</v>
      </c>
      <c r="CB42" s="259">
        <v>0.1</v>
      </c>
      <c r="CC42" s="259">
        <v>0.1</v>
      </c>
      <c r="CD42" s="259">
        <v>0.1</v>
      </c>
      <c r="CE42" s="259">
        <v>0.1</v>
      </c>
      <c r="CF42" s="259">
        <v>0.1</v>
      </c>
      <c r="CG42" s="259">
        <v>0.1</v>
      </c>
      <c r="CH42" s="259">
        <v>0.1</v>
      </c>
      <c r="CI42" s="259">
        <v>0.1</v>
      </c>
      <c r="CJ42" s="259">
        <v>0.1</v>
      </c>
      <c r="CK42" s="259">
        <v>0.1</v>
      </c>
      <c r="CL42" s="259">
        <v>0.1</v>
      </c>
      <c r="CM42" s="259">
        <v>0.1</v>
      </c>
      <c r="CN42" s="259">
        <v>0.1</v>
      </c>
      <c r="CO42" s="259">
        <v>0.1</v>
      </c>
      <c r="CP42" s="259">
        <v>0.1</v>
      </c>
      <c r="CQ42" s="259">
        <v>0.1</v>
      </c>
      <c r="CR42" s="259">
        <v>0.1</v>
      </c>
      <c r="CS42" s="259">
        <v>0.1</v>
      </c>
      <c r="CT42" s="259">
        <v>0.1</v>
      </c>
      <c r="CU42" s="259">
        <v>0.1</v>
      </c>
      <c r="CV42" s="259">
        <v>0.1</v>
      </c>
      <c r="CW42" s="259">
        <v>0.1</v>
      </c>
      <c r="CX42" s="259">
        <v>0.1</v>
      </c>
      <c r="CY42" s="259">
        <v>0.1</v>
      </c>
      <c r="CZ42" s="259">
        <v>0.1</v>
      </c>
      <c r="DA42" s="259">
        <v>0.1</v>
      </c>
      <c r="DB42" s="259">
        <v>0.1</v>
      </c>
      <c r="DC42" s="259">
        <v>0.1</v>
      </c>
      <c r="DD42" s="259">
        <v>0.1</v>
      </c>
      <c r="DE42" s="259">
        <v>0.1</v>
      </c>
      <c r="DF42" s="259">
        <v>0.1</v>
      </c>
      <c r="DG42" s="259">
        <v>0.1</v>
      </c>
      <c r="DH42" s="259">
        <v>0.1</v>
      </c>
      <c r="DI42" s="259">
        <v>0.1</v>
      </c>
      <c r="DJ42" s="259">
        <v>0.1</v>
      </c>
      <c r="DK42" s="259">
        <v>0.1</v>
      </c>
      <c r="DL42" s="259">
        <v>0.1</v>
      </c>
      <c r="DM42" s="259">
        <v>0.1</v>
      </c>
      <c r="DN42" s="259">
        <v>0.1</v>
      </c>
      <c r="DO42" s="259">
        <v>0.1</v>
      </c>
      <c r="DP42" s="259">
        <v>0.1</v>
      </c>
      <c r="DQ42" s="259">
        <v>0.1</v>
      </c>
      <c r="DR42" s="259">
        <v>0.1</v>
      </c>
      <c r="DS42" s="259">
        <v>0.1</v>
      </c>
      <c r="DT42" s="259">
        <v>0.1</v>
      </c>
      <c r="DU42" s="259">
        <v>0.1</v>
      </c>
      <c r="DV42" s="259">
        <v>0.1</v>
      </c>
      <c r="DW42" s="259">
        <v>0.1</v>
      </c>
      <c r="DX42" s="259">
        <v>0.1</v>
      </c>
      <c r="DY42" s="259">
        <v>0.1</v>
      </c>
      <c r="DZ42" s="259">
        <v>0.1</v>
      </c>
      <c r="EA42" s="259">
        <v>0.1</v>
      </c>
      <c r="EB42" s="259">
        <v>0.1</v>
      </c>
      <c r="EC42" s="259">
        <v>0.1</v>
      </c>
      <c r="ED42" s="260">
        <v>0.1</v>
      </c>
      <c r="EE42">
        <v>0.1</v>
      </c>
      <c r="EF42">
        <v>0.1</v>
      </c>
      <c r="EG42">
        <f>SUM(EE42:EF42)</f>
        <v>0.2</v>
      </c>
      <c r="EJ42">
        <v>39</v>
      </c>
      <c r="EN42">
        <v>0.1</v>
      </c>
      <c r="EO42">
        <v>0.1</v>
      </c>
      <c r="EP42">
        <v>0.1</v>
      </c>
      <c r="EQ42">
        <v>0.1</v>
      </c>
      <c r="ER42">
        <v>0.1</v>
      </c>
      <c r="ES42">
        <v>0.1</v>
      </c>
      <c r="ET42">
        <v>0.1</v>
      </c>
      <c r="EU42">
        <v>0.1</v>
      </c>
      <c r="EV42">
        <v>0.1</v>
      </c>
      <c r="EW42">
        <v>0.1</v>
      </c>
      <c r="EX42">
        <v>0.1</v>
      </c>
      <c r="EY42">
        <v>0.1</v>
      </c>
      <c r="EZ42">
        <v>0.1</v>
      </c>
      <c r="FA42">
        <v>0.1</v>
      </c>
      <c r="FB42">
        <v>0.1</v>
      </c>
      <c r="FC42">
        <v>0.1</v>
      </c>
      <c r="FD42">
        <v>0.1</v>
      </c>
      <c r="FE42">
        <v>0.1</v>
      </c>
      <c r="FF42">
        <v>0.1</v>
      </c>
      <c r="FG42">
        <v>0.1</v>
      </c>
      <c r="FH42">
        <v>0.1</v>
      </c>
      <c r="FI42">
        <v>0.1</v>
      </c>
      <c r="FJ42">
        <v>0.1</v>
      </c>
      <c r="FK42">
        <v>0.1</v>
      </c>
      <c r="FL42">
        <v>0.1</v>
      </c>
      <c r="FM42">
        <v>0.1</v>
      </c>
      <c r="FN42">
        <v>0.1</v>
      </c>
      <c r="FO42">
        <v>0.1</v>
      </c>
      <c r="FP42">
        <v>0.1</v>
      </c>
      <c r="FQ42">
        <v>0.1</v>
      </c>
      <c r="FU42">
        <v>39</v>
      </c>
      <c r="FV42">
        <v>1.03</v>
      </c>
      <c r="FW42">
        <v>1.03</v>
      </c>
      <c r="FX42">
        <v>1.03</v>
      </c>
      <c r="FY42">
        <v>0.62</v>
      </c>
      <c r="GB42" s="66">
        <v>0.1</v>
      </c>
      <c r="GC42" s="67">
        <v>0.1</v>
      </c>
      <c r="GD42" s="67">
        <v>0.1</v>
      </c>
      <c r="GE42" s="67">
        <v>0.1</v>
      </c>
      <c r="GF42" s="67">
        <v>0.1</v>
      </c>
      <c r="GG42" s="67">
        <v>0.1</v>
      </c>
      <c r="GH42" s="67">
        <v>0.1</v>
      </c>
      <c r="GI42" s="67">
        <v>0.1</v>
      </c>
      <c r="GJ42" s="67">
        <v>0.1</v>
      </c>
      <c r="GK42" s="67">
        <v>0.1</v>
      </c>
      <c r="GL42" s="68">
        <v>0.1</v>
      </c>
      <c r="GM42" s="66">
        <v>0.1</v>
      </c>
      <c r="GN42" s="67">
        <v>0.1</v>
      </c>
      <c r="GO42" s="67">
        <v>0.1</v>
      </c>
      <c r="GP42" s="67">
        <v>0.1</v>
      </c>
      <c r="GQ42" s="67">
        <v>0.1</v>
      </c>
      <c r="GR42" s="67">
        <v>0.1</v>
      </c>
      <c r="GS42" s="67">
        <v>0.1</v>
      </c>
      <c r="GT42" s="67">
        <v>0.1</v>
      </c>
      <c r="GU42" s="67">
        <v>0.1</v>
      </c>
      <c r="GV42" s="67">
        <v>0.1</v>
      </c>
      <c r="GW42" s="68">
        <v>0.1</v>
      </c>
      <c r="GX42" s="66">
        <v>0.1</v>
      </c>
      <c r="GY42" s="67">
        <v>0.1</v>
      </c>
      <c r="GZ42" s="67">
        <v>0.1</v>
      </c>
      <c r="HA42" s="67">
        <v>0.1</v>
      </c>
      <c r="HB42" s="67">
        <v>0.1</v>
      </c>
      <c r="HC42" s="67">
        <v>0.1</v>
      </c>
      <c r="HD42" s="67">
        <v>0.1</v>
      </c>
      <c r="HE42" s="67">
        <v>0.1</v>
      </c>
      <c r="HF42" s="67">
        <v>0.1</v>
      </c>
      <c r="HG42" s="67">
        <v>0.1</v>
      </c>
      <c r="HH42" s="68">
        <v>0.1</v>
      </c>
      <c r="HI42" s="66">
        <v>0.1</v>
      </c>
      <c r="HJ42" s="67">
        <v>0.1</v>
      </c>
      <c r="HK42" s="67">
        <v>0.1</v>
      </c>
      <c r="HL42" s="67">
        <v>0.1</v>
      </c>
      <c r="HM42" s="67">
        <v>0.1</v>
      </c>
      <c r="HN42" s="67">
        <v>0.1</v>
      </c>
      <c r="HO42" s="68">
        <v>0.1</v>
      </c>
    </row>
    <row r="43" spans="1:224" ht="15.75" thickBot="1" x14ac:dyDescent="0.3">
      <c r="A43">
        <v>40</v>
      </c>
      <c r="B43" s="269" t="s">
        <v>1178</v>
      </c>
      <c r="C43" s="2"/>
      <c r="D43" s="2"/>
      <c r="E43" s="2"/>
      <c r="F43" s="2"/>
      <c r="G43" s="2"/>
      <c r="H43" s="258">
        <v>0.1</v>
      </c>
      <c r="I43" s="259">
        <v>0.1</v>
      </c>
      <c r="J43" s="259">
        <v>0.1</v>
      </c>
      <c r="K43" s="259">
        <v>0.1</v>
      </c>
      <c r="L43" s="259">
        <v>0.1</v>
      </c>
      <c r="M43" s="259">
        <v>0.1</v>
      </c>
      <c r="N43" s="259">
        <v>0.1</v>
      </c>
      <c r="O43" s="259">
        <v>0.1</v>
      </c>
      <c r="P43" s="259">
        <v>0.1</v>
      </c>
      <c r="Q43" s="259">
        <v>0.1</v>
      </c>
      <c r="R43" s="259">
        <v>0.1</v>
      </c>
      <c r="S43" s="259">
        <v>0.1</v>
      </c>
      <c r="T43" s="259">
        <v>0.1</v>
      </c>
      <c r="U43" s="259">
        <v>0.1</v>
      </c>
      <c r="V43" s="259">
        <v>0.1</v>
      </c>
      <c r="W43" s="259">
        <v>0.1</v>
      </c>
      <c r="X43" s="259">
        <v>0.1</v>
      </c>
      <c r="Y43" s="259">
        <v>0.1</v>
      </c>
      <c r="Z43" s="259">
        <v>0.1</v>
      </c>
      <c r="AA43" s="259">
        <v>0.1</v>
      </c>
      <c r="AB43" s="259">
        <v>0.1</v>
      </c>
      <c r="AC43" s="259">
        <v>0.1</v>
      </c>
      <c r="AD43" s="259">
        <v>0.1</v>
      </c>
      <c r="AE43" s="259">
        <v>0.1</v>
      </c>
      <c r="AF43" s="259">
        <v>0.1</v>
      </c>
      <c r="AG43" s="259">
        <v>0.1</v>
      </c>
      <c r="AH43" s="259">
        <v>0.1</v>
      </c>
      <c r="AI43" s="259">
        <v>0.1</v>
      </c>
      <c r="AJ43" s="259">
        <v>0.1</v>
      </c>
      <c r="AK43" s="259">
        <v>0.1</v>
      </c>
      <c r="AL43" s="259">
        <v>0.1</v>
      </c>
      <c r="AM43" s="259">
        <v>0.1</v>
      </c>
      <c r="AN43" s="259">
        <v>0.1</v>
      </c>
      <c r="AO43" s="259">
        <v>0.1</v>
      </c>
      <c r="AP43" s="259">
        <v>0.1</v>
      </c>
      <c r="AQ43" s="259">
        <v>0.1</v>
      </c>
      <c r="AR43" s="259">
        <v>0.1</v>
      </c>
      <c r="AS43" s="259">
        <v>0.1</v>
      </c>
      <c r="AT43" s="259">
        <v>0.1</v>
      </c>
      <c r="AU43" s="259">
        <v>0.1</v>
      </c>
      <c r="AV43" s="259">
        <v>0.1</v>
      </c>
      <c r="AW43" s="259">
        <v>0.1</v>
      </c>
      <c r="AX43" s="259">
        <v>0.1</v>
      </c>
      <c r="AY43" s="259">
        <v>0.1</v>
      </c>
      <c r="AZ43" s="259">
        <v>0.1</v>
      </c>
      <c r="BA43" s="259">
        <v>0.1</v>
      </c>
      <c r="BB43" s="259">
        <v>0.1</v>
      </c>
      <c r="BC43" s="259">
        <v>0.1</v>
      </c>
      <c r="BD43" s="259">
        <v>0.1</v>
      </c>
      <c r="BE43" s="259">
        <v>0.1</v>
      </c>
      <c r="BF43" s="259">
        <v>0.1</v>
      </c>
      <c r="BG43" s="259">
        <v>0.1</v>
      </c>
      <c r="BH43" s="259">
        <v>0.1</v>
      </c>
      <c r="BI43" s="259">
        <v>0.1</v>
      </c>
      <c r="BJ43" s="260">
        <v>0.1</v>
      </c>
      <c r="BK43">
        <v>0.1</v>
      </c>
      <c r="BL43">
        <v>0.1</v>
      </c>
      <c r="BM43">
        <v>0.1</v>
      </c>
      <c r="BN43">
        <v>0.1</v>
      </c>
      <c r="BO43">
        <v>0.1</v>
      </c>
      <c r="BP43">
        <f>SUM(BK43:BO43)</f>
        <v>0.5</v>
      </c>
      <c r="BS43">
        <v>40</v>
      </c>
      <c r="BT43" s="270">
        <v>5.79</v>
      </c>
      <c r="BU43" s="2"/>
      <c r="BV43" s="2"/>
      <c r="BW43" s="2"/>
      <c r="BX43" s="2"/>
      <c r="BY43" s="258">
        <v>0.1</v>
      </c>
      <c r="BZ43" s="259">
        <v>0.1</v>
      </c>
      <c r="CA43" s="259">
        <v>0.1</v>
      </c>
      <c r="CB43" s="259">
        <v>0.1</v>
      </c>
      <c r="CC43" s="259">
        <v>0.1</v>
      </c>
      <c r="CD43" s="259">
        <v>0.1</v>
      </c>
      <c r="CE43" s="259">
        <v>0.1</v>
      </c>
      <c r="CF43" s="259">
        <v>0.1</v>
      </c>
      <c r="CG43" s="259">
        <v>0.1</v>
      </c>
      <c r="CH43" s="259">
        <v>0.1</v>
      </c>
      <c r="CI43" s="259">
        <v>0.1</v>
      </c>
      <c r="CJ43" s="259">
        <v>0.1</v>
      </c>
      <c r="CK43" s="259">
        <v>0.1</v>
      </c>
      <c r="CL43" s="259">
        <v>0.1</v>
      </c>
      <c r="CM43" s="259">
        <v>0.1</v>
      </c>
      <c r="CN43" s="259">
        <v>0.1</v>
      </c>
      <c r="CO43" s="259">
        <v>0.1</v>
      </c>
      <c r="CP43" s="259">
        <v>0.1</v>
      </c>
      <c r="CQ43" s="259">
        <v>0.1</v>
      </c>
      <c r="CR43" s="259">
        <v>0.1</v>
      </c>
      <c r="CS43" s="259">
        <v>0.1</v>
      </c>
      <c r="CT43" s="259">
        <v>0.1</v>
      </c>
      <c r="CU43" s="259">
        <v>0.1</v>
      </c>
      <c r="CV43" s="259">
        <v>0.1</v>
      </c>
      <c r="CW43" s="259">
        <v>0.1</v>
      </c>
      <c r="CX43" s="259">
        <v>0.1</v>
      </c>
      <c r="CY43" s="259">
        <v>0.1</v>
      </c>
      <c r="CZ43" s="259">
        <v>0.1</v>
      </c>
      <c r="DA43" s="259">
        <v>0.1</v>
      </c>
      <c r="DB43" s="259">
        <v>0.1</v>
      </c>
      <c r="DC43" s="259">
        <v>0.1</v>
      </c>
      <c r="DD43" s="259">
        <v>0.1</v>
      </c>
      <c r="DE43" s="259">
        <v>0.1</v>
      </c>
      <c r="DF43" s="259">
        <v>0.1</v>
      </c>
      <c r="DG43" s="259">
        <v>0.1</v>
      </c>
      <c r="DH43" s="259">
        <v>0.1</v>
      </c>
      <c r="DI43" s="259">
        <v>0.1</v>
      </c>
      <c r="DJ43" s="259">
        <v>0.1</v>
      </c>
      <c r="DK43" s="259">
        <v>0.1</v>
      </c>
      <c r="DL43" s="259">
        <v>0.1</v>
      </c>
      <c r="DM43" s="259">
        <v>0.1</v>
      </c>
      <c r="DN43" s="259">
        <v>0.1</v>
      </c>
      <c r="DO43" s="259">
        <v>0.1</v>
      </c>
      <c r="DP43" s="259">
        <v>0.1</v>
      </c>
      <c r="DQ43" s="259">
        <v>0.1</v>
      </c>
      <c r="DR43" s="259">
        <v>0.1</v>
      </c>
      <c r="DS43" s="259">
        <v>0.1</v>
      </c>
      <c r="DT43" s="259">
        <v>0.1</v>
      </c>
      <c r="DU43" s="259">
        <v>0.1</v>
      </c>
      <c r="DV43" s="259">
        <v>0.1</v>
      </c>
      <c r="DW43" s="259">
        <v>0.1</v>
      </c>
      <c r="DX43" s="259">
        <v>0.1</v>
      </c>
      <c r="DY43" s="259">
        <v>0.1</v>
      </c>
      <c r="DZ43" s="259">
        <v>0.1</v>
      </c>
      <c r="EA43" s="259">
        <v>0.1</v>
      </c>
      <c r="EB43" s="259">
        <v>0.1</v>
      </c>
      <c r="EC43" s="259">
        <v>0.1</v>
      </c>
      <c r="ED43" s="260">
        <v>0.1</v>
      </c>
      <c r="EE43">
        <v>0.1</v>
      </c>
      <c r="EF43">
        <v>0.1</v>
      </c>
      <c r="EG43">
        <f>SUM(EE43:EF43)</f>
        <v>0.2</v>
      </c>
      <c r="EJ43">
        <v>40</v>
      </c>
      <c r="EN43">
        <v>0.1</v>
      </c>
      <c r="EO43">
        <v>0.1</v>
      </c>
      <c r="EP43">
        <v>0.1</v>
      </c>
      <c r="EQ43">
        <v>0.1</v>
      </c>
      <c r="ER43">
        <v>0.1</v>
      </c>
      <c r="ES43">
        <v>0.1</v>
      </c>
      <c r="ET43">
        <v>0.1</v>
      </c>
      <c r="EU43">
        <v>0.1</v>
      </c>
      <c r="EV43">
        <v>0.1</v>
      </c>
      <c r="EW43">
        <v>0.1</v>
      </c>
      <c r="EX43">
        <v>0.1</v>
      </c>
      <c r="EY43">
        <v>0.1</v>
      </c>
      <c r="EZ43">
        <v>0.1</v>
      </c>
      <c r="FA43">
        <v>0.1</v>
      </c>
      <c r="FB43">
        <v>0.1</v>
      </c>
      <c r="FC43">
        <v>0.1</v>
      </c>
      <c r="FD43">
        <v>0.1</v>
      </c>
      <c r="FE43">
        <v>0.1</v>
      </c>
      <c r="FF43">
        <v>0.1</v>
      </c>
      <c r="FG43">
        <v>0.1</v>
      </c>
      <c r="FH43">
        <v>0.1</v>
      </c>
      <c r="FI43">
        <v>0.1</v>
      </c>
      <c r="FJ43">
        <v>0.1</v>
      </c>
      <c r="FK43">
        <v>0.1</v>
      </c>
      <c r="FL43">
        <v>0.1</v>
      </c>
      <c r="FM43">
        <v>0.1</v>
      </c>
      <c r="FN43">
        <v>0.1</v>
      </c>
      <c r="FO43">
        <v>0.1</v>
      </c>
      <c r="FP43">
        <v>0.1</v>
      </c>
      <c r="FQ43">
        <v>0.1</v>
      </c>
      <c r="FU43">
        <v>40</v>
      </c>
      <c r="FV43">
        <v>1.03</v>
      </c>
      <c r="FW43">
        <v>1.03</v>
      </c>
      <c r="FX43">
        <v>1.03</v>
      </c>
      <c r="FY43">
        <v>0.62</v>
      </c>
      <c r="GB43" s="66">
        <v>0.1</v>
      </c>
      <c r="GC43" s="67">
        <v>0.1</v>
      </c>
      <c r="GD43" s="67">
        <v>0.1</v>
      </c>
      <c r="GE43" s="67">
        <v>0.1</v>
      </c>
      <c r="GF43" s="67">
        <v>0.1</v>
      </c>
      <c r="GG43" s="67">
        <v>0.1</v>
      </c>
      <c r="GH43" s="67">
        <v>0.1</v>
      </c>
      <c r="GI43" s="67">
        <v>0.1</v>
      </c>
      <c r="GJ43" s="67">
        <v>0.1</v>
      </c>
      <c r="GK43" s="67">
        <v>0.1</v>
      </c>
      <c r="GL43" s="68">
        <v>0.1</v>
      </c>
      <c r="GM43" s="66">
        <v>0.1</v>
      </c>
      <c r="GN43" s="67">
        <v>0.1</v>
      </c>
      <c r="GO43" s="67">
        <v>0.1</v>
      </c>
      <c r="GP43" s="67">
        <v>0.1</v>
      </c>
      <c r="GQ43" s="67">
        <v>0.1</v>
      </c>
      <c r="GR43" s="67">
        <v>0.1</v>
      </c>
      <c r="GS43" s="67">
        <v>0.1</v>
      </c>
      <c r="GT43" s="67">
        <v>0.1</v>
      </c>
      <c r="GU43" s="67">
        <v>0.1</v>
      </c>
      <c r="GV43" s="67">
        <v>0.1</v>
      </c>
      <c r="GW43" s="68">
        <v>0.1</v>
      </c>
      <c r="GX43" s="66">
        <v>0.1</v>
      </c>
      <c r="GY43" s="67">
        <v>0.1</v>
      </c>
      <c r="GZ43" s="67">
        <v>0.1</v>
      </c>
      <c r="HA43" s="67">
        <v>0.1</v>
      </c>
      <c r="HB43" s="67">
        <v>0.1</v>
      </c>
      <c r="HC43" s="67">
        <v>0.1</v>
      </c>
      <c r="HD43" s="67">
        <v>0.1</v>
      </c>
      <c r="HE43" s="67">
        <v>0.1</v>
      </c>
      <c r="HF43" s="67">
        <v>0.1</v>
      </c>
      <c r="HG43" s="67">
        <v>0.1</v>
      </c>
      <c r="HH43" s="68">
        <v>0.1</v>
      </c>
      <c r="HI43" s="66">
        <v>0.1</v>
      </c>
      <c r="HJ43" s="67">
        <v>0.1</v>
      </c>
      <c r="HK43" s="67">
        <v>0.1</v>
      </c>
      <c r="HL43" s="67">
        <v>0.1</v>
      </c>
      <c r="HM43" s="67">
        <v>0.1</v>
      </c>
      <c r="HN43" s="67">
        <v>0.1</v>
      </c>
      <c r="HO43" s="68">
        <v>0.1</v>
      </c>
    </row>
    <row r="44" spans="1:224" ht="15.75" thickBot="1" x14ac:dyDescent="0.3">
      <c r="A44">
        <v>41</v>
      </c>
      <c r="B44" s="269" t="s">
        <v>1177</v>
      </c>
      <c r="C44" s="2"/>
      <c r="D44" s="2"/>
      <c r="E44" s="2"/>
      <c r="F44" s="2"/>
      <c r="G44" s="2"/>
      <c r="H44" s="258">
        <v>0.1</v>
      </c>
      <c r="I44" s="259">
        <v>0.1</v>
      </c>
      <c r="J44" s="259">
        <v>0.1</v>
      </c>
      <c r="K44" s="259">
        <v>0.1</v>
      </c>
      <c r="L44" s="259">
        <v>0.1</v>
      </c>
      <c r="M44" s="259">
        <v>0.1</v>
      </c>
      <c r="N44" s="259">
        <v>0.1</v>
      </c>
      <c r="O44" s="259">
        <v>0.1</v>
      </c>
      <c r="P44" s="259">
        <v>0.1</v>
      </c>
      <c r="Q44" s="259">
        <v>0.1</v>
      </c>
      <c r="R44" s="259">
        <v>0.1</v>
      </c>
      <c r="S44" s="259">
        <v>0.1</v>
      </c>
      <c r="T44" s="259">
        <v>0.1</v>
      </c>
      <c r="U44" s="259">
        <v>0.1</v>
      </c>
      <c r="V44" s="259">
        <v>0.1</v>
      </c>
      <c r="W44" s="259">
        <v>0.1</v>
      </c>
      <c r="X44" s="259">
        <v>0.1</v>
      </c>
      <c r="Y44" s="259">
        <v>0.1</v>
      </c>
      <c r="Z44" s="259">
        <v>0.1</v>
      </c>
      <c r="AA44" s="259">
        <v>0.1</v>
      </c>
      <c r="AB44" s="259">
        <v>0.1</v>
      </c>
      <c r="AC44" s="259">
        <v>0.1</v>
      </c>
      <c r="AD44" s="259">
        <v>0.1</v>
      </c>
      <c r="AE44" s="259">
        <v>0.1</v>
      </c>
      <c r="AF44" s="259">
        <v>0.1</v>
      </c>
      <c r="AG44" s="259">
        <v>0.1</v>
      </c>
      <c r="AH44" s="259">
        <v>0.1</v>
      </c>
      <c r="AI44" s="259">
        <v>0.1</v>
      </c>
      <c r="AJ44" s="259">
        <v>0.1</v>
      </c>
      <c r="AK44" s="259">
        <v>0.1</v>
      </c>
      <c r="AL44" s="259">
        <v>0.1</v>
      </c>
      <c r="AM44" s="259">
        <v>0.1</v>
      </c>
      <c r="AN44" s="259">
        <v>0.1</v>
      </c>
      <c r="AO44" s="259">
        <v>0.1</v>
      </c>
      <c r="AP44" s="259">
        <v>0.1</v>
      </c>
      <c r="AQ44" s="259">
        <v>0.1</v>
      </c>
      <c r="AR44" s="259">
        <v>0.1</v>
      </c>
      <c r="AS44" s="259">
        <v>0.1</v>
      </c>
      <c r="AT44" s="259">
        <v>0.1</v>
      </c>
      <c r="AU44" s="259">
        <v>0.1</v>
      </c>
      <c r="AV44" s="259">
        <v>0.1</v>
      </c>
      <c r="AW44" s="259">
        <v>0.1</v>
      </c>
      <c r="AX44" s="259">
        <v>0.1</v>
      </c>
      <c r="AY44" s="259">
        <v>0.1</v>
      </c>
      <c r="AZ44" s="259">
        <v>0.1</v>
      </c>
      <c r="BA44" s="259">
        <v>0.1</v>
      </c>
      <c r="BB44" s="259">
        <v>0.1</v>
      </c>
      <c r="BC44" s="259">
        <v>0.1</v>
      </c>
      <c r="BD44" s="259">
        <v>0.1</v>
      </c>
      <c r="BE44" s="259">
        <v>0.1</v>
      </c>
      <c r="BF44" s="259">
        <v>0.1</v>
      </c>
      <c r="BG44" s="259">
        <v>0.1</v>
      </c>
      <c r="BH44" s="259">
        <v>0.1</v>
      </c>
      <c r="BI44" s="259">
        <v>0.1</v>
      </c>
      <c r="BJ44" s="259">
        <v>0.1</v>
      </c>
      <c r="BK44" s="259">
        <v>0.1</v>
      </c>
      <c r="BL44" s="259">
        <v>0.1</v>
      </c>
      <c r="BM44" s="259">
        <v>0.1</v>
      </c>
      <c r="BN44" s="259">
        <v>0.1</v>
      </c>
      <c r="BO44" s="260">
        <v>0.1</v>
      </c>
      <c r="BS44">
        <v>41</v>
      </c>
      <c r="BT44" s="271">
        <v>5.73</v>
      </c>
      <c r="BU44" s="2"/>
      <c r="BV44" s="2"/>
      <c r="BW44" s="2"/>
      <c r="BX44" s="2"/>
      <c r="BY44" s="258">
        <v>0.1</v>
      </c>
      <c r="BZ44" s="259">
        <v>0.1</v>
      </c>
      <c r="CA44" s="259">
        <v>0.1</v>
      </c>
      <c r="CB44" s="259">
        <v>0.1</v>
      </c>
      <c r="CC44" s="259">
        <v>0.1</v>
      </c>
      <c r="CD44" s="259">
        <v>0.1</v>
      </c>
      <c r="CE44" s="259">
        <v>0.1</v>
      </c>
      <c r="CF44" s="259">
        <v>0.1</v>
      </c>
      <c r="CG44" s="259">
        <v>0.1</v>
      </c>
      <c r="CH44" s="259">
        <v>0.1</v>
      </c>
      <c r="CI44" s="259">
        <v>0.1</v>
      </c>
      <c r="CJ44" s="259">
        <v>0.1</v>
      </c>
      <c r="CK44" s="259">
        <v>0.1</v>
      </c>
      <c r="CL44" s="259">
        <v>0.1</v>
      </c>
      <c r="CM44" s="259">
        <v>0.1</v>
      </c>
      <c r="CN44" s="259">
        <v>0.1</v>
      </c>
      <c r="CO44" s="259">
        <v>0.1</v>
      </c>
      <c r="CP44" s="259">
        <v>0.1</v>
      </c>
      <c r="CQ44" s="259">
        <v>0.1</v>
      </c>
      <c r="CR44" s="259">
        <v>0.1</v>
      </c>
      <c r="CS44" s="259">
        <v>0.1</v>
      </c>
      <c r="CT44" s="259">
        <v>0.1</v>
      </c>
      <c r="CU44" s="259">
        <v>0.1</v>
      </c>
      <c r="CV44" s="259">
        <v>0.1</v>
      </c>
      <c r="CW44" s="259">
        <v>0.1</v>
      </c>
      <c r="CX44" s="259">
        <v>0.1</v>
      </c>
      <c r="CY44" s="259">
        <v>0.1</v>
      </c>
      <c r="CZ44" s="259">
        <v>0.1</v>
      </c>
      <c r="DA44" s="259">
        <v>0.1</v>
      </c>
      <c r="DB44" s="259">
        <v>0.1</v>
      </c>
      <c r="DC44" s="259">
        <v>0.1</v>
      </c>
      <c r="DD44" s="259">
        <v>0.1</v>
      </c>
      <c r="DE44" s="259">
        <v>0.1</v>
      </c>
      <c r="DF44" s="259">
        <v>0.1</v>
      </c>
      <c r="DG44" s="259">
        <v>0.1</v>
      </c>
      <c r="DH44" s="259">
        <v>0.1</v>
      </c>
      <c r="DI44" s="259">
        <v>0.1</v>
      </c>
      <c r="DJ44" s="259">
        <v>0.1</v>
      </c>
      <c r="DK44" s="259">
        <v>0.1</v>
      </c>
      <c r="DL44" s="259">
        <v>0.1</v>
      </c>
      <c r="DM44" s="259">
        <v>0.1</v>
      </c>
      <c r="DN44" s="259">
        <v>0.1</v>
      </c>
      <c r="DO44" s="259">
        <v>0.1</v>
      </c>
      <c r="DP44" s="259">
        <v>0.1</v>
      </c>
      <c r="DQ44" s="259">
        <v>0.1</v>
      </c>
      <c r="DR44" s="259">
        <v>0.1</v>
      </c>
      <c r="DS44" s="259">
        <v>0.1</v>
      </c>
      <c r="DT44" s="259">
        <v>0.1</v>
      </c>
      <c r="DU44" s="259">
        <v>0.1</v>
      </c>
      <c r="DV44" s="259">
        <v>0.1</v>
      </c>
      <c r="DW44" s="259">
        <v>0.1</v>
      </c>
      <c r="DX44" s="259">
        <v>0.1</v>
      </c>
      <c r="DY44" s="259">
        <v>0.1</v>
      </c>
      <c r="DZ44" s="259">
        <v>0.1</v>
      </c>
      <c r="EA44" s="259">
        <v>0.1</v>
      </c>
      <c r="EB44" s="259">
        <v>0.1</v>
      </c>
      <c r="EC44" s="259">
        <v>0.1</v>
      </c>
      <c r="ED44" s="260">
        <v>0.1</v>
      </c>
      <c r="EE44">
        <v>0.1</v>
      </c>
      <c r="EF44">
        <v>0.1</v>
      </c>
      <c r="EG44">
        <f>SUM(EE44:EF44)</f>
        <v>0.2</v>
      </c>
      <c r="EI44" s="272"/>
      <c r="EJ44">
        <v>41</v>
      </c>
      <c r="EN44">
        <v>0.1</v>
      </c>
      <c r="EO44">
        <v>0.1</v>
      </c>
      <c r="EP44">
        <v>0.1</v>
      </c>
      <c r="EQ44">
        <v>0.1</v>
      </c>
      <c r="ER44">
        <v>0.1</v>
      </c>
      <c r="ES44">
        <v>0.1</v>
      </c>
      <c r="ET44">
        <v>0.1</v>
      </c>
      <c r="EU44">
        <v>0.1</v>
      </c>
      <c r="EV44">
        <v>0.1</v>
      </c>
      <c r="EW44">
        <v>0.1</v>
      </c>
      <c r="EX44">
        <v>0.1</v>
      </c>
      <c r="EY44">
        <v>0.1</v>
      </c>
      <c r="EZ44">
        <v>0.1</v>
      </c>
      <c r="FA44">
        <v>0.1</v>
      </c>
      <c r="FB44">
        <v>0.1</v>
      </c>
      <c r="FC44">
        <v>0.1</v>
      </c>
      <c r="FD44">
        <v>0.1</v>
      </c>
      <c r="FE44">
        <v>0.1</v>
      </c>
      <c r="FF44">
        <v>0.1</v>
      </c>
      <c r="FG44">
        <v>0.1</v>
      </c>
      <c r="FH44">
        <v>0.1</v>
      </c>
      <c r="FI44">
        <v>0.1</v>
      </c>
      <c r="FJ44">
        <v>0.1</v>
      </c>
      <c r="FK44">
        <v>0.1</v>
      </c>
      <c r="FL44">
        <v>0.1</v>
      </c>
      <c r="FM44">
        <v>0.1</v>
      </c>
      <c r="FN44">
        <v>0.1</v>
      </c>
      <c r="FO44">
        <v>0.1</v>
      </c>
      <c r="FP44">
        <v>0.1</v>
      </c>
      <c r="FQ44">
        <v>0.1</v>
      </c>
      <c r="FU44">
        <v>41</v>
      </c>
      <c r="FV44">
        <v>1.03</v>
      </c>
      <c r="FW44">
        <v>1.03</v>
      </c>
      <c r="FX44">
        <v>1.03</v>
      </c>
      <c r="FY44">
        <v>0.62</v>
      </c>
      <c r="GB44" s="66">
        <v>0.1</v>
      </c>
      <c r="GC44" s="67">
        <v>0.1</v>
      </c>
      <c r="GD44" s="67">
        <v>0.1</v>
      </c>
      <c r="GE44" s="67">
        <v>0.1</v>
      </c>
      <c r="GF44" s="67">
        <v>0.1</v>
      </c>
      <c r="GG44" s="67">
        <v>0.1</v>
      </c>
      <c r="GH44" s="67">
        <v>0.1</v>
      </c>
      <c r="GI44" s="67">
        <v>0.1</v>
      </c>
      <c r="GJ44" s="67">
        <v>0.1</v>
      </c>
      <c r="GK44" s="67">
        <v>0.1</v>
      </c>
      <c r="GL44" s="68">
        <v>0.1</v>
      </c>
      <c r="GM44" s="66">
        <v>0.1</v>
      </c>
      <c r="GN44" s="67">
        <v>0.1</v>
      </c>
      <c r="GO44" s="67">
        <v>0.1</v>
      </c>
      <c r="GP44" s="67">
        <v>0.1</v>
      </c>
      <c r="GQ44" s="67">
        <v>0.1</v>
      </c>
      <c r="GR44" s="67">
        <v>0.1</v>
      </c>
      <c r="GS44" s="67">
        <v>0.1</v>
      </c>
      <c r="GT44" s="67">
        <v>0.1</v>
      </c>
      <c r="GU44" s="67">
        <v>0.1</v>
      </c>
      <c r="GV44" s="67">
        <v>0.1</v>
      </c>
      <c r="GW44" s="68">
        <v>0.1</v>
      </c>
      <c r="GX44" s="66">
        <v>0.1</v>
      </c>
      <c r="GY44" s="67">
        <v>0.1</v>
      </c>
      <c r="GZ44" s="67">
        <v>0.1</v>
      </c>
      <c r="HA44" s="67">
        <v>0.1</v>
      </c>
      <c r="HB44" s="67">
        <v>0.1</v>
      </c>
      <c r="HC44" s="67">
        <v>0.1</v>
      </c>
      <c r="HD44" s="67">
        <v>0.1</v>
      </c>
      <c r="HE44" s="67">
        <v>0.1</v>
      </c>
      <c r="HF44" s="67">
        <v>0.1</v>
      </c>
      <c r="HG44" s="67">
        <v>0.1</v>
      </c>
      <c r="HH44" s="68">
        <v>0.1</v>
      </c>
      <c r="HI44" s="66">
        <v>0.1</v>
      </c>
      <c r="HJ44" s="67">
        <v>0.1</v>
      </c>
      <c r="HK44" s="67">
        <v>0.1</v>
      </c>
      <c r="HL44" s="67">
        <v>0.1</v>
      </c>
      <c r="HM44" s="67">
        <v>0.1</v>
      </c>
      <c r="HN44" s="67">
        <v>0.1</v>
      </c>
      <c r="HO44" s="68">
        <v>0.1</v>
      </c>
    </row>
    <row r="45" spans="1:224" ht="15.75" thickBot="1" x14ac:dyDescent="0.3">
      <c r="A45">
        <v>42</v>
      </c>
      <c r="B45" s="269" t="s">
        <v>1178</v>
      </c>
      <c r="C45" s="2"/>
      <c r="D45" s="2"/>
      <c r="E45" s="2"/>
      <c r="F45" s="2"/>
      <c r="G45" s="2"/>
      <c r="H45" s="258">
        <v>0.1</v>
      </c>
      <c r="I45" s="259">
        <v>0.1</v>
      </c>
      <c r="J45" s="259">
        <v>0.1</v>
      </c>
      <c r="K45" s="259">
        <v>0.1</v>
      </c>
      <c r="L45" s="259">
        <v>0.1</v>
      </c>
      <c r="M45" s="259">
        <v>0.1</v>
      </c>
      <c r="N45" s="259">
        <v>0.1</v>
      </c>
      <c r="O45" s="259">
        <v>0.1</v>
      </c>
      <c r="P45" s="259">
        <v>0.1</v>
      </c>
      <c r="Q45" s="259">
        <v>0.1</v>
      </c>
      <c r="R45" s="259">
        <v>0.1</v>
      </c>
      <c r="S45" s="259">
        <v>0.1</v>
      </c>
      <c r="T45" s="259">
        <v>0.1</v>
      </c>
      <c r="U45" s="259">
        <v>0.1</v>
      </c>
      <c r="V45" s="259">
        <v>0.1</v>
      </c>
      <c r="W45" s="259">
        <v>0.1</v>
      </c>
      <c r="X45" s="259">
        <v>0.1</v>
      </c>
      <c r="Y45" s="259">
        <v>0.1</v>
      </c>
      <c r="Z45" s="259">
        <v>0.1</v>
      </c>
      <c r="AA45" s="259">
        <v>0.1</v>
      </c>
      <c r="AB45" s="259">
        <v>0.1</v>
      </c>
      <c r="AC45" s="259">
        <v>0.1</v>
      </c>
      <c r="AD45" s="259">
        <v>0.1</v>
      </c>
      <c r="AE45" s="259">
        <v>0.1</v>
      </c>
      <c r="AF45" s="259">
        <v>0.1</v>
      </c>
      <c r="AG45" s="259">
        <v>0.1</v>
      </c>
      <c r="AH45" s="259">
        <v>0.1</v>
      </c>
      <c r="AI45" s="259">
        <v>0.1</v>
      </c>
      <c r="AJ45" s="259">
        <v>0.1</v>
      </c>
      <c r="AK45" s="259">
        <v>0.1</v>
      </c>
      <c r="AL45" s="259">
        <v>0.1</v>
      </c>
      <c r="AM45" s="259">
        <v>0.1</v>
      </c>
      <c r="AN45" s="259">
        <v>0.1</v>
      </c>
      <c r="AO45" s="259">
        <v>0.1</v>
      </c>
      <c r="AP45" s="259">
        <v>0.1</v>
      </c>
      <c r="AQ45" s="259">
        <v>0.1</v>
      </c>
      <c r="AR45" s="259">
        <v>0.1</v>
      </c>
      <c r="AS45" s="259">
        <v>0.1</v>
      </c>
      <c r="AT45" s="259">
        <v>0.1</v>
      </c>
      <c r="AU45" s="259">
        <v>0.1</v>
      </c>
      <c r="AV45" s="259">
        <v>0.1</v>
      </c>
      <c r="AW45" s="259">
        <v>0.1</v>
      </c>
      <c r="AX45" s="259">
        <v>0.1</v>
      </c>
      <c r="AY45" s="259">
        <v>0.1</v>
      </c>
      <c r="AZ45" s="259">
        <v>0.1</v>
      </c>
      <c r="BA45" s="259">
        <v>0.1</v>
      </c>
      <c r="BB45" s="259">
        <v>0.1</v>
      </c>
      <c r="BC45" s="259">
        <v>0.1</v>
      </c>
      <c r="BD45" s="259">
        <v>0.1</v>
      </c>
      <c r="BE45" s="259">
        <v>0.1</v>
      </c>
      <c r="BF45" s="259">
        <v>0.1</v>
      </c>
      <c r="BG45" s="259">
        <v>0.1</v>
      </c>
      <c r="BH45" s="259">
        <v>0.1</v>
      </c>
      <c r="BI45" s="259">
        <v>0.1</v>
      </c>
      <c r="BJ45" s="260">
        <v>0.1</v>
      </c>
      <c r="BK45">
        <v>0.1</v>
      </c>
      <c r="BL45">
        <v>0.1</v>
      </c>
      <c r="BM45">
        <v>0.1</v>
      </c>
      <c r="BN45">
        <v>0.1</v>
      </c>
      <c r="BO45">
        <v>0.1</v>
      </c>
      <c r="BP45">
        <f>SUM(BK45:BO45)</f>
        <v>0.5</v>
      </c>
      <c r="BS45">
        <v>42</v>
      </c>
      <c r="BT45" s="270">
        <v>5.73</v>
      </c>
      <c r="BU45" s="2"/>
      <c r="BV45" s="2"/>
      <c r="BW45" s="2"/>
      <c r="BX45" s="2"/>
      <c r="BY45" s="258">
        <v>0.1</v>
      </c>
      <c r="BZ45" s="259">
        <v>0.1</v>
      </c>
      <c r="CA45" s="259">
        <v>0.1</v>
      </c>
      <c r="CB45" s="259">
        <v>0.1</v>
      </c>
      <c r="CC45" s="259">
        <v>0.1</v>
      </c>
      <c r="CD45" s="259">
        <v>0.1</v>
      </c>
      <c r="CE45" s="259">
        <v>0.1</v>
      </c>
      <c r="CF45" s="259">
        <v>0.1</v>
      </c>
      <c r="CG45" s="259">
        <v>0.1</v>
      </c>
      <c r="CH45" s="259">
        <v>0.1</v>
      </c>
      <c r="CI45" s="259">
        <v>0.1</v>
      </c>
      <c r="CJ45" s="259">
        <v>0.1</v>
      </c>
      <c r="CK45" s="259">
        <v>0.1</v>
      </c>
      <c r="CL45" s="259">
        <v>0.1</v>
      </c>
      <c r="CM45" s="259">
        <v>0.1</v>
      </c>
      <c r="CN45" s="259">
        <v>0.1</v>
      </c>
      <c r="CO45" s="259">
        <v>0.1</v>
      </c>
      <c r="CP45" s="259">
        <v>0.1</v>
      </c>
      <c r="CQ45" s="259">
        <v>0.1</v>
      </c>
      <c r="CR45" s="259">
        <v>0.1</v>
      </c>
      <c r="CS45" s="259">
        <v>0.1</v>
      </c>
      <c r="CT45" s="259">
        <v>0.1</v>
      </c>
      <c r="CU45" s="259">
        <v>0.1</v>
      </c>
      <c r="CV45" s="259">
        <v>0.1</v>
      </c>
      <c r="CW45" s="259">
        <v>0.1</v>
      </c>
      <c r="CX45" s="259">
        <v>0.1</v>
      </c>
      <c r="CY45" s="259">
        <v>0.1</v>
      </c>
      <c r="CZ45" s="259">
        <v>0.1</v>
      </c>
      <c r="DA45" s="259">
        <v>0.1</v>
      </c>
      <c r="DB45" s="259">
        <v>0.1</v>
      </c>
      <c r="DC45" s="259">
        <v>0.1</v>
      </c>
      <c r="DD45" s="259">
        <v>0.1</v>
      </c>
      <c r="DE45" s="259">
        <v>0.1</v>
      </c>
      <c r="DF45" s="259">
        <v>0.1</v>
      </c>
      <c r="DG45" s="259">
        <v>0.1</v>
      </c>
      <c r="DH45" s="259">
        <v>0.1</v>
      </c>
      <c r="DI45" s="259">
        <v>0.1</v>
      </c>
      <c r="DJ45" s="259">
        <v>0.1</v>
      </c>
      <c r="DK45" s="259">
        <v>0.1</v>
      </c>
      <c r="DL45" s="259">
        <v>0.1</v>
      </c>
      <c r="DM45" s="259">
        <v>0.1</v>
      </c>
      <c r="DN45" s="259">
        <v>0.1</v>
      </c>
      <c r="DO45" s="259">
        <v>0.1</v>
      </c>
      <c r="DP45" s="259">
        <v>0.1</v>
      </c>
      <c r="DQ45" s="259">
        <v>0.1</v>
      </c>
      <c r="DR45" s="259">
        <v>0.1</v>
      </c>
      <c r="DS45" s="259">
        <v>0.1</v>
      </c>
      <c r="DT45" s="259">
        <v>0.1</v>
      </c>
      <c r="DU45" s="259">
        <v>0.1</v>
      </c>
      <c r="DV45" s="259">
        <v>0.1</v>
      </c>
      <c r="DW45" s="259">
        <v>0.1</v>
      </c>
      <c r="DX45" s="259">
        <v>0.1</v>
      </c>
      <c r="DY45" s="259">
        <v>0.1</v>
      </c>
      <c r="DZ45" s="259">
        <v>0.1</v>
      </c>
      <c r="EA45" s="259">
        <v>0.1</v>
      </c>
      <c r="EB45" s="262">
        <v>0.1</v>
      </c>
      <c r="EC45" s="262">
        <v>0.1</v>
      </c>
      <c r="ED45" s="263">
        <v>0.1</v>
      </c>
      <c r="EE45">
        <v>0.1</v>
      </c>
      <c r="EF45">
        <v>0.1</v>
      </c>
      <c r="EG45">
        <f>SUM(EE45:EF45)</f>
        <v>0.2</v>
      </c>
      <c r="EI45" s="272"/>
      <c r="EJ45">
        <v>42</v>
      </c>
      <c r="EN45">
        <v>0.1</v>
      </c>
      <c r="EO45">
        <v>0.1</v>
      </c>
      <c r="EP45">
        <v>0.1</v>
      </c>
      <c r="EQ45">
        <v>0.1</v>
      </c>
      <c r="ER45">
        <v>0.1</v>
      </c>
      <c r="ES45">
        <v>0.1</v>
      </c>
      <c r="ET45">
        <v>0.1</v>
      </c>
      <c r="EU45">
        <v>0.1</v>
      </c>
      <c r="EV45">
        <v>0.1</v>
      </c>
      <c r="EW45">
        <v>0.1</v>
      </c>
      <c r="EX45">
        <v>0.1</v>
      </c>
      <c r="EY45">
        <v>0.1</v>
      </c>
      <c r="EZ45">
        <v>0.1</v>
      </c>
      <c r="FA45">
        <v>0.1</v>
      </c>
      <c r="FB45">
        <v>0.1</v>
      </c>
      <c r="FC45">
        <v>0.1</v>
      </c>
      <c r="FD45">
        <v>0.1</v>
      </c>
      <c r="FE45">
        <v>0.1</v>
      </c>
      <c r="FF45">
        <v>0.1</v>
      </c>
      <c r="FG45">
        <v>0.1</v>
      </c>
      <c r="FH45">
        <v>0.1</v>
      </c>
      <c r="FI45">
        <v>0.1</v>
      </c>
      <c r="FJ45">
        <v>0.1</v>
      </c>
      <c r="FK45">
        <v>0.1</v>
      </c>
      <c r="FL45">
        <v>0.1</v>
      </c>
      <c r="FM45">
        <v>0.1</v>
      </c>
      <c r="FN45">
        <v>0.1</v>
      </c>
      <c r="FO45">
        <v>0.1</v>
      </c>
      <c r="FP45">
        <v>0.1</v>
      </c>
      <c r="FQ45">
        <v>0.1</v>
      </c>
      <c r="FU45">
        <v>42</v>
      </c>
      <c r="FV45">
        <v>1.03</v>
      </c>
      <c r="FW45">
        <v>1.03</v>
      </c>
      <c r="FX45">
        <v>1.03</v>
      </c>
      <c r="FY45">
        <v>0.61</v>
      </c>
      <c r="GB45" s="66">
        <v>0.1</v>
      </c>
      <c r="GC45" s="67">
        <v>0.1</v>
      </c>
      <c r="GD45" s="67">
        <v>0.1</v>
      </c>
      <c r="GE45" s="67">
        <v>0.1</v>
      </c>
      <c r="GF45" s="67">
        <v>0.1</v>
      </c>
      <c r="GG45" s="67">
        <v>0.1</v>
      </c>
      <c r="GH45" s="67">
        <v>0.1</v>
      </c>
      <c r="GI45" s="67">
        <v>0.1</v>
      </c>
      <c r="GJ45" s="67">
        <v>0.1</v>
      </c>
      <c r="GK45" s="67">
        <v>0.1</v>
      </c>
      <c r="GL45" s="68">
        <v>0.1</v>
      </c>
      <c r="GM45" s="66">
        <v>0.1</v>
      </c>
      <c r="GN45" s="67">
        <v>0.1</v>
      </c>
      <c r="GO45" s="67">
        <v>0.1</v>
      </c>
      <c r="GP45" s="67">
        <v>0.1</v>
      </c>
      <c r="GQ45" s="67">
        <v>0.1</v>
      </c>
      <c r="GR45" s="67">
        <v>0.1</v>
      </c>
      <c r="GS45" s="67">
        <v>0.1</v>
      </c>
      <c r="GT45" s="67">
        <v>0.1</v>
      </c>
      <c r="GU45" s="67">
        <v>0.1</v>
      </c>
      <c r="GV45" s="67">
        <v>0.1</v>
      </c>
      <c r="GW45" s="68">
        <v>0.1</v>
      </c>
      <c r="GX45" s="66">
        <v>0.1</v>
      </c>
      <c r="GY45" s="67">
        <v>0.1</v>
      </c>
      <c r="GZ45" s="67">
        <v>0.1</v>
      </c>
      <c r="HA45" s="67">
        <v>0.1</v>
      </c>
      <c r="HB45" s="67">
        <v>0.1</v>
      </c>
      <c r="HC45" s="67">
        <v>0.1</v>
      </c>
      <c r="HD45" s="67">
        <v>0.1</v>
      </c>
      <c r="HE45" s="67">
        <v>0.1</v>
      </c>
      <c r="HF45" s="67">
        <v>0.1</v>
      </c>
      <c r="HG45" s="67">
        <v>0.1</v>
      </c>
      <c r="HH45" s="68">
        <v>0.1</v>
      </c>
      <c r="HI45" s="66">
        <v>0.1</v>
      </c>
      <c r="HJ45" s="67">
        <v>0.1</v>
      </c>
      <c r="HK45" s="67">
        <v>0.1</v>
      </c>
      <c r="HL45" s="67">
        <v>0.1</v>
      </c>
      <c r="HM45" s="67">
        <v>0.1</v>
      </c>
      <c r="HN45" s="67">
        <v>0.1</v>
      </c>
      <c r="HO45" s="68">
        <v>0.1</v>
      </c>
    </row>
    <row r="46" spans="1:224" ht="15.75" thickBot="1" x14ac:dyDescent="0.3">
      <c r="A46">
        <v>43</v>
      </c>
      <c r="B46" s="269" t="s">
        <v>1177</v>
      </c>
      <c r="C46" s="2"/>
      <c r="D46" s="2"/>
      <c r="E46" s="2"/>
      <c r="F46" s="2"/>
      <c r="G46" s="2"/>
      <c r="H46" s="258">
        <v>0.1</v>
      </c>
      <c r="I46" s="259">
        <v>0.1</v>
      </c>
      <c r="J46" s="259">
        <v>0.1</v>
      </c>
      <c r="K46" s="259">
        <v>0.1</v>
      </c>
      <c r="L46" s="259">
        <v>0.1</v>
      </c>
      <c r="M46" s="259">
        <v>0.1</v>
      </c>
      <c r="N46" s="259">
        <v>0.1</v>
      </c>
      <c r="O46" s="259">
        <v>0.1</v>
      </c>
      <c r="P46" s="259">
        <v>0.1</v>
      </c>
      <c r="Q46" s="259">
        <v>0.1</v>
      </c>
      <c r="R46" s="259">
        <v>0.1</v>
      </c>
      <c r="S46" s="259">
        <v>0.1</v>
      </c>
      <c r="T46" s="259">
        <v>0.1</v>
      </c>
      <c r="U46" s="259">
        <v>0.1</v>
      </c>
      <c r="V46" s="259">
        <v>0.1</v>
      </c>
      <c r="W46" s="259">
        <v>0.1</v>
      </c>
      <c r="X46" s="259">
        <v>0.1</v>
      </c>
      <c r="Y46" s="259">
        <v>0.1</v>
      </c>
      <c r="Z46" s="259">
        <v>0.1</v>
      </c>
      <c r="AA46" s="259">
        <v>0.1</v>
      </c>
      <c r="AB46" s="259">
        <v>0.1</v>
      </c>
      <c r="AC46" s="259">
        <v>0.1</v>
      </c>
      <c r="AD46" s="259">
        <v>0.1</v>
      </c>
      <c r="AE46" s="259">
        <v>0.1</v>
      </c>
      <c r="AF46" s="259">
        <v>0.1</v>
      </c>
      <c r="AG46" s="259">
        <v>0.1</v>
      </c>
      <c r="AH46" s="259">
        <v>0.1</v>
      </c>
      <c r="AI46" s="259">
        <v>0.1</v>
      </c>
      <c r="AJ46" s="259">
        <v>0.1</v>
      </c>
      <c r="AK46" s="259">
        <v>0.1</v>
      </c>
      <c r="AL46" s="259">
        <v>0.1</v>
      </c>
      <c r="AM46" s="259">
        <v>0.1</v>
      </c>
      <c r="AN46" s="259">
        <v>0.1</v>
      </c>
      <c r="AO46" s="259">
        <v>0.1</v>
      </c>
      <c r="AP46" s="259">
        <v>0.1</v>
      </c>
      <c r="AQ46" s="259">
        <v>0.1</v>
      </c>
      <c r="AR46" s="259">
        <v>0.1</v>
      </c>
      <c r="AS46" s="259">
        <v>0.1</v>
      </c>
      <c r="AT46" s="259">
        <v>0.1</v>
      </c>
      <c r="AU46" s="259">
        <v>0.1</v>
      </c>
      <c r="AV46" s="259">
        <v>0.1</v>
      </c>
      <c r="AW46" s="259">
        <v>0.1</v>
      </c>
      <c r="AX46" s="259">
        <v>0.1</v>
      </c>
      <c r="AY46" s="259">
        <v>0.1</v>
      </c>
      <c r="AZ46" s="259">
        <v>0.1</v>
      </c>
      <c r="BA46" s="259">
        <v>0.1</v>
      </c>
      <c r="BB46" s="259">
        <v>0.1</v>
      </c>
      <c r="BC46" s="259">
        <v>0.1</v>
      </c>
      <c r="BD46" s="259">
        <v>0.1</v>
      </c>
      <c r="BE46" s="259">
        <v>0.1</v>
      </c>
      <c r="BF46" s="259">
        <v>0.1</v>
      </c>
      <c r="BG46" s="259">
        <v>0.1</v>
      </c>
      <c r="BH46" s="259">
        <v>0.1</v>
      </c>
      <c r="BI46" s="259">
        <v>0.1</v>
      </c>
      <c r="BJ46" s="259">
        <v>0.1</v>
      </c>
      <c r="BK46" s="259">
        <v>0.1</v>
      </c>
      <c r="BL46" s="259">
        <v>0.1</v>
      </c>
      <c r="BM46" s="259">
        <v>0.1</v>
      </c>
      <c r="BN46" s="259">
        <v>0.1</v>
      </c>
      <c r="BO46" s="260">
        <v>0.1</v>
      </c>
      <c r="BS46">
        <v>43</v>
      </c>
      <c r="BT46" s="271">
        <v>5.41</v>
      </c>
      <c r="BU46" s="271">
        <v>0.5</v>
      </c>
      <c r="BV46" s="2"/>
      <c r="BW46" s="2"/>
      <c r="BX46" s="2"/>
      <c r="BY46" s="258">
        <v>0.1</v>
      </c>
      <c r="BZ46" s="259">
        <v>0.1</v>
      </c>
      <c r="CA46" s="259">
        <v>0.1</v>
      </c>
      <c r="CB46" s="259">
        <v>0.1</v>
      </c>
      <c r="CC46" s="259">
        <v>0.1</v>
      </c>
      <c r="CD46" s="259">
        <v>0.1</v>
      </c>
      <c r="CE46" s="259">
        <v>0.1</v>
      </c>
      <c r="CF46" s="259">
        <v>0.1</v>
      </c>
      <c r="CG46" s="259">
        <v>0.1</v>
      </c>
      <c r="CH46" s="259">
        <v>0.1</v>
      </c>
      <c r="CI46" s="259">
        <v>0.1</v>
      </c>
      <c r="CJ46" s="259">
        <v>0.1</v>
      </c>
      <c r="CK46" s="259">
        <v>0.1</v>
      </c>
      <c r="CL46" s="259">
        <v>0.1</v>
      </c>
      <c r="CM46" s="259">
        <v>0.1</v>
      </c>
      <c r="CN46" s="259">
        <v>0.1</v>
      </c>
      <c r="CO46" s="259">
        <v>0.1</v>
      </c>
      <c r="CP46" s="259">
        <v>0.1</v>
      </c>
      <c r="CQ46" s="259">
        <v>0.1</v>
      </c>
      <c r="CR46" s="259">
        <v>0.1</v>
      </c>
      <c r="CS46" s="259">
        <v>0.1</v>
      </c>
      <c r="CT46" s="259">
        <v>0.1</v>
      </c>
      <c r="CU46" s="259">
        <v>0.1</v>
      </c>
      <c r="CV46" s="259">
        <v>0.1</v>
      </c>
      <c r="CW46" s="259">
        <v>0.1</v>
      </c>
      <c r="CX46" s="259">
        <v>0.1</v>
      </c>
      <c r="CY46" s="259">
        <v>0.1</v>
      </c>
      <c r="CZ46" s="259">
        <v>0.1</v>
      </c>
      <c r="DA46" s="259">
        <v>0.1</v>
      </c>
      <c r="DB46" s="259">
        <v>0.1</v>
      </c>
      <c r="DC46" s="259">
        <v>0.1</v>
      </c>
      <c r="DD46" s="259">
        <v>0.1</v>
      </c>
      <c r="DE46" s="259">
        <v>0.1</v>
      </c>
      <c r="DF46" s="259">
        <v>0.1</v>
      </c>
      <c r="DG46" s="259">
        <v>0.1</v>
      </c>
      <c r="DH46" s="259">
        <v>0.1</v>
      </c>
      <c r="DI46" s="259">
        <v>0.1</v>
      </c>
      <c r="DJ46" s="259">
        <v>0.1</v>
      </c>
      <c r="DK46" s="259">
        <v>0.1</v>
      </c>
      <c r="DL46" s="259">
        <v>0.1</v>
      </c>
      <c r="DM46" s="259">
        <v>0.1</v>
      </c>
      <c r="DN46" s="259">
        <v>0.1</v>
      </c>
      <c r="DO46" s="259">
        <v>0.1</v>
      </c>
      <c r="DP46" s="259">
        <v>0.1</v>
      </c>
      <c r="DQ46" s="259">
        <v>0.1</v>
      </c>
      <c r="DR46" s="259">
        <v>0.1</v>
      </c>
      <c r="DS46" s="259">
        <v>0.1</v>
      </c>
      <c r="DT46" s="259">
        <v>0.1</v>
      </c>
      <c r="DU46" s="259">
        <v>0.1</v>
      </c>
      <c r="DV46" s="259">
        <v>0.1</v>
      </c>
      <c r="DW46" s="259">
        <v>0.1</v>
      </c>
      <c r="DX46" s="259">
        <v>0.1</v>
      </c>
      <c r="DY46" s="259">
        <v>0.1</v>
      </c>
      <c r="DZ46" s="259">
        <v>0.1</v>
      </c>
      <c r="EA46" s="260">
        <v>0.1</v>
      </c>
      <c r="EB46" s="258">
        <v>0.1</v>
      </c>
      <c r="EC46" s="259">
        <v>0.1</v>
      </c>
      <c r="ED46" s="259">
        <v>0.1</v>
      </c>
      <c r="EE46" s="259">
        <v>0.1</v>
      </c>
      <c r="EF46" s="260">
        <v>0.1</v>
      </c>
      <c r="EJ46">
        <v>43</v>
      </c>
      <c r="EN46">
        <v>0.1</v>
      </c>
      <c r="EO46">
        <v>0.1</v>
      </c>
      <c r="EP46">
        <v>0.1</v>
      </c>
      <c r="EQ46">
        <v>0.1</v>
      </c>
      <c r="ER46">
        <v>0.1</v>
      </c>
      <c r="ES46">
        <v>0.1</v>
      </c>
      <c r="ET46">
        <v>0.1</v>
      </c>
      <c r="EU46">
        <v>0.1</v>
      </c>
      <c r="EV46">
        <v>0.1</v>
      </c>
      <c r="EW46">
        <v>0.1</v>
      </c>
      <c r="EX46">
        <v>0.1</v>
      </c>
      <c r="EY46">
        <v>0.1</v>
      </c>
      <c r="EZ46">
        <v>0.1</v>
      </c>
      <c r="FA46">
        <v>0.1</v>
      </c>
      <c r="FB46">
        <v>0.1</v>
      </c>
      <c r="FC46">
        <v>0.1</v>
      </c>
      <c r="FD46">
        <v>0.1</v>
      </c>
      <c r="FE46">
        <v>0.1</v>
      </c>
      <c r="FF46">
        <v>0.1</v>
      </c>
      <c r="FG46">
        <v>0.1</v>
      </c>
      <c r="FH46">
        <v>0.1</v>
      </c>
      <c r="FI46">
        <v>0.1</v>
      </c>
      <c r="FJ46">
        <v>0.1</v>
      </c>
      <c r="FK46">
        <v>0.1</v>
      </c>
      <c r="FL46">
        <v>0.1</v>
      </c>
      <c r="FM46">
        <v>0.1</v>
      </c>
      <c r="FN46">
        <v>0.1</v>
      </c>
      <c r="FO46">
        <v>0.1</v>
      </c>
      <c r="FP46">
        <v>0.1</v>
      </c>
      <c r="FQ46">
        <v>0.1</v>
      </c>
      <c r="FU46">
        <v>43</v>
      </c>
      <c r="FV46">
        <v>1.03</v>
      </c>
      <c r="FW46">
        <v>1.03</v>
      </c>
      <c r="FX46">
        <v>1.03</v>
      </c>
      <c r="FY46">
        <v>0.6</v>
      </c>
      <c r="GB46" s="66">
        <v>0.1</v>
      </c>
      <c r="GC46" s="67">
        <v>0.1</v>
      </c>
      <c r="GD46" s="67">
        <v>0.1</v>
      </c>
      <c r="GE46" s="67">
        <v>0.1</v>
      </c>
      <c r="GF46" s="67">
        <v>0.1</v>
      </c>
      <c r="GG46" s="67">
        <v>0.1</v>
      </c>
      <c r="GH46" s="67">
        <v>0.1</v>
      </c>
      <c r="GI46" s="67">
        <v>0.1</v>
      </c>
      <c r="GJ46" s="67">
        <v>0.1</v>
      </c>
      <c r="GK46" s="67">
        <v>0.1</v>
      </c>
      <c r="GL46" s="68">
        <v>0.1</v>
      </c>
      <c r="GM46" s="66">
        <v>0.1</v>
      </c>
      <c r="GN46" s="67">
        <v>0.1</v>
      </c>
      <c r="GO46" s="67">
        <v>0.1</v>
      </c>
      <c r="GP46" s="67">
        <v>0.1</v>
      </c>
      <c r="GQ46" s="67">
        <v>0.1</v>
      </c>
      <c r="GR46" s="67">
        <v>0.1</v>
      </c>
      <c r="GS46" s="67">
        <v>0.1</v>
      </c>
      <c r="GT46" s="67">
        <v>0.1</v>
      </c>
      <c r="GU46" s="67">
        <v>0.1</v>
      </c>
      <c r="GV46" s="67">
        <v>0.1</v>
      </c>
      <c r="GW46" s="68">
        <v>0.1</v>
      </c>
      <c r="GX46" s="66">
        <v>0.1</v>
      </c>
      <c r="GY46" s="67">
        <v>0.1</v>
      </c>
      <c r="GZ46" s="67">
        <v>0.1</v>
      </c>
      <c r="HA46" s="67">
        <v>0.1</v>
      </c>
      <c r="HB46" s="67">
        <v>0.1</v>
      </c>
      <c r="HC46" s="67">
        <v>0.1</v>
      </c>
      <c r="HD46" s="67">
        <v>0.1</v>
      </c>
      <c r="HE46" s="67">
        <v>0.1</v>
      </c>
      <c r="HF46" s="67">
        <v>0.1</v>
      </c>
      <c r="HG46" s="67">
        <v>0.1</v>
      </c>
      <c r="HH46" s="68">
        <v>0.1</v>
      </c>
      <c r="HI46" s="66">
        <v>0.1</v>
      </c>
      <c r="HJ46" s="67">
        <v>0.1</v>
      </c>
      <c r="HK46" s="67">
        <v>0.1</v>
      </c>
      <c r="HL46" s="67">
        <v>0.1</v>
      </c>
      <c r="HM46" s="67">
        <v>0.1</v>
      </c>
      <c r="HN46" s="68">
        <v>0.1</v>
      </c>
      <c r="HO46">
        <v>0.1</v>
      </c>
      <c r="HP46">
        <f t="shared" ref="HP46:HP61" si="0">SUM(HO46)</f>
        <v>0.1</v>
      </c>
    </row>
    <row r="47" spans="1:224" ht="15.75" thickBot="1" x14ac:dyDescent="0.3">
      <c r="A47">
        <v>44</v>
      </c>
      <c r="B47" s="269" t="s">
        <v>1178</v>
      </c>
      <c r="C47" s="2"/>
      <c r="D47" s="2"/>
      <c r="E47" s="2"/>
      <c r="F47" s="2"/>
      <c r="G47" s="2"/>
      <c r="H47" s="258">
        <v>0.1</v>
      </c>
      <c r="I47" s="259">
        <v>0.1</v>
      </c>
      <c r="J47" s="259">
        <v>0.1</v>
      </c>
      <c r="K47" s="259">
        <v>0.1</v>
      </c>
      <c r="L47" s="259">
        <v>0.1</v>
      </c>
      <c r="M47" s="259">
        <v>0.1</v>
      </c>
      <c r="N47" s="259">
        <v>0.1</v>
      </c>
      <c r="O47" s="259">
        <v>0.1</v>
      </c>
      <c r="P47" s="259">
        <v>0.1</v>
      </c>
      <c r="Q47" s="259">
        <v>0.1</v>
      </c>
      <c r="R47" s="259">
        <v>0.1</v>
      </c>
      <c r="S47" s="259">
        <v>0.1</v>
      </c>
      <c r="T47" s="259">
        <v>0.1</v>
      </c>
      <c r="U47" s="259">
        <v>0.1</v>
      </c>
      <c r="V47" s="259">
        <v>0.1</v>
      </c>
      <c r="W47" s="259">
        <v>0.1</v>
      </c>
      <c r="X47" s="259">
        <v>0.1</v>
      </c>
      <c r="Y47" s="259">
        <v>0.1</v>
      </c>
      <c r="Z47" s="259">
        <v>0.1</v>
      </c>
      <c r="AA47" s="259">
        <v>0.1</v>
      </c>
      <c r="AB47" s="259">
        <v>0.1</v>
      </c>
      <c r="AC47" s="259">
        <v>0.1</v>
      </c>
      <c r="AD47" s="259">
        <v>0.1</v>
      </c>
      <c r="AE47" s="259">
        <v>0.1</v>
      </c>
      <c r="AF47" s="259">
        <v>0.1</v>
      </c>
      <c r="AG47" s="259">
        <v>0.1</v>
      </c>
      <c r="AH47" s="259">
        <v>0.1</v>
      </c>
      <c r="AI47" s="259">
        <v>0.1</v>
      </c>
      <c r="AJ47" s="259">
        <v>0.1</v>
      </c>
      <c r="AK47" s="259">
        <v>0.1</v>
      </c>
      <c r="AL47" s="259">
        <v>0.1</v>
      </c>
      <c r="AM47" s="259">
        <v>0.1</v>
      </c>
      <c r="AN47" s="259">
        <v>0.1</v>
      </c>
      <c r="AO47" s="259">
        <v>0.1</v>
      </c>
      <c r="AP47" s="259">
        <v>0.1</v>
      </c>
      <c r="AQ47" s="259">
        <v>0.1</v>
      </c>
      <c r="AR47" s="259">
        <v>0.1</v>
      </c>
      <c r="AS47" s="259">
        <v>0.1</v>
      </c>
      <c r="AT47" s="259">
        <v>0.1</v>
      </c>
      <c r="AU47" s="259">
        <v>0.1</v>
      </c>
      <c r="AV47" s="259">
        <v>0.1</v>
      </c>
      <c r="AW47" s="259">
        <v>0.1</v>
      </c>
      <c r="AX47" s="259">
        <v>0.1</v>
      </c>
      <c r="AY47" s="259">
        <v>0.1</v>
      </c>
      <c r="AZ47" s="259">
        <v>0.1</v>
      </c>
      <c r="BA47" s="259">
        <v>0.1</v>
      </c>
      <c r="BB47" s="259">
        <v>0.1</v>
      </c>
      <c r="BC47" s="259">
        <v>0.1</v>
      </c>
      <c r="BD47" s="259">
        <v>0.1</v>
      </c>
      <c r="BE47" s="259">
        <v>0.1</v>
      </c>
      <c r="BF47" s="259">
        <v>0.1</v>
      </c>
      <c r="BG47" s="259">
        <v>0.1</v>
      </c>
      <c r="BH47" s="259">
        <v>0.1</v>
      </c>
      <c r="BI47" s="259">
        <v>0.1</v>
      </c>
      <c r="BJ47" s="260">
        <v>0.1</v>
      </c>
      <c r="BK47">
        <v>0.1</v>
      </c>
      <c r="BL47">
        <v>0.1</v>
      </c>
      <c r="BM47">
        <v>0.1</v>
      </c>
      <c r="BN47">
        <v>0.1</v>
      </c>
      <c r="BO47">
        <v>0.1</v>
      </c>
      <c r="BP47">
        <f>SUM(BK47:BO47)</f>
        <v>0.5</v>
      </c>
      <c r="BS47">
        <v>44</v>
      </c>
      <c r="BT47" s="270">
        <v>5.41</v>
      </c>
      <c r="BU47" s="270">
        <v>0.5</v>
      </c>
      <c r="BV47" s="2"/>
      <c r="BW47" s="2"/>
      <c r="BX47" s="2"/>
      <c r="BY47" s="258">
        <v>0.1</v>
      </c>
      <c r="BZ47" s="259">
        <v>0.1</v>
      </c>
      <c r="CA47" s="259">
        <v>0.1</v>
      </c>
      <c r="CB47" s="259">
        <v>0.1</v>
      </c>
      <c r="CC47" s="259">
        <v>0.1</v>
      </c>
      <c r="CD47" s="259">
        <v>0.1</v>
      </c>
      <c r="CE47" s="259">
        <v>0.1</v>
      </c>
      <c r="CF47" s="259">
        <v>0.1</v>
      </c>
      <c r="CG47" s="259">
        <v>0.1</v>
      </c>
      <c r="CH47" s="259">
        <v>0.1</v>
      </c>
      <c r="CI47" s="259">
        <v>0.1</v>
      </c>
      <c r="CJ47" s="259">
        <v>0.1</v>
      </c>
      <c r="CK47" s="259">
        <v>0.1</v>
      </c>
      <c r="CL47" s="259">
        <v>0.1</v>
      </c>
      <c r="CM47" s="259">
        <v>0.1</v>
      </c>
      <c r="CN47" s="259">
        <v>0.1</v>
      </c>
      <c r="CO47" s="259">
        <v>0.1</v>
      </c>
      <c r="CP47" s="259">
        <v>0.1</v>
      </c>
      <c r="CQ47" s="259">
        <v>0.1</v>
      </c>
      <c r="CR47" s="259">
        <v>0.1</v>
      </c>
      <c r="CS47" s="259">
        <v>0.1</v>
      </c>
      <c r="CT47" s="259">
        <v>0.1</v>
      </c>
      <c r="CU47" s="259">
        <v>0.1</v>
      </c>
      <c r="CV47" s="259">
        <v>0.1</v>
      </c>
      <c r="CW47" s="259">
        <v>0.1</v>
      </c>
      <c r="CX47" s="259">
        <v>0.1</v>
      </c>
      <c r="CY47" s="259">
        <v>0.1</v>
      </c>
      <c r="CZ47" s="259">
        <v>0.1</v>
      </c>
      <c r="DA47" s="259">
        <v>0.1</v>
      </c>
      <c r="DB47" s="259">
        <v>0.1</v>
      </c>
      <c r="DC47" s="259">
        <v>0.1</v>
      </c>
      <c r="DD47" s="259">
        <v>0.1</v>
      </c>
      <c r="DE47" s="259">
        <v>0.1</v>
      </c>
      <c r="DF47" s="259">
        <v>0.1</v>
      </c>
      <c r="DG47" s="259">
        <v>0.1</v>
      </c>
      <c r="DH47" s="259">
        <v>0.1</v>
      </c>
      <c r="DI47" s="259">
        <v>0.1</v>
      </c>
      <c r="DJ47" s="259">
        <v>0.1</v>
      </c>
      <c r="DK47" s="259">
        <v>0.1</v>
      </c>
      <c r="DL47" s="259">
        <v>0.1</v>
      </c>
      <c r="DM47" s="259">
        <v>0.1</v>
      </c>
      <c r="DN47" s="259">
        <v>0.1</v>
      </c>
      <c r="DO47" s="259">
        <v>0.1</v>
      </c>
      <c r="DP47" s="259">
        <v>0.1</v>
      </c>
      <c r="DQ47" s="259">
        <v>0.1</v>
      </c>
      <c r="DR47" s="259">
        <v>0.1</v>
      </c>
      <c r="DS47" s="259">
        <v>0.1</v>
      </c>
      <c r="DT47" s="259">
        <v>0.1</v>
      </c>
      <c r="DU47" s="259">
        <v>0.1</v>
      </c>
      <c r="DV47" s="259">
        <v>0.1</v>
      </c>
      <c r="DW47" s="259">
        <v>0.1</v>
      </c>
      <c r="DX47" s="259">
        <v>0.1</v>
      </c>
      <c r="DY47" s="259">
        <v>0.1</v>
      </c>
      <c r="DZ47" s="259">
        <v>0.1</v>
      </c>
      <c r="EA47" s="263">
        <v>0.1</v>
      </c>
      <c r="EB47" s="258">
        <v>0.1</v>
      </c>
      <c r="EC47" s="259">
        <v>0.1</v>
      </c>
      <c r="ED47" s="259">
        <v>0.1</v>
      </c>
      <c r="EE47" s="259">
        <v>0.1</v>
      </c>
      <c r="EF47" s="260">
        <v>0.1</v>
      </c>
      <c r="EJ47">
        <v>44</v>
      </c>
      <c r="EN47">
        <v>0.1</v>
      </c>
      <c r="EO47">
        <v>0.1</v>
      </c>
      <c r="EP47">
        <v>0.1</v>
      </c>
      <c r="EQ47">
        <v>0.1</v>
      </c>
      <c r="ER47">
        <v>0.1</v>
      </c>
      <c r="ES47">
        <v>0.1</v>
      </c>
      <c r="ET47">
        <v>0.1</v>
      </c>
      <c r="EU47">
        <v>0.1</v>
      </c>
      <c r="EV47">
        <v>0.1</v>
      </c>
      <c r="EW47">
        <v>0.1</v>
      </c>
      <c r="EX47">
        <v>0.1</v>
      </c>
      <c r="EY47">
        <v>0.1</v>
      </c>
      <c r="EZ47">
        <v>0.1</v>
      </c>
      <c r="FA47">
        <v>0.1</v>
      </c>
      <c r="FB47">
        <v>0.1</v>
      </c>
      <c r="FC47">
        <v>0.1</v>
      </c>
      <c r="FD47">
        <v>0.1</v>
      </c>
      <c r="FE47">
        <v>0.1</v>
      </c>
      <c r="FF47">
        <v>0.1</v>
      </c>
      <c r="FG47">
        <v>0.1</v>
      </c>
      <c r="FH47">
        <v>0.1</v>
      </c>
      <c r="FI47">
        <v>0.1</v>
      </c>
      <c r="FJ47">
        <v>0.1</v>
      </c>
      <c r="FK47">
        <v>0.1</v>
      </c>
      <c r="FL47">
        <v>0.1</v>
      </c>
      <c r="FM47">
        <v>0.1</v>
      </c>
      <c r="FN47">
        <v>0.1</v>
      </c>
      <c r="FO47">
        <v>0.1</v>
      </c>
      <c r="FP47">
        <v>0.1</v>
      </c>
      <c r="FQ47">
        <v>0.1</v>
      </c>
      <c r="FU47">
        <v>44</v>
      </c>
      <c r="FV47">
        <v>1.03</v>
      </c>
      <c r="FW47">
        <v>1.03</v>
      </c>
      <c r="FX47">
        <v>1.03</v>
      </c>
      <c r="FY47">
        <v>0.57999999999999996</v>
      </c>
      <c r="GB47" s="66">
        <v>0.1</v>
      </c>
      <c r="GC47" s="67">
        <v>0.1</v>
      </c>
      <c r="GD47" s="67">
        <v>0.1</v>
      </c>
      <c r="GE47" s="67">
        <v>0.1</v>
      </c>
      <c r="GF47" s="67">
        <v>0.1</v>
      </c>
      <c r="GG47" s="67">
        <v>0.1</v>
      </c>
      <c r="GH47" s="67">
        <v>0.1</v>
      </c>
      <c r="GI47" s="67">
        <v>0.1</v>
      </c>
      <c r="GJ47" s="67">
        <v>0.1</v>
      </c>
      <c r="GK47" s="67">
        <v>0.1</v>
      </c>
      <c r="GL47" s="68">
        <v>0.1</v>
      </c>
      <c r="GM47" s="66">
        <v>0.1</v>
      </c>
      <c r="GN47" s="67">
        <v>0.1</v>
      </c>
      <c r="GO47" s="67">
        <v>0.1</v>
      </c>
      <c r="GP47" s="67">
        <v>0.1</v>
      </c>
      <c r="GQ47" s="67">
        <v>0.1</v>
      </c>
      <c r="GR47" s="67">
        <v>0.1</v>
      </c>
      <c r="GS47" s="67">
        <v>0.1</v>
      </c>
      <c r="GT47" s="67">
        <v>0.1</v>
      </c>
      <c r="GU47" s="67">
        <v>0.1</v>
      </c>
      <c r="GV47" s="67">
        <v>0.1</v>
      </c>
      <c r="GW47" s="68">
        <v>0.1</v>
      </c>
      <c r="GX47" s="66">
        <v>0.1</v>
      </c>
      <c r="GY47" s="67">
        <v>0.1</v>
      </c>
      <c r="GZ47" s="67">
        <v>0.1</v>
      </c>
      <c r="HA47" s="67">
        <v>0.1</v>
      </c>
      <c r="HB47" s="67">
        <v>0.1</v>
      </c>
      <c r="HC47" s="67">
        <v>0.1</v>
      </c>
      <c r="HD47" s="67">
        <v>0.1</v>
      </c>
      <c r="HE47" s="67">
        <v>0.1</v>
      </c>
      <c r="HF47" s="67">
        <v>0.1</v>
      </c>
      <c r="HG47" s="67">
        <v>0.1</v>
      </c>
      <c r="HH47" s="68">
        <v>0.1</v>
      </c>
      <c r="HI47" s="66">
        <v>0.1</v>
      </c>
      <c r="HJ47" s="67">
        <v>0.1</v>
      </c>
      <c r="HK47" s="67">
        <v>0.1</v>
      </c>
      <c r="HL47" s="67">
        <v>0.1</v>
      </c>
      <c r="HM47" s="67">
        <v>0.1</v>
      </c>
      <c r="HN47" s="68">
        <v>0.1</v>
      </c>
      <c r="HO47">
        <v>0.1</v>
      </c>
      <c r="HP47">
        <f t="shared" si="0"/>
        <v>0.1</v>
      </c>
    </row>
    <row r="48" spans="1:224" ht="15.75" thickBot="1" x14ac:dyDescent="0.3">
      <c r="A48">
        <v>45</v>
      </c>
      <c r="B48" s="269" t="s">
        <v>1177</v>
      </c>
      <c r="C48" s="2"/>
      <c r="D48" s="2"/>
      <c r="E48" s="2"/>
      <c r="F48" s="2"/>
      <c r="G48" s="2"/>
      <c r="H48" s="258">
        <v>0.1</v>
      </c>
      <c r="I48" s="259">
        <v>0.1</v>
      </c>
      <c r="J48" s="259">
        <v>0.1</v>
      </c>
      <c r="K48" s="259">
        <v>0.1</v>
      </c>
      <c r="L48" s="259">
        <v>0.1</v>
      </c>
      <c r="M48" s="259">
        <v>0.1</v>
      </c>
      <c r="N48" s="259">
        <v>0.1</v>
      </c>
      <c r="O48" s="259">
        <v>0.1</v>
      </c>
      <c r="P48" s="259">
        <v>0.1</v>
      </c>
      <c r="Q48" s="259">
        <v>0.1</v>
      </c>
      <c r="R48" s="259">
        <v>0.1</v>
      </c>
      <c r="S48" s="259">
        <v>0.1</v>
      </c>
      <c r="T48" s="259">
        <v>0.1</v>
      </c>
      <c r="U48" s="259">
        <v>0.1</v>
      </c>
      <c r="V48" s="259">
        <v>0.1</v>
      </c>
      <c r="W48" s="259">
        <v>0.1</v>
      </c>
      <c r="X48" s="259">
        <v>0.1</v>
      </c>
      <c r="Y48" s="259">
        <v>0.1</v>
      </c>
      <c r="Z48" s="259">
        <v>0.1</v>
      </c>
      <c r="AA48" s="259">
        <v>0.1</v>
      </c>
      <c r="AB48" s="259">
        <v>0.1</v>
      </c>
      <c r="AC48" s="259">
        <v>0.1</v>
      </c>
      <c r="AD48" s="259">
        <v>0.1</v>
      </c>
      <c r="AE48" s="259">
        <v>0.1</v>
      </c>
      <c r="AF48" s="259">
        <v>0.1</v>
      </c>
      <c r="AG48" s="259">
        <v>0.1</v>
      </c>
      <c r="AH48" s="259">
        <v>0.1</v>
      </c>
      <c r="AI48" s="259">
        <v>0.1</v>
      </c>
      <c r="AJ48" s="259">
        <v>0.1</v>
      </c>
      <c r="AK48" s="259">
        <v>0.1</v>
      </c>
      <c r="AL48" s="259">
        <v>0.1</v>
      </c>
      <c r="AM48" s="259">
        <v>0.1</v>
      </c>
      <c r="AN48" s="259">
        <v>0.1</v>
      </c>
      <c r="AO48" s="259">
        <v>0.1</v>
      </c>
      <c r="AP48" s="259">
        <v>0.1</v>
      </c>
      <c r="AQ48" s="259">
        <v>0.1</v>
      </c>
      <c r="AR48" s="259">
        <v>0.1</v>
      </c>
      <c r="AS48" s="259">
        <v>0.1</v>
      </c>
      <c r="AT48" s="259">
        <v>0.1</v>
      </c>
      <c r="AU48" s="259">
        <v>0.1</v>
      </c>
      <c r="AV48" s="259">
        <v>0.1</v>
      </c>
      <c r="AW48" s="259">
        <v>0.1</v>
      </c>
      <c r="AX48" s="259">
        <v>0.1</v>
      </c>
      <c r="AY48" s="259">
        <v>0.1</v>
      </c>
      <c r="AZ48" s="259">
        <v>0.1</v>
      </c>
      <c r="BA48" s="259">
        <v>0.1</v>
      </c>
      <c r="BB48" s="259">
        <v>0.1</v>
      </c>
      <c r="BC48" s="259">
        <v>0.1</v>
      </c>
      <c r="BD48" s="259">
        <v>0.1</v>
      </c>
      <c r="BE48" s="259">
        <v>0.1</v>
      </c>
      <c r="BF48" s="259">
        <v>0.1</v>
      </c>
      <c r="BG48" s="259">
        <v>0.1</v>
      </c>
      <c r="BH48" s="259">
        <v>0.1</v>
      </c>
      <c r="BI48" s="259">
        <v>0.1</v>
      </c>
      <c r="BJ48" s="259">
        <v>0.1</v>
      </c>
      <c r="BK48" s="259">
        <v>0.1</v>
      </c>
      <c r="BL48" s="259">
        <v>0.1</v>
      </c>
      <c r="BM48" s="259">
        <v>0.1</v>
      </c>
      <c r="BN48" s="259">
        <v>0.1</v>
      </c>
      <c r="BO48" s="260">
        <v>0.1</v>
      </c>
      <c r="BS48">
        <v>45</v>
      </c>
      <c r="BT48" s="271">
        <v>5.38</v>
      </c>
      <c r="BU48" s="271">
        <v>0.6</v>
      </c>
      <c r="BV48" s="2"/>
      <c r="BW48" s="2"/>
      <c r="BX48" s="2"/>
      <c r="BY48" s="258">
        <v>0.1</v>
      </c>
      <c r="BZ48" s="259">
        <v>0.1</v>
      </c>
      <c r="CA48" s="259">
        <v>0.1</v>
      </c>
      <c r="CB48" s="259">
        <v>0.1</v>
      </c>
      <c r="CC48" s="259">
        <v>0.1</v>
      </c>
      <c r="CD48" s="259">
        <v>0.1</v>
      </c>
      <c r="CE48" s="259">
        <v>0.1</v>
      </c>
      <c r="CF48" s="259">
        <v>0.1</v>
      </c>
      <c r="CG48" s="259">
        <v>0.1</v>
      </c>
      <c r="CH48" s="259">
        <v>0.1</v>
      </c>
      <c r="CI48" s="259">
        <v>0.1</v>
      </c>
      <c r="CJ48" s="259">
        <v>0.1</v>
      </c>
      <c r="CK48" s="259">
        <v>0.1</v>
      </c>
      <c r="CL48" s="259">
        <v>0.1</v>
      </c>
      <c r="CM48" s="259">
        <v>0.1</v>
      </c>
      <c r="CN48" s="259">
        <v>0.1</v>
      </c>
      <c r="CO48" s="259">
        <v>0.1</v>
      </c>
      <c r="CP48" s="259">
        <v>0.1</v>
      </c>
      <c r="CQ48" s="259">
        <v>0.1</v>
      </c>
      <c r="CR48" s="259">
        <v>0.1</v>
      </c>
      <c r="CS48" s="259">
        <v>0.1</v>
      </c>
      <c r="CT48" s="259">
        <v>0.1</v>
      </c>
      <c r="CU48" s="259">
        <v>0.1</v>
      </c>
      <c r="CV48" s="259">
        <v>0.1</v>
      </c>
      <c r="CW48" s="259">
        <v>0.1</v>
      </c>
      <c r="CX48" s="259">
        <v>0.1</v>
      </c>
      <c r="CY48" s="259">
        <v>0.1</v>
      </c>
      <c r="CZ48" s="259">
        <v>0.1</v>
      </c>
      <c r="DA48" s="259">
        <v>0.1</v>
      </c>
      <c r="DB48" s="259">
        <v>0.1</v>
      </c>
      <c r="DC48" s="259">
        <v>0.1</v>
      </c>
      <c r="DD48" s="259">
        <v>0.1</v>
      </c>
      <c r="DE48" s="259">
        <v>0.1</v>
      </c>
      <c r="DF48" s="259">
        <v>0.1</v>
      </c>
      <c r="DG48" s="259">
        <v>0.1</v>
      </c>
      <c r="DH48" s="259">
        <v>0.1</v>
      </c>
      <c r="DI48" s="259">
        <v>0.1</v>
      </c>
      <c r="DJ48" s="259">
        <v>0.1</v>
      </c>
      <c r="DK48" s="259">
        <v>0.1</v>
      </c>
      <c r="DL48" s="259">
        <v>0.1</v>
      </c>
      <c r="DM48" s="259">
        <v>0.1</v>
      </c>
      <c r="DN48" s="259">
        <v>0.1</v>
      </c>
      <c r="DO48" s="259">
        <v>0.1</v>
      </c>
      <c r="DP48" s="259">
        <v>0.1</v>
      </c>
      <c r="DQ48" s="259">
        <v>0.1</v>
      </c>
      <c r="DR48" s="259">
        <v>0.1</v>
      </c>
      <c r="DS48" s="259">
        <v>0.1</v>
      </c>
      <c r="DT48" s="259">
        <v>0.1</v>
      </c>
      <c r="DU48" s="259">
        <v>0.1</v>
      </c>
      <c r="DV48" s="259">
        <v>0.1</v>
      </c>
      <c r="DW48" s="259">
        <v>0.1</v>
      </c>
      <c r="DX48" s="259">
        <v>0.1</v>
      </c>
      <c r="DY48" s="259">
        <v>0.1</v>
      </c>
      <c r="DZ48" s="263">
        <v>0.1</v>
      </c>
      <c r="EA48" s="258">
        <v>0.1</v>
      </c>
      <c r="EB48" s="259">
        <v>0.1</v>
      </c>
      <c r="EC48" s="259">
        <v>0.1</v>
      </c>
      <c r="ED48" s="259">
        <v>0.1</v>
      </c>
      <c r="EE48" s="259">
        <v>0.1</v>
      </c>
      <c r="EF48" s="260">
        <v>0.1</v>
      </c>
      <c r="EJ48">
        <v>45</v>
      </c>
      <c r="EN48">
        <v>0.1</v>
      </c>
      <c r="EO48">
        <v>0.1</v>
      </c>
      <c r="EP48">
        <v>0.1</v>
      </c>
      <c r="EQ48">
        <v>0.1</v>
      </c>
      <c r="ER48">
        <v>0.1</v>
      </c>
      <c r="ES48">
        <v>0.1</v>
      </c>
      <c r="ET48">
        <v>0.1</v>
      </c>
      <c r="EU48">
        <v>0.1</v>
      </c>
      <c r="EV48">
        <v>0.1</v>
      </c>
      <c r="EW48">
        <v>0.1</v>
      </c>
      <c r="EX48">
        <v>0.1</v>
      </c>
      <c r="EY48">
        <v>0.1</v>
      </c>
      <c r="EZ48">
        <v>0.1</v>
      </c>
      <c r="FA48">
        <v>0.1</v>
      </c>
      <c r="FB48">
        <v>0.1</v>
      </c>
      <c r="FC48">
        <v>0.1</v>
      </c>
      <c r="FD48">
        <v>0.1</v>
      </c>
      <c r="FE48">
        <v>0.1</v>
      </c>
      <c r="FF48">
        <v>0.1</v>
      </c>
      <c r="FG48">
        <v>0.1</v>
      </c>
      <c r="FH48">
        <v>0.1</v>
      </c>
      <c r="FI48">
        <v>0.1</v>
      </c>
      <c r="FJ48">
        <v>0.1</v>
      </c>
      <c r="FK48">
        <v>0.1</v>
      </c>
      <c r="FL48">
        <v>0.1</v>
      </c>
      <c r="FM48">
        <v>0.1</v>
      </c>
      <c r="FN48">
        <v>0.1</v>
      </c>
      <c r="FO48">
        <v>0.1</v>
      </c>
      <c r="FP48">
        <v>0.1</v>
      </c>
      <c r="FQ48">
        <v>0.1</v>
      </c>
      <c r="FU48">
        <v>45</v>
      </c>
      <c r="FV48">
        <v>1.03</v>
      </c>
      <c r="FW48">
        <v>1.03</v>
      </c>
      <c r="FX48">
        <v>1.03</v>
      </c>
      <c r="FY48">
        <v>0.57999999999999996</v>
      </c>
      <c r="GB48" s="66">
        <v>0.1</v>
      </c>
      <c r="GC48" s="67">
        <v>0.1</v>
      </c>
      <c r="GD48" s="67">
        <v>0.1</v>
      </c>
      <c r="GE48" s="67">
        <v>0.1</v>
      </c>
      <c r="GF48" s="67">
        <v>0.1</v>
      </c>
      <c r="GG48" s="67">
        <v>0.1</v>
      </c>
      <c r="GH48" s="67">
        <v>0.1</v>
      </c>
      <c r="GI48" s="67">
        <v>0.1</v>
      </c>
      <c r="GJ48" s="67">
        <v>0.1</v>
      </c>
      <c r="GK48" s="67">
        <v>0.1</v>
      </c>
      <c r="GL48" s="68">
        <v>0.1</v>
      </c>
      <c r="GM48" s="66">
        <v>0.1</v>
      </c>
      <c r="GN48" s="67">
        <v>0.1</v>
      </c>
      <c r="GO48" s="67">
        <v>0.1</v>
      </c>
      <c r="GP48" s="67">
        <v>0.1</v>
      </c>
      <c r="GQ48" s="67">
        <v>0.1</v>
      </c>
      <c r="GR48" s="67">
        <v>0.1</v>
      </c>
      <c r="GS48" s="67">
        <v>0.1</v>
      </c>
      <c r="GT48" s="67">
        <v>0.1</v>
      </c>
      <c r="GU48" s="67">
        <v>0.1</v>
      </c>
      <c r="GV48" s="67">
        <v>0.1</v>
      </c>
      <c r="GW48" s="68">
        <v>0.1</v>
      </c>
      <c r="GX48" s="66">
        <v>0.1</v>
      </c>
      <c r="GY48" s="67">
        <v>0.1</v>
      </c>
      <c r="GZ48" s="67">
        <v>0.1</v>
      </c>
      <c r="HA48" s="67">
        <v>0.1</v>
      </c>
      <c r="HB48" s="67">
        <v>0.1</v>
      </c>
      <c r="HC48" s="67">
        <v>0.1</v>
      </c>
      <c r="HD48" s="67">
        <v>0.1</v>
      </c>
      <c r="HE48" s="67">
        <v>0.1</v>
      </c>
      <c r="HF48" s="67">
        <v>0.1</v>
      </c>
      <c r="HG48" s="67">
        <v>0.1</v>
      </c>
      <c r="HH48" s="68">
        <v>0.1</v>
      </c>
      <c r="HI48" s="66">
        <v>0.1</v>
      </c>
      <c r="HJ48" s="67">
        <v>0.1</v>
      </c>
      <c r="HK48" s="67">
        <v>0.1</v>
      </c>
      <c r="HL48" s="67">
        <v>0.1</v>
      </c>
      <c r="HM48" s="67">
        <v>0.1</v>
      </c>
      <c r="HN48" s="68">
        <v>0.1</v>
      </c>
      <c r="HO48">
        <v>0.1</v>
      </c>
      <c r="HP48">
        <f t="shared" si="0"/>
        <v>0.1</v>
      </c>
    </row>
    <row r="49" spans="1:224" ht="15.75" thickBot="1" x14ac:dyDescent="0.3">
      <c r="A49">
        <v>46</v>
      </c>
      <c r="B49" s="269" t="s">
        <v>1178</v>
      </c>
      <c r="C49" s="2"/>
      <c r="D49" s="2"/>
      <c r="E49" s="2"/>
      <c r="F49" s="2"/>
      <c r="G49" s="2"/>
      <c r="H49" s="258">
        <v>0.1</v>
      </c>
      <c r="I49" s="259">
        <v>0.1</v>
      </c>
      <c r="J49" s="259">
        <v>0.1</v>
      </c>
      <c r="K49" s="259">
        <v>0.1</v>
      </c>
      <c r="L49" s="259">
        <v>0.1</v>
      </c>
      <c r="M49" s="259">
        <v>0.1</v>
      </c>
      <c r="N49" s="259">
        <v>0.1</v>
      </c>
      <c r="O49" s="259">
        <v>0.1</v>
      </c>
      <c r="P49" s="259">
        <v>0.1</v>
      </c>
      <c r="Q49" s="259">
        <v>0.1</v>
      </c>
      <c r="R49" s="259">
        <v>0.1</v>
      </c>
      <c r="S49" s="259">
        <v>0.1</v>
      </c>
      <c r="T49" s="259">
        <v>0.1</v>
      </c>
      <c r="U49" s="259">
        <v>0.1</v>
      </c>
      <c r="V49" s="259">
        <v>0.1</v>
      </c>
      <c r="W49" s="259">
        <v>0.1</v>
      </c>
      <c r="X49" s="259">
        <v>0.1</v>
      </c>
      <c r="Y49" s="259">
        <v>0.1</v>
      </c>
      <c r="Z49" s="259">
        <v>0.1</v>
      </c>
      <c r="AA49" s="259">
        <v>0.1</v>
      </c>
      <c r="AB49" s="259">
        <v>0.1</v>
      </c>
      <c r="AC49" s="259">
        <v>0.1</v>
      </c>
      <c r="AD49" s="259">
        <v>0.1</v>
      </c>
      <c r="AE49" s="259">
        <v>0.1</v>
      </c>
      <c r="AF49" s="259">
        <v>0.1</v>
      </c>
      <c r="AG49" s="259">
        <v>0.1</v>
      </c>
      <c r="AH49" s="259">
        <v>0.1</v>
      </c>
      <c r="AI49" s="259">
        <v>0.1</v>
      </c>
      <c r="AJ49" s="259">
        <v>0.1</v>
      </c>
      <c r="AK49" s="259">
        <v>0.1</v>
      </c>
      <c r="AL49" s="259">
        <v>0.1</v>
      </c>
      <c r="AM49" s="259">
        <v>0.1</v>
      </c>
      <c r="AN49" s="259">
        <v>0.1</v>
      </c>
      <c r="AO49" s="259">
        <v>0.1</v>
      </c>
      <c r="AP49" s="259">
        <v>0.1</v>
      </c>
      <c r="AQ49" s="259">
        <v>0.1</v>
      </c>
      <c r="AR49" s="259">
        <v>0.1</v>
      </c>
      <c r="AS49" s="259">
        <v>0.1</v>
      </c>
      <c r="AT49" s="259">
        <v>0.1</v>
      </c>
      <c r="AU49" s="259">
        <v>0.1</v>
      </c>
      <c r="AV49" s="259">
        <v>0.1</v>
      </c>
      <c r="AW49" s="259">
        <v>0.1</v>
      </c>
      <c r="AX49" s="259">
        <v>0.1</v>
      </c>
      <c r="AY49" s="259">
        <v>0.1</v>
      </c>
      <c r="AZ49" s="259">
        <v>0.1</v>
      </c>
      <c r="BA49" s="259">
        <v>0.1</v>
      </c>
      <c r="BB49" s="259">
        <v>0.1</v>
      </c>
      <c r="BC49" s="259">
        <v>0.1</v>
      </c>
      <c r="BD49" s="259">
        <v>0.1</v>
      </c>
      <c r="BE49" s="259">
        <v>0.1</v>
      </c>
      <c r="BF49" s="259">
        <v>0.1</v>
      </c>
      <c r="BG49" s="259">
        <v>0.1</v>
      </c>
      <c r="BH49" s="259">
        <v>0.1</v>
      </c>
      <c r="BI49" s="259">
        <v>0.1</v>
      </c>
      <c r="BJ49" s="260">
        <v>0.1</v>
      </c>
      <c r="BK49">
        <v>0.1</v>
      </c>
      <c r="BL49">
        <v>0.1</v>
      </c>
      <c r="BM49">
        <v>0.1</v>
      </c>
      <c r="BN49">
        <v>0.1</v>
      </c>
      <c r="BO49">
        <v>0.1</v>
      </c>
      <c r="BP49">
        <f>SUM(BK49:BO49)</f>
        <v>0.5</v>
      </c>
      <c r="BS49">
        <v>46</v>
      </c>
      <c r="BT49" s="270">
        <v>5.29</v>
      </c>
      <c r="BU49" s="271">
        <v>0.68</v>
      </c>
      <c r="BV49" s="2"/>
      <c r="BW49" s="2"/>
      <c r="BX49" s="2"/>
      <c r="BY49" s="258">
        <v>0.1</v>
      </c>
      <c r="BZ49" s="259">
        <v>0.1</v>
      </c>
      <c r="CA49" s="259">
        <v>0.1</v>
      </c>
      <c r="CB49" s="259">
        <v>0.1</v>
      </c>
      <c r="CC49" s="259">
        <v>0.1</v>
      </c>
      <c r="CD49" s="259">
        <v>0.1</v>
      </c>
      <c r="CE49" s="259">
        <v>0.1</v>
      </c>
      <c r="CF49" s="259">
        <v>0.1</v>
      </c>
      <c r="CG49" s="259">
        <v>0.1</v>
      </c>
      <c r="CH49" s="259">
        <v>0.1</v>
      </c>
      <c r="CI49" s="259">
        <v>0.1</v>
      </c>
      <c r="CJ49" s="259">
        <v>0.1</v>
      </c>
      <c r="CK49" s="259">
        <v>0.1</v>
      </c>
      <c r="CL49" s="259">
        <v>0.1</v>
      </c>
      <c r="CM49" s="259">
        <v>0.1</v>
      </c>
      <c r="CN49" s="259">
        <v>0.1</v>
      </c>
      <c r="CO49" s="259">
        <v>0.1</v>
      </c>
      <c r="CP49" s="259">
        <v>0.1</v>
      </c>
      <c r="CQ49" s="259">
        <v>0.1</v>
      </c>
      <c r="CR49" s="259">
        <v>0.1</v>
      </c>
      <c r="CS49" s="259">
        <v>0.1</v>
      </c>
      <c r="CT49" s="259">
        <v>0.1</v>
      </c>
      <c r="CU49" s="259">
        <v>0.1</v>
      </c>
      <c r="CV49" s="259">
        <v>0.1</v>
      </c>
      <c r="CW49" s="259">
        <v>0.1</v>
      </c>
      <c r="CX49" s="259">
        <v>0.1</v>
      </c>
      <c r="CY49" s="259">
        <v>0.1</v>
      </c>
      <c r="CZ49" s="259">
        <v>0.1</v>
      </c>
      <c r="DA49" s="259">
        <v>0.1</v>
      </c>
      <c r="DB49" s="259">
        <v>0.1</v>
      </c>
      <c r="DC49" s="259">
        <v>0.1</v>
      </c>
      <c r="DD49" s="259">
        <v>0.1</v>
      </c>
      <c r="DE49" s="259">
        <v>0.1</v>
      </c>
      <c r="DF49" s="259">
        <v>0.1</v>
      </c>
      <c r="DG49" s="259">
        <v>0.1</v>
      </c>
      <c r="DH49" s="259">
        <v>0.1</v>
      </c>
      <c r="DI49" s="259">
        <v>0.1</v>
      </c>
      <c r="DJ49" s="259">
        <v>0.1</v>
      </c>
      <c r="DK49" s="259">
        <v>0.1</v>
      </c>
      <c r="DL49" s="259">
        <v>0.1</v>
      </c>
      <c r="DM49" s="259">
        <v>0.1</v>
      </c>
      <c r="DN49" s="259">
        <v>0.1</v>
      </c>
      <c r="DO49" s="259">
        <v>0.1</v>
      </c>
      <c r="DP49" s="259">
        <v>0.1</v>
      </c>
      <c r="DQ49" s="259">
        <v>0.1</v>
      </c>
      <c r="DR49" s="259">
        <v>0.1</v>
      </c>
      <c r="DS49" s="259">
        <v>0.1</v>
      </c>
      <c r="DT49" s="259">
        <v>0.1</v>
      </c>
      <c r="DU49" s="259">
        <v>0.1</v>
      </c>
      <c r="DV49" s="259">
        <v>0.1</v>
      </c>
      <c r="DW49" s="259">
        <v>0.1</v>
      </c>
      <c r="DX49" s="259">
        <v>0.1</v>
      </c>
      <c r="DY49" s="263">
        <v>0.1</v>
      </c>
      <c r="DZ49" s="258">
        <v>0.1</v>
      </c>
      <c r="EA49" s="259">
        <v>0.1</v>
      </c>
      <c r="EB49" s="259">
        <v>0.1</v>
      </c>
      <c r="EC49" s="259">
        <v>0.1</v>
      </c>
      <c r="ED49" s="259">
        <v>0.1</v>
      </c>
      <c r="EE49" s="259">
        <v>0.1</v>
      </c>
      <c r="EF49" s="260">
        <v>0.1</v>
      </c>
      <c r="EJ49">
        <v>46</v>
      </c>
      <c r="EN49">
        <v>0.1</v>
      </c>
      <c r="EO49">
        <v>0.1</v>
      </c>
      <c r="EP49">
        <v>0.1</v>
      </c>
      <c r="EQ49">
        <v>0.1</v>
      </c>
      <c r="ER49">
        <v>0.1</v>
      </c>
      <c r="ES49">
        <v>0.1</v>
      </c>
      <c r="ET49">
        <v>0.1</v>
      </c>
      <c r="EU49">
        <v>0.1</v>
      </c>
      <c r="EV49">
        <v>0.1</v>
      </c>
      <c r="EW49">
        <v>0.1</v>
      </c>
      <c r="EX49">
        <v>0.1</v>
      </c>
      <c r="EY49">
        <v>0.1</v>
      </c>
      <c r="EZ49">
        <v>0.1</v>
      </c>
      <c r="FA49">
        <v>0.1</v>
      </c>
      <c r="FB49">
        <v>0.1</v>
      </c>
      <c r="FC49">
        <v>0.1</v>
      </c>
      <c r="FD49">
        <v>0.1</v>
      </c>
      <c r="FE49">
        <v>0.1</v>
      </c>
      <c r="FF49">
        <v>0.1</v>
      </c>
      <c r="FG49">
        <v>0.1</v>
      </c>
      <c r="FH49">
        <v>0.1</v>
      </c>
      <c r="FI49">
        <v>0.1</v>
      </c>
      <c r="FJ49">
        <v>0.1</v>
      </c>
      <c r="FK49">
        <v>0.1</v>
      </c>
      <c r="FL49">
        <v>0.1</v>
      </c>
      <c r="FM49">
        <v>0.1</v>
      </c>
      <c r="FN49">
        <v>0.1</v>
      </c>
      <c r="FO49">
        <v>0.1</v>
      </c>
      <c r="FP49">
        <v>0.1</v>
      </c>
      <c r="FQ49">
        <v>0.1</v>
      </c>
      <c r="FU49">
        <v>46</v>
      </c>
      <c r="FV49">
        <v>1.03</v>
      </c>
      <c r="FW49">
        <v>1.03</v>
      </c>
      <c r="FX49">
        <v>1.03</v>
      </c>
      <c r="FY49">
        <v>0.57999999999999996</v>
      </c>
      <c r="GB49" s="66">
        <v>0.1</v>
      </c>
      <c r="GC49" s="67">
        <v>0.1</v>
      </c>
      <c r="GD49" s="67">
        <v>0.1</v>
      </c>
      <c r="GE49" s="67">
        <v>0.1</v>
      </c>
      <c r="GF49" s="67">
        <v>0.1</v>
      </c>
      <c r="GG49" s="67">
        <v>0.1</v>
      </c>
      <c r="GH49" s="67">
        <v>0.1</v>
      </c>
      <c r="GI49" s="67">
        <v>0.1</v>
      </c>
      <c r="GJ49" s="67">
        <v>0.1</v>
      </c>
      <c r="GK49" s="67">
        <v>0.1</v>
      </c>
      <c r="GL49" s="68">
        <v>0.1</v>
      </c>
      <c r="GM49" s="66">
        <v>0.1</v>
      </c>
      <c r="GN49" s="67">
        <v>0.1</v>
      </c>
      <c r="GO49" s="67">
        <v>0.1</v>
      </c>
      <c r="GP49" s="67">
        <v>0.1</v>
      </c>
      <c r="GQ49" s="67">
        <v>0.1</v>
      </c>
      <c r="GR49" s="67">
        <v>0.1</v>
      </c>
      <c r="GS49" s="67">
        <v>0.1</v>
      </c>
      <c r="GT49" s="67">
        <v>0.1</v>
      </c>
      <c r="GU49" s="67">
        <v>0.1</v>
      </c>
      <c r="GV49" s="67">
        <v>0.1</v>
      </c>
      <c r="GW49" s="68">
        <v>0.1</v>
      </c>
      <c r="GX49" s="66">
        <v>0.1</v>
      </c>
      <c r="GY49" s="67">
        <v>0.1</v>
      </c>
      <c r="GZ49" s="67">
        <v>0.1</v>
      </c>
      <c r="HA49" s="67">
        <v>0.1</v>
      </c>
      <c r="HB49" s="67">
        <v>0.1</v>
      </c>
      <c r="HC49" s="67">
        <v>0.1</v>
      </c>
      <c r="HD49" s="67">
        <v>0.1</v>
      </c>
      <c r="HE49" s="67">
        <v>0.1</v>
      </c>
      <c r="HF49" s="67">
        <v>0.1</v>
      </c>
      <c r="HG49" s="67">
        <v>0.1</v>
      </c>
      <c r="HH49" s="68">
        <v>0.1</v>
      </c>
      <c r="HI49" s="66">
        <v>0.1</v>
      </c>
      <c r="HJ49" s="67">
        <v>0.1</v>
      </c>
      <c r="HK49" s="67">
        <v>0.1</v>
      </c>
      <c r="HL49" s="67">
        <v>0.1</v>
      </c>
      <c r="HM49" s="67">
        <v>0.1</v>
      </c>
      <c r="HN49" s="68">
        <v>0.1</v>
      </c>
      <c r="HO49">
        <v>0.1</v>
      </c>
      <c r="HP49">
        <f t="shared" si="0"/>
        <v>0.1</v>
      </c>
    </row>
    <row r="50" spans="1:224" ht="15.75" thickBot="1" x14ac:dyDescent="0.3">
      <c r="A50">
        <v>47</v>
      </c>
      <c r="B50" s="269" t="s">
        <v>1177</v>
      </c>
      <c r="C50" s="2"/>
      <c r="D50" s="2"/>
      <c r="E50" s="2"/>
      <c r="F50" s="2"/>
      <c r="G50" s="2"/>
      <c r="H50" s="258">
        <v>0.1</v>
      </c>
      <c r="I50" s="259">
        <v>0.1</v>
      </c>
      <c r="J50" s="259">
        <v>0.1</v>
      </c>
      <c r="K50" s="259">
        <v>0.1</v>
      </c>
      <c r="L50" s="259">
        <v>0.1</v>
      </c>
      <c r="M50" s="259">
        <v>0.1</v>
      </c>
      <c r="N50" s="259">
        <v>0.1</v>
      </c>
      <c r="O50" s="259">
        <v>0.1</v>
      </c>
      <c r="P50" s="259">
        <v>0.1</v>
      </c>
      <c r="Q50" s="259">
        <v>0.1</v>
      </c>
      <c r="R50" s="259">
        <v>0.1</v>
      </c>
      <c r="S50" s="259">
        <v>0.1</v>
      </c>
      <c r="T50" s="259">
        <v>0.1</v>
      </c>
      <c r="U50" s="259">
        <v>0.1</v>
      </c>
      <c r="V50" s="259">
        <v>0.1</v>
      </c>
      <c r="W50" s="259">
        <v>0.1</v>
      </c>
      <c r="X50" s="259">
        <v>0.1</v>
      </c>
      <c r="Y50" s="259">
        <v>0.1</v>
      </c>
      <c r="Z50" s="259">
        <v>0.1</v>
      </c>
      <c r="AA50" s="259">
        <v>0.1</v>
      </c>
      <c r="AB50" s="259">
        <v>0.1</v>
      </c>
      <c r="AC50" s="259">
        <v>0.1</v>
      </c>
      <c r="AD50" s="259">
        <v>0.1</v>
      </c>
      <c r="AE50" s="259">
        <v>0.1</v>
      </c>
      <c r="AF50" s="259">
        <v>0.1</v>
      </c>
      <c r="AG50" s="259">
        <v>0.1</v>
      </c>
      <c r="AH50" s="259">
        <v>0.1</v>
      </c>
      <c r="AI50" s="259">
        <v>0.1</v>
      </c>
      <c r="AJ50" s="259">
        <v>0.1</v>
      </c>
      <c r="AK50" s="259">
        <v>0.1</v>
      </c>
      <c r="AL50" s="259">
        <v>0.1</v>
      </c>
      <c r="AM50" s="259">
        <v>0.1</v>
      </c>
      <c r="AN50" s="259">
        <v>0.1</v>
      </c>
      <c r="AO50" s="259">
        <v>0.1</v>
      </c>
      <c r="AP50" s="259">
        <v>0.1</v>
      </c>
      <c r="AQ50" s="259">
        <v>0.1</v>
      </c>
      <c r="AR50" s="259">
        <v>0.1</v>
      </c>
      <c r="AS50" s="259">
        <v>0.1</v>
      </c>
      <c r="AT50" s="259">
        <v>0.1</v>
      </c>
      <c r="AU50" s="259">
        <v>0.1</v>
      </c>
      <c r="AV50" s="259">
        <v>0.1</v>
      </c>
      <c r="AW50" s="259">
        <v>0.1</v>
      </c>
      <c r="AX50" s="259">
        <v>0.1</v>
      </c>
      <c r="AY50" s="259">
        <v>0.1</v>
      </c>
      <c r="AZ50" s="259">
        <v>0.1</v>
      </c>
      <c r="BA50" s="259">
        <v>0.1</v>
      </c>
      <c r="BB50" s="259">
        <v>0.1</v>
      </c>
      <c r="BC50" s="259">
        <v>0.1</v>
      </c>
      <c r="BD50" s="259">
        <v>0.1</v>
      </c>
      <c r="BE50" s="259">
        <v>0.1</v>
      </c>
      <c r="BF50" s="259">
        <v>0.1</v>
      </c>
      <c r="BG50" s="259">
        <v>0.1</v>
      </c>
      <c r="BH50" s="259">
        <v>0.1</v>
      </c>
      <c r="BI50" s="259">
        <v>0.1</v>
      </c>
      <c r="BJ50" s="259">
        <v>0.1</v>
      </c>
      <c r="BK50" s="259">
        <v>0.1</v>
      </c>
      <c r="BL50" s="259">
        <v>0.1</v>
      </c>
      <c r="BM50" s="259">
        <v>0.1</v>
      </c>
      <c r="BN50" s="259">
        <v>0.1</v>
      </c>
      <c r="BO50" s="260">
        <v>0.1</v>
      </c>
      <c r="BS50">
        <v>47</v>
      </c>
      <c r="BT50" s="271">
        <v>5.19</v>
      </c>
      <c r="BU50" s="270">
        <v>0.79</v>
      </c>
      <c r="BV50" s="2"/>
      <c r="BW50" s="2"/>
      <c r="BX50" s="2"/>
      <c r="BY50" s="258">
        <v>0.1</v>
      </c>
      <c r="BZ50" s="259">
        <v>0.1</v>
      </c>
      <c r="CA50" s="259">
        <v>0.1</v>
      </c>
      <c r="CB50" s="259">
        <v>0.1</v>
      </c>
      <c r="CC50" s="259">
        <v>0.1</v>
      </c>
      <c r="CD50" s="259">
        <v>0.1</v>
      </c>
      <c r="CE50" s="259">
        <v>0.1</v>
      </c>
      <c r="CF50" s="259">
        <v>0.1</v>
      </c>
      <c r="CG50" s="259">
        <v>0.1</v>
      </c>
      <c r="CH50" s="259">
        <v>0.1</v>
      </c>
      <c r="CI50" s="259">
        <v>0.1</v>
      </c>
      <c r="CJ50" s="259">
        <v>0.1</v>
      </c>
      <c r="CK50" s="259">
        <v>0.1</v>
      </c>
      <c r="CL50" s="259">
        <v>0.1</v>
      </c>
      <c r="CM50" s="259">
        <v>0.1</v>
      </c>
      <c r="CN50" s="259">
        <v>0.1</v>
      </c>
      <c r="CO50" s="259">
        <v>0.1</v>
      </c>
      <c r="CP50" s="259">
        <v>0.1</v>
      </c>
      <c r="CQ50" s="259">
        <v>0.1</v>
      </c>
      <c r="CR50" s="259">
        <v>0.1</v>
      </c>
      <c r="CS50" s="259">
        <v>0.1</v>
      </c>
      <c r="CT50" s="259">
        <v>0.1</v>
      </c>
      <c r="CU50" s="259">
        <v>0.1</v>
      </c>
      <c r="CV50" s="259">
        <v>0.1</v>
      </c>
      <c r="CW50" s="259">
        <v>0.1</v>
      </c>
      <c r="CX50" s="259">
        <v>0.1</v>
      </c>
      <c r="CY50" s="259">
        <v>0.1</v>
      </c>
      <c r="CZ50" s="259">
        <v>0.1</v>
      </c>
      <c r="DA50" s="259">
        <v>0.1</v>
      </c>
      <c r="DB50" s="259">
        <v>0.1</v>
      </c>
      <c r="DC50" s="259">
        <v>0.1</v>
      </c>
      <c r="DD50" s="259">
        <v>0.1</v>
      </c>
      <c r="DE50" s="259">
        <v>0.1</v>
      </c>
      <c r="DF50" s="259">
        <v>0.1</v>
      </c>
      <c r="DG50" s="259">
        <v>0.1</v>
      </c>
      <c r="DH50" s="259">
        <v>0.1</v>
      </c>
      <c r="DI50" s="259">
        <v>0.1</v>
      </c>
      <c r="DJ50" s="259">
        <v>0.1</v>
      </c>
      <c r="DK50" s="259">
        <v>0.1</v>
      </c>
      <c r="DL50" s="259">
        <v>0.1</v>
      </c>
      <c r="DM50" s="259">
        <v>0.1</v>
      </c>
      <c r="DN50" s="259">
        <v>0.1</v>
      </c>
      <c r="DO50" s="259">
        <v>0.1</v>
      </c>
      <c r="DP50" s="259">
        <v>0.1</v>
      </c>
      <c r="DQ50" s="259">
        <v>0.1</v>
      </c>
      <c r="DR50" s="259">
        <v>0.1</v>
      </c>
      <c r="DS50" s="259">
        <v>0.1</v>
      </c>
      <c r="DT50" s="259">
        <v>0.1</v>
      </c>
      <c r="DU50" s="259">
        <v>0.1</v>
      </c>
      <c r="DV50" s="259">
        <v>0.1</v>
      </c>
      <c r="DW50" s="259">
        <v>0.1</v>
      </c>
      <c r="DX50" s="260">
        <v>0.1</v>
      </c>
      <c r="DY50" s="258">
        <v>0.1</v>
      </c>
      <c r="DZ50" s="259">
        <v>0.1</v>
      </c>
      <c r="EA50" s="259">
        <v>0.1</v>
      </c>
      <c r="EB50" s="259">
        <v>0.1</v>
      </c>
      <c r="EC50" s="259">
        <v>0.1</v>
      </c>
      <c r="ED50" s="259">
        <v>0.1</v>
      </c>
      <c r="EE50" s="259">
        <v>0.1</v>
      </c>
      <c r="EF50" s="260">
        <v>0.1</v>
      </c>
      <c r="EJ50">
        <v>47</v>
      </c>
      <c r="EN50">
        <v>0.1</v>
      </c>
      <c r="EO50">
        <v>0.1</v>
      </c>
      <c r="EP50">
        <v>0.1</v>
      </c>
      <c r="EQ50">
        <v>0.1</v>
      </c>
      <c r="ER50">
        <v>0.1</v>
      </c>
      <c r="ES50">
        <v>0.1</v>
      </c>
      <c r="ET50">
        <v>0.1</v>
      </c>
      <c r="EU50">
        <v>0.1</v>
      </c>
      <c r="EV50">
        <v>0.1</v>
      </c>
      <c r="EW50">
        <v>0.1</v>
      </c>
      <c r="EX50">
        <v>0.1</v>
      </c>
      <c r="EY50">
        <v>0.1</v>
      </c>
      <c r="EZ50">
        <v>0.1</v>
      </c>
      <c r="FA50">
        <v>0.1</v>
      </c>
      <c r="FB50">
        <v>0.1</v>
      </c>
      <c r="FC50">
        <v>0.1</v>
      </c>
      <c r="FD50">
        <v>0.1</v>
      </c>
      <c r="FE50">
        <v>0.1</v>
      </c>
      <c r="FF50">
        <v>0.1</v>
      </c>
      <c r="FG50">
        <v>0.1</v>
      </c>
      <c r="FH50">
        <v>0.1</v>
      </c>
      <c r="FI50">
        <v>0.1</v>
      </c>
      <c r="FJ50">
        <v>0.1</v>
      </c>
      <c r="FK50">
        <v>0.1</v>
      </c>
      <c r="FL50">
        <v>0.1</v>
      </c>
      <c r="FM50">
        <v>0.1</v>
      </c>
      <c r="FN50">
        <v>0.1</v>
      </c>
      <c r="FO50">
        <v>0.1</v>
      </c>
      <c r="FP50">
        <v>0.1</v>
      </c>
      <c r="FQ50">
        <v>0.1</v>
      </c>
      <c r="FU50">
        <v>47</v>
      </c>
      <c r="FV50">
        <v>1.03</v>
      </c>
      <c r="FW50">
        <v>1.03</v>
      </c>
      <c r="FX50">
        <v>1.03</v>
      </c>
      <c r="FY50">
        <v>0.57999999999999996</v>
      </c>
      <c r="GB50" s="66">
        <v>0.1</v>
      </c>
      <c r="GC50" s="67">
        <v>0.1</v>
      </c>
      <c r="GD50" s="67">
        <v>0.1</v>
      </c>
      <c r="GE50" s="67">
        <v>0.1</v>
      </c>
      <c r="GF50" s="67">
        <v>0.1</v>
      </c>
      <c r="GG50" s="67">
        <v>0.1</v>
      </c>
      <c r="GH50" s="67">
        <v>0.1</v>
      </c>
      <c r="GI50" s="67">
        <v>0.1</v>
      </c>
      <c r="GJ50" s="67">
        <v>0.1</v>
      </c>
      <c r="GK50" s="67">
        <v>0.1</v>
      </c>
      <c r="GL50" s="68">
        <v>0.1</v>
      </c>
      <c r="GM50" s="66">
        <v>0.1</v>
      </c>
      <c r="GN50" s="67">
        <v>0.1</v>
      </c>
      <c r="GO50" s="67">
        <v>0.1</v>
      </c>
      <c r="GP50" s="67">
        <v>0.1</v>
      </c>
      <c r="GQ50" s="67">
        <v>0.1</v>
      </c>
      <c r="GR50" s="67">
        <v>0.1</v>
      </c>
      <c r="GS50" s="67">
        <v>0.1</v>
      </c>
      <c r="GT50" s="67">
        <v>0.1</v>
      </c>
      <c r="GU50" s="67">
        <v>0.1</v>
      </c>
      <c r="GV50" s="67">
        <v>0.1</v>
      </c>
      <c r="GW50" s="68">
        <v>0.1</v>
      </c>
      <c r="GX50" s="66">
        <v>0.1</v>
      </c>
      <c r="GY50" s="67">
        <v>0.1</v>
      </c>
      <c r="GZ50" s="67">
        <v>0.1</v>
      </c>
      <c r="HA50" s="67">
        <v>0.1</v>
      </c>
      <c r="HB50" s="67">
        <v>0.1</v>
      </c>
      <c r="HC50" s="67">
        <v>0.1</v>
      </c>
      <c r="HD50" s="67">
        <v>0.1</v>
      </c>
      <c r="HE50" s="67">
        <v>0.1</v>
      </c>
      <c r="HF50" s="67">
        <v>0.1</v>
      </c>
      <c r="HG50" s="67">
        <v>0.1</v>
      </c>
      <c r="HH50" s="68">
        <v>0.1</v>
      </c>
      <c r="HI50" s="66">
        <v>0.1</v>
      </c>
      <c r="HJ50" s="67">
        <v>0.1</v>
      </c>
      <c r="HK50" s="67">
        <v>0.1</v>
      </c>
      <c r="HL50" s="67">
        <v>0.1</v>
      </c>
      <c r="HM50" s="67">
        <v>0.1</v>
      </c>
      <c r="HN50" s="68">
        <v>0.1</v>
      </c>
      <c r="HO50">
        <v>0.1</v>
      </c>
      <c r="HP50">
        <f t="shared" si="0"/>
        <v>0.1</v>
      </c>
    </row>
    <row r="51" spans="1:224" ht="15.75" thickBot="1" x14ac:dyDescent="0.3">
      <c r="A51">
        <v>48</v>
      </c>
      <c r="B51" s="269" t="s">
        <v>1178</v>
      </c>
      <c r="C51" s="2"/>
      <c r="D51" s="2"/>
      <c r="E51" s="2"/>
      <c r="F51" s="2"/>
      <c r="G51" s="2"/>
      <c r="H51" s="258">
        <v>0.1</v>
      </c>
      <c r="I51" s="259">
        <v>0.1</v>
      </c>
      <c r="J51" s="259">
        <v>0.1</v>
      </c>
      <c r="K51" s="259">
        <v>0.1</v>
      </c>
      <c r="L51" s="259">
        <v>0.1</v>
      </c>
      <c r="M51" s="259">
        <v>0.1</v>
      </c>
      <c r="N51" s="259">
        <v>0.1</v>
      </c>
      <c r="O51" s="259">
        <v>0.1</v>
      </c>
      <c r="P51" s="259">
        <v>0.1</v>
      </c>
      <c r="Q51" s="259">
        <v>0.1</v>
      </c>
      <c r="R51" s="259">
        <v>0.1</v>
      </c>
      <c r="S51" s="259">
        <v>0.1</v>
      </c>
      <c r="T51" s="259">
        <v>0.1</v>
      </c>
      <c r="U51" s="259">
        <v>0.1</v>
      </c>
      <c r="V51" s="259">
        <v>0.1</v>
      </c>
      <c r="W51" s="259">
        <v>0.1</v>
      </c>
      <c r="X51" s="259">
        <v>0.1</v>
      </c>
      <c r="Y51" s="259">
        <v>0.1</v>
      </c>
      <c r="Z51" s="259">
        <v>0.1</v>
      </c>
      <c r="AA51" s="259">
        <v>0.1</v>
      </c>
      <c r="AB51" s="259">
        <v>0.1</v>
      </c>
      <c r="AC51" s="259">
        <v>0.1</v>
      </c>
      <c r="AD51" s="259">
        <v>0.1</v>
      </c>
      <c r="AE51" s="259">
        <v>0.1</v>
      </c>
      <c r="AF51" s="259">
        <v>0.1</v>
      </c>
      <c r="AG51" s="259">
        <v>0.1</v>
      </c>
      <c r="AH51" s="259">
        <v>0.1</v>
      </c>
      <c r="AI51" s="259">
        <v>0.1</v>
      </c>
      <c r="AJ51" s="259">
        <v>0.1</v>
      </c>
      <c r="AK51" s="259">
        <v>0.1</v>
      </c>
      <c r="AL51" s="259">
        <v>0.1</v>
      </c>
      <c r="AM51" s="259">
        <v>0.1</v>
      </c>
      <c r="AN51" s="259">
        <v>0.1</v>
      </c>
      <c r="AO51" s="259">
        <v>0.1</v>
      </c>
      <c r="AP51" s="259">
        <v>0.1</v>
      </c>
      <c r="AQ51" s="259">
        <v>0.1</v>
      </c>
      <c r="AR51" s="259">
        <v>0.1</v>
      </c>
      <c r="AS51" s="259">
        <v>0.1</v>
      </c>
      <c r="AT51" s="259">
        <v>0.1</v>
      </c>
      <c r="AU51" s="259">
        <v>0.1</v>
      </c>
      <c r="AV51" s="259">
        <v>0.1</v>
      </c>
      <c r="AW51" s="259">
        <v>0.1</v>
      </c>
      <c r="AX51" s="259">
        <v>0.1</v>
      </c>
      <c r="AY51" s="259">
        <v>0.1</v>
      </c>
      <c r="AZ51" s="259">
        <v>0.1</v>
      </c>
      <c r="BA51" s="259">
        <v>0.1</v>
      </c>
      <c r="BB51" s="259">
        <v>0.1</v>
      </c>
      <c r="BC51" s="259">
        <v>0.1</v>
      </c>
      <c r="BD51" s="259">
        <v>0.1</v>
      </c>
      <c r="BE51" s="259">
        <v>0.1</v>
      </c>
      <c r="BF51" s="259">
        <v>0.1</v>
      </c>
      <c r="BG51" s="259">
        <v>0.1</v>
      </c>
      <c r="BH51" s="259">
        <v>0.1</v>
      </c>
      <c r="BI51" s="259">
        <v>0.1</v>
      </c>
      <c r="BJ51" s="260">
        <v>0.1</v>
      </c>
      <c r="BK51">
        <v>0.1</v>
      </c>
      <c r="BL51">
        <v>0.1</v>
      </c>
      <c r="BM51">
        <v>0.1</v>
      </c>
      <c r="BN51">
        <v>0.1</v>
      </c>
      <c r="BO51">
        <v>0.1</v>
      </c>
      <c r="BP51">
        <f>SUM(BK51:BO51)</f>
        <v>0.5</v>
      </c>
      <c r="BS51">
        <v>48</v>
      </c>
      <c r="BT51" s="270">
        <v>5.05</v>
      </c>
      <c r="BU51" s="271">
        <v>0.81</v>
      </c>
      <c r="BV51" s="2"/>
      <c r="BW51" s="2"/>
      <c r="BX51" s="2"/>
      <c r="BY51" s="258">
        <v>0.1</v>
      </c>
      <c r="BZ51" s="259">
        <v>0.1</v>
      </c>
      <c r="CA51" s="259">
        <v>0.1</v>
      </c>
      <c r="CB51" s="259">
        <v>0.1</v>
      </c>
      <c r="CC51" s="259">
        <v>0.1</v>
      </c>
      <c r="CD51" s="259">
        <v>0.1</v>
      </c>
      <c r="CE51" s="259">
        <v>0.1</v>
      </c>
      <c r="CF51" s="259">
        <v>0.1</v>
      </c>
      <c r="CG51" s="259">
        <v>0.1</v>
      </c>
      <c r="CH51" s="259">
        <v>0.1</v>
      </c>
      <c r="CI51" s="259">
        <v>0.1</v>
      </c>
      <c r="CJ51" s="259">
        <v>0.1</v>
      </c>
      <c r="CK51" s="259">
        <v>0.1</v>
      </c>
      <c r="CL51" s="259">
        <v>0.1</v>
      </c>
      <c r="CM51" s="259">
        <v>0.1</v>
      </c>
      <c r="CN51" s="259">
        <v>0.1</v>
      </c>
      <c r="CO51" s="259">
        <v>0.1</v>
      </c>
      <c r="CP51" s="259">
        <v>0.1</v>
      </c>
      <c r="CQ51" s="259">
        <v>0.1</v>
      </c>
      <c r="CR51" s="259">
        <v>0.1</v>
      </c>
      <c r="CS51" s="259">
        <v>0.1</v>
      </c>
      <c r="CT51" s="259">
        <v>0.1</v>
      </c>
      <c r="CU51" s="259">
        <v>0.1</v>
      </c>
      <c r="CV51" s="259">
        <v>0.1</v>
      </c>
      <c r="CW51" s="259">
        <v>0.1</v>
      </c>
      <c r="CX51" s="259">
        <v>0.1</v>
      </c>
      <c r="CY51" s="259">
        <v>0.1</v>
      </c>
      <c r="CZ51" s="259">
        <v>0.1</v>
      </c>
      <c r="DA51" s="259">
        <v>0.1</v>
      </c>
      <c r="DB51" s="259">
        <v>0.1</v>
      </c>
      <c r="DC51" s="259">
        <v>0.1</v>
      </c>
      <c r="DD51" s="259">
        <v>0.1</v>
      </c>
      <c r="DE51" s="259">
        <v>0.1</v>
      </c>
      <c r="DF51" s="259">
        <v>0.1</v>
      </c>
      <c r="DG51" s="259">
        <v>0.1</v>
      </c>
      <c r="DH51" s="259">
        <v>0.1</v>
      </c>
      <c r="DI51" s="259">
        <v>0.1</v>
      </c>
      <c r="DJ51" s="259">
        <v>0.1</v>
      </c>
      <c r="DK51" s="259">
        <v>0.1</v>
      </c>
      <c r="DL51" s="259">
        <v>0.1</v>
      </c>
      <c r="DM51" s="259">
        <v>0.1</v>
      </c>
      <c r="DN51" s="259">
        <v>0.1</v>
      </c>
      <c r="DO51" s="259">
        <v>0.1</v>
      </c>
      <c r="DP51" s="259">
        <v>0.1</v>
      </c>
      <c r="DQ51" s="259">
        <v>0.1</v>
      </c>
      <c r="DR51" s="259">
        <v>0.1</v>
      </c>
      <c r="DS51" s="259">
        <v>0.1</v>
      </c>
      <c r="DT51" s="259">
        <v>0.1</v>
      </c>
      <c r="DU51" s="259">
        <v>0.1</v>
      </c>
      <c r="DV51" s="259">
        <v>0.1</v>
      </c>
      <c r="DW51" s="260">
        <v>0.1</v>
      </c>
      <c r="DX51" s="258">
        <v>0.1</v>
      </c>
      <c r="DY51" s="259">
        <v>0.1</v>
      </c>
      <c r="DZ51" s="259">
        <v>0.1</v>
      </c>
      <c r="EA51" s="259">
        <v>0.1</v>
      </c>
      <c r="EB51" s="259">
        <v>0.1</v>
      </c>
      <c r="EC51" s="259">
        <v>0.1</v>
      </c>
      <c r="ED51" s="259">
        <v>0.1</v>
      </c>
      <c r="EE51" s="259">
        <v>0.1</v>
      </c>
      <c r="EF51" s="260">
        <v>0.1</v>
      </c>
      <c r="EJ51">
        <v>48</v>
      </c>
      <c r="EN51">
        <v>0.1</v>
      </c>
      <c r="EO51">
        <v>0.1</v>
      </c>
      <c r="EP51">
        <v>0.1</v>
      </c>
      <c r="EQ51">
        <v>0.1</v>
      </c>
      <c r="ER51">
        <v>0.1</v>
      </c>
      <c r="ES51">
        <v>0.1</v>
      </c>
      <c r="ET51">
        <v>0.1</v>
      </c>
      <c r="EU51">
        <v>0.1</v>
      </c>
      <c r="EV51">
        <v>0.1</v>
      </c>
      <c r="EW51">
        <v>0.1</v>
      </c>
      <c r="EX51">
        <v>0.1</v>
      </c>
      <c r="EY51">
        <v>0.1</v>
      </c>
      <c r="EZ51">
        <v>0.1</v>
      </c>
      <c r="FA51">
        <v>0.1</v>
      </c>
      <c r="FB51">
        <v>0.1</v>
      </c>
      <c r="FC51">
        <v>0.1</v>
      </c>
      <c r="FD51">
        <v>0.1</v>
      </c>
      <c r="FE51">
        <v>0.1</v>
      </c>
      <c r="FF51">
        <v>0.1</v>
      </c>
      <c r="FG51">
        <v>0.1</v>
      </c>
      <c r="FH51">
        <v>0.1</v>
      </c>
      <c r="FI51">
        <v>0.1</v>
      </c>
      <c r="FJ51">
        <v>0.1</v>
      </c>
      <c r="FK51">
        <v>0.1</v>
      </c>
      <c r="FL51">
        <v>0.1</v>
      </c>
      <c r="FM51">
        <v>0.1</v>
      </c>
      <c r="FN51">
        <v>0.1</v>
      </c>
      <c r="FO51">
        <v>0.1</v>
      </c>
      <c r="FP51">
        <v>0.1</v>
      </c>
      <c r="FQ51">
        <v>0.1</v>
      </c>
      <c r="FU51">
        <v>48</v>
      </c>
      <c r="FV51">
        <v>1.03</v>
      </c>
      <c r="FW51">
        <v>1.03</v>
      </c>
      <c r="FX51">
        <v>1.03</v>
      </c>
      <c r="FY51">
        <v>0.57999999999999996</v>
      </c>
      <c r="GB51" s="66">
        <v>0.1</v>
      </c>
      <c r="GC51" s="67">
        <v>0.1</v>
      </c>
      <c r="GD51" s="67">
        <v>0.1</v>
      </c>
      <c r="GE51" s="67">
        <v>0.1</v>
      </c>
      <c r="GF51" s="67">
        <v>0.1</v>
      </c>
      <c r="GG51" s="67">
        <v>0.1</v>
      </c>
      <c r="GH51" s="67">
        <v>0.1</v>
      </c>
      <c r="GI51" s="67">
        <v>0.1</v>
      </c>
      <c r="GJ51" s="67">
        <v>0.1</v>
      </c>
      <c r="GK51" s="67">
        <v>0.1</v>
      </c>
      <c r="GL51" s="68">
        <v>0.1</v>
      </c>
      <c r="GM51" s="66">
        <v>0.1</v>
      </c>
      <c r="GN51" s="67">
        <v>0.1</v>
      </c>
      <c r="GO51" s="67">
        <v>0.1</v>
      </c>
      <c r="GP51" s="67">
        <v>0.1</v>
      </c>
      <c r="GQ51" s="67">
        <v>0.1</v>
      </c>
      <c r="GR51" s="67">
        <v>0.1</v>
      </c>
      <c r="GS51" s="67">
        <v>0.1</v>
      </c>
      <c r="GT51" s="67">
        <v>0.1</v>
      </c>
      <c r="GU51" s="67">
        <v>0.1</v>
      </c>
      <c r="GV51" s="67">
        <v>0.1</v>
      </c>
      <c r="GW51" s="68">
        <v>0.1</v>
      </c>
      <c r="GX51" s="66">
        <v>0.1</v>
      </c>
      <c r="GY51" s="67">
        <v>0.1</v>
      </c>
      <c r="GZ51" s="67">
        <v>0.1</v>
      </c>
      <c r="HA51" s="67">
        <v>0.1</v>
      </c>
      <c r="HB51" s="67">
        <v>0.1</v>
      </c>
      <c r="HC51" s="67">
        <v>0.1</v>
      </c>
      <c r="HD51" s="67">
        <v>0.1</v>
      </c>
      <c r="HE51" s="67">
        <v>0.1</v>
      </c>
      <c r="HF51" s="67">
        <v>0.1</v>
      </c>
      <c r="HG51" s="67">
        <v>0.1</v>
      </c>
      <c r="HH51" s="68">
        <v>0.1</v>
      </c>
      <c r="HI51" s="66">
        <v>0.1</v>
      </c>
      <c r="HJ51" s="67">
        <v>0.1</v>
      </c>
      <c r="HK51" s="67">
        <v>0.1</v>
      </c>
      <c r="HL51" s="67">
        <v>0.1</v>
      </c>
      <c r="HM51" s="67">
        <v>0.1</v>
      </c>
      <c r="HN51" s="68">
        <v>0.1</v>
      </c>
      <c r="HO51">
        <v>0.1</v>
      </c>
      <c r="HP51">
        <f t="shared" si="0"/>
        <v>0.1</v>
      </c>
    </row>
    <row r="52" spans="1:224" ht="15.75" thickBot="1" x14ac:dyDescent="0.3">
      <c r="A52">
        <v>49</v>
      </c>
      <c r="B52" s="269" t="s">
        <v>1177</v>
      </c>
      <c r="C52" s="2"/>
      <c r="D52" s="2"/>
      <c r="E52" s="2"/>
      <c r="F52" s="2"/>
      <c r="G52" s="2"/>
      <c r="H52" s="258">
        <v>0.1</v>
      </c>
      <c r="I52" s="259">
        <v>0.1</v>
      </c>
      <c r="J52" s="259">
        <v>0.1</v>
      </c>
      <c r="K52" s="259">
        <v>0.1</v>
      </c>
      <c r="L52" s="259">
        <v>0.1</v>
      </c>
      <c r="M52" s="259">
        <v>0.1</v>
      </c>
      <c r="N52" s="259">
        <v>0.1</v>
      </c>
      <c r="O52" s="259">
        <v>0.1</v>
      </c>
      <c r="P52" s="259">
        <v>0.1</v>
      </c>
      <c r="Q52" s="259">
        <v>0.1</v>
      </c>
      <c r="R52" s="259">
        <v>0.1</v>
      </c>
      <c r="S52" s="259">
        <v>0.1</v>
      </c>
      <c r="T52" s="259">
        <v>0.1</v>
      </c>
      <c r="U52" s="259">
        <v>0.1</v>
      </c>
      <c r="V52" s="259">
        <v>0.1</v>
      </c>
      <c r="W52" s="259">
        <v>0.1</v>
      </c>
      <c r="X52" s="259">
        <v>0.1</v>
      </c>
      <c r="Y52" s="259">
        <v>0.1</v>
      </c>
      <c r="Z52" s="259">
        <v>0.1</v>
      </c>
      <c r="AA52" s="259">
        <v>0.1</v>
      </c>
      <c r="AB52" s="259">
        <v>0.1</v>
      </c>
      <c r="AC52" s="259">
        <v>0.1</v>
      </c>
      <c r="AD52" s="259">
        <v>0.1</v>
      </c>
      <c r="AE52" s="259">
        <v>0.1</v>
      </c>
      <c r="AF52" s="259">
        <v>0.1</v>
      </c>
      <c r="AG52" s="259">
        <v>0.1</v>
      </c>
      <c r="AH52" s="259">
        <v>0.1</v>
      </c>
      <c r="AI52" s="259">
        <v>0.1</v>
      </c>
      <c r="AJ52" s="259">
        <v>0.1</v>
      </c>
      <c r="AK52" s="259">
        <v>0.1</v>
      </c>
      <c r="AL52" s="259">
        <v>0.1</v>
      </c>
      <c r="AM52" s="259">
        <v>0.1</v>
      </c>
      <c r="AN52" s="259">
        <v>0.1</v>
      </c>
      <c r="AO52" s="259">
        <v>0.1</v>
      </c>
      <c r="AP52" s="259">
        <v>0.1</v>
      </c>
      <c r="AQ52" s="259">
        <v>0.1</v>
      </c>
      <c r="AR52" s="259">
        <v>0.1</v>
      </c>
      <c r="AS52" s="259">
        <v>0.1</v>
      </c>
      <c r="AT52" s="259">
        <v>0.1</v>
      </c>
      <c r="AU52" s="259">
        <v>0.1</v>
      </c>
      <c r="AV52" s="259">
        <v>0.1</v>
      </c>
      <c r="AW52" s="259">
        <v>0.1</v>
      </c>
      <c r="AX52" s="259">
        <v>0.1</v>
      </c>
      <c r="AY52" s="259">
        <v>0.1</v>
      </c>
      <c r="AZ52" s="259">
        <v>0.1</v>
      </c>
      <c r="BA52" s="259">
        <v>0.1</v>
      </c>
      <c r="BB52" s="259">
        <v>0.1</v>
      </c>
      <c r="BC52" s="259">
        <v>0.1</v>
      </c>
      <c r="BD52" s="259">
        <v>0.1</v>
      </c>
      <c r="BE52" s="259">
        <v>0.1</v>
      </c>
      <c r="BF52" s="259">
        <v>0.1</v>
      </c>
      <c r="BG52" s="259">
        <v>0.1</v>
      </c>
      <c r="BH52" s="259">
        <v>0.1</v>
      </c>
      <c r="BI52" s="259">
        <v>0.1</v>
      </c>
      <c r="BJ52" s="259">
        <v>0.1</v>
      </c>
      <c r="BK52" s="259">
        <v>0.1</v>
      </c>
      <c r="BL52" s="259">
        <v>0.1</v>
      </c>
      <c r="BM52" s="259">
        <v>0.1</v>
      </c>
      <c r="BN52" s="259">
        <v>0.1</v>
      </c>
      <c r="BO52" s="260">
        <v>0.1</v>
      </c>
      <c r="BS52">
        <v>49</v>
      </c>
      <c r="BT52" s="271">
        <v>5.05</v>
      </c>
      <c r="BU52" s="270">
        <v>0.84</v>
      </c>
      <c r="BV52" s="2"/>
      <c r="BW52" s="2"/>
      <c r="BX52" s="2"/>
      <c r="BY52" s="258">
        <v>0.1</v>
      </c>
      <c r="BZ52" s="259">
        <v>0.1</v>
      </c>
      <c r="CA52" s="259">
        <v>0.1</v>
      </c>
      <c r="CB52" s="259">
        <v>0.1</v>
      </c>
      <c r="CC52" s="259">
        <v>0.1</v>
      </c>
      <c r="CD52" s="259">
        <v>0.1</v>
      </c>
      <c r="CE52" s="259">
        <v>0.1</v>
      </c>
      <c r="CF52" s="259">
        <v>0.1</v>
      </c>
      <c r="CG52" s="259">
        <v>0.1</v>
      </c>
      <c r="CH52" s="259">
        <v>0.1</v>
      </c>
      <c r="CI52" s="259">
        <v>0.1</v>
      </c>
      <c r="CJ52" s="259">
        <v>0.1</v>
      </c>
      <c r="CK52" s="259">
        <v>0.1</v>
      </c>
      <c r="CL52" s="259">
        <v>0.1</v>
      </c>
      <c r="CM52" s="259">
        <v>0.1</v>
      </c>
      <c r="CN52" s="259">
        <v>0.1</v>
      </c>
      <c r="CO52" s="259">
        <v>0.1</v>
      </c>
      <c r="CP52" s="259">
        <v>0.1</v>
      </c>
      <c r="CQ52" s="259">
        <v>0.1</v>
      </c>
      <c r="CR52" s="259">
        <v>0.1</v>
      </c>
      <c r="CS52" s="259">
        <v>0.1</v>
      </c>
      <c r="CT52" s="259">
        <v>0.1</v>
      </c>
      <c r="CU52" s="259">
        <v>0.1</v>
      </c>
      <c r="CV52" s="259">
        <v>0.1</v>
      </c>
      <c r="CW52" s="259">
        <v>0.1</v>
      </c>
      <c r="CX52" s="259">
        <v>0.1</v>
      </c>
      <c r="CY52" s="259">
        <v>0.1</v>
      </c>
      <c r="CZ52" s="259">
        <v>0.1</v>
      </c>
      <c r="DA52" s="259">
        <v>0.1</v>
      </c>
      <c r="DB52" s="259">
        <v>0.1</v>
      </c>
      <c r="DC52" s="259">
        <v>0.1</v>
      </c>
      <c r="DD52" s="259">
        <v>0.1</v>
      </c>
      <c r="DE52" s="259">
        <v>0.1</v>
      </c>
      <c r="DF52" s="259">
        <v>0.1</v>
      </c>
      <c r="DG52" s="259">
        <v>0.1</v>
      </c>
      <c r="DH52" s="259">
        <v>0.1</v>
      </c>
      <c r="DI52" s="259">
        <v>0.1</v>
      </c>
      <c r="DJ52" s="259">
        <v>0.1</v>
      </c>
      <c r="DK52" s="259">
        <v>0.1</v>
      </c>
      <c r="DL52" s="259">
        <v>0.1</v>
      </c>
      <c r="DM52" s="259">
        <v>0.1</v>
      </c>
      <c r="DN52" s="259">
        <v>0.1</v>
      </c>
      <c r="DO52" s="259">
        <v>0.1</v>
      </c>
      <c r="DP52" s="259">
        <v>0.1</v>
      </c>
      <c r="DQ52" s="259">
        <v>0.1</v>
      </c>
      <c r="DR52" s="259">
        <v>0.1</v>
      </c>
      <c r="DS52" s="259">
        <v>0.1</v>
      </c>
      <c r="DT52" s="259">
        <v>0.1</v>
      </c>
      <c r="DU52" s="259">
        <v>0.1</v>
      </c>
      <c r="DV52" s="259">
        <v>0.1</v>
      </c>
      <c r="DW52" s="260">
        <v>0.1</v>
      </c>
      <c r="DX52" s="258">
        <v>0.1</v>
      </c>
      <c r="DY52" s="259">
        <v>0.1</v>
      </c>
      <c r="DZ52" s="259">
        <v>0.1</v>
      </c>
      <c r="EA52" s="259">
        <v>0.1</v>
      </c>
      <c r="EB52" s="259">
        <v>0.1</v>
      </c>
      <c r="EC52" s="259">
        <v>0.1</v>
      </c>
      <c r="ED52" s="259">
        <v>0.1</v>
      </c>
      <c r="EE52" s="259">
        <v>0.1</v>
      </c>
      <c r="EF52" s="260">
        <v>0.1</v>
      </c>
      <c r="EJ52">
        <v>49</v>
      </c>
      <c r="EN52">
        <v>0.1</v>
      </c>
      <c r="EO52">
        <v>0.1</v>
      </c>
      <c r="EP52">
        <v>0.1</v>
      </c>
      <c r="EQ52">
        <v>0.1</v>
      </c>
      <c r="ER52">
        <v>0.1</v>
      </c>
      <c r="ES52">
        <v>0.1</v>
      </c>
      <c r="ET52">
        <v>0.1</v>
      </c>
      <c r="EU52">
        <v>0.1</v>
      </c>
      <c r="EV52">
        <v>0.1</v>
      </c>
      <c r="EW52">
        <v>0.1</v>
      </c>
      <c r="EX52">
        <v>0.1</v>
      </c>
      <c r="EY52">
        <v>0.1</v>
      </c>
      <c r="EZ52">
        <v>0.1</v>
      </c>
      <c r="FA52">
        <v>0.1</v>
      </c>
      <c r="FB52">
        <v>0.1</v>
      </c>
      <c r="FC52">
        <v>0.1</v>
      </c>
      <c r="FD52">
        <v>0.1</v>
      </c>
      <c r="FE52">
        <v>0.1</v>
      </c>
      <c r="FF52">
        <v>0.1</v>
      </c>
      <c r="FG52">
        <v>0.1</v>
      </c>
      <c r="FH52">
        <v>0.1</v>
      </c>
      <c r="FI52">
        <v>0.1</v>
      </c>
      <c r="FJ52">
        <v>0.1</v>
      </c>
      <c r="FK52">
        <v>0.1</v>
      </c>
      <c r="FL52">
        <v>0.1</v>
      </c>
      <c r="FM52">
        <v>0.1</v>
      </c>
      <c r="FN52">
        <v>0.1</v>
      </c>
      <c r="FO52">
        <v>0.1</v>
      </c>
      <c r="FP52">
        <v>0.1</v>
      </c>
      <c r="FQ52">
        <v>0.1</v>
      </c>
      <c r="FU52">
        <v>49</v>
      </c>
      <c r="FV52">
        <v>1.03</v>
      </c>
      <c r="FW52">
        <v>1.03</v>
      </c>
      <c r="FX52">
        <v>1.03</v>
      </c>
      <c r="FY52">
        <v>0.56000000000000005</v>
      </c>
      <c r="GB52" s="66">
        <v>0.1</v>
      </c>
      <c r="GC52" s="67">
        <v>0.1</v>
      </c>
      <c r="GD52" s="67">
        <v>0.1</v>
      </c>
      <c r="GE52" s="67">
        <v>0.1</v>
      </c>
      <c r="GF52" s="67">
        <v>0.1</v>
      </c>
      <c r="GG52" s="67">
        <v>0.1</v>
      </c>
      <c r="GH52" s="67">
        <v>0.1</v>
      </c>
      <c r="GI52" s="67">
        <v>0.1</v>
      </c>
      <c r="GJ52" s="67">
        <v>0.1</v>
      </c>
      <c r="GK52" s="67">
        <v>0.1</v>
      </c>
      <c r="GL52" s="68">
        <v>0.1</v>
      </c>
      <c r="GM52" s="66">
        <v>0.1</v>
      </c>
      <c r="GN52" s="67">
        <v>0.1</v>
      </c>
      <c r="GO52" s="67">
        <v>0.1</v>
      </c>
      <c r="GP52" s="67">
        <v>0.1</v>
      </c>
      <c r="GQ52" s="67">
        <v>0.1</v>
      </c>
      <c r="GR52" s="67">
        <v>0.1</v>
      </c>
      <c r="GS52" s="67">
        <v>0.1</v>
      </c>
      <c r="GT52" s="67">
        <v>0.1</v>
      </c>
      <c r="GU52" s="67">
        <v>0.1</v>
      </c>
      <c r="GV52" s="67">
        <v>0.1</v>
      </c>
      <c r="GW52" s="68">
        <v>0.1</v>
      </c>
      <c r="GX52" s="66">
        <v>0.1</v>
      </c>
      <c r="GY52" s="67">
        <v>0.1</v>
      </c>
      <c r="GZ52" s="67">
        <v>0.1</v>
      </c>
      <c r="HA52" s="67">
        <v>0.1</v>
      </c>
      <c r="HB52" s="67">
        <v>0.1</v>
      </c>
      <c r="HC52" s="67">
        <v>0.1</v>
      </c>
      <c r="HD52" s="67">
        <v>0.1</v>
      </c>
      <c r="HE52" s="67">
        <v>0.1</v>
      </c>
      <c r="HF52" s="67">
        <v>0.1</v>
      </c>
      <c r="HG52" s="67">
        <v>0.1</v>
      </c>
      <c r="HH52" s="68">
        <v>0.1</v>
      </c>
      <c r="HI52" s="66">
        <v>0.1</v>
      </c>
      <c r="HJ52" s="67">
        <v>0.1</v>
      </c>
      <c r="HK52" s="67">
        <v>0.1</v>
      </c>
      <c r="HL52" s="67">
        <v>0.1</v>
      </c>
      <c r="HM52" s="67">
        <v>0.1</v>
      </c>
      <c r="HN52" s="68">
        <v>0.1</v>
      </c>
      <c r="HO52">
        <v>0.1</v>
      </c>
      <c r="HP52">
        <f t="shared" si="0"/>
        <v>0.1</v>
      </c>
    </row>
    <row r="53" spans="1:224" ht="15.75" thickBot="1" x14ac:dyDescent="0.3">
      <c r="A53">
        <v>50</v>
      </c>
      <c r="B53" s="269" t="s">
        <v>1178</v>
      </c>
      <c r="C53" s="2"/>
      <c r="D53" s="2"/>
      <c r="E53" s="2"/>
      <c r="F53" s="2"/>
      <c r="G53" s="2"/>
      <c r="H53" s="258">
        <v>0.1</v>
      </c>
      <c r="I53" s="259">
        <v>0.1</v>
      </c>
      <c r="J53" s="259">
        <v>0.1</v>
      </c>
      <c r="K53" s="259">
        <v>0.1</v>
      </c>
      <c r="L53" s="259">
        <v>0.1</v>
      </c>
      <c r="M53" s="259">
        <v>0.1</v>
      </c>
      <c r="N53" s="259">
        <v>0.1</v>
      </c>
      <c r="O53" s="259">
        <v>0.1</v>
      </c>
      <c r="P53" s="259">
        <v>0.1</v>
      </c>
      <c r="Q53" s="259">
        <v>0.1</v>
      </c>
      <c r="R53" s="259">
        <v>0.1</v>
      </c>
      <c r="S53" s="259">
        <v>0.1</v>
      </c>
      <c r="T53" s="259">
        <v>0.1</v>
      </c>
      <c r="U53" s="259">
        <v>0.1</v>
      </c>
      <c r="V53" s="259">
        <v>0.1</v>
      </c>
      <c r="W53" s="259">
        <v>0.1</v>
      </c>
      <c r="X53" s="259">
        <v>0.1</v>
      </c>
      <c r="Y53" s="259">
        <v>0.1</v>
      </c>
      <c r="Z53" s="259">
        <v>0.1</v>
      </c>
      <c r="AA53" s="259">
        <v>0.1</v>
      </c>
      <c r="AB53" s="259">
        <v>0.1</v>
      </c>
      <c r="AC53" s="259">
        <v>0.1</v>
      </c>
      <c r="AD53" s="259">
        <v>0.1</v>
      </c>
      <c r="AE53" s="259">
        <v>0.1</v>
      </c>
      <c r="AF53" s="259">
        <v>0.1</v>
      </c>
      <c r="AG53" s="259">
        <v>0.1</v>
      </c>
      <c r="AH53" s="259">
        <v>0.1</v>
      </c>
      <c r="AI53" s="259">
        <v>0.1</v>
      </c>
      <c r="AJ53" s="259">
        <v>0.1</v>
      </c>
      <c r="AK53" s="259">
        <v>0.1</v>
      </c>
      <c r="AL53" s="259">
        <v>0.1</v>
      </c>
      <c r="AM53" s="259">
        <v>0.1</v>
      </c>
      <c r="AN53" s="259">
        <v>0.1</v>
      </c>
      <c r="AO53" s="259">
        <v>0.1</v>
      </c>
      <c r="AP53" s="259">
        <v>0.1</v>
      </c>
      <c r="AQ53" s="259">
        <v>0.1</v>
      </c>
      <c r="AR53" s="259">
        <v>0.1</v>
      </c>
      <c r="AS53" s="259">
        <v>0.1</v>
      </c>
      <c r="AT53" s="259">
        <v>0.1</v>
      </c>
      <c r="AU53" s="259">
        <v>0.1</v>
      </c>
      <c r="AV53" s="259">
        <v>0.1</v>
      </c>
      <c r="AW53" s="259">
        <v>0.1</v>
      </c>
      <c r="AX53" s="259">
        <v>0.1</v>
      </c>
      <c r="AY53" s="259">
        <v>0.1</v>
      </c>
      <c r="AZ53" s="259">
        <v>0.1</v>
      </c>
      <c r="BA53" s="259">
        <v>0.1</v>
      </c>
      <c r="BB53" s="259">
        <v>0.1</v>
      </c>
      <c r="BC53" s="259">
        <v>0.1</v>
      </c>
      <c r="BD53" s="259">
        <v>0.1</v>
      </c>
      <c r="BE53" s="259">
        <v>0.1</v>
      </c>
      <c r="BF53" s="259">
        <v>0.1</v>
      </c>
      <c r="BG53" s="259">
        <v>0.1</v>
      </c>
      <c r="BH53" s="259">
        <v>0.1</v>
      </c>
      <c r="BI53" s="259">
        <v>0.1</v>
      </c>
      <c r="BJ53" s="260">
        <v>0.1</v>
      </c>
      <c r="BK53">
        <v>0.1</v>
      </c>
      <c r="BL53">
        <v>0.1</v>
      </c>
      <c r="BM53">
        <v>0.1</v>
      </c>
      <c r="BN53">
        <v>0.1</v>
      </c>
      <c r="BO53">
        <v>0.1</v>
      </c>
      <c r="BP53">
        <f>SUM(BK53:BO53)</f>
        <v>0.5</v>
      </c>
      <c r="BS53">
        <v>50</v>
      </c>
      <c r="BT53" s="270">
        <v>5.05</v>
      </c>
      <c r="BU53" s="271">
        <v>0.84</v>
      </c>
      <c r="BV53" s="2"/>
      <c r="BW53" s="2"/>
      <c r="BX53" s="2"/>
      <c r="BY53" s="258">
        <v>0.1</v>
      </c>
      <c r="BZ53" s="259">
        <v>0.1</v>
      </c>
      <c r="CA53" s="259">
        <v>0.1</v>
      </c>
      <c r="CB53" s="259">
        <v>0.1</v>
      </c>
      <c r="CC53" s="259">
        <v>0.1</v>
      </c>
      <c r="CD53" s="259">
        <v>0.1</v>
      </c>
      <c r="CE53" s="259">
        <v>0.1</v>
      </c>
      <c r="CF53" s="259">
        <v>0.1</v>
      </c>
      <c r="CG53" s="259">
        <v>0.1</v>
      </c>
      <c r="CH53" s="259">
        <v>0.1</v>
      </c>
      <c r="CI53" s="259">
        <v>0.1</v>
      </c>
      <c r="CJ53" s="259">
        <v>0.1</v>
      </c>
      <c r="CK53" s="259">
        <v>0.1</v>
      </c>
      <c r="CL53" s="259">
        <v>0.1</v>
      </c>
      <c r="CM53" s="259">
        <v>0.1</v>
      </c>
      <c r="CN53" s="259">
        <v>0.1</v>
      </c>
      <c r="CO53" s="259">
        <v>0.1</v>
      </c>
      <c r="CP53" s="259">
        <v>0.1</v>
      </c>
      <c r="CQ53" s="259">
        <v>0.1</v>
      </c>
      <c r="CR53" s="259">
        <v>0.1</v>
      </c>
      <c r="CS53" s="259">
        <v>0.1</v>
      </c>
      <c r="CT53" s="259">
        <v>0.1</v>
      </c>
      <c r="CU53" s="259">
        <v>0.1</v>
      </c>
      <c r="CV53" s="259">
        <v>0.1</v>
      </c>
      <c r="CW53" s="259">
        <v>0.1</v>
      </c>
      <c r="CX53" s="259">
        <v>0.1</v>
      </c>
      <c r="CY53" s="259">
        <v>0.1</v>
      </c>
      <c r="CZ53" s="259">
        <v>0.1</v>
      </c>
      <c r="DA53" s="259">
        <v>0.1</v>
      </c>
      <c r="DB53" s="259">
        <v>0.1</v>
      </c>
      <c r="DC53" s="259">
        <v>0.1</v>
      </c>
      <c r="DD53" s="259">
        <v>0.1</v>
      </c>
      <c r="DE53" s="259">
        <v>0.1</v>
      </c>
      <c r="DF53" s="259">
        <v>0.1</v>
      </c>
      <c r="DG53" s="259">
        <v>0.1</v>
      </c>
      <c r="DH53" s="259">
        <v>0.1</v>
      </c>
      <c r="DI53" s="259">
        <v>0.1</v>
      </c>
      <c r="DJ53" s="259">
        <v>0.1</v>
      </c>
      <c r="DK53" s="259">
        <v>0.1</v>
      </c>
      <c r="DL53" s="259">
        <v>0.1</v>
      </c>
      <c r="DM53" s="259">
        <v>0.1</v>
      </c>
      <c r="DN53" s="259">
        <v>0.1</v>
      </c>
      <c r="DO53" s="259">
        <v>0.1</v>
      </c>
      <c r="DP53" s="259">
        <v>0.1</v>
      </c>
      <c r="DQ53" s="259">
        <v>0.1</v>
      </c>
      <c r="DR53" s="259">
        <v>0.1</v>
      </c>
      <c r="DS53" s="259">
        <v>0.1</v>
      </c>
      <c r="DT53" s="259">
        <v>0.1</v>
      </c>
      <c r="DU53" s="259">
        <v>0.1</v>
      </c>
      <c r="DV53" s="259">
        <v>0.1</v>
      </c>
      <c r="DW53" s="260">
        <v>0.1</v>
      </c>
      <c r="DX53" s="258">
        <v>0.1</v>
      </c>
      <c r="DY53" s="259">
        <v>0.1</v>
      </c>
      <c r="DZ53" s="259">
        <v>0.1</v>
      </c>
      <c r="EA53" s="259">
        <v>0.1</v>
      </c>
      <c r="EB53" s="259">
        <v>0.1</v>
      </c>
      <c r="EC53" s="259">
        <v>0.1</v>
      </c>
      <c r="ED53" s="259">
        <v>0.1</v>
      </c>
      <c r="EE53" s="259">
        <v>0.1</v>
      </c>
      <c r="EF53" s="260">
        <v>0.1</v>
      </c>
      <c r="EJ53">
        <v>50</v>
      </c>
      <c r="EN53">
        <v>0.1</v>
      </c>
      <c r="EO53">
        <v>0.1</v>
      </c>
      <c r="EP53">
        <v>0.1</v>
      </c>
      <c r="EQ53">
        <v>0.1</v>
      </c>
      <c r="ER53">
        <v>0.1</v>
      </c>
      <c r="ES53">
        <v>0.1</v>
      </c>
      <c r="ET53">
        <v>0.1</v>
      </c>
      <c r="EU53">
        <v>0.1</v>
      </c>
      <c r="EV53">
        <v>0.1</v>
      </c>
      <c r="EW53">
        <v>0.1</v>
      </c>
      <c r="EX53">
        <v>0.1</v>
      </c>
      <c r="EY53">
        <v>0.1</v>
      </c>
      <c r="EZ53">
        <v>0.1</v>
      </c>
      <c r="FA53">
        <v>0.1</v>
      </c>
      <c r="FB53">
        <v>0.1</v>
      </c>
      <c r="FC53">
        <v>0.1</v>
      </c>
      <c r="FD53">
        <v>0.1</v>
      </c>
      <c r="FE53">
        <v>0.1</v>
      </c>
      <c r="FF53">
        <v>0.1</v>
      </c>
      <c r="FG53">
        <v>0.1</v>
      </c>
      <c r="FH53">
        <v>0.1</v>
      </c>
      <c r="FI53">
        <v>0.1</v>
      </c>
      <c r="FJ53">
        <v>0.1</v>
      </c>
      <c r="FK53">
        <v>0.1</v>
      </c>
      <c r="FL53">
        <v>0.1</v>
      </c>
      <c r="FM53">
        <v>0.1</v>
      </c>
      <c r="FN53">
        <v>0.1</v>
      </c>
      <c r="FO53">
        <v>0.1</v>
      </c>
      <c r="FP53">
        <v>0.1</v>
      </c>
      <c r="FQ53">
        <v>0.1</v>
      </c>
      <c r="FU53">
        <v>50</v>
      </c>
      <c r="FV53">
        <v>1.03</v>
      </c>
      <c r="FW53">
        <v>1.03</v>
      </c>
      <c r="FX53">
        <v>1.03</v>
      </c>
      <c r="FY53">
        <v>0.56000000000000005</v>
      </c>
      <c r="GB53" s="66">
        <v>0.1</v>
      </c>
      <c r="GC53" s="67">
        <v>0.1</v>
      </c>
      <c r="GD53" s="67">
        <v>0.1</v>
      </c>
      <c r="GE53" s="67">
        <v>0.1</v>
      </c>
      <c r="GF53" s="67">
        <v>0.1</v>
      </c>
      <c r="GG53" s="67">
        <v>0.1</v>
      </c>
      <c r="GH53" s="67">
        <v>0.1</v>
      </c>
      <c r="GI53" s="67">
        <v>0.1</v>
      </c>
      <c r="GJ53" s="67">
        <v>0.1</v>
      </c>
      <c r="GK53" s="67">
        <v>0.1</v>
      </c>
      <c r="GL53" s="68">
        <v>0.1</v>
      </c>
      <c r="GM53" s="66">
        <v>0.1</v>
      </c>
      <c r="GN53" s="67">
        <v>0.1</v>
      </c>
      <c r="GO53" s="67">
        <v>0.1</v>
      </c>
      <c r="GP53" s="67">
        <v>0.1</v>
      </c>
      <c r="GQ53" s="67">
        <v>0.1</v>
      </c>
      <c r="GR53" s="67">
        <v>0.1</v>
      </c>
      <c r="GS53" s="67">
        <v>0.1</v>
      </c>
      <c r="GT53" s="67">
        <v>0.1</v>
      </c>
      <c r="GU53" s="67">
        <v>0.1</v>
      </c>
      <c r="GV53" s="67">
        <v>0.1</v>
      </c>
      <c r="GW53" s="68">
        <v>0.1</v>
      </c>
      <c r="GX53" s="66">
        <v>0.1</v>
      </c>
      <c r="GY53" s="67">
        <v>0.1</v>
      </c>
      <c r="GZ53" s="67">
        <v>0.1</v>
      </c>
      <c r="HA53" s="67">
        <v>0.1</v>
      </c>
      <c r="HB53" s="67">
        <v>0.1</v>
      </c>
      <c r="HC53" s="67">
        <v>0.1</v>
      </c>
      <c r="HD53" s="67">
        <v>0.1</v>
      </c>
      <c r="HE53" s="67">
        <v>0.1</v>
      </c>
      <c r="HF53" s="67">
        <v>0.1</v>
      </c>
      <c r="HG53" s="67">
        <v>0.1</v>
      </c>
      <c r="HH53" s="68">
        <v>0.1</v>
      </c>
      <c r="HI53" s="66">
        <v>0.1</v>
      </c>
      <c r="HJ53" s="67">
        <v>0.1</v>
      </c>
      <c r="HK53" s="67">
        <v>0.1</v>
      </c>
      <c r="HL53" s="67">
        <v>0.1</v>
      </c>
      <c r="HM53" s="67">
        <v>0.1</v>
      </c>
      <c r="HN53" s="68">
        <v>0.1</v>
      </c>
      <c r="HO53">
        <v>0.1</v>
      </c>
      <c r="HP53">
        <f t="shared" si="0"/>
        <v>0.1</v>
      </c>
    </row>
    <row r="54" spans="1:224" ht="15.75" thickBot="1" x14ac:dyDescent="0.3">
      <c r="A54">
        <v>51</v>
      </c>
      <c r="B54" s="269" t="s">
        <v>1177</v>
      </c>
      <c r="C54" s="2"/>
      <c r="D54" s="2"/>
      <c r="E54" s="2"/>
      <c r="F54" s="2"/>
      <c r="G54" s="2"/>
      <c r="H54" s="258">
        <v>0.1</v>
      </c>
      <c r="I54" s="259">
        <v>0.1</v>
      </c>
      <c r="J54" s="259">
        <v>0.1</v>
      </c>
      <c r="K54" s="259">
        <v>0.1</v>
      </c>
      <c r="L54" s="259">
        <v>0.1</v>
      </c>
      <c r="M54" s="259">
        <v>0.1</v>
      </c>
      <c r="N54" s="259">
        <v>0.1</v>
      </c>
      <c r="O54" s="259">
        <v>0.1</v>
      </c>
      <c r="P54" s="259">
        <v>0.1</v>
      </c>
      <c r="Q54" s="259">
        <v>0.1</v>
      </c>
      <c r="R54" s="259">
        <v>0.1</v>
      </c>
      <c r="S54" s="259">
        <v>0.1</v>
      </c>
      <c r="T54" s="259">
        <v>0.1</v>
      </c>
      <c r="U54" s="259">
        <v>0.1</v>
      </c>
      <c r="V54" s="259">
        <v>0.1</v>
      </c>
      <c r="W54" s="259">
        <v>0.1</v>
      </c>
      <c r="X54" s="259">
        <v>0.1</v>
      </c>
      <c r="Y54" s="259">
        <v>0.1</v>
      </c>
      <c r="Z54" s="259">
        <v>0.1</v>
      </c>
      <c r="AA54" s="259">
        <v>0.1</v>
      </c>
      <c r="AB54" s="259">
        <v>0.1</v>
      </c>
      <c r="AC54" s="259">
        <v>0.1</v>
      </c>
      <c r="AD54" s="259">
        <v>0.1</v>
      </c>
      <c r="AE54" s="259">
        <v>0.1</v>
      </c>
      <c r="AF54" s="259">
        <v>0.1</v>
      </c>
      <c r="AG54" s="259">
        <v>0.1</v>
      </c>
      <c r="AH54" s="259">
        <v>0.1</v>
      </c>
      <c r="AI54" s="259">
        <v>0.1</v>
      </c>
      <c r="AJ54" s="259">
        <v>0.1</v>
      </c>
      <c r="AK54" s="259">
        <v>0.1</v>
      </c>
      <c r="AL54" s="259">
        <v>0.1</v>
      </c>
      <c r="AM54" s="259">
        <v>0.1</v>
      </c>
      <c r="AN54" s="259">
        <v>0.1</v>
      </c>
      <c r="AO54" s="259">
        <v>0.1</v>
      </c>
      <c r="AP54" s="259">
        <v>0.1</v>
      </c>
      <c r="AQ54" s="259">
        <v>0.1</v>
      </c>
      <c r="AR54" s="259">
        <v>0.1</v>
      </c>
      <c r="AS54" s="259">
        <v>0.1</v>
      </c>
      <c r="AT54" s="259">
        <v>0.1</v>
      </c>
      <c r="AU54" s="259">
        <v>0.1</v>
      </c>
      <c r="AV54" s="259">
        <v>0.1</v>
      </c>
      <c r="AW54" s="259">
        <v>0.1</v>
      </c>
      <c r="AX54" s="259">
        <v>0.1</v>
      </c>
      <c r="AY54" s="259">
        <v>0.1</v>
      </c>
      <c r="AZ54" s="259">
        <v>0.1</v>
      </c>
      <c r="BA54" s="259">
        <v>0.1</v>
      </c>
      <c r="BB54" s="259">
        <v>0.1</v>
      </c>
      <c r="BC54" s="259">
        <v>0.1</v>
      </c>
      <c r="BD54" s="259">
        <v>0.1</v>
      </c>
      <c r="BE54" s="259">
        <v>0.1</v>
      </c>
      <c r="BF54" s="259">
        <v>0.1</v>
      </c>
      <c r="BG54" s="259">
        <v>0.1</v>
      </c>
      <c r="BH54" s="259">
        <v>0.1</v>
      </c>
      <c r="BI54" s="259">
        <v>0.1</v>
      </c>
      <c r="BJ54" s="259">
        <v>0.1</v>
      </c>
      <c r="BK54" s="259">
        <v>0.1</v>
      </c>
      <c r="BL54" s="259">
        <v>0.1</v>
      </c>
      <c r="BM54" s="259">
        <v>0.1</v>
      </c>
      <c r="BN54" s="259">
        <v>0.1</v>
      </c>
      <c r="BO54" s="260">
        <v>0.1</v>
      </c>
      <c r="BS54">
        <v>51</v>
      </c>
      <c r="BT54" s="271">
        <v>5.05</v>
      </c>
      <c r="BU54" s="270">
        <v>0.84</v>
      </c>
      <c r="BV54" s="2"/>
      <c r="BW54" s="2"/>
      <c r="BX54" s="2"/>
      <c r="BY54" s="258">
        <v>0.1</v>
      </c>
      <c r="BZ54" s="259">
        <v>0.1</v>
      </c>
      <c r="CA54" s="259">
        <v>0.1</v>
      </c>
      <c r="CB54" s="259">
        <v>0.1</v>
      </c>
      <c r="CC54" s="259">
        <v>0.1</v>
      </c>
      <c r="CD54" s="259">
        <v>0.1</v>
      </c>
      <c r="CE54" s="259">
        <v>0.1</v>
      </c>
      <c r="CF54" s="259">
        <v>0.1</v>
      </c>
      <c r="CG54" s="259">
        <v>0.1</v>
      </c>
      <c r="CH54" s="259">
        <v>0.1</v>
      </c>
      <c r="CI54" s="259">
        <v>0.1</v>
      </c>
      <c r="CJ54" s="259">
        <v>0.1</v>
      </c>
      <c r="CK54" s="259">
        <v>0.1</v>
      </c>
      <c r="CL54" s="259">
        <v>0.1</v>
      </c>
      <c r="CM54" s="259">
        <v>0.1</v>
      </c>
      <c r="CN54" s="259">
        <v>0.1</v>
      </c>
      <c r="CO54" s="259">
        <v>0.1</v>
      </c>
      <c r="CP54" s="259">
        <v>0.1</v>
      </c>
      <c r="CQ54" s="259">
        <v>0.1</v>
      </c>
      <c r="CR54" s="259">
        <v>0.1</v>
      </c>
      <c r="CS54" s="259">
        <v>0.1</v>
      </c>
      <c r="CT54" s="259">
        <v>0.1</v>
      </c>
      <c r="CU54" s="259">
        <v>0.1</v>
      </c>
      <c r="CV54" s="259">
        <v>0.1</v>
      </c>
      <c r="CW54" s="259">
        <v>0.1</v>
      </c>
      <c r="CX54" s="259">
        <v>0.1</v>
      </c>
      <c r="CY54" s="259">
        <v>0.1</v>
      </c>
      <c r="CZ54" s="259">
        <v>0.1</v>
      </c>
      <c r="DA54" s="259">
        <v>0.1</v>
      </c>
      <c r="DB54" s="259">
        <v>0.1</v>
      </c>
      <c r="DC54" s="259">
        <v>0.1</v>
      </c>
      <c r="DD54" s="259">
        <v>0.1</v>
      </c>
      <c r="DE54" s="259">
        <v>0.1</v>
      </c>
      <c r="DF54" s="259">
        <v>0.1</v>
      </c>
      <c r="DG54" s="259">
        <v>0.1</v>
      </c>
      <c r="DH54" s="259">
        <v>0.1</v>
      </c>
      <c r="DI54" s="259">
        <v>0.1</v>
      </c>
      <c r="DJ54" s="259">
        <v>0.1</v>
      </c>
      <c r="DK54" s="259">
        <v>0.1</v>
      </c>
      <c r="DL54" s="259">
        <v>0.1</v>
      </c>
      <c r="DM54" s="259">
        <v>0.1</v>
      </c>
      <c r="DN54" s="259">
        <v>0.1</v>
      </c>
      <c r="DO54" s="259">
        <v>0.1</v>
      </c>
      <c r="DP54" s="259">
        <v>0.1</v>
      </c>
      <c r="DQ54" s="259">
        <v>0.1</v>
      </c>
      <c r="DR54" s="259">
        <v>0.1</v>
      </c>
      <c r="DS54" s="259">
        <v>0.1</v>
      </c>
      <c r="DT54" s="259">
        <v>0.1</v>
      </c>
      <c r="DU54" s="259">
        <v>0.1</v>
      </c>
      <c r="DV54" s="259">
        <v>0.1</v>
      </c>
      <c r="DW54" s="260">
        <v>0.1</v>
      </c>
      <c r="DX54" s="258">
        <v>0.1</v>
      </c>
      <c r="DY54" s="259">
        <v>0.1</v>
      </c>
      <c r="DZ54" s="259">
        <v>0.1</v>
      </c>
      <c r="EA54" s="259">
        <v>0.1</v>
      </c>
      <c r="EB54" s="259">
        <v>0.1</v>
      </c>
      <c r="EC54" s="259">
        <v>0.1</v>
      </c>
      <c r="ED54" s="259">
        <v>0.1</v>
      </c>
      <c r="EE54" s="259">
        <v>0.1</v>
      </c>
      <c r="EF54" s="260">
        <v>0.1</v>
      </c>
      <c r="EJ54">
        <v>51</v>
      </c>
      <c r="EN54">
        <v>0.1</v>
      </c>
      <c r="EO54">
        <v>0.1</v>
      </c>
      <c r="EP54">
        <v>0.1</v>
      </c>
      <c r="EQ54">
        <v>0.1</v>
      </c>
      <c r="ER54">
        <v>0.1</v>
      </c>
      <c r="ES54">
        <v>0.1</v>
      </c>
      <c r="ET54">
        <v>0.1</v>
      </c>
      <c r="EU54">
        <v>0.1</v>
      </c>
      <c r="EV54">
        <v>0.1</v>
      </c>
      <c r="EW54">
        <v>0.1</v>
      </c>
      <c r="EX54">
        <v>0.1</v>
      </c>
      <c r="EY54">
        <v>0.1</v>
      </c>
      <c r="EZ54">
        <v>0.1</v>
      </c>
      <c r="FA54">
        <v>0.1</v>
      </c>
      <c r="FB54">
        <v>0.1</v>
      </c>
      <c r="FC54">
        <v>0.1</v>
      </c>
      <c r="FD54">
        <v>0.1</v>
      </c>
      <c r="FE54">
        <v>0.1</v>
      </c>
      <c r="FF54">
        <v>0.1</v>
      </c>
      <c r="FG54">
        <v>0.1</v>
      </c>
      <c r="FH54">
        <v>0.1</v>
      </c>
      <c r="FI54">
        <v>0.1</v>
      </c>
      <c r="FJ54">
        <v>0.1</v>
      </c>
      <c r="FK54">
        <v>0.1</v>
      </c>
      <c r="FL54">
        <v>0.1</v>
      </c>
      <c r="FM54">
        <v>0.1</v>
      </c>
      <c r="FN54">
        <v>0.1</v>
      </c>
      <c r="FO54">
        <v>0.1</v>
      </c>
      <c r="FP54">
        <v>0.1</v>
      </c>
      <c r="FQ54">
        <v>0.1</v>
      </c>
      <c r="FU54">
        <v>51</v>
      </c>
      <c r="FV54">
        <v>1.03</v>
      </c>
      <c r="FW54">
        <v>1.03</v>
      </c>
      <c r="FX54">
        <v>1.03</v>
      </c>
      <c r="FY54">
        <v>0.56000000000000005</v>
      </c>
      <c r="GB54" s="66">
        <v>0.1</v>
      </c>
      <c r="GC54" s="67">
        <v>0.1</v>
      </c>
      <c r="GD54" s="67">
        <v>0.1</v>
      </c>
      <c r="GE54" s="67">
        <v>0.1</v>
      </c>
      <c r="GF54" s="67">
        <v>0.1</v>
      </c>
      <c r="GG54" s="67">
        <v>0.1</v>
      </c>
      <c r="GH54" s="67">
        <v>0.1</v>
      </c>
      <c r="GI54" s="67">
        <v>0.1</v>
      </c>
      <c r="GJ54" s="67">
        <v>0.1</v>
      </c>
      <c r="GK54" s="67">
        <v>0.1</v>
      </c>
      <c r="GL54" s="68">
        <v>0.1</v>
      </c>
      <c r="GM54" s="66">
        <v>0.1</v>
      </c>
      <c r="GN54" s="67">
        <v>0.1</v>
      </c>
      <c r="GO54" s="67">
        <v>0.1</v>
      </c>
      <c r="GP54" s="67">
        <v>0.1</v>
      </c>
      <c r="GQ54" s="67">
        <v>0.1</v>
      </c>
      <c r="GR54" s="67">
        <v>0.1</v>
      </c>
      <c r="GS54" s="67">
        <v>0.1</v>
      </c>
      <c r="GT54" s="67">
        <v>0.1</v>
      </c>
      <c r="GU54" s="67">
        <v>0.1</v>
      </c>
      <c r="GV54" s="67">
        <v>0.1</v>
      </c>
      <c r="GW54" s="68">
        <v>0.1</v>
      </c>
      <c r="GX54" s="66">
        <v>0.1</v>
      </c>
      <c r="GY54" s="67">
        <v>0.1</v>
      </c>
      <c r="GZ54" s="67">
        <v>0.1</v>
      </c>
      <c r="HA54" s="67">
        <v>0.1</v>
      </c>
      <c r="HB54" s="67">
        <v>0.1</v>
      </c>
      <c r="HC54" s="67">
        <v>0.1</v>
      </c>
      <c r="HD54" s="67">
        <v>0.1</v>
      </c>
      <c r="HE54" s="67">
        <v>0.1</v>
      </c>
      <c r="HF54" s="67">
        <v>0.1</v>
      </c>
      <c r="HG54" s="67">
        <v>0.1</v>
      </c>
      <c r="HH54" s="68">
        <v>0.1</v>
      </c>
      <c r="HI54" s="66">
        <v>0.1</v>
      </c>
      <c r="HJ54" s="67">
        <v>0.1</v>
      </c>
      <c r="HK54" s="67">
        <v>0.1</v>
      </c>
      <c r="HL54" s="67">
        <v>0.1</v>
      </c>
      <c r="HM54" s="67">
        <v>0.1</v>
      </c>
      <c r="HN54" s="68">
        <v>0.1</v>
      </c>
      <c r="HO54">
        <v>0.1</v>
      </c>
      <c r="HP54">
        <f t="shared" si="0"/>
        <v>0.1</v>
      </c>
    </row>
    <row r="55" spans="1:224" ht="15.75" thickBot="1" x14ac:dyDescent="0.3">
      <c r="A55">
        <v>52</v>
      </c>
      <c r="B55" s="269" t="s">
        <v>1178</v>
      </c>
      <c r="C55" s="2"/>
      <c r="D55" s="2"/>
      <c r="E55" s="2"/>
      <c r="F55" s="2"/>
      <c r="G55" s="2"/>
      <c r="H55" s="258">
        <v>0.1</v>
      </c>
      <c r="I55" s="259">
        <v>0.1</v>
      </c>
      <c r="J55" s="259">
        <v>0.1</v>
      </c>
      <c r="K55" s="259">
        <v>0.1</v>
      </c>
      <c r="L55" s="259">
        <v>0.1</v>
      </c>
      <c r="M55" s="259">
        <v>0.1</v>
      </c>
      <c r="N55" s="259">
        <v>0.1</v>
      </c>
      <c r="O55" s="259">
        <v>0.1</v>
      </c>
      <c r="P55" s="259">
        <v>0.1</v>
      </c>
      <c r="Q55" s="259">
        <v>0.1</v>
      </c>
      <c r="R55" s="259">
        <v>0.1</v>
      </c>
      <c r="S55" s="259">
        <v>0.1</v>
      </c>
      <c r="T55" s="259">
        <v>0.1</v>
      </c>
      <c r="U55" s="259">
        <v>0.1</v>
      </c>
      <c r="V55" s="259">
        <v>0.1</v>
      </c>
      <c r="W55" s="259">
        <v>0.1</v>
      </c>
      <c r="X55" s="259">
        <v>0.1</v>
      </c>
      <c r="Y55" s="259">
        <v>0.1</v>
      </c>
      <c r="Z55" s="259">
        <v>0.1</v>
      </c>
      <c r="AA55" s="259">
        <v>0.1</v>
      </c>
      <c r="AB55" s="259">
        <v>0.1</v>
      </c>
      <c r="AC55" s="259">
        <v>0.1</v>
      </c>
      <c r="AD55" s="259">
        <v>0.1</v>
      </c>
      <c r="AE55" s="259">
        <v>0.1</v>
      </c>
      <c r="AF55" s="259">
        <v>0.1</v>
      </c>
      <c r="AG55" s="259">
        <v>0.1</v>
      </c>
      <c r="AH55" s="259">
        <v>0.1</v>
      </c>
      <c r="AI55" s="259">
        <v>0.1</v>
      </c>
      <c r="AJ55" s="259">
        <v>0.1</v>
      </c>
      <c r="AK55" s="259">
        <v>0.1</v>
      </c>
      <c r="AL55" s="259">
        <v>0.1</v>
      </c>
      <c r="AM55" s="259">
        <v>0.1</v>
      </c>
      <c r="AN55" s="259">
        <v>0.1</v>
      </c>
      <c r="AO55" s="259">
        <v>0.1</v>
      </c>
      <c r="AP55" s="259">
        <v>0.1</v>
      </c>
      <c r="AQ55" s="259">
        <v>0.1</v>
      </c>
      <c r="AR55" s="259">
        <v>0.1</v>
      </c>
      <c r="AS55" s="259">
        <v>0.1</v>
      </c>
      <c r="AT55" s="259">
        <v>0.1</v>
      </c>
      <c r="AU55" s="259">
        <v>0.1</v>
      </c>
      <c r="AV55" s="259">
        <v>0.1</v>
      </c>
      <c r="AW55" s="259">
        <v>0.1</v>
      </c>
      <c r="AX55" s="259">
        <v>0.1</v>
      </c>
      <c r="AY55" s="259">
        <v>0.1</v>
      </c>
      <c r="AZ55" s="259">
        <v>0.1</v>
      </c>
      <c r="BA55" s="259">
        <v>0.1</v>
      </c>
      <c r="BB55" s="259">
        <v>0.1</v>
      </c>
      <c r="BC55" s="259">
        <v>0.1</v>
      </c>
      <c r="BD55" s="259">
        <v>0.1</v>
      </c>
      <c r="BE55" s="259">
        <v>0.1</v>
      </c>
      <c r="BF55" s="259">
        <v>0.1</v>
      </c>
      <c r="BG55" s="259">
        <v>0.1</v>
      </c>
      <c r="BH55" s="259">
        <v>0.1</v>
      </c>
      <c r="BI55" s="259">
        <v>0.1</v>
      </c>
      <c r="BJ55" s="260">
        <v>0.1</v>
      </c>
      <c r="BK55">
        <v>0.1</v>
      </c>
      <c r="BL55">
        <v>0.1</v>
      </c>
      <c r="BM55">
        <v>0.1</v>
      </c>
      <c r="BN55">
        <v>0.1</v>
      </c>
      <c r="BO55">
        <v>0.1</v>
      </c>
      <c r="BP55">
        <f>SUM(BK55:BO55)</f>
        <v>0.5</v>
      </c>
      <c r="BS55">
        <v>52</v>
      </c>
      <c r="BT55" s="270">
        <v>4.84</v>
      </c>
      <c r="BU55" s="270">
        <v>1.1000000000000001</v>
      </c>
      <c r="BV55" s="2"/>
      <c r="BW55" s="2"/>
      <c r="BX55" s="2"/>
      <c r="BY55" s="258">
        <v>0.1</v>
      </c>
      <c r="BZ55" s="259">
        <v>0.1</v>
      </c>
      <c r="CA55" s="259">
        <v>0.1</v>
      </c>
      <c r="CB55" s="259">
        <v>0.1</v>
      </c>
      <c r="CC55" s="259">
        <v>0.1</v>
      </c>
      <c r="CD55" s="259">
        <v>0.1</v>
      </c>
      <c r="CE55" s="259">
        <v>0.1</v>
      </c>
      <c r="CF55" s="259">
        <v>0.1</v>
      </c>
      <c r="CG55" s="259">
        <v>0.1</v>
      </c>
      <c r="CH55" s="259">
        <v>0.1</v>
      </c>
      <c r="CI55" s="259">
        <v>0.1</v>
      </c>
      <c r="CJ55" s="259">
        <v>0.1</v>
      </c>
      <c r="CK55" s="259">
        <v>0.1</v>
      </c>
      <c r="CL55" s="259">
        <v>0.1</v>
      </c>
      <c r="CM55" s="259">
        <v>0.1</v>
      </c>
      <c r="CN55" s="259">
        <v>0.1</v>
      </c>
      <c r="CO55" s="259">
        <v>0.1</v>
      </c>
      <c r="CP55" s="259">
        <v>0.1</v>
      </c>
      <c r="CQ55" s="259">
        <v>0.1</v>
      </c>
      <c r="CR55" s="259">
        <v>0.1</v>
      </c>
      <c r="CS55" s="259">
        <v>0.1</v>
      </c>
      <c r="CT55" s="259">
        <v>0.1</v>
      </c>
      <c r="CU55" s="259">
        <v>0.1</v>
      </c>
      <c r="CV55" s="259">
        <v>0.1</v>
      </c>
      <c r="CW55" s="259">
        <v>0.1</v>
      </c>
      <c r="CX55" s="259">
        <v>0.1</v>
      </c>
      <c r="CY55" s="259">
        <v>0.1</v>
      </c>
      <c r="CZ55" s="259">
        <v>0.1</v>
      </c>
      <c r="DA55" s="259">
        <v>0.1</v>
      </c>
      <c r="DB55" s="259">
        <v>0.1</v>
      </c>
      <c r="DC55" s="259">
        <v>0.1</v>
      </c>
      <c r="DD55" s="259">
        <v>0.1</v>
      </c>
      <c r="DE55" s="259">
        <v>0.1</v>
      </c>
      <c r="DF55" s="259">
        <v>0.1</v>
      </c>
      <c r="DG55" s="259">
        <v>0.1</v>
      </c>
      <c r="DH55" s="259">
        <v>0.1</v>
      </c>
      <c r="DI55" s="259">
        <v>0.1</v>
      </c>
      <c r="DJ55" s="259">
        <v>0.1</v>
      </c>
      <c r="DK55" s="259">
        <v>0.1</v>
      </c>
      <c r="DL55" s="259">
        <v>0.1</v>
      </c>
      <c r="DM55" s="259">
        <v>0.1</v>
      </c>
      <c r="DN55" s="259">
        <v>0.1</v>
      </c>
      <c r="DO55" s="259">
        <v>0.1</v>
      </c>
      <c r="DP55" s="259">
        <v>0.1</v>
      </c>
      <c r="DQ55" s="259">
        <v>0.1</v>
      </c>
      <c r="DR55" s="259">
        <v>0.1</v>
      </c>
      <c r="DS55" s="259">
        <v>0.1</v>
      </c>
      <c r="DT55" s="259">
        <v>0.1</v>
      </c>
      <c r="DU55" s="260">
        <v>0.1</v>
      </c>
      <c r="DV55" s="258">
        <v>0.1</v>
      </c>
      <c r="DW55" s="259">
        <v>0.1</v>
      </c>
      <c r="DX55" s="259">
        <v>0.1</v>
      </c>
      <c r="DY55" s="259">
        <v>0.1</v>
      </c>
      <c r="DZ55" s="259">
        <v>0.1</v>
      </c>
      <c r="EA55" s="259">
        <v>0.1</v>
      </c>
      <c r="EB55" s="259">
        <v>0.1</v>
      </c>
      <c r="EC55" s="259">
        <v>0.1</v>
      </c>
      <c r="ED55" s="259">
        <v>0.1</v>
      </c>
      <c r="EE55" s="259">
        <v>0.1</v>
      </c>
      <c r="EF55" s="260">
        <v>0.1</v>
      </c>
      <c r="EJ55">
        <v>52</v>
      </c>
      <c r="EN55">
        <v>0.1</v>
      </c>
      <c r="EO55">
        <v>0.1</v>
      </c>
      <c r="EP55">
        <v>0.1</v>
      </c>
      <c r="EQ55">
        <v>0.1</v>
      </c>
      <c r="ER55">
        <v>0.1</v>
      </c>
      <c r="ES55">
        <v>0.1</v>
      </c>
      <c r="ET55">
        <v>0.1</v>
      </c>
      <c r="EU55">
        <v>0.1</v>
      </c>
      <c r="EV55">
        <v>0.1</v>
      </c>
      <c r="EW55">
        <v>0.1</v>
      </c>
      <c r="EX55">
        <v>0.1</v>
      </c>
      <c r="EY55">
        <v>0.1</v>
      </c>
      <c r="EZ55">
        <v>0.1</v>
      </c>
      <c r="FA55">
        <v>0.1</v>
      </c>
      <c r="FB55">
        <v>0.1</v>
      </c>
      <c r="FC55">
        <v>0.1</v>
      </c>
      <c r="FD55">
        <v>0.1</v>
      </c>
      <c r="FE55">
        <v>0.1</v>
      </c>
      <c r="FF55">
        <v>0.1</v>
      </c>
      <c r="FG55">
        <v>0.1</v>
      </c>
      <c r="FH55">
        <v>0.1</v>
      </c>
      <c r="FI55">
        <v>0.1</v>
      </c>
      <c r="FJ55">
        <v>0.1</v>
      </c>
      <c r="FK55">
        <v>0.1</v>
      </c>
      <c r="FL55">
        <v>0.1</v>
      </c>
      <c r="FM55">
        <v>0.1</v>
      </c>
      <c r="FN55">
        <v>0.1</v>
      </c>
      <c r="FO55">
        <v>0.1</v>
      </c>
      <c r="FP55">
        <v>0.1</v>
      </c>
      <c r="FQ55">
        <v>0.1</v>
      </c>
      <c r="FU55">
        <v>52</v>
      </c>
      <c r="FV55">
        <v>1.03</v>
      </c>
      <c r="FW55">
        <v>1.03</v>
      </c>
      <c r="FX55">
        <v>1.03</v>
      </c>
      <c r="FY55">
        <v>0.56000000000000005</v>
      </c>
      <c r="GB55" s="66">
        <v>0.1</v>
      </c>
      <c r="GC55" s="67">
        <v>0.1</v>
      </c>
      <c r="GD55" s="67">
        <v>0.1</v>
      </c>
      <c r="GE55" s="67">
        <v>0.1</v>
      </c>
      <c r="GF55" s="67">
        <v>0.1</v>
      </c>
      <c r="GG55" s="67">
        <v>0.1</v>
      </c>
      <c r="GH55" s="67">
        <v>0.1</v>
      </c>
      <c r="GI55" s="67">
        <v>0.1</v>
      </c>
      <c r="GJ55" s="67">
        <v>0.1</v>
      </c>
      <c r="GK55" s="67">
        <v>0.1</v>
      </c>
      <c r="GL55" s="68">
        <v>0.1</v>
      </c>
      <c r="GM55" s="66">
        <v>0.1</v>
      </c>
      <c r="GN55" s="67">
        <v>0.1</v>
      </c>
      <c r="GO55" s="67">
        <v>0.1</v>
      </c>
      <c r="GP55" s="67">
        <v>0.1</v>
      </c>
      <c r="GQ55" s="67">
        <v>0.1</v>
      </c>
      <c r="GR55" s="67">
        <v>0.1</v>
      </c>
      <c r="GS55" s="67">
        <v>0.1</v>
      </c>
      <c r="GT55" s="67">
        <v>0.1</v>
      </c>
      <c r="GU55" s="67">
        <v>0.1</v>
      </c>
      <c r="GV55" s="67">
        <v>0.1</v>
      </c>
      <c r="GW55" s="68">
        <v>0.1</v>
      </c>
      <c r="GX55" s="66">
        <v>0.1</v>
      </c>
      <c r="GY55" s="67">
        <v>0.1</v>
      </c>
      <c r="GZ55" s="67">
        <v>0.1</v>
      </c>
      <c r="HA55" s="67">
        <v>0.1</v>
      </c>
      <c r="HB55" s="67">
        <v>0.1</v>
      </c>
      <c r="HC55" s="67">
        <v>0.1</v>
      </c>
      <c r="HD55" s="67">
        <v>0.1</v>
      </c>
      <c r="HE55" s="67">
        <v>0.1</v>
      </c>
      <c r="HF55" s="67">
        <v>0.1</v>
      </c>
      <c r="HG55" s="67">
        <v>0.1</v>
      </c>
      <c r="HH55" s="68">
        <v>0.1</v>
      </c>
      <c r="HI55" s="66">
        <v>0.1</v>
      </c>
      <c r="HJ55" s="67">
        <v>0.1</v>
      </c>
      <c r="HK55" s="67">
        <v>0.1</v>
      </c>
      <c r="HL55" s="67">
        <v>0.1</v>
      </c>
      <c r="HM55" s="67">
        <v>0.1</v>
      </c>
      <c r="HN55" s="68">
        <v>0.1</v>
      </c>
      <c r="HO55">
        <v>0.1</v>
      </c>
      <c r="HP55">
        <f t="shared" si="0"/>
        <v>0.1</v>
      </c>
    </row>
    <row r="56" spans="1:224" ht="15.75" thickBot="1" x14ac:dyDescent="0.3">
      <c r="A56">
        <v>53</v>
      </c>
      <c r="B56" s="269" t="s">
        <v>1177</v>
      </c>
      <c r="C56" s="2"/>
      <c r="D56" s="2"/>
      <c r="E56" s="2"/>
      <c r="F56" s="2"/>
      <c r="G56" s="2"/>
      <c r="H56" s="258">
        <v>0.1</v>
      </c>
      <c r="I56" s="259">
        <v>0.1</v>
      </c>
      <c r="J56" s="259">
        <v>0.1</v>
      </c>
      <c r="K56" s="259">
        <v>0.1</v>
      </c>
      <c r="L56" s="259">
        <v>0.1</v>
      </c>
      <c r="M56" s="259">
        <v>0.1</v>
      </c>
      <c r="N56" s="259">
        <v>0.1</v>
      </c>
      <c r="O56" s="259">
        <v>0.1</v>
      </c>
      <c r="P56" s="259">
        <v>0.1</v>
      </c>
      <c r="Q56" s="259">
        <v>0.1</v>
      </c>
      <c r="R56" s="259">
        <v>0.1</v>
      </c>
      <c r="S56" s="259">
        <v>0.1</v>
      </c>
      <c r="T56" s="259">
        <v>0.1</v>
      </c>
      <c r="U56" s="259">
        <v>0.1</v>
      </c>
      <c r="V56" s="259">
        <v>0.1</v>
      </c>
      <c r="W56" s="259">
        <v>0.1</v>
      </c>
      <c r="X56" s="259">
        <v>0.1</v>
      </c>
      <c r="Y56" s="259">
        <v>0.1</v>
      </c>
      <c r="Z56" s="259">
        <v>0.1</v>
      </c>
      <c r="AA56" s="259">
        <v>0.1</v>
      </c>
      <c r="AB56" s="259">
        <v>0.1</v>
      </c>
      <c r="AC56" s="259">
        <v>0.1</v>
      </c>
      <c r="AD56" s="259">
        <v>0.1</v>
      </c>
      <c r="AE56" s="259">
        <v>0.1</v>
      </c>
      <c r="AF56" s="259">
        <v>0.1</v>
      </c>
      <c r="AG56" s="259">
        <v>0.1</v>
      </c>
      <c r="AH56" s="259">
        <v>0.1</v>
      </c>
      <c r="AI56" s="259">
        <v>0.1</v>
      </c>
      <c r="AJ56" s="259">
        <v>0.1</v>
      </c>
      <c r="AK56" s="259">
        <v>0.1</v>
      </c>
      <c r="AL56" s="259">
        <v>0.1</v>
      </c>
      <c r="AM56" s="259">
        <v>0.1</v>
      </c>
      <c r="AN56" s="259">
        <v>0.1</v>
      </c>
      <c r="AO56" s="259">
        <v>0.1</v>
      </c>
      <c r="AP56" s="259">
        <v>0.1</v>
      </c>
      <c r="AQ56" s="259">
        <v>0.1</v>
      </c>
      <c r="AR56" s="259">
        <v>0.1</v>
      </c>
      <c r="AS56" s="259">
        <v>0.1</v>
      </c>
      <c r="AT56" s="259">
        <v>0.1</v>
      </c>
      <c r="AU56" s="259">
        <v>0.1</v>
      </c>
      <c r="AV56" s="259">
        <v>0.1</v>
      </c>
      <c r="AW56" s="259">
        <v>0.1</v>
      </c>
      <c r="AX56" s="259">
        <v>0.1</v>
      </c>
      <c r="AY56" s="259">
        <v>0.1</v>
      </c>
      <c r="AZ56" s="259">
        <v>0.1</v>
      </c>
      <c r="BA56" s="259">
        <v>0.1</v>
      </c>
      <c r="BB56" s="259">
        <v>0.1</v>
      </c>
      <c r="BC56" s="259">
        <v>0.1</v>
      </c>
      <c r="BD56" s="259">
        <v>0.1</v>
      </c>
      <c r="BE56" s="259">
        <v>0.1</v>
      </c>
      <c r="BF56" s="259">
        <v>0.1</v>
      </c>
      <c r="BG56" s="259">
        <v>0.1</v>
      </c>
      <c r="BH56" s="259">
        <v>0.1</v>
      </c>
      <c r="BI56" s="259">
        <v>0.1</v>
      </c>
      <c r="BJ56" s="259">
        <v>0.1</v>
      </c>
      <c r="BK56" s="259">
        <v>0.1</v>
      </c>
      <c r="BL56" s="259">
        <v>0.1</v>
      </c>
      <c r="BM56" s="259">
        <v>0.1</v>
      </c>
      <c r="BN56" s="259">
        <v>0.1</v>
      </c>
      <c r="BO56" s="260">
        <v>0.1</v>
      </c>
      <c r="BS56">
        <v>53</v>
      </c>
      <c r="BT56" s="271">
        <v>4.83</v>
      </c>
      <c r="BU56" s="271">
        <v>1.1000000000000001</v>
      </c>
      <c r="BV56" s="2"/>
      <c r="BW56" s="2"/>
      <c r="BX56" s="2"/>
      <c r="BY56" s="258">
        <v>0.1</v>
      </c>
      <c r="BZ56" s="259">
        <v>0.1</v>
      </c>
      <c r="CA56" s="259">
        <v>0.1</v>
      </c>
      <c r="CB56" s="259">
        <v>0.1</v>
      </c>
      <c r="CC56" s="259">
        <v>0.1</v>
      </c>
      <c r="CD56" s="259">
        <v>0.1</v>
      </c>
      <c r="CE56" s="259">
        <v>0.1</v>
      </c>
      <c r="CF56" s="259">
        <v>0.1</v>
      </c>
      <c r="CG56" s="259">
        <v>0.1</v>
      </c>
      <c r="CH56" s="259">
        <v>0.1</v>
      </c>
      <c r="CI56" s="259">
        <v>0.1</v>
      </c>
      <c r="CJ56" s="259">
        <v>0.1</v>
      </c>
      <c r="CK56" s="259">
        <v>0.1</v>
      </c>
      <c r="CL56" s="259">
        <v>0.1</v>
      </c>
      <c r="CM56" s="259">
        <v>0.1</v>
      </c>
      <c r="CN56" s="259">
        <v>0.1</v>
      </c>
      <c r="CO56" s="259">
        <v>0.1</v>
      </c>
      <c r="CP56" s="259">
        <v>0.1</v>
      </c>
      <c r="CQ56" s="259">
        <v>0.1</v>
      </c>
      <c r="CR56" s="259">
        <v>0.1</v>
      </c>
      <c r="CS56" s="259">
        <v>0.1</v>
      </c>
      <c r="CT56" s="259">
        <v>0.1</v>
      </c>
      <c r="CU56" s="259">
        <v>0.1</v>
      </c>
      <c r="CV56" s="259">
        <v>0.1</v>
      </c>
      <c r="CW56" s="259">
        <v>0.1</v>
      </c>
      <c r="CX56" s="259">
        <v>0.1</v>
      </c>
      <c r="CY56" s="259">
        <v>0.1</v>
      </c>
      <c r="CZ56" s="259">
        <v>0.1</v>
      </c>
      <c r="DA56" s="259">
        <v>0.1</v>
      </c>
      <c r="DB56" s="259">
        <v>0.1</v>
      </c>
      <c r="DC56" s="259">
        <v>0.1</v>
      </c>
      <c r="DD56" s="259">
        <v>0.1</v>
      </c>
      <c r="DE56" s="259">
        <v>0.1</v>
      </c>
      <c r="DF56" s="259">
        <v>0.1</v>
      </c>
      <c r="DG56" s="259">
        <v>0.1</v>
      </c>
      <c r="DH56" s="259">
        <v>0.1</v>
      </c>
      <c r="DI56" s="259">
        <v>0.1</v>
      </c>
      <c r="DJ56" s="259">
        <v>0.1</v>
      </c>
      <c r="DK56" s="259">
        <v>0.1</v>
      </c>
      <c r="DL56" s="259">
        <v>0.1</v>
      </c>
      <c r="DM56" s="259">
        <v>0.1</v>
      </c>
      <c r="DN56" s="259">
        <v>0.1</v>
      </c>
      <c r="DO56" s="259">
        <v>0.1</v>
      </c>
      <c r="DP56" s="259">
        <v>0.1</v>
      </c>
      <c r="DQ56" s="259">
        <v>0.1</v>
      </c>
      <c r="DR56" s="259">
        <v>0.1</v>
      </c>
      <c r="DS56" s="259">
        <v>0.1</v>
      </c>
      <c r="DT56" s="259">
        <v>0.1</v>
      </c>
      <c r="DU56" s="260">
        <v>0.1</v>
      </c>
      <c r="DV56" s="258">
        <v>0.1</v>
      </c>
      <c r="DW56" s="259">
        <v>0.1</v>
      </c>
      <c r="DX56" s="259">
        <v>0.1</v>
      </c>
      <c r="DY56" s="259">
        <v>0.1</v>
      </c>
      <c r="DZ56" s="259">
        <v>0.1</v>
      </c>
      <c r="EA56" s="259">
        <v>0.1</v>
      </c>
      <c r="EB56" s="259">
        <v>0.1</v>
      </c>
      <c r="EC56" s="259">
        <v>0.1</v>
      </c>
      <c r="ED56" s="259">
        <v>0.1</v>
      </c>
      <c r="EE56" s="259">
        <v>0.1</v>
      </c>
      <c r="EF56" s="260">
        <v>0.1</v>
      </c>
      <c r="EJ56">
        <v>53</v>
      </c>
      <c r="EN56">
        <v>0.1</v>
      </c>
      <c r="EO56">
        <v>0.1</v>
      </c>
      <c r="EP56">
        <v>0.1</v>
      </c>
      <c r="EQ56">
        <v>0.1</v>
      </c>
      <c r="ER56">
        <v>0.1</v>
      </c>
      <c r="ES56">
        <v>0.1</v>
      </c>
      <c r="ET56">
        <v>0.1</v>
      </c>
      <c r="EU56">
        <v>0.1</v>
      </c>
      <c r="EV56">
        <v>0.1</v>
      </c>
      <c r="EW56">
        <v>0.1</v>
      </c>
      <c r="EX56">
        <v>0.1</v>
      </c>
      <c r="EY56">
        <v>0.1</v>
      </c>
      <c r="EZ56">
        <v>0.1</v>
      </c>
      <c r="FA56">
        <v>0.1</v>
      </c>
      <c r="FB56">
        <v>0.1</v>
      </c>
      <c r="FC56">
        <v>0.1</v>
      </c>
      <c r="FD56">
        <v>0.1</v>
      </c>
      <c r="FE56">
        <v>0.1</v>
      </c>
      <c r="FF56">
        <v>0.1</v>
      </c>
      <c r="FG56">
        <v>0.1</v>
      </c>
      <c r="FH56">
        <v>0.1</v>
      </c>
      <c r="FI56">
        <v>0.1</v>
      </c>
      <c r="FJ56">
        <v>0.1</v>
      </c>
      <c r="FK56">
        <v>0.1</v>
      </c>
      <c r="FL56">
        <v>0.1</v>
      </c>
      <c r="FM56">
        <v>0.1</v>
      </c>
      <c r="FN56">
        <v>0.1</v>
      </c>
      <c r="FO56">
        <v>0.1</v>
      </c>
      <c r="FP56">
        <v>0.1</v>
      </c>
      <c r="FQ56">
        <v>0.1</v>
      </c>
      <c r="FU56">
        <v>53</v>
      </c>
      <c r="FV56">
        <v>1.03</v>
      </c>
      <c r="FW56">
        <v>1.03</v>
      </c>
      <c r="FX56">
        <v>1.03</v>
      </c>
      <c r="FY56">
        <v>0.54</v>
      </c>
      <c r="GB56" s="66">
        <v>0.1</v>
      </c>
      <c r="GC56" s="67">
        <v>0.1</v>
      </c>
      <c r="GD56" s="67">
        <v>0.1</v>
      </c>
      <c r="GE56" s="67">
        <v>0.1</v>
      </c>
      <c r="GF56" s="67">
        <v>0.1</v>
      </c>
      <c r="GG56" s="67">
        <v>0.1</v>
      </c>
      <c r="GH56" s="67">
        <v>0.1</v>
      </c>
      <c r="GI56" s="67">
        <v>0.1</v>
      </c>
      <c r="GJ56" s="67">
        <v>0.1</v>
      </c>
      <c r="GK56" s="67">
        <v>0.1</v>
      </c>
      <c r="GL56" s="68">
        <v>0.1</v>
      </c>
      <c r="GM56" s="66">
        <v>0.1</v>
      </c>
      <c r="GN56" s="67">
        <v>0.1</v>
      </c>
      <c r="GO56" s="67">
        <v>0.1</v>
      </c>
      <c r="GP56" s="67">
        <v>0.1</v>
      </c>
      <c r="GQ56" s="67">
        <v>0.1</v>
      </c>
      <c r="GR56" s="67">
        <v>0.1</v>
      </c>
      <c r="GS56" s="67">
        <v>0.1</v>
      </c>
      <c r="GT56" s="67">
        <v>0.1</v>
      </c>
      <c r="GU56" s="67">
        <v>0.1</v>
      </c>
      <c r="GV56" s="67">
        <v>0.1</v>
      </c>
      <c r="GW56" s="68">
        <v>0.1</v>
      </c>
      <c r="GX56" s="66">
        <v>0.1</v>
      </c>
      <c r="GY56" s="67">
        <v>0.1</v>
      </c>
      <c r="GZ56" s="67">
        <v>0.1</v>
      </c>
      <c r="HA56" s="67">
        <v>0.1</v>
      </c>
      <c r="HB56" s="67">
        <v>0.1</v>
      </c>
      <c r="HC56" s="67">
        <v>0.1</v>
      </c>
      <c r="HD56" s="67">
        <v>0.1</v>
      </c>
      <c r="HE56" s="67">
        <v>0.1</v>
      </c>
      <c r="HF56" s="67">
        <v>0.1</v>
      </c>
      <c r="HG56" s="67">
        <v>0.1</v>
      </c>
      <c r="HH56" s="68">
        <v>0.1</v>
      </c>
      <c r="HI56" s="66">
        <v>0.1</v>
      </c>
      <c r="HJ56" s="67">
        <v>0.1</v>
      </c>
      <c r="HK56" s="67">
        <v>0.1</v>
      </c>
      <c r="HL56" s="67">
        <v>0.1</v>
      </c>
      <c r="HM56" s="67">
        <v>0.1</v>
      </c>
      <c r="HN56" s="68">
        <v>0.1</v>
      </c>
      <c r="HO56">
        <v>0.1</v>
      </c>
      <c r="HP56">
        <f t="shared" si="0"/>
        <v>0.1</v>
      </c>
    </row>
    <row r="57" spans="1:224" ht="15.75" thickBot="1" x14ac:dyDescent="0.3">
      <c r="A57">
        <v>54</v>
      </c>
      <c r="B57" s="269" t="s">
        <v>1178</v>
      </c>
      <c r="C57" s="2"/>
      <c r="D57" s="2"/>
      <c r="E57" s="2"/>
      <c r="F57" s="2"/>
      <c r="G57" s="2"/>
      <c r="H57" s="258">
        <v>0.1</v>
      </c>
      <c r="I57" s="259">
        <v>0.1</v>
      </c>
      <c r="J57" s="259">
        <v>0.1</v>
      </c>
      <c r="K57" s="259">
        <v>0.1</v>
      </c>
      <c r="L57" s="259">
        <v>0.1</v>
      </c>
      <c r="M57" s="259">
        <v>0.1</v>
      </c>
      <c r="N57" s="259">
        <v>0.1</v>
      </c>
      <c r="O57" s="259">
        <v>0.1</v>
      </c>
      <c r="P57" s="259">
        <v>0.1</v>
      </c>
      <c r="Q57" s="259">
        <v>0.1</v>
      </c>
      <c r="R57" s="259">
        <v>0.1</v>
      </c>
      <c r="S57" s="259">
        <v>0.1</v>
      </c>
      <c r="T57" s="259">
        <v>0.1</v>
      </c>
      <c r="U57" s="259">
        <v>0.1</v>
      </c>
      <c r="V57" s="259">
        <v>0.1</v>
      </c>
      <c r="W57" s="259">
        <v>0.1</v>
      </c>
      <c r="X57" s="259">
        <v>0.1</v>
      </c>
      <c r="Y57" s="259">
        <v>0.1</v>
      </c>
      <c r="Z57" s="259">
        <v>0.1</v>
      </c>
      <c r="AA57" s="259">
        <v>0.1</v>
      </c>
      <c r="AB57" s="259">
        <v>0.1</v>
      </c>
      <c r="AC57" s="259">
        <v>0.1</v>
      </c>
      <c r="AD57" s="259">
        <v>0.1</v>
      </c>
      <c r="AE57" s="259">
        <v>0.1</v>
      </c>
      <c r="AF57" s="259">
        <v>0.1</v>
      </c>
      <c r="AG57" s="259">
        <v>0.1</v>
      </c>
      <c r="AH57" s="259">
        <v>0.1</v>
      </c>
      <c r="AI57" s="259">
        <v>0.1</v>
      </c>
      <c r="AJ57" s="259">
        <v>0.1</v>
      </c>
      <c r="AK57" s="259">
        <v>0.1</v>
      </c>
      <c r="AL57" s="259">
        <v>0.1</v>
      </c>
      <c r="AM57" s="259">
        <v>0.1</v>
      </c>
      <c r="AN57" s="259">
        <v>0.1</v>
      </c>
      <c r="AO57" s="259">
        <v>0.1</v>
      </c>
      <c r="AP57" s="259">
        <v>0.1</v>
      </c>
      <c r="AQ57" s="259">
        <v>0.1</v>
      </c>
      <c r="AR57" s="259">
        <v>0.1</v>
      </c>
      <c r="AS57" s="259">
        <v>0.1</v>
      </c>
      <c r="AT57" s="259">
        <v>0.1</v>
      </c>
      <c r="AU57" s="259">
        <v>0.1</v>
      </c>
      <c r="AV57" s="259">
        <v>0.1</v>
      </c>
      <c r="AW57" s="259">
        <v>0.1</v>
      </c>
      <c r="AX57" s="259">
        <v>0.1</v>
      </c>
      <c r="AY57" s="259">
        <v>0.1</v>
      </c>
      <c r="AZ57" s="259">
        <v>0.1</v>
      </c>
      <c r="BA57" s="259">
        <v>0.1</v>
      </c>
      <c r="BB57" s="259">
        <v>0.1</v>
      </c>
      <c r="BC57" s="259">
        <v>0.1</v>
      </c>
      <c r="BD57" s="259">
        <v>0.1</v>
      </c>
      <c r="BE57" s="259">
        <v>0.1</v>
      </c>
      <c r="BF57" s="259">
        <v>0.1</v>
      </c>
      <c r="BG57" s="259">
        <v>0.1</v>
      </c>
      <c r="BH57" s="259">
        <v>0.1</v>
      </c>
      <c r="BI57" s="259">
        <v>0.1</v>
      </c>
      <c r="BJ57" s="260">
        <v>0.1</v>
      </c>
      <c r="BK57">
        <v>0.1</v>
      </c>
      <c r="BL57">
        <v>0.1</v>
      </c>
      <c r="BM57">
        <v>0.1</v>
      </c>
      <c r="BN57">
        <v>0.1</v>
      </c>
      <c r="BO57">
        <v>0.1</v>
      </c>
      <c r="BP57">
        <f>SUM(BK57:BO57)</f>
        <v>0.5</v>
      </c>
      <c r="BS57">
        <v>54</v>
      </c>
      <c r="BT57" s="270">
        <v>4.82</v>
      </c>
      <c r="BU57" s="270">
        <v>1.1000000000000001</v>
      </c>
      <c r="BV57" s="2"/>
      <c r="BW57" s="2"/>
      <c r="BX57" s="2"/>
      <c r="BY57" s="258">
        <v>0.1</v>
      </c>
      <c r="BZ57" s="259">
        <v>0.1</v>
      </c>
      <c r="CA57" s="259">
        <v>0.1</v>
      </c>
      <c r="CB57" s="259">
        <v>0.1</v>
      </c>
      <c r="CC57" s="259">
        <v>0.1</v>
      </c>
      <c r="CD57" s="259">
        <v>0.1</v>
      </c>
      <c r="CE57" s="259">
        <v>0.1</v>
      </c>
      <c r="CF57" s="259">
        <v>0.1</v>
      </c>
      <c r="CG57" s="259">
        <v>0.1</v>
      </c>
      <c r="CH57" s="259">
        <v>0.1</v>
      </c>
      <c r="CI57" s="259">
        <v>0.1</v>
      </c>
      <c r="CJ57" s="259">
        <v>0.1</v>
      </c>
      <c r="CK57" s="259">
        <v>0.1</v>
      </c>
      <c r="CL57" s="259">
        <v>0.1</v>
      </c>
      <c r="CM57" s="259">
        <v>0.1</v>
      </c>
      <c r="CN57" s="259">
        <v>0.1</v>
      </c>
      <c r="CO57" s="259">
        <v>0.1</v>
      </c>
      <c r="CP57" s="259">
        <v>0.1</v>
      </c>
      <c r="CQ57" s="259">
        <v>0.1</v>
      </c>
      <c r="CR57" s="259">
        <v>0.1</v>
      </c>
      <c r="CS57" s="259">
        <v>0.1</v>
      </c>
      <c r="CT57" s="259">
        <v>0.1</v>
      </c>
      <c r="CU57" s="259">
        <v>0.1</v>
      </c>
      <c r="CV57" s="259">
        <v>0.1</v>
      </c>
      <c r="CW57" s="259">
        <v>0.1</v>
      </c>
      <c r="CX57" s="259">
        <v>0.1</v>
      </c>
      <c r="CY57" s="259">
        <v>0.1</v>
      </c>
      <c r="CZ57" s="259">
        <v>0.1</v>
      </c>
      <c r="DA57" s="259">
        <v>0.1</v>
      </c>
      <c r="DB57" s="259">
        <v>0.1</v>
      </c>
      <c r="DC57" s="259">
        <v>0.1</v>
      </c>
      <c r="DD57" s="259">
        <v>0.1</v>
      </c>
      <c r="DE57" s="259">
        <v>0.1</v>
      </c>
      <c r="DF57" s="259">
        <v>0.1</v>
      </c>
      <c r="DG57" s="259">
        <v>0.1</v>
      </c>
      <c r="DH57" s="259">
        <v>0.1</v>
      </c>
      <c r="DI57" s="259">
        <v>0.1</v>
      </c>
      <c r="DJ57" s="259">
        <v>0.1</v>
      </c>
      <c r="DK57" s="259">
        <v>0.1</v>
      </c>
      <c r="DL57" s="259">
        <v>0.1</v>
      </c>
      <c r="DM57" s="259">
        <v>0.1</v>
      </c>
      <c r="DN57" s="259">
        <v>0.1</v>
      </c>
      <c r="DO57" s="259">
        <v>0.1</v>
      </c>
      <c r="DP57" s="259">
        <v>0.1</v>
      </c>
      <c r="DQ57" s="259">
        <v>0.1</v>
      </c>
      <c r="DR57" s="259">
        <v>0.1</v>
      </c>
      <c r="DS57" s="259">
        <v>0.1</v>
      </c>
      <c r="DT57" s="259">
        <v>0.1</v>
      </c>
      <c r="DU57" s="260">
        <v>0.1</v>
      </c>
      <c r="DV57" s="258">
        <v>0.1</v>
      </c>
      <c r="DW57" s="259">
        <v>0.1</v>
      </c>
      <c r="DX57" s="259">
        <v>0.1</v>
      </c>
      <c r="DY57" s="259">
        <v>0.1</v>
      </c>
      <c r="DZ57" s="259">
        <v>0.1</v>
      </c>
      <c r="EA57" s="259">
        <v>0.1</v>
      </c>
      <c r="EB57" s="259">
        <v>0.1</v>
      </c>
      <c r="EC57" s="259">
        <v>0.1</v>
      </c>
      <c r="ED57" s="259">
        <v>0.1</v>
      </c>
      <c r="EE57" s="259">
        <v>0.1</v>
      </c>
      <c r="EF57" s="260">
        <v>0.1</v>
      </c>
      <c r="EJ57">
        <v>54</v>
      </c>
      <c r="EN57">
        <v>0.1</v>
      </c>
      <c r="EO57">
        <v>0.1</v>
      </c>
      <c r="EP57">
        <v>0.1</v>
      </c>
      <c r="EQ57">
        <v>0.1</v>
      </c>
      <c r="ER57">
        <v>0.1</v>
      </c>
      <c r="ES57">
        <v>0.1</v>
      </c>
      <c r="ET57">
        <v>0.1</v>
      </c>
      <c r="EU57">
        <v>0.1</v>
      </c>
      <c r="EV57">
        <v>0.1</v>
      </c>
      <c r="EW57">
        <v>0.1</v>
      </c>
      <c r="EX57">
        <v>0.1</v>
      </c>
      <c r="EY57">
        <v>0.1</v>
      </c>
      <c r="EZ57">
        <v>0.1</v>
      </c>
      <c r="FA57">
        <v>0.1</v>
      </c>
      <c r="FB57">
        <v>0.1</v>
      </c>
      <c r="FC57">
        <v>0.1</v>
      </c>
      <c r="FD57">
        <v>0.1</v>
      </c>
      <c r="FE57">
        <v>0.1</v>
      </c>
      <c r="FF57">
        <v>0.1</v>
      </c>
      <c r="FG57">
        <v>0.1</v>
      </c>
      <c r="FH57">
        <v>0.1</v>
      </c>
      <c r="FI57">
        <v>0.1</v>
      </c>
      <c r="FJ57">
        <v>0.1</v>
      </c>
      <c r="FK57">
        <v>0.1</v>
      </c>
      <c r="FL57">
        <v>0.1</v>
      </c>
      <c r="FM57">
        <v>0.1</v>
      </c>
      <c r="FN57">
        <v>0.1</v>
      </c>
      <c r="FO57">
        <v>0.1</v>
      </c>
      <c r="FP57">
        <v>0.1</v>
      </c>
      <c r="FQ57">
        <v>0.1</v>
      </c>
      <c r="FU57">
        <v>54</v>
      </c>
      <c r="FV57">
        <v>1.03</v>
      </c>
      <c r="FW57">
        <v>1.03</v>
      </c>
      <c r="FX57">
        <v>1.03</v>
      </c>
      <c r="FY57">
        <v>0.54</v>
      </c>
      <c r="GB57" s="66">
        <v>0.1</v>
      </c>
      <c r="GC57" s="67">
        <v>0.1</v>
      </c>
      <c r="GD57" s="67">
        <v>0.1</v>
      </c>
      <c r="GE57" s="67">
        <v>0.1</v>
      </c>
      <c r="GF57" s="67">
        <v>0.1</v>
      </c>
      <c r="GG57" s="67">
        <v>0.1</v>
      </c>
      <c r="GH57" s="67">
        <v>0.1</v>
      </c>
      <c r="GI57" s="67">
        <v>0.1</v>
      </c>
      <c r="GJ57" s="67">
        <v>0.1</v>
      </c>
      <c r="GK57" s="67">
        <v>0.1</v>
      </c>
      <c r="GL57" s="68">
        <v>0.1</v>
      </c>
      <c r="GM57" s="66">
        <v>0.1</v>
      </c>
      <c r="GN57" s="67">
        <v>0.1</v>
      </c>
      <c r="GO57" s="67">
        <v>0.1</v>
      </c>
      <c r="GP57" s="67">
        <v>0.1</v>
      </c>
      <c r="GQ57" s="67">
        <v>0.1</v>
      </c>
      <c r="GR57" s="67">
        <v>0.1</v>
      </c>
      <c r="GS57" s="67">
        <v>0.1</v>
      </c>
      <c r="GT57" s="67">
        <v>0.1</v>
      </c>
      <c r="GU57" s="67">
        <v>0.1</v>
      </c>
      <c r="GV57" s="67">
        <v>0.1</v>
      </c>
      <c r="GW57" s="68">
        <v>0.1</v>
      </c>
      <c r="GX57" s="66">
        <v>0.1</v>
      </c>
      <c r="GY57" s="67">
        <v>0.1</v>
      </c>
      <c r="GZ57" s="67">
        <v>0.1</v>
      </c>
      <c r="HA57" s="67">
        <v>0.1</v>
      </c>
      <c r="HB57" s="67">
        <v>0.1</v>
      </c>
      <c r="HC57" s="67">
        <v>0.1</v>
      </c>
      <c r="HD57" s="67">
        <v>0.1</v>
      </c>
      <c r="HE57" s="67">
        <v>0.1</v>
      </c>
      <c r="HF57" s="67">
        <v>0.1</v>
      </c>
      <c r="HG57" s="67">
        <v>0.1</v>
      </c>
      <c r="HH57" s="68">
        <v>0.1</v>
      </c>
      <c r="HI57" s="66">
        <v>0.1</v>
      </c>
      <c r="HJ57" s="67">
        <v>0.1</v>
      </c>
      <c r="HK57" s="67">
        <v>0.1</v>
      </c>
      <c r="HL57" s="67">
        <v>0.1</v>
      </c>
      <c r="HM57" s="67">
        <v>0.1</v>
      </c>
      <c r="HN57" s="68">
        <v>0.1</v>
      </c>
      <c r="HO57">
        <v>0.1</v>
      </c>
      <c r="HP57">
        <f t="shared" si="0"/>
        <v>0.1</v>
      </c>
    </row>
    <row r="58" spans="1:224" ht="15.75" thickBot="1" x14ac:dyDescent="0.3">
      <c r="A58">
        <v>55</v>
      </c>
      <c r="B58" s="269" t="s">
        <v>1177</v>
      </c>
      <c r="C58" s="2"/>
      <c r="D58" s="2"/>
      <c r="E58" s="2"/>
      <c r="F58" s="2"/>
      <c r="G58" s="2"/>
      <c r="H58" s="258">
        <v>0.1</v>
      </c>
      <c r="I58" s="259">
        <v>0.1</v>
      </c>
      <c r="J58" s="259">
        <v>0.1</v>
      </c>
      <c r="K58" s="259">
        <v>0.1</v>
      </c>
      <c r="L58" s="259">
        <v>0.1</v>
      </c>
      <c r="M58" s="259">
        <v>0.1</v>
      </c>
      <c r="N58" s="259">
        <v>0.1</v>
      </c>
      <c r="O58" s="259">
        <v>0.1</v>
      </c>
      <c r="P58" s="259">
        <v>0.1</v>
      </c>
      <c r="Q58" s="259">
        <v>0.1</v>
      </c>
      <c r="R58" s="259">
        <v>0.1</v>
      </c>
      <c r="S58" s="259">
        <v>0.1</v>
      </c>
      <c r="T58" s="259">
        <v>0.1</v>
      </c>
      <c r="U58" s="259">
        <v>0.1</v>
      </c>
      <c r="V58" s="259">
        <v>0.1</v>
      </c>
      <c r="W58" s="259">
        <v>0.1</v>
      </c>
      <c r="X58" s="259">
        <v>0.1</v>
      </c>
      <c r="Y58" s="259">
        <v>0.1</v>
      </c>
      <c r="Z58" s="259">
        <v>0.1</v>
      </c>
      <c r="AA58" s="259">
        <v>0.1</v>
      </c>
      <c r="AB58" s="259">
        <v>0.1</v>
      </c>
      <c r="AC58" s="259">
        <v>0.1</v>
      </c>
      <c r="AD58" s="259">
        <v>0.1</v>
      </c>
      <c r="AE58" s="259">
        <v>0.1</v>
      </c>
      <c r="AF58" s="259">
        <v>0.1</v>
      </c>
      <c r="AG58" s="259">
        <v>0.1</v>
      </c>
      <c r="AH58" s="259">
        <v>0.1</v>
      </c>
      <c r="AI58" s="259">
        <v>0.1</v>
      </c>
      <c r="AJ58" s="259">
        <v>0.1</v>
      </c>
      <c r="AK58" s="259">
        <v>0.1</v>
      </c>
      <c r="AL58" s="259">
        <v>0.1</v>
      </c>
      <c r="AM58" s="259">
        <v>0.1</v>
      </c>
      <c r="AN58" s="259">
        <v>0.1</v>
      </c>
      <c r="AO58" s="259">
        <v>0.1</v>
      </c>
      <c r="AP58" s="259">
        <v>0.1</v>
      </c>
      <c r="AQ58" s="259">
        <v>0.1</v>
      </c>
      <c r="AR58" s="259">
        <v>0.1</v>
      </c>
      <c r="AS58" s="259">
        <v>0.1</v>
      </c>
      <c r="AT58" s="259">
        <v>0.1</v>
      </c>
      <c r="AU58" s="259">
        <v>0.1</v>
      </c>
      <c r="AV58" s="259">
        <v>0.1</v>
      </c>
      <c r="AW58" s="259">
        <v>0.1</v>
      </c>
      <c r="AX58" s="259">
        <v>0.1</v>
      </c>
      <c r="AY58" s="259">
        <v>0.1</v>
      </c>
      <c r="AZ58" s="259">
        <v>0.1</v>
      </c>
      <c r="BA58" s="259">
        <v>0.1</v>
      </c>
      <c r="BB58" s="259">
        <v>0.1</v>
      </c>
      <c r="BC58" s="259">
        <v>0.1</v>
      </c>
      <c r="BD58" s="259">
        <v>0.1</v>
      </c>
      <c r="BE58" s="259">
        <v>0.1</v>
      </c>
      <c r="BF58" s="259">
        <v>0.1</v>
      </c>
      <c r="BG58" s="259">
        <v>0.1</v>
      </c>
      <c r="BH58" s="259">
        <v>0.1</v>
      </c>
      <c r="BI58" s="259">
        <v>0.1</v>
      </c>
      <c r="BJ58" s="259">
        <v>0.1</v>
      </c>
      <c r="BK58" s="259">
        <v>0.1</v>
      </c>
      <c r="BL58" s="259">
        <v>0.1</v>
      </c>
      <c r="BM58" s="259">
        <v>0.1</v>
      </c>
      <c r="BN58" s="259">
        <v>0.1</v>
      </c>
      <c r="BO58" s="260">
        <v>0.1</v>
      </c>
      <c r="BS58">
        <v>55</v>
      </c>
      <c r="BT58" s="271">
        <v>4.82</v>
      </c>
      <c r="BU58" s="271">
        <v>1.1000000000000001</v>
      </c>
      <c r="BV58" s="2"/>
      <c r="BW58" s="2"/>
      <c r="BX58" s="2"/>
      <c r="BY58" s="258">
        <v>0.1</v>
      </c>
      <c r="BZ58" s="259">
        <v>0.1</v>
      </c>
      <c r="CA58" s="259">
        <v>0.1</v>
      </c>
      <c r="CB58" s="259">
        <v>0.1</v>
      </c>
      <c r="CC58" s="259">
        <v>0.1</v>
      </c>
      <c r="CD58" s="259">
        <v>0.1</v>
      </c>
      <c r="CE58" s="259">
        <v>0.1</v>
      </c>
      <c r="CF58" s="259">
        <v>0.1</v>
      </c>
      <c r="CG58" s="259">
        <v>0.1</v>
      </c>
      <c r="CH58" s="259">
        <v>0.1</v>
      </c>
      <c r="CI58" s="259">
        <v>0.1</v>
      </c>
      <c r="CJ58" s="259">
        <v>0.1</v>
      </c>
      <c r="CK58" s="259">
        <v>0.1</v>
      </c>
      <c r="CL58" s="259">
        <v>0.1</v>
      </c>
      <c r="CM58" s="259">
        <v>0.1</v>
      </c>
      <c r="CN58" s="259">
        <v>0.1</v>
      </c>
      <c r="CO58" s="259">
        <v>0.1</v>
      </c>
      <c r="CP58" s="259">
        <v>0.1</v>
      </c>
      <c r="CQ58" s="259">
        <v>0.1</v>
      </c>
      <c r="CR58" s="259">
        <v>0.1</v>
      </c>
      <c r="CS58" s="259">
        <v>0.1</v>
      </c>
      <c r="CT58" s="259">
        <v>0.1</v>
      </c>
      <c r="CU58" s="259">
        <v>0.1</v>
      </c>
      <c r="CV58" s="259">
        <v>0.1</v>
      </c>
      <c r="CW58" s="259">
        <v>0.1</v>
      </c>
      <c r="CX58" s="259">
        <v>0.1</v>
      </c>
      <c r="CY58" s="259">
        <v>0.1</v>
      </c>
      <c r="CZ58" s="259">
        <v>0.1</v>
      </c>
      <c r="DA58" s="259">
        <v>0.1</v>
      </c>
      <c r="DB58" s="259">
        <v>0.1</v>
      </c>
      <c r="DC58" s="259">
        <v>0.1</v>
      </c>
      <c r="DD58" s="259">
        <v>0.1</v>
      </c>
      <c r="DE58" s="259">
        <v>0.1</v>
      </c>
      <c r="DF58" s="259">
        <v>0.1</v>
      </c>
      <c r="DG58" s="259">
        <v>0.1</v>
      </c>
      <c r="DH58" s="259">
        <v>0.1</v>
      </c>
      <c r="DI58" s="259">
        <v>0.1</v>
      </c>
      <c r="DJ58" s="259">
        <v>0.1</v>
      </c>
      <c r="DK58" s="259">
        <v>0.1</v>
      </c>
      <c r="DL58" s="259">
        <v>0.1</v>
      </c>
      <c r="DM58" s="259">
        <v>0.1</v>
      </c>
      <c r="DN58" s="259">
        <v>0.1</v>
      </c>
      <c r="DO58" s="259">
        <v>0.1</v>
      </c>
      <c r="DP58" s="259">
        <v>0.1</v>
      </c>
      <c r="DQ58" s="259">
        <v>0.1</v>
      </c>
      <c r="DR58" s="259">
        <v>0.1</v>
      </c>
      <c r="DS58" s="259">
        <v>0.1</v>
      </c>
      <c r="DT58" s="259">
        <v>0.1</v>
      </c>
      <c r="DU58" s="260">
        <v>0.1</v>
      </c>
      <c r="DV58" s="258">
        <v>0.1</v>
      </c>
      <c r="DW58" s="259">
        <v>0.1</v>
      </c>
      <c r="DX58" s="259">
        <v>0.1</v>
      </c>
      <c r="DY58" s="259">
        <v>0.1</v>
      </c>
      <c r="DZ58" s="259">
        <v>0.1</v>
      </c>
      <c r="EA58" s="259">
        <v>0.1</v>
      </c>
      <c r="EB58" s="259">
        <v>0.1</v>
      </c>
      <c r="EC58" s="259">
        <v>0.1</v>
      </c>
      <c r="ED58" s="259">
        <v>0.1</v>
      </c>
      <c r="EE58" s="259">
        <v>0.1</v>
      </c>
      <c r="EF58" s="260">
        <v>0.1</v>
      </c>
      <c r="EJ58">
        <v>55</v>
      </c>
      <c r="EN58">
        <v>0.1</v>
      </c>
      <c r="EO58">
        <v>0.1</v>
      </c>
      <c r="EP58">
        <v>0.1</v>
      </c>
      <c r="EQ58">
        <v>0.1</v>
      </c>
      <c r="ER58">
        <v>0.1</v>
      </c>
      <c r="ES58">
        <v>0.1</v>
      </c>
      <c r="ET58">
        <v>0.1</v>
      </c>
      <c r="EU58">
        <v>0.1</v>
      </c>
      <c r="EV58">
        <v>0.1</v>
      </c>
      <c r="EW58">
        <v>0.1</v>
      </c>
      <c r="EX58">
        <v>0.1</v>
      </c>
      <c r="EY58">
        <v>0.1</v>
      </c>
      <c r="EZ58">
        <v>0.1</v>
      </c>
      <c r="FA58">
        <v>0.1</v>
      </c>
      <c r="FB58">
        <v>0.1</v>
      </c>
      <c r="FC58">
        <v>0.1</v>
      </c>
      <c r="FD58">
        <v>0.1</v>
      </c>
      <c r="FE58">
        <v>0.1</v>
      </c>
      <c r="FF58">
        <v>0.1</v>
      </c>
      <c r="FG58">
        <v>0.1</v>
      </c>
      <c r="FH58">
        <v>0.1</v>
      </c>
      <c r="FI58">
        <v>0.1</v>
      </c>
      <c r="FJ58">
        <v>0.1</v>
      </c>
      <c r="FK58">
        <v>0.1</v>
      </c>
      <c r="FL58">
        <v>0.1</v>
      </c>
      <c r="FM58">
        <v>0.1</v>
      </c>
      <c r="FN58">
        <v>0.1</v>
      </c>
      <c r="FO58">
        <v>0.1</v>
      </c>
      <c r="FP58">
        <v>0.1</v>
      </c>
      <c r="FQ58">
        <v>0.1</v>
      </c>
      <c r="FU58">
        <v>55</v>
      </c>
      <c r="FV58">
        <v>1.03</v>
      </c>
      <c r="FW58">
        <v>1.03</v>
      </c>
      <c r="FX58">
        <v>1.03</v>
      </c>
      <c r="FY58">
        <v>0.54</v>
      </c>
      <c r="GB58" s="66">
        <v>0.1</v>
      </c>
      <c r="GC58" s="67">
        <v>0.1</v>
      </c>
      <c r="GD58" s="67">
        <v>0.1</v>
      </c>
      <c r="GE58" s="67">
        <v>0.1</v>
      </c>
      <c r="GF58" s="67">
        <v>0.1</v>
      </c>
      <c r="GG58" s="67">
        <v>0.1</v>
      </c>
      <c r="GH58" s="67">
        <v>0.1</v>
      </c>
      <c r="GI58" s="67">
        <v>0.1</v>
      </c>
      <c r="GJ58" s="67">
        <v>0.1</v>
      </c>
      <c r="GK58" s="67">
        <v>0.1</v>
      </c>
      <c r="GL58" s="68">
        <v>0.1</v>
      </c>
      <c r="GM58" s="66">
        <v>0.1</v>
      </c>
      <c r="GN58" s="67">
        <v>0.1</v>
      </c>
      <c r="GO58" s="67">
        <v>0.1</v>
      </c>
      <c r="GP58" s="67">
        <v>0.1</v>
      </c>
      <c r="GQ58" s="67">
        <v>0.1</v>
      </c>
      <c r="GR58" s="67">
        <v>0.1</v>
      </c>
      <c r="GS58" s="67">
        <v>0.1</v>
      </c>
      <c r="GT58" s="67">
        <v>0.1</v>
      </c>
      <c r="GU58" s="67">
        <v>0.1</v>
      </c>
      <c r="GV58" s="67">
        <v>0.1</v>
      </c>
      <c r="GW58" s="68">
        <v>0.1</v>
      </c>
      <c r="GX58" s="66">
        <v>0.1</v>
      </c>
      <c r="GY58" s="67">
        <v>0.1</v>
      </c>
      <c r="GZ58" s="67">
        <v>0.1</v>
      </c>
      <c r="HA58" s="67">
        <v>0.1</v>
      </c>
      <c r="HB58" s="67">
        <v>0.1</v>
      </c>
      <c r="HC58" s="67">
        <v>0.1</v>
      </c>
      <c r="HD58" s="67">
        <v>0.1</v>
      </c>
      <c r="HE58" s="67">
        <v>0.1</v>
      </c>
      <c r="HF58" s="67">
        <v>0.1</v>
      </c>
      <c r="HG58" s="67">
        <v>0.1</v>
      </c>
      <c r="HH58" s="68">
        <v>0.1</v>
      </c>
      <c r="HI58" s="66">
        <v>0.1</v>
      </c>
      <c r="HJ58" s="67">
        <v>0.1</v>
      </c>
      <c r="HK58" s="67">
        <v>0.1</v>
      </c>
      <c r="HL58" s="67">
        <v>0.1</v>
      </c>
      <c r="HM58" s="67">
        <v>0.1</v>
      </c>
      <c r="HN58" s="68">
        <v>0.1</v>
      </c>
      <c r="HO58">
        <v>0.1</v>
      </c>
      <c r="HP58">
        <f t="shared" si="0"/>
        <v>0.1</v>
      </c>
    </row>
    <row r="59" spans="1:224" ht="15.75" thickBot="1" x14ac:dyDescent="0.3">
      <c r="A59">
        <v>56</v>
      </c>
      <c r="B59" s="269" t="s">
        <v>1178</v>
      </c>
      <c r="C59" s="2"/>
      <c r="D59" s="2"/>
      <c r="E59" s="2"/>
      <c r="F59" s="2"/>
      <c r="G59" s="2"/>
      <c r="H59" s="258">
        <v>0.1</v>
      </c>
      <c r="I59" s="259">
        <v>0.1</v>
      </c>
      <c r="J59" s="259">
        <v>0.1</v>
      </c>
      <c r="K59" s="259">
        <v>0.1</v>
      </c>
      <c r="L59" s="259">
        <v>0.1</v>
      </c>
      <c r="M59" s="259">
        <v>0.1</v>
      </c>
      <c r="N59" s="259">
        <v>0.1</v>
      </c>
      <c r="O59" s="259">
        <v>0.1</v>
      </c>
      <c r="P59" s="259">
        <v>0.1</v>
      </c>
      <c r="Q59" s="259">
        <v>0.1</v>
      </c>
      <c r="R59" s="259">
        <v>0.1</v>
      </c>
      <c r="S59" s="259">
        <v>0.1</v>
      </c>
      <c r="T59" s="259">
        <v>0.1</v>
      </c>
      <c r="U59" s="259">
        <v>0.1</v>
      </c>
      <c r="V59" s="259">
        <v>0.1</v>
      </c>
      <c r="W59" s="259">
        <v>0.1</v>
      </c>
      <c r="X59" s="259">
        <v>0.1</v>
      </c>
      <c r="Y59" s="259">
        <v>0.1</v>
      </c>
      <c r="Z59" s="259">
        <v>0.1</v>
      </c>
      <c r="AA59" s="259">
        <v>0.1</v>
      </c>
      <c r="AB59" s="259">
        <v>0.1</v>
      </c>
      <c r="AC59" s="259">
        <v>0.1</v>
      </c>
      <c r="AD59" s="259">
        <v>0.1</v>
      </c>
      <c r="AE59" s="259">
        <v>0.1</v>
      </c>
      <c r="AF59" s="259">
        <v>0.1</v>
      </c>
      <c r="AG59" s="259">
        <v>0.1</v>
      </c>
      <c r="AH59" s="259">
        <v>0.1</v>
      </c>
      <c r="AI59" s="259">
        <v>0.1</v>
      </c>
      <c r="AJ59" s="259">
        <v>0.1</v>
      </c>
      <c r="AK59" s="259">
        <v>0.1</v>
      </c>
      <c r="AL59" s="259">
        <v>0.1</v>
      </c>
      <c r="AM59" s="259">
        <v>0.1</v>
      </c>
      <c r="AN59" s="259">
        <v>0.1</v>
      </c>
      <c r="AO59" s="259">
        <v>0.1</v>
      </c>
      <c r="AP59" s="259">
        <v>0.1</v>
      </c>
      <c r="AQ59" s="259">
        <v>0.1</v>
      </c>
      <c r="AR59" s="259">
        <v>0.1</v>
      </c>
      <c r="AS59" s="259">
        <v>0.1</v>
      </c>
      <c r="AT59" s="259">
        <v>0.1</v>
      </c>
      <c r="AU59" s="259">
        <v>0.1</v>
      </c>
      <c r="AV59" s="259">
        <v>0.1</v>
      </c>
      <c r="AW59" s="259">
        <v>0.1</v>
      </c>
      <c r="AX59" s="259">
        <v>0.1</v>
      </c>
      <c r="AY59" s="259">
        <v>0.1</v>
      </c>
      <c r="AZ59" s="259">
        <v>0.1</v>
      </c>
      <c r="BA59" s="259">
        <v>0.1</v>
      </c>
      <c r="BB59" s="259">
        <v>0.1</v>
      </c>
      <c r="BC59" s="259">
        <v>0.1</v>
      </c>
      <c r="BD59" s="259">
        <v>0.1</v>
      </c>
      <c r="BE59" s="259">
        <v>0.1</v>
      </c>
      <c r="BF59" s="259">
        <v>0.1</v>
      </c>
      <c r="BG59" s="259">
        <v>0.1</v>
      </c>
      <c r="BH59" s="259">
        <v>0.1</v>
      </c>
      <c r="BI59" s="259">
        <v>0.1</v>
      </c>
      <c r="BJ59" s="260">
        <v>0.1</v>
      </c>
      <c r="BK59">
        <v>0.1</v>
      </c>
      <c r="BL59">
        <v>0.1</v>
      </c>
      <c r="BM59">
        <v>0.1</v>
      </c>
      <c r="BN59">
        <v>0.1</v>
      </c>
      <c r="BO59">
        <v>0.1</v>
      </c>
      <c r="BP59">
        <f>SUM(BK59:BO59)</f>
        <v>0.5</v>
      </c>
      <c r="BS59">
        <v>56</v>
      </c>
      <c r="BT59" s="270">
        <v>4.79</v>
      </c>
      <c r="BU59" s="270">
        <v>1.1200000000000001</v>
      </c>
      <c r="BV59" s="2"/>
      <c r="BW59" s="2"/>
      <c r="BX59" s="2"/>
      <c r="BY59" s="258">
        <v>0.1</v>
      </c>
      <c r="BZ59" s="259">
        <v>0.1</v>
      </c>
      <c r="CA59" s="259">
        <v>0.1</v>
      </c>
      <c r="CB59" s="259">
        <v>0.1</v>
      </c>
      <c r="CC59" s="259">
        <v>0.1</v>
      </c>
      <c r="CD59" s="259">
        <v>0.1</v>
      </c>
      <c r="CE59" s="259">
        <v>0.1</v>
      </c>
      <c r="CF59" s="259">
        <v>0.1</v>
      </c>
      <c r="CG59" s="259">
        <v>0.1</v>
      </c>
      <c r="CH59" s="259">
        <v>0.1</v>
      </c>
      <c r="CI59" s="259">
        <v>0.1</v>
      </c>
      <c r="CJ59" s="259">
        <v>0.1</v>
      </c>
      <c r="CK59" s="259">
        <v>0.1</v>
      </c>
      <c r="CL59" s="259">
        <v>0.1</v>
      </c>
      <c r="CM59" s="259">
        <v>0.1</v>
      </c>
      <c r="CN59" s="259">
        <v>0.1</v>
      </c>
      <c r="CO59" s="259">
        <v>0.1</v>
      </c>
      <c r="CP59" s="259">
        <v>0.1</v>
      </c>
      <c r="CQ59" s="259">
        <v>0.1</v>
      </c>
      <c r="CR59" s="259">
        <v>0.1</v>
      </c>
      <c r="CS59" s="259">
        <v>0.1</v>
      </c>
      <c r="CT59" s="259">
        <v>0.1</v>
      </c>
      <c r="CU59" s="259">
        <v>0.1</v>
      </c>
      <c r="CV59" s="259">
        <v>0.1</v>
      </c>
      <c r="CW59" s="259">
        <v>0.1</v>
      </c>
      <c r="CX59" s="259">
        <v>0.1</v>
      </c>
      <c r="CY59" s="259">
        <v>0.1</v>
      </c>
      <c r="CZ59" s="259">
        <v>0.1</v>
      </c>
      <c r="DA59" s="259">
        <v>0.1</v>
      </c>
      <c r="DB59" s="259">
        <v>0.1</v>
      </c>
      <c r="DC59" s="259">
        <v>0.1</v>
      </c>
      <c r="DD59" s="259">
        <v>0.1</v>
      </c>
      <c r="DE59" s="259">
        <v>0.1</v>
      </c>
      <c r="DF59" s="259">
        <v>0.1</v>
      </c>
      <c r="DG59" s="259">
        <v>0.1</v>
      </c>
      <c r="DH59" s="259">
        <v>0.1</v>
      </c>
      <c r="DI59" s="259">
        <v>0.1</v>
      </c>
      <c r="DJ59" s="259">
        <v>0.1</v>
      </c>
      <c r="DK59" s="259">
        <v>0.1</v>
      </c>
      <c r="DL59" s="259">
        <v>0.1</v>
      </c>
      <c r="DM59" s="259">
        <v>0.1</v>
      </c>
      <c r="DN59" s="259">
        <v>0.1</v>
      </c>
      <c r="DO59" s="259">
        <v>0.1</v>
      </c>
      <c r="DP59" s="259">
        <v>0.1</v>
      </c>
      <c r="DQ59" s="259">
        <v>0.1</v>
      </c>
      <c r="DR59" s="259">
        <v>0.1</v>
      </c>
      <c r="DS59" s="259">
        <v>0.1</v>
      </c>
      <c r="DT59" s="260">
        <v>0.1</v>
      </c>
      <c r="DU59" s="258">
        <v>0.1</v>
      </c>
      <c r="DV59" s="259">
        <v>0.1</v>
      </c>
      <c r="DW59" s="259">
        <v>0.1</v>
      </c>
      <c r="DX59" s="259">
        <v>0.1</v>
      </c>
      <c r="DY59" s="259">
        <v>0.1</v>
      </c>
      <c r="DZ59" s="259">
        <v>0.1</v>
      </c>
      <c r="EA59" s="259">
        <v>0.1</v>
      </c>
      <c r="EB59" s="259">
        <v>0.1</v>
      </c>
      <c r="EC59" s="259">
        <v>0.1</v>
      </c>
      <c r="ED59" s="259">
        <v>0.1</v>
      </c>
      <c r="EE59" s="259">
        <v>0.1</v>
      </c>
      <c r="EF59" s="260">
        <v>0.1</v>
      </c>
      <c r="EJ59">
        <v>56</v>
      </c>
      <c r="EN59">
        <v>0.1</v>
      </c>
      <c r="EO59">
        <v>0.1</v>
      </c>
      <c r="EP59">
        <v>0.1</v>
      </c>
      <c r="EQ59">
        <v>0.1</v>
      </c>
      <c r="ER59">
        <v>0.1</v>
      </c>
      <c r="ES59">
        <v>0.1</v>
      </c>
      <c r="ET59">
        <v>0.1</v>
      </c>
      <c r="EU59">
        <v>0.1</v>
      </c>
      <c r="EV59">
        <v>0.1</v>
      </c>
      <c r="EW59">
        <v>0.1</v>
      </c>
      <c r="EX59">
        <v>0.1</v>
      </c>
      <c r="EY59">
        <v>0.1</v>
      </c>
      <c r="EZ59">
        <v>0.1</v>
      </c>
      <c r="FA59">
        <v>0.1</v>
      </c>
      <c r="FB59">
        <v>0.1</v>
      </c>
      <c r="FC59">
        <v>0.1</v>
      </c>
      <c r="FD59">
        <v>0.1</v>
      </c>
      <c r="FE59">
        <v>0.1</v>
      </c>
      <c r="FF59">
        <v>0.1</v>
      </c>
      <c r="FG59">
        <v>0.1</v>
      </c>
      <c r="FH59">
        <v>0.1</v>
      </c>
      <c r="FI59">
        <v>0.1</v>
      </c>
      <c r="FJ59">
        <v>0.1</v>
      </c>
      <c r="FK59">
        <v>0.1</v>
      </c>
      <c r="FL59">
        <v>0.1</v>
      </c>
      <c r="FM59">
        <v>0.1</v>
      </c>
      <c r="FN59">
        <v>0.1</v>
      </c>
      <c r="FO59">
        <v>0.1</v>
      </c>
      <c r="FP59">
        <v>0.1</v>
      </c>
      <c r="FQ59">
        <v>0.1</v>
      </c>
      <c r="FU59">
        <v>56</v>
      </c>
      <c r="FV59">
        <v>1.03</v>
      </c>
      <c r="FW59">
        <v>1.03</v>
      </c>
      <c r="FX59">
        <v>1.03</v>
      </c>
      <c r="FY59">
        <v>0.52</v>
      </c>
      <c r="GB59" s="66">
        <v>0.1</v>
      </c>
      <c r="GC59" s="67">
        <v>0.1</v>
      </c>
      <c r="GD59" s="67">
        <v>0.1</v>
      </c>
      <c r="GE59" s="67">
        <v>0.1</v>
      </c>
      <c r="GF59" s="67">
        <v>0.1</v>
      </c>
      <c r="GG59" s="67">
        <v>0.1</v>
      </c>
      <c r="GH59" s="67">
        <v>0.1</v>
      </c>
      <c r="GI59" s="67">
        <v>0.1</v>
      </c>
      <c r="GJ59" s="67">
        <v>0.1</v>
      </c>
      <c r="GK59" s="67">
        <v>0.1</v>
      </c>
      <c r="GL59" s="68">
        <v>0.1</v>
      </c>
      <c r="GM59" s="66">
        <v>0.1</v>
      </c>
      <c r="GN59" s="67">
        <v>0.1</v>
      </c>
      <c r="GO59" s="67">
        <v>0.1</v>
      </c>
      <c r="GP59" s="67">
        <v>0.1</v>
      </c>
      <c r="GQ59" s="67">
        <v>0.1</v>
      </c>
      <c r="GR59" s="67">
        <v>0.1</v>
      </c>
      <c r="GS59" s="67">
        <v>0.1</v>
      </c>
      <c r="GT59" s="67">
        <v>0.1</v>
      </c>
      <c r="GU59" s="67">
        <v>0.1</v>
      </c>
      <c r="GV59" s="67">
        <v>0.1</v>
      </c>
      <c r="GW59" s="68">
        <v>0.1</v>
      </c>
      <c r="GX59" s="66">
        <v>0.1</v>
      </c>
      <c r="GY59" s="67">
        <v>0.1</v>
      </c>
      <c r="GZ59" s="67">
        <v>0.1</v>
      </c>
      <c r="HA59" s="67">
        <v>0.1</v>
      </c>
      <c r="HB59" s="67">
        <v>0.1</v>
      </c>
      <c r="HC59" s="67">
        <v>0.1</v>
      </c>
      <c r="HD59" s="67">
        <v>0.1</v>
      </c>
      <c r="HE59" s="67">
        <v>0.1</v>
      </c>
      <c r="HF59" s="67">
        <v>0.1</v>
      </c>
      <c r="HG59" s="67">
        <v>0.1</v>
      </c>
      <c r="HH59" s="68">
        <v>0.1</v>
      </c>
      <c r="HI59" s="66">
        <v>0.1</v>
      </c>
      <c r="HJ59" s="67">
        <v>0.1</v>
      </c>
      <c r="HK59" s="67">
        <v>0.1</v>
      </c>
      <c r="HL59" s="67">
        <v>0.1</v>
      </c>
      <c r="HM59" s="67">
        <v>0.1</v>
      </c>
      <c r="HN59" s="68">
        <v>0.1</v>
      </c>
      <c r="HO59">
        <v>0.1</v>
      </c>
      <c r="HP59">
        <f t="shared" si="0"/>
        <v>0.1</v>
      </c>
    </row>
    <row r="60" spans="1:224" ht="15.75" thickBot="1" x14ac:dyDescent="0.3">
      <c r="A60">
        <v>57</v>
      </c>
      <c r="B60" s="269" t="s">
        <v>1177</v>
      </c>
      <c r="C60" s="2"/>
      <c r="D60" s="2"/>
      <c r="E60" s="2"/>
      <c r="F60" s="2"/>
      <c r="G60" s="2"/>
      <c r="H60" s="258">
        <v>0.1</v>
      </c>
      <c r="I60" s="259">
        <v>0.1</v>
      </c>
      <c r="J60" s="259">
        <v>0.1</v>
      </c>
      <c r="K60" s="259">
        <v>0.1</v>
      </c>
      <c r="L60" s="259">
        <v>0.1</v>
      </c>
      <c r="M60" s="259">
        <v>0.1</v>
      </c>
      <c r="N60" s="259">
        <v>0.1</v>
      </c>
      <c r="O60" s="259">
        <v>0.1</v>
      </c>
      <c r="P60" s="259">
        <v>0.1</v>
      </c>
      <c r="Q60" s="259">
        <v>0.1</v>
      </c>
      <c r="R60" s="259">
        <v>0.1</v>
      </c>
      <c r="S60" s="259">
        <v>0.1</v>
      </c>
      <c r="T60" s="259">
        <v>0.1</v>
      </c>
      <c r="U60" s="259">
        <v>0.1</v>
      </c>
      <c r="V60" s="259">
        <v>0.1</v>
      </c>
      <c r="W60" s="259">
        <v>0.1</v>
      </c>
      <c r="X60" s="259">
        <v>0.1</v>
      </c>
      <c r="Y60" s="259">
        <v>0.1</v>
      </c>
      <c r="Z60" s="259">
        <v>0.1</v>
      </c>
      <c r="AA60" s="259">
        <v>0.1</v>
      </c>
      <c r="AB60" s="259">
        <v>0.1</v>
      </c>
      <c r="AC60" s="259">
        <v>0.1</v>
      </c>
      <c r="AD60" s="259">
        <v>0.1</v>
      </c>
      <c r="AE60" s="259">
        <v>0.1</v>
      </c>
      <c r="AF60" s="259">
        <v>0.1</v>
      </c>
      <c r="AG60" s="259">
        <v>0.1</v>
      </c>
      <c r="AH60" s="259">
        <v>0.1</v>
      </c>
      <c r="AI60" s="259">
        <v>0.1</v>
      </c>
      <c r="AJ60" s="259">
        <v>0.1</v>
      </c>
      <c r="AK60" s="259">
        <v>0.1</v>
      </c>
      <c r="AL60" s="259">
        <v>0.1</v>
      </c>
      <c r="AM60" s="259">
        <v>0.1</v>
      </c>
      <c r="AN60" s="259">
        <v>0.1</v>
      </c>
      <c r="AO60" s="259">
        <v>0.1</v>
      </c>
      <c r="AP60" s="259">
        <v>0.1</v>
      </c>
      <c r="AQ60" s="259">
        <v>0.1</v>
      </c>
      <c r="AR60" s="259">
        <v>0.1</v>
      </c>
      <c r="AS60" s="259">
        <v>0.1</v>
      </c>
      <c r="AT60" s="259">
        <v>0.1</v>
      </c>
      <c r="AU60" s="259">
        <v>0.1</v>
      </c>
      <c r="AV60" s="259">
        <v>0.1</v>
      </c>
      <c r="AW60" s="259">
        <v>0.1</v>
      </c>
      <c r="AX60" s="259">
        <v>0.1</v>
      </c>
      <c r="AY60" s="259">
        <v>0.1</v>
      </c>
      <c r="AZ60" s="259">
        <v>0.1</v>
      </c>
      <c r="BA60" s="259">
        <v>0.1</v>
      </c>
      <c r="BB60" s="259">
        <v>0.1</v>
      </c>
      <c r="BC60" s="259">
        <v>0.1</v>
      </c>
      <c r="BD60" s="259">
        <v>0.1</v>
      </c>
      <c r="BE60" s="259">
        <v>0.1</v>
      </c>
      <c r="BF60" s="259">
        <v>0.1</v>
      </c>
      <c r="BG60" s="259">
        <v>0.1</v>
      </c>
      <c r="BH60" s="259">
        <v>0.1</v>
      </c>
      <c r="BI60" s="259">
        <v>0.1</v>
      </c>
      <c r="BJ60" s="259">
        <v>0.1</v>
      </c>
      <c r="BK60" s="259">
        <v>0.1</v>
      </c>
      <c r="BL60" s="259">
        <v>0.1</v>
      </c>
      <c r="BM60" s="259">
        <v>0.1</v>
      </c>
      <c r="BN60" s="259">
        <v>0.1</v>
      </c>
      <c r="BO60" s="260">
        <v>0.1</v>
      </c>
      <c r="BS60">
        <v>57</v>
      </c>
      <c r="BT60" s="271">
        <v>4.79</v>
      </c>
      <c r="BU60" s="271">
        <v>1.1299999999999999</v>
      </c>
      <c r="BV60" s="2"/>
      <c r="BW60" s="2"/>
      <c r="BX60" s="2"/>
      <c r="BY60" s="258">
        <v>0.1</v>
      </c>
      <c r="BZ60" s="259">
        <v>0.1</v>
      </c>
      <c r="CA60" s="259">
        <v>0.1</v>
      </c>
      <c r="CB60" s="259">
        <v>0.1</v>
      </c>
      <c r="CC60" s="259">
        <v>0.1</v>
      </c>
      <c r="CD60" s="259">
        <v>0.1</v>
      </c>
      <c r="CE60" s="259">
        <v>0.1</v>
      </c>
      <c r="CF60" s="259">
        <v>0.1</v>
      </c>
      <c r="CG60" s="259">
        <v>0.1</v>
      </c>
      <c r="CH60" s="259">
        <v>0.1</v>
      </c>
      <c r="CI60" s="259">
        <v>0.1</v>
      </c>
      <c r="CJ60" s="259">
        <v>0.1</v>
      </c>
      <c r="CK60" s="259">
        <v>0.1</v>
      </c>
      <c r="CL60" s="259">
        <v>0.1</v>
      </c>
      <c r="CM60" s="259">
        <v>0.1</v>
      </c>
      <c r="CN60" s="259">
        <v>0.1</v>
      </c>
      <c r="CO60" s="259">
        <v>0.1</v>
      </c>
      <c r="CP60" s="259">
        <v>0.1</v>
      </c>
      <c r="CQ60" s="259">
        <v>0.1</v>
      </c>
      <c r="CR60" s="259">
        <v>0.1</v>
      </c>
      <c r="CS60" s="259">
        <v>0.1</v>
      </c>
      <c r="CT60" s="259">
        <v>0.1</v>
      </c>
      <c r="CU60" s="259">
        <v>0.1</v>
      </c>
      <c r="CV60" s="259">
        <v>0.1</v>
      </c>
      <c r="CW60" s="259">
        <v>0.1</v>
      </c>
      <c r="CX60" s="259">
        <v>0.1</v>
      </c>
      <c r="CY60" s="259">
        <v>0.1</v>
      </c>
      <c r="CZ60" s="259">
        <v>0.1</v>
      </c>
      <c r="DA60" s="259">
        <v>0.1</v>
      </c>
      <c r="DB60" s="259">
        <v>0.1</v>
      </c>
      <c r="DC60" s="259">
        <v>0.1</v>
      </c>
      <c r="DD60" s="259">
        <v>0.1</v>
      </c>
      <c r="DE60" s="259">
        <v>0.1</v>
      </c>
      <c r="DF60" s="259">
        <v>0.1</v>
      </c>
      <c r="DG60" s="259">
        <v>0.1</v>
      </c>
      <c r="DH60" s="259">
        <v>0.1</v>
      </c>
      <c r="DI60" s="259">
        <v>0.1</v>
      </c>
      <c r="DJ60" s="259">
        <v>0.1</v>
      </c>
      <c r="DK60" s="259">
        <v>0.1</v>
      </c>
      <c r="DL60" s="259">
        <v>0.1</v>
      </c>
      <c r="DM60" s="259">
        <v>0.1</v>
      </c>
      <c r="DN60" s="259">
        <v>0.1</v>
      </c>
      <c r="DO60" s="259">
        <v>0.1</v>
      </c>
      <c r="DP60" s="259">
        <v>0.1</v>
      </c>
      <c r="DQ60" s="259">
        <v>0.1</v>
      </c>
      <c r="DR60" s="259">
        <v>0.1</v>
      </c>
      <c r="DS60" s="259">
        <v>0.1</v>
      </c>
      <c r="DT60" s="260">
        <v>0.1</v>
      </c>
      <c r="DU60" s="258">
        <v>0.1</v>
      </c>
      <c r="DV60" s="259">
        <v>0.1</v>
      </c>
      <c r="DW60" s="259">
        <v>0.1</v>
      </c>
      <c r="DX60" s="259">
        <v>0.1</v>
      </c>
      <c r="DY60" s="259">
        <v>0.1</v>
      </c>
      <c r="DZ60" s="259">
        <v>0.1</v>
      </c>
      <c r="EA60" s="259">
        <v>0.1</v>
      </c>
      <c r="EB60" s="259">
        <v>0.1</v>
      </c>
      <c r="EC60" s="259">
        <v>0.1</v>
      </c>
      <c r="ED60" s="259">
        <v>0.1</v>
      </c>
      <c r="EE60" s="259">
        <v>0.1</v>
      </c>
      <c r="EF60" s="260">
        <v>0.1</v>
      </c>
      <c r="EJ60">
        <v>57</v>
      </c>
      <c r="EN60">
        <v>0.1</v>
      </c>
      <c r="EO60">
        <v>0.1</v>
      </c>
      <c r="EP60">
        <v>0.1</v>
      </c>
      <c r="EQ60">
        <v>0.1</v>
      </c>
      <c r="ER60">
        <v>0.1</v>
      </c>
      <c r="ES60">
        <v>0.1</v>
      </c>
      <c r="ET60">
        <v>0.1</v>
      </c>
      <c r="EU60">
        <v>0.1</v>
      </c>
      <c r="EV60">
        <v>0.1</v>
      </c>
      <c r="EW60">
        <v>0.1</v>
      </c>
      <c r="EX60">
        <v>0.1</v>
      </c>
      <c r="EY60">
        <v>0.1</v>
      </c>
      <c r="EZ60">
        <v>0.1</v>
      </c>
      <c r="FA60">
        <v>0.1</v>
      </c>
      <c r="FB60">
        <v>0.1</v>
      </c>
      <c r="FC60">
        <v>0.1</v>
      </c>
      <c r="FD60">
        <v>0.1</v>
      </c>
      <c r="FE60">
        <v>0.1</v>
      </c>
      <c r="FF60">
        <v>0.1</v>
      </c>
      <c r="FG60">
        <v>0.1</v>
      </c>
      <c r="FH60">
        <v>0.1</v>
      </c>
      <c r="FI60">
        <v>0.1</v>
      </c>
      <c r="FJ60">
        <v>0.1</v>
      </c>
      <c r="FK60">
        <v>0.1</v>
      </c>
      <c r="FL60">
        <v>0.1</v>
      </c>
      <c r="FM60">
        <v>0.1</v>
      </c>
      <c r="FN60">
        <v>0.1</v>
      </c>
      <c r="FO60">
        <v>0.1</v>
      </c>
      <c r="FP60">
        <v>0.1</v>
      </c>
      <c r="FQ60">
        <v>0.1</v>
      </c>
      <c r="FU60">
        <v>57</v>
      </c>
      <c r="FV60">
        <v>1.03</v>
      </c>
      <c r="FW60">
        <v>1.03</v>
      </c>
      <c r="FX60">
        <v>1.03</v>
      </c>
      <c r="FY60">
        <v>0.52</v>
      </c>
      <c r="GB60" s="66">
        <v>0.1</v>
      </c>
      <c r="GC60" s="67">
        <v>0.1</v>
      </c>
      <c r="GD60" s="67">
        <v>0.1</v>
      </c>
      <c r="GE60" s="67">
        <v>0.1</v>
      </c>
      <c r="GF60" s="67">
        <v>0.1</v>
      </c>
      <c r="GG60" s="67">
        <v>0.1</v>
      </c>
      <c r="GH60" s="67">
        <v>0.1</v>
      </c>
      <c r="GI60" s="67">
        <v>0.1</v>
      </c>
      <c r="GJ60" s="67">
        <v>0.1</v>
      </c>
      <c r="GK60" s="67">
        <v>0.1</v>
      </c>
      <c r="GL60" s="68">
        <v>0.1</v>
      </c>
      <c r="GM60" s="66">
        <v>0.1</v>
      </c>
      <c r="GN60" s="67">
        <v>0.1</v>
      </c>
      <c r="GO60" s="67">
        <v>0.1</v>
      </c>
      <c r="GP60" s="67">
        <v>0.1</v>
      </c>
      <c r="GQ60" s="67">
        <v>0.1</v>
      </c>
      <c r="GR60" s="67">
        <v>0.1</v>
      </c>
      <c r="GS60" s="67">
        <v>0.1</v>
      </c>
      <c r="GT60" s="67">
        <v>0.1</v>
      </c>
      <c r="GU60" s="67">
        <v>0.1</v>
      </c>
      <c r="GV60" s="67">
        <v>0.1</v>
      </c>
      <c r="GW60" s="68">
        <v>0.1</v>
      </c>
      <c r="GX60" s="66">
        <v>0.1</v>
      </c>
      <c r="GY60" s="67">
        <v>0.1</v>
      </c>
      <c r="GZ60" s="67">
        <v>0.1</v>
      </c>
      <c r="HA60" s="67">
        <v>0.1</v>
      </c>
      <c r="HB60" s="67">
        <v>0.1</v>
      </c>
      <c r="HC60" s="67">
        <v>0.1</v>
      </c>
      <c r="HD60" s="67">
        <v>0.1</v>
      </c>
      <c r="HE60" s="67">
        <v>0.1</v>
      </c>
      <c r="HF60" s="67">
        <v>0.1</v>
      </c>
      <c r="HG60" s="67">
        <v>0.1</v>
      </c>
      <c r="HH60" s="68">
        <v>0.1</v>
      </c>
      <c r="HI60" s="66">
        <v>0.1</v>
      </c>
      <c r="HJ60" s="67">
        <v>0.1</v>
      </c>
      <c r="HK60" s="67">
        <v>0.1</v>
      </c>
      <c r="HL60" s="67">
        <v>0.1</v>
      </c>
      <c r="HM60" s="67">
        <v>0.1</v>
      </c>
      <c r="HN60" s="68">
        <v>0.1</v>
      </c>
      <c r="HO60">
        <v>0.1</v>
      </c>
      <c r="HP60">
        <f t="shared" si="0"/>
        <v>0.1</v>
      </c>
    </row>
    <row r="61" spans="1:224" ht="15.75" thickBot="1" x14ac:dyDescent="0.3">
      <c r="A61">
        <v>58</v>
      </c>
      <c r="B61" s="269" t="s">
        <v>1178</v>
      </c>
      <c r="C61" s="2"/>
      <c r="D61" s="2"/>
      <c r="E61" s="2"/>
      <c r="F61" s="2"/>
      <c r="G61" s="2"/>
      <c r="H61" s="261">
        <v>0.1</v>
      </c>
      <c r="I61" s="262">
        <v>0.1</v>
      </c>
      <c r="J61" s="262">
        <v>0.1</v>
      </c>
      <c r="K61" s="262">
        <v>0.1</v>
      </c>
      <c r="L61" s="262">
        <v>0.1</v>
      </c>
      <c r="M61" s="262">
        <v>0.1</v>
      </c>
      <c r="N61" s="262">
        <v>0.1</v>
      </c>
      <c r="O61" s="262">
        <v>0.1</v>
      </c>
      <c r="P61" s="262">
        <v>0.1</v>
      </c>
      <c r="Q61" s="262">
        <v>0.1</v>
      </c>
      <c r="R61" s="262">
        <v>0.1</v>
      </c>
      <c r="S61" s="262">
        <v>0.1</v>
      </c>
      <c r="T61" s="262">
        <v>0.1</v>
      </c>
      <c r="U61" s="262">
        <v>0.1</v>
      </c>
      <c r="V61" s="262">
        <v>0.1</v>
      </c>
      <c r="W61" s="262">
        <v>0.1</v>
      </c>
      <c r="X61" s="262">
        <v>0.1</v>
      </c>
      <c r="Y61" s="262">
        <v>0.1</v>
      </c>
      <c r="Z61" s="262">
        <v>0.1</v>
      </c>
      <c r="AA61" s="262">
        <v>0.1</v>
      </c>
      <c r="AB61" s="262">
        <v>0.1</v>
      </c>
      <c r="AC61" s="262">
        <v>0.1</v>
      </c>
      <c r="AD61" s="262">
        <v>0.1</v>
      </c>
      <c r="AE61" s="262">
        <v>0.1</v>
      </c>
      <c r="AF61" s="262">
        <v>0.1</v>
      </c>
      <c r="AG61" s="262">
        <v>0.1</v>
      </c>
      <c r="AH61" s="262">
        <v>0.1</v>
      </c>
      <c r="AI61" s="262">
        <v>0.1</v>
      </c>
      <c r="AJ61" s="262">
        <v>0.1</v>
      </c>
      <c r="AK61" s="262">
        <v>0.1</v>
      </c>
      <c r="AL61" s="262">
        <v>0.1</v>
      </c>
      <c r="AM61" s="262">
        <v>0.1</v>
      </c>
      <c r="AN61" s="262">
        <v>0.1</v>
      </c>
      <c r="AO61" s="262">
        <v>0.1</v>
      </c>
      <c r="AP61" s="262">
        <v>0.1</v>
      </c>
      <c r="AQ61" s="262">
        <v>0.1</v>
      </c>
      <c r="AR61" s="262">
        <v>0.1</v>
      </c>
      <c r="AS61" s="262">
        <v>0.1</v>
      </c>
      <c r="AT61" s="262">
        <v>0.1</v>
      </c>
      <c r="AU61" s="262">
        <v>0.1</v>
      </c>
      <c r="AV61" s="262">
        <v>0.1</v>
      </c>
      <c r="AW61" s="262">
        <v>0.1</v>
      </c>
      <c r="AX61" s="262">
        <v>0.1</v>
      </c>
      <c r="AY61" s="262">
        <v>0.1</v>
      </c>
      <c r="AZ61" s="262">
        <v>0.1</v>
      </c>
      <c r="BA61" s="262">
        <v>0.1</v>
      </c>
      <c r="BB61" s="262">
        <v>0.1</v>
      </c>
      <c r="BC61" s="262">
        <v>0.1</v>
      </c>
      <c r="BD61" s="262">
        <v>0.1</v>
      </c>
      <c r="BE61" s="262">
        <v>0.1</v>
      </c>
      <c r="BF61" s="262">
        <v>0.1</v>
      </c>
      <c r="BG61" s="262">
        <v>0.1</v>
      </c>
      <c r="BH61" s="262">
        <v>0.1</v>
      </c>
      <c r="BI61" s="262">
        <v>0.1</v>
      </c>
      <c r="BJ61" s="263">
        <v>0.1</v>
      </c>
      <c r="BK61">
        <v>0.1</v>
      </c>
      <c r="BL61">
        <v>0.1</v>
      </c>
      <c r="BM61">
        <v>0.1</v>
      </c>
      <c r="BN61">
        <v>0.1</v>
      </c>
      <c r="BO61">
        <v>0.1</v>
      </c>
      <c r="BP61">
        <f>SUM(BK61:BO61)</f>
        <v>0.5</v>
      </c>
      <c r="BS61">
        <v>58</v>
      </c>
      <c r="BT61" s="270">
        <v>4.78</v>
      </c>
      <c r="BU61" s="270">
        <v>1.1399999999999999</v>
      </c>
      <c r="BV61" s="2"/>
      <c r="BW61" s="2"/>
      <c r="BX61" s="2"/>
      <c r="BY61" s="258">
        <v>0.1</v>
      </c>
      <c r="BZ61" s="259">
        <v>0.1</v>
      </c>
      <c r="CA61" s="259">
        <v>0.1</v>
      </c>
      <c r="CB61" s="259">
        <v>0.1</v>
      </c>
      <c r="CC61" s="259">
        <v>0.1</v>
      </c>
      <c r="CD61" s="259">
        <v>0.1</v>
      </c>
      <c r="CE61" s="259">
        <v>0.1</v>
      </c>
      <c r="CF61" s="259">
        <v>0.1</v>
      </c>
      <c r="CG61" s="259">
        <v>0.1</v>
      </c>
      <c r="CH61" s="259">
        <v>0.1</v>
      </c>
      <c r="CI61" s="259">
        <v>0.1</v>
      </c>
      <c r="CJ61" s="259">
        <v>0.1</v>
      </c>
      <c r="CK61" s="259">
        <v>0.1</v>
      </c>
      <c r="CL61" s="259">
        <v>0.1</v>
      </c>
      <c r="CM61" s="259">
        <v>0.1</v>
      </c>
      <c r="CN61" s="259">
        <v>0.1</v>
      </c>
      <c r="CO61" s="259">
        <v>0.1</v>
      </c>
      <c r="CP61" s="259">
        <v>0.1</v>
      </c>
      <c r="CQ61" s="259">
        <v>0.1</v>
      </c>
      <c r="CR61" s="259">
        <v>0.1</v>
      </c>
      <c r="CS61" s="259">
        <v>0.1</v>
      </c>
      <c r="CT61" s="259">
        <v>0.1</v>
      </c>
      <c r="CU61" s="259">
        <v>0.1</v>
      </c>
      <c r="CV61" s="259">
        <v>0.1</v>
      </c>
      <c r="CW61" s="259">
        <v>0.1</v>
      </c>
      <c r="CX61" s="259">
        <v>0.1</v>
      </c>
      <c r="CY61" s="259">
        <v>0.1</v>
      </c>
      <c r="CZ61" s="259">
        <v>0.1</v>
      </c>
      <c r="DA61" s="259">
        <v>0.1</v>
      </c>
      <c r="DB61" s="259">
        <v>0.1</v>
      </c>
      <c r="DC61" s="259">
        <v>0.1</v>
      </c>
      <c r="DD61" s="259">
        <v>0.1</v>
      </c>
      <c r="DE61" s="259">
        <v>0.1</v>
      </c>
      <c r="DF61" s="259">
        <v>0.1</v>
      </c>
      <c r="DG61" s="259">
        <v>0.1</v>
      </c>
      <c r="DH61" s="259">
        <v>0.1</v>
      </c>
      <c r="DI61" s="259">
        <v>0.1</v>
      </c>
      <c r="DJ61" s="259">
        <v>0.1</v>
      </c>
      <c r="DK61" s="259">
        <v>0.1</v>
      </c>
      <c r="DL61" s="259">
        <v>0.1</v>
      </c>
      <c r="DM61" s="259">
        <v>0.1</v>
      </c>
      <c r="DN61" s="259">
        <v>0.1</v>
      </c>
      <c r="DO61" s="259">
        <v>0.1</v>
      </c>
      <c r="DP61" s="259">
        <v>0.1</v>
      </c>
      <c r="DQ61" s="259">
        <v>0.1</v>
      </c>
      <c r="DR61" s="259">
        <v>0.1</v>
      </c>
      <c r="DS61" s="259">
        <v>0.1</v>
      </c>
      <c r="DT61" s="260">
        <v>0.1</v>
      </c>
      <c r="DU61" s="258">
        <v>0.1</v>
      </c>
      <c r="DV61" s="259">
        <v>0.1</v>
      </c>
      <c r="DW61" s="259">
        <v>0.1</v>
      </c>
      <c r="DX61" s="259">
        <v>0.1</v>
      </c>
      <c r="DY61" s="259">
        <v>0.1</v>
      </c>
      <c r="DZ61" s="259">
        <v>0.1</v>
      </c>
      <c r="EA61" s="259">
        <v>0.1</v>
      </c>
      <c r="EB61" s="259">
        <v>0.1</v>
      </c>
      <c r="EC61" s="259">
        <v>0.1</v>
      </c>
      <c r="ED61" s="259">
        <v>0.1</v>
      </c>
      <c r="EE61" s="259">
        <v>0.1</v>
      </c>
      <c r="EF61" s="260">
        <v>0.1</v>
      </c>
      <c r="EJ61">
        <v>58</v>
      </c>
      <c r="EN61">
        <v>0.1</v>
      </c>
      <c r="EO61">
        <v>0.1</v>
      </c>
      <c r="EP61">
        <v>0.1</v>
      </c>
      <c r="EQ61">
        <v>0.1</v>
      </c>
      <c r="ER61">
        <v>0.1</v>
      </c>
      <c r="ES61">
        <v>0.1</v>
      </c>
      <c r="ET61">
        <v>0.1</v>
      </c>
      <c r="EU61">
        <v>0.1</v>
      </c>
      <c r="EV61">
        <v>0.1</v>
      </c>
      <c r="EW61">
        <v>0.1</v>
      </c>
      <c r="EX61">
        <v>0.1</v>
      </c>
      <c r="EY61">
        <v>0.1</v>
      </c>
      <c r="EZ61">
        <v>0.1</v>
      </c>
      <c r="FA61">
        <v>0.1</v>
      </c>
      <c r="FB61">
        <v>0.1</v>
      </c>
      <c r="FC61">
        <v>0.1</v>
      </c>
      <c r="FD61">
        <v>0.1</v>
      </c>
      <c r="FE61">
        <v>0.1</v>
      </c>
      <c r="FF61">
        <v>0.1</v>
      </c>
      <c r="FG61">
        <v>0.1</v>
      </c>
      <c r="FH61">
        <v>0.1</v>
      </c>
      <c r="FI61">
        <v>0.1</v>
      </c>
      <c r="FJ61">
        <v>0.1</v>
      </c>
      <c r="FK61">
        <v>0.1</v>
      </c>
      <c r="FL61">
        <v>0.1</v>
      </c>
      <c r="FM61">
        <v>0.1</v>
      </c>
      <c r="FN61">
        <v>0.1</v>
      </c>
      <c r="FO61">
        <v>0.1</v>
      </c>
      <c r="FP61">
        <v>0.1</v>
      </c>
      <c r="FQ61">
        <v>0.1</v>
      </c>
      <c r="FU61">
        <v>58</v>
      </c>
      <c r="FV61">
        <v>1.03</v>
      </c>
      <c r="FW61">
        <v>1.03</v>
      </c>
      <c r="FX61">
        <v>1.03</v>
      </c>
      <c r="FY61">
        <v>0.52</v>
      </c>
      <c r="GB61" s="66">
        <v>0.1</v>
      </c>
      <c r="GC61" s="67">
        <v>0.1</v>
      </c>
      <c r="GD61" s="67">
        <v>0.1</v>
      </c>
      <c r="GE61" s="67">
        <v>0.1</v>
      </c>
      <c r="GF61" s="67">
        <v>0.1</v>
      </c>
      <c r="GG61" s="67">
        <v>0.1</v>
      </c>
      <c r="GH61" s="67">
        <v>0.1</v>
      </c>
      <c r="GI61" s="67">
        <v>0.1</v>
      </c>
      <c r="GJ61" s="67">
        <v>0.1</v>
      </c>
      <c r="GK61" s="67">
        <v>0.1</v>
      </c>
      <c r="GL61" s="68">
        <v>0.1</v>
      </c>
      <c r="GM61" s="66">
        <v>0.1</v>
      </c>
      <c r="GN61" s="67">
        <v>0.1</v>
      </c>
      <c r="GO61" s="67">
        <v>0.1</v>
      </c>
      <c r="GP61" s="67">
        <v>0.1</v>
      </c>
      <c r="GQ61" s="67">
        <v>0.1</v>
      </c>
      <c r="GR61" s="67">
        <v>0.1</v>
      </c>
      <c r="GS61" s="67">
        <v>0.1</v>
      </c>
      <c r="GT61" s="67">
        <v>0.1</v>
      </c>
      <c r="GU61" s="67">
        <v>0.1</v>
      </c>
      <c r="GV61" s="67">
        <v>0.1</v>
      </c>
      <c r="GW61" s="68">
        <v>0.1</v>
      </c>
      <c r="GX61" s="66">
        <v>0.1</v>
      </c>
      <c r="GY61" s="67">
        <v>0.1</v>
      </c>
      <c r="GZ61" s="67">
        <v>0.1</v>
      </c>
      <c r="HA61" s="67">
        <v>0.1</v>
      </c>
      <c r="HB61" s="67">
        <v>0.1</v>
      </c>
      <c r="HC61" s="67">
        <v>0.1</v>
      </c>
      <c r="HD61" s="67">
        <v>0.1</v>
      </c>
      <c r="HE61" s="67">
        <v>0.1</v>
      </c>
      <c r="HF61" s="67">
        <v>0.1</v>
      </c>
      <c r="HG61" s="67">
        <v>0.1</v>
      </c>
      <c r="HH61" s="68">
        <v>0.1</v>
      </c>
      <c r="HI61" s="66">
        <v>0.1</v>
      </c>
      <c r="HJ61" s="67">
        <v>0.1</v>
      </c>
      <c r="HK61" s="67">
        <v>0.1</v>
      </c>
      <c r="HL61" s="67">
        <v>0.1</v>
      </c>
      <c r="HM61" s="67">
        <v>0.1</v>
      </c>
      <c r="HN61" s="68">
        <v>0.1</v>
      </c>
      <c r="HO61">
        <v>0.1</v>
      </c>
      <c r="HP61">
        <f t="shared" si="0"/>
        <v>0.1</v>
      </c>
    </row>
    <row r="62" spans="1:224" ht="15.75" thickBot="1" x14ac:dyDescent="0.3">
      <c r="A62">
        <v>59</v>
      </c>
      <c r="B62" s="268" t="s">
        <v>1179</v>
      </c>
      <c r="C62" s="2"/>
      <c r="D62" s="2"/>
      <c r="E62" s="2"/>
      <c r="G62" s="2"/>
      <c r="H62" s="258">
        <v>0.1</v>
      </c>
      <c r="I62" s="259">
        <v>0.1</v>
      </c>
      <c r="J62" s="259">
        <v>0.1</v>
      </c>
      <c r="K62" s="259">
        <v>0.1</v>
      </c>
      <c r="L62" s="259">
        <v>0.1</v>
      </c>
      <c r="M62" s="259">
        <v>0.1</v>
      </c>
      <c r="N62" s="259">
        <v>0.1</v>
      </c>
      <c r="O62" s="259">
        <v>0.1</v>
      </c>
      <c r="P62" s="259">
        <v>0.1</v>
      </c>
      <c r="Q62" s="259">
        <v>0.1</v>
      </c>
      <c r="R62" s="259">
        <v>0.1</v>
      </c>
      <c r="S62" s="259">
        <v>0.1</v>
      </c>
      <c r="T62" s="259">
        <v>0.1</v>
      </c>
      <c r="U62" s="259">
        <v>0.1</v>
      </c>
      <c r="V62" s="259">
        <v>0.1</v>
      </c>
      <c r="W62" s="259">
        <v>0.1</v>
      </c>
      <c r="X62" s="259">
        <v>0.1</v>
      </c>
      <c r="Y62" s="259">
        <v>0.1</v>
      </c>
      <c r="Z62" s="259">
        <v>0.1</v>
      </c>
      <c r="AA62" s="259">
        <v>0.1</v>
      </c>
      <c r="AB62" s="259">
        <v>0.1</v>
      </c>
      <c r="AC62" s="259">
        <v>0.1</v>
      </c>
      <c r="AD62" s="259">
        <v>0.1</v>
      </c>
      <c r="AE62" s="259">
        <v>0.1</v>
      </c>
      <c r="AF62" s="259">
        <v>0.1</v>
      </c>
      <c r="AG62" s="259">
        <v>0.1</v>
      </c>
      <c r="AH62" s="259">
        <v>0.1</v>
      </c>
      <c r="AI62" s="259">
        <v>0.1</v>
      </c>
      <c r="AJ62" s="259">
        <v>0.1</v>
      </c>
      <c r="AK62" s="259">
        <v>0.1</v>
      </c>
      <c r="AL62" s="259">
        <v>0.1</v>
      </c>
      <c r="AM62" s="259">
        <v>0.1</v>
      </c>
      <c r="AN62" s="259">
        <v>0.1</v>
      </c>
      <c r="AO62" s="259">
        <v>0.1</v>
      </c>
      <c r="AP62" s="259">
        <v>0.1</v>
      </c>
      <c r="AQ62" s="259">
        <v>0.1</v>
      </c>
      <c r="AR62" s="259">
        <v>0.1</v>
      </c>
      <c r="AS62" s="259">
        <v>0.1</v>
      </c>
      <c r="AT62" s="259">
        <v>0.1</v>
      </c>
      <c r="AU62" s="259">
        <v>0.1</v>
      </c>
      <c r="AV62" s="259">
        <v>0.1</v>
      </c>
      <c r="AW62" s="259">
        <v>0.1</v>
      </c>
      <c r="AX62" s="259">
        <v>0.1</v>
      </c>
      <c r="AY62" s="259">
        <v>0.1</v>
      </c>
      <c r="AZ62" s="259">
        <v>0.1</v>
      </c>
      <c r="BA62" s="259">
        <v>0.1</v>
      </c>
      <c r="BB62" s="259">
        <v>0.1</v>
      </c>
      <c r="BC62" s="259">
        <v>0.1</v>
      </c>
      <c r="BD62" s="259">
        <v>0.1</v>
      </c>
      <c r="BE62" s="259">
        <v>0.1</v>
      </c>
      <c r="BF62" s="259">
        <v>0.1</v>
      </c>
      <c r="BG62" s="259">
        <v>0.1</v>
      </c>
      <c r="BH62" s="259">
        <v>0.1</v>
      </c>
      <c r="BI62" s="259">
        <v>0.1</v>
      </c>
      <c r="BJ62" s="259">
        <v>0.1</v>
      </c>
      <c r="BK62" s="259">
        <v>0.1</v>
      </c>
      <c r="BL62" s="259">
        <v>0.1</v>
      </c>
      <c r="BM62" s="259">
        <v>0.1</v>
      </c>
      <c r="BN62" s="259">
        <v>0.1</v>
      </c>
      <c r="BO62" s="260">
        <v>0.1</v>
      </c>
      <c r="BS62">
        <v>59</v>
      </c>
      <c r="BT62" s="271">
        <v>4.78</v>
      </c>
      <c r="BU62" s="271">
        <v>1.1399999999999999</v>
      </c>
      <c r="BV62" s="2"/>
      <c r="BW62" s="2"/>
      <c r="BX62" s="2"/>
      <c r="BY62" s="258">
        <v>0.1</v>
      </c>
      <c r="BZ62" s="259">
        <v>0.1</v>
      </c>
      <c r="CA62" s="259">
        <v>0.1</v>
      </c>
      <c r="CB62" s="259">
        <v>0.1</v>
      </c>
      <c r="CC62" s="259">
        <v>0.1</v>
      </c>
      <c r="CD62" s="259">
        <v>0.1</v>
      </c>
      <c r="CE62" s="259">
        <v>0.1</v>
      </c>
      <c r="CF62" s="259">
        <v>0.1</v>
      </c>
      <c r="CG62" s="259">
        <v>0.1</v>
      </c>
      <c r="CH62" s="259">
        <v>0.1</v>
      </c>
      <c r="CI62" s="259">
        <v>0.1</v>
      </c>
      <c r="CJ62" s="259">
        <v>0.1</v>
      </c>
      <c r="CK62" s="259">
        <v>0.1</v>
      </c>
      <c r="CL62" s="259">
        <v>0.1</v>
      </c>
      <c r="CM62" s="259">
        <v>0.1</v>
      </c>
      <c r="CN62" s="259">
        <v>0.1</v>
      </c>
      <c r="CO62" s="259">
        <v>0.1</v>
      </c>
      <c r="CP62" s="259">
        <v>0.1</v>
      </c>
      <c r="CQ62" s="259">
        <v>0.1</v>
      </c>
      <c r="CR62" s="259">
        <v>0.1</v>
      </c>
      <c r="CS62" s="259">
        <v>0.1</v>
      </c>
      <c r="CT62" s="259">
        <v>0.1</v>
      </c>
      <c r="CU62" s="259">
        <v>0.1</v>
      </c>
      <c r="CV62" s="259">
        <v>0.1</v>
      </c>
      <c r="CW62" s="259">
        <v>0.1</v>
      </c>
      <c r="CX62" s="259">
        <v>0.1</v>
      </c>
      <c r="CY62" s="259">
        <v>0.1</v>
      </c>
      <c r="CZ62" s="259">
        <v>0.1</v>
      </c>
      <c r="DA62" s="259">
        <v>0.1</v>
      </c>
      <c r="DB62" s="259">
        <v>0.1</v>
      </c>
      <c r="DC62" s="259">
        <v>0.1</v>
      </c>
      <c r="DD62" s="259">
        <v>0.1</v>
      </c>
      <c r="DE62" s="259">
        <v>0.1</v>
      </c>
      <c r="DF62" s="259">
        <v>0.1</v>
      </c>
      <c r="DG62" s="259">
        <v>0.1</v>
      </c>
      <c r="DH62" s="259">
        <v>0.1</v>
      </c>
      <c r="DI62" s="259">
        <v>0.1</v>
      </c>
      <c r="DJ62" s="259">
        <v>0.1</v>
      </c>
      <c r="DK62" s="259">
        <v>0.1</v>
      </c>
      <c r="DL62" s="259">
        <v>0.1</v>
      </c>
      <c r="DM62" s="259">
        <v>0.1</v>
      </c>
      <c r="DN62" s="259">
        <v>0.1</v>
      </c>
      <c r="DO62" s="259">
        <v>0.1</v>
      </c>
      <c r="DP62" s="259">
        <v>0.1</v>
      </c>
      <c r="DQ62" s="259">
        <v>0.1</v>
      </c>
      <c r="DR62" s="259">
        <v>0.1</v>
      </c>
      <c r="DS62" s="259">
        <v>0.1</v>
      </c>
      <c r="DT62" s="260">
        <v>0.1</v>
      </c>
      <c r="DU62" s="258">
        <v>0.1</v>
      </c>
      <c r="DV62" s="259">
        <v>0.1</v>
      </c>
      <c r="DW62" s="259">
        <v>0.1</v>
      </c>
      <c r="DX62" s="259">
        <v>0.1</v>
      </c>
      <c r="DY62" s="259">
        <v>0.1</v>
      </c>
      <c r="DZ62" s="259">
        <v>0.1</v>
      </c>
      <c r="EA62" s="259">
        <v>0.1</v>
      </c>
      <c r="EB62" s="259">
        <v>0.1</v>
      </c>
      <c r="EC62" s="259">
        <v>0.1</v>
      </c>
      <c r="ED62" s="259">
        <v>0.1</v>
      </c>
      <c r="EE62" s="259">
        <v>0.1</v>
      </c>
      <c r="EF62" s="260">
        <v>0.1</v>
      </c>
      <c r="EJ62">
        <v>59</v>
      </c>
      <c r="EN62">
        <v>0.1</v>
      </c>
      <c r="EO62">
        <v>0.1</v>
      </c>
      <c r="EP62">
        <v>0.1</v>
      </c>
      <c r="EQ62">
        <v>0.1</v>
      </c>
      <c r="ER62">
        <v>0.1</v>
      </c>
      <c r="ES62">
        <v>0.1</v>
      </c>
      <c r="ET62">
        <v>0.1</v>
      </c>
      <c r="EU62">
        <v>0.1</v>
      </c>
      <c r="EV62">
        <v>0.1</v>
      </c>
      <c r="EW62">
        <v>0.1</v>
      </c>
      <c r="EX62">
        <v>0.1</v>
      </c>
      <c r="EY62">
        <v>0.1</v>
      </c>
      <c r="EZ62">
        <v>0.1</v>
      </c>
      <c r="FA62">
        <v>0.1</v>
      </c>
      <c r="FB62">
        <v>0.1</v>
      </c>
      <c r="FC62">
        <v>0.1</v>
      </c>
      <c r="FD62">
        <v>0.1</v>
      </c>
      <c r="FE62">
        <v>0.1</v>
      </c>
      <c r="FF62">
        <v>0.1</v>
      </c>
      <c r="FG62">
        <v>0.1</v>
      </c>
      <c r="FH62">
        <v>0.1</v>
      </c>
      <c r="FI62">
        <v>0.1</v>
      </c>
      <c r="FJ62">
        <v>0.1</v>
      </c>
      <c r="FK62">
        <v>0.1</v>
      </c>
      <c r="FL62">
        <v>0.1</v>
      </c>
      <c r="FM62">
        <v>0.1</v>
      </c>
      <c r="FN62">
        <v>0.1</v>
      </c>
      <c r="FO62">
        <v>0.1</v>
      </c>
      <c r="FP62">
        <v>0.1</v>
      </c>
      <c r="FQ62">
        <v>0.1</v>
      </c>
      <c r="FU62">
        <v>59</v>
      </c>
      <c r="FV62">
        <v>1.03</v>
      </c>
      <c r="FW62">
        <v>1.03</v>
      </c>
      <c r="FX62">
        <v>1.03</v>
      </c>
      <c r="FY62">
        <v>0.5</v>
      </c>
      <c r="GB62" s="66">
        <v>0.1</v>
      </c>
      <c r="GC62" s="67">
        <v>0.1</v>
      </c>
      <c r="GD62" s="67">
        <v>0.1</v>
      </c>
      <c r="GE62" s="67">
        <v>0.1</v>
      </c>
      <c r="GF62" s="67">
        <v>0.1</v>
      </c>
      <c r="GG62" s="67">
        <v>0.1</v>
      </c>
      <c r="GH62" s="67">
        <v>0.1</v>
      </c>
      <c r="GI62" s="67">
        <v>0.1</v>
      </c>
      <c r="GJ62" s="67">
        <v>0.1</v>
      </c>
      <c r="GK62" s="67">
        <v>0.1</v>
      </c>
      <c r="GL62" s="68">
        <v>0.1</v>
      </c>
      <c r="GM62" s="66">
        <v>0.1</v>
      </c>
      <c r="GN62" s="67">
        <v>0.1</v>
      </c>
      <c r="GO62" s="67">
        <v>0.1</v>
      </c>
      <c r="GP62" s="67">
        <v>0.1</v>
      </c>
      <c r="GQ62" s="67">
        <v>0.1</v>
      </c>
      <c r="GR62" s="67">
        <v>0.1</v>
      </c>
      <c r="GS62" s="67">
        <v>0.1</v>
      </c>
      <c r="GT62" s="67">
        <v>0.1</v>
      </c>
      <c r="GU62" s="67">
        <v>0.1</v>
      </c>
      <c r="GV62" s="67">
        <v>0.1</v>
      </c>
      <c r="GW62" s="68">
        <v>0.1</v>
      </c>
      <c r="GX62" s="66">
        <v>0.1</v>
      </c>
      <c r="GY62" s="67">
        <v>0.1</v>
      </c>
      <c r="GZ62" s="67">
        <v>0.1</v>
      </c>
      <c r="HA62" s="67">
        <v>0.1</v>
      </c>
      <c r="HB62" s="67">
        <v>0.1</v>
      </c>
      <c r="HC62" s="67">
        <v>0.1</v>
      </c>
      <c r="HD62" s="67">
        <v>0.1</v>
      </c>
      <c r="HE62" s="67">
        <v>0.1</v>
      </c>
      <c r="HF62" s="67">
        <v>0.1</v>
      </c>
      <c r="HG62" s="67">
        <v>0.1</v>
      </c>
      <c r="HH62" s="68">
        <v>0.1</v>
      </c>
      <c r="HI62" s="66">
        <v>0.1</v>
      </c>
      <c r="HJ62" s="67">
        <v>0.1</v>
      </c>
      <c r="HK62" s="67">
        <v>0.1</v>
      </c>
      <c r="HL62" s="67">
        <v>0.1</v>
      </c>
      <c r="HM62" s="68">
        <v>0.1</v>
      </c>
      <c r="HN62">
        <v>0.1</v>
      </c>
      <c r="HO62">
        <v>0.1</v>
      </c>
      <c r="HP62">
        <f t="shared" ref="HP62:HP72" si="1">SUM(HN62:HO62)</f>
        <v>0.2</v>
      </c>
    </row>
    <row r="63" spans="1:224" ht="15.75" thickBot="1" x14ac:dyDescent="0.3">
      <c r="A63">
        <v>60</v>
      </c>
      <c r="B63" s="268" t="s">
        <v>1180</v>
      </c>
      <c r="C63" s="269">
        <v>1.51</v>
      </c>
      <c r="D63" s="269">
        <v>1.02</v>
      </c>
      <c r="E63" s="2"/>
      <c r="G63" s="2"/>
      <c r="H63" s="258">
        <v>0.1</v>
      </c>
      <c r="I63" s="259">
        <v>0.1</v>
      </c>
      <c r="J63" s="259">
        <v>0.1</v>
      </c>
      <c r="K63" s="259">
        <v>0.1</v>
      </c>
      <c r="L63" s="259">
        <v>0.1</v>
      </c>
      <c r="M63" s="259">
        <v>0.1</v>
      </c>
      <c r="N63" s="259">
        <v>0.1</v>
      </c>
      <c r="O63" s="259">
        <v>0.1</v>
      </c>
      <c r="P63" s="259">
        <v>0.1</v>
      </c>
      <c r="Q63" s="259">
        <v>0.1</v>
      </c>
      <c r="R63" s="259">
        <v>0.1</v>
      </c>
      <c r="S63" s="259">
        <v>0.1</v>
      </c>
      <c r="T63" s="259">
        <v>0.1</v>
      </c>
      <c r="U63" s="259">
        <v>0.1</v>
      </c>
      <c r="V63" s="259">
        <v>0.1</v>
      </c>
      <c r="W63" s="259">
        <v>0.1</v>
      </c>
      <c r="X63" s="259">
        <v>0.1</v>
      </c>
      <c r="Y63" s="259">
        <v>0.1</v>
      </c>
      <c r="Z63" s="259">
        <v>0.1</v>
      </c>
      <c r="AA63" s="259">
        <v>0.1</v>
      </c>
      <c r="AB63" s="259">
        <v>0.1</v>
      </c>
      <c r="AC63" s="259">
        <v>0.1</v>
      </c>
      <c r="AD63" s="259">
        <v>0.1</v>
      </c>
      <c r="AE63" s="259">
        <v>0.1</v>
      </c>
      <c r="AF63" s="259">
        <v>0.1</v>
      </c>
      <c r="AG63" s="259">
        <v>0.1</v>
      </c>
      <c r="AH63" s="259">
        <v>0.1</v>
      </c>
      <c r="AI63" s="259">
        <v>0.1</v>
      </c>
      <c r="AJ63" s="259">
        <v>0.1</v>
      </c>
      <c r="AK63" s="259">
        <v>0.1</v>
      </c>
      <c r="AL63" s="259">
        <v>0.1</v>
      </c>
      <c r="AM63" s="259">
        <v>0.1</v>
      </c>
      <c r="AN63" s="260">
        <v>0.1</v>
      </c>
      <c r="AO63" s="258">
        <v>0.1</v>
      </c>
      <c r="AP63" s="259">
        <v>0.1</v>
      </c>
      <c r="AQ63" s="259">
        <v>0.1</v>
      </c>
      <c r="AR63" s="259">
        <v>0.1</v>
      </c>
      <c r="AS63" s="259">
        <v>0.1</v>
      </c>
      <c r="AT63" s="259">
        <v>0.1</v>
      </c>
      <c r="AU63" s="259">
        <v>0.1</v>
      </c>
      <c r="AV63" s="259">
        <v>0.1</v>
      </c>
      <c r="AW63" s="259">
        <v>0.1</v>
      </c>
      <c r="AX63" s="259">
        <v>0.1</v>
      </c>
      <c r="AY63" s="259">
        <v>0.1</v>
      </c>
      <c r="AZ63" s="259">
        <v>0.1</v>
      </c>
      <c r="BA63" s="259">
        <v>0.1</v>
      </c>
      <c r="BB63" s="259">
        <v>0.1</v>
      </c>
      <c r="BC63" s="259">
        <v>0.1</v>
      </c>
      <c r="BD63" s="260">
        <v>0.1</v>
      </c>
      <c r="BE63" s="258">
        <v>0.1</v>
      </c>
      <c r="BF63" s="259">
        <v>0.1</v>
      </c>
      <c r="BG63" s="259">
        <v>0.1</v>
      </c>
      <c r="BH63" s="259">
        <v>0.1</v>
      </c>
      <c r="BI63" s="259">
        <v>0.1</v>
      </c>
      <c r="BJ63" s="259">
        <v>0.1</v>
      </c>
      <c r="BK63" s="259">
        <v>0.1</v>
      </c>
      <c r="BL63" s="259">
        <v>0.1</v>
      </c>
      <c r="BM63" s="259">
        <v>0.1</v>
      </c>
      <c r="BN63" s="259">
        <v>0.1</v>
      </c>
      <c r="BO63" s="260">
        <v>0.1</v>
      </c>
      <c r="BS63">
        <v>60</v>
      </c>
      <c r="BT63" s="270">
        <v>4.78</v>
      </c>
      <c r="BU63" s="270">
        <v>1.1399999999999999</v>
      </c>
      <c r="BV63" s="2"/>
      <c r="BW63" s="2"/>
      <c r="BX63" s="2"/>
      <c r="BY63" s="258">
        <v>0.1</v>
      </c>
      <c r="BZ63" s="259">
        <v>0.1</v>
      </c>
      <c r="CA63" s="259">
        <v>0.1</v>
      </c>
      <c r="CB63" s="259">
        <v>0.1</v>
      </c>
      <c r="CC63" s="259">
        <v>0.1</v>
      </c>
      <c r="CD63" s="259">
        <v>0.1</v>
      </c>
      <c r="CE63" s="259">
        <v>0.1</v>
      </c>
      <c r="CF63" s="259">
        <v>0.1</v>
      </c>
      <c r="CG63" s="259">
        <v>0.1</v>
      </c>
      <c r="CH63" s="259">
        <v>0.1</v>
      </c>
      <c r="CI63" s="259">
        <v>0.1</v>
      </c>
      <c r="CJ63" s="259">
        <v>0.1</v>
      </c>
      <c r="CK63" s="259">
        <v>0.1</v>
      </c>
      <c r="CL63" s="259">
        <v>0.1</v>
      </c>
      <c r="CM63" s="259">
        <v>0.1</v>
      </c>
      <c r="CN63" s="259">
        <v>0.1</v>
      </c>
      <c r="CO63" s="259">
        <v>0.1</v>
      </c>
      <c r="CP63" s="259">
        <v>0.1</v>
      </c>
      <c r="CQ63" s="259">
        <v>0.1</v>
      </c>
      <c r="CR63" s="259">
        <v>0.1</v>
      </c>
      <c r="CS63" s="259">
        <v>0.1</v>
      </c>
      <c r="CT63" s="259">
        <v>0.1</v>
      </c>
      <c r="CU63" s="259">
        <v>0.1</v>
      </c>
      <c r="CV63" s="259">
        <v>0.1</v>
      </c>
      <c r="CW63" s="259">
        <v>0.1</v>
      </c>
      <c r="CX63" s="259">
        <v>0.1</v>
      </c>
      <c r="CY63" s="259">
        <v>0.1</v>
      </c>
      <c r="CZ63" s="259">
        <v>0.1</v>
      </c>
      <c r="DA63" s="259">
        <v>0.1</v>
      </c>
      <c r="DB63" s="259">
        <v>0.1</v>
      </c>
      <c r="DC63" s="259">
        <v>0.1</v>
      </c>
      <c r="DD63" s="259">
        <v>0.1</v>
      </c>
      <c r="DE63" s="259">
        <v>0.1</v>
      </c>
      <c r="DF63" s="259">
        <v>0.1</v>
      </c>
      <c r="DG63" s="259">
        <v>0.1</v>
      </c>
      <c r="DH63" s="259">
        <v>0.1</v>
      </c>
      <c r="DI63" s="259">
        <v>0.1</v>
      </c>
      <c r="DJ63" s="259">
        <v>0.1</v>
      </c>
      <c r="DK63" s="259">
        <v>0.1</v>
      </c>
      <c r="DL63" s="259">
        <v>0.1</v>
      </c>
      <c r="DM63" s="259">
        <v>0.1</v>
      </c>
      <c r="DN63" s="259">
        <v>0.1</v>
      </c>
      <c r="DO63" s="259">
        <v>0.1</v>
      </c>
      <c r="DP63" s="259">
        <v>0.1</v>
      </c>
      <c r="DQ63" s="259">
        <v>0.1</v>
      </c>
      <c r="DR63" s="259">
        <v>0.1</v>
      </c>
      <c r="DS63" s="259">
        <v>0.1</v>
      </c>
      <c r="DT63" s="260">
        <v>0.1</v>
      </c>
      <c r="DU63" s="258">
        <v>0.1</v>
      </c>
      <c r="DV63" s="259">
        <v>0.1</v>
      </c>
      <c r="DW63" s="259">
        <v>0.1</v>
      </c>
      <c r="DX63" s="259">
        <v>0.1</v>
      </c>
      <c r="DY63" s="259">
        <v>0.1</v>
      </c>
      <c r="DZ63" s="259">
        <v>0.1</v>
      </c>
      <c r="EA63" s="259">
        <v>0.1</v>
      </c>
      <c r="EB63" s="259">
        <v>0.1</v>
      </c>
      <c r="EC63" s="259">
        <v>0.1</v>
      </c>
      <c r="ED63" s="259">
        <v>0.1</v>
      </c>
      <c r="EE63" s="259">
        <v>0.1</v>
      </c>
      <c r="EF63" s="260">
        <v>0.1</v>
      </c>
      <c r="EJ63">
        <v>60</v>
      </c>
      <c r="EN63">
        <v>0.1</v>
      </c>
      <c r="EO63">
        <v>0.1</v>
      </c>
      <c r="EP63">
        <v>0.1</v>
      </c>
      <c r="EQ63">
        <v>0.1</v>
      </c>
      <c r="ER63">
        <v>0.1</v>
      </c>
      <c r="ES63">
        <v>0.1</v>
      </c>
      <c r="ET63">
        <v>0.1</v>
      </c>
      <c r="EU63">
        <v>0.1</v>
      </c>
      <c r="EV63">
        <v>0.1</v>
      </c>
      <c r="EW63">
        <v>0.1</v>
      </c>
      <c r="EX63">
        <v>0.1</v>
      </c>
      <c r="EY63">
        <v>0.1</v>
      </c>
      <c r="EZ63">
        <v>0.1</v>
      </c>
      <c r="FA63">
        <v>0.1</v>
      </c>
      <c r="FB63">
        <v>0.1</v>
      </c>
      <c r="FC63">
        <v>0.1</v>
      </c>
      <c r="FD63">
        <v>0.1</v>
      </c>
      <c r="FE63">
        <v>0.1</v>
      </c>
      <c r="FF63">
        <v>0.1</v>
      </c>
      <c r="FG63">
        <v>0.1</v>
      </c>
      <c r="FH63">
        <v>0.1</v>
      </c>
      <c r="FI63">
        <v>0.1</v>
      </c>
      <c r="FJ63">
        <v>0.1</v>
      </c>
      <c r="FK63">
        <v>0.1</v>
      </c>
      <c r="FL63">
        <v>0.1</v>
      </c>
      <c r="FM63">
        <v>0.1</v>
      </c>
      <c r="FN63">
        <v>0.1</v>
      </c>
      <c r="FO63">
        <v>0.1</v>
      </c>
      <c r="FP63">
        <v>0.1</v>
      </c>
      <c r="FQ63">
        <v>0.1</v>
      </c>
      <c r="FU63">
        <v>60</v>
      </c>
      <c r="FV63">
        <v>1.03</v>
      </c>
      <c r="FW63">
        <v>1.03</v>
      </c>
      <c r="FX63">
        <v>1.03</v>
      </c>
      <c r="FY63">
        <v>0.5</v>
      </c>
      <c r="GB63" s="66">
        <v>0.1</v>
      </c>
      <c r="GC63" s="67">
        <v>0.1</v>
      </c>
      <c r="GD63" s="67">
        <v>0.1</v>
      </c>
      <c r="GE63" s="67">
        <v>0.1</v>
      </c>
      <c r="GF63" s="67">
        <v>0.1</v>
      </c>
      <c r="GG63" s="67">
        <v>0.1</v>
      </c>
      <c r="GH63" s="67">
        <v>0.1</v>
      </c>
      <c r="GI63" s="67">
        <v>0.1</v>
      </c>
      <c r="GJ63" s="67">
        <v>0.1</v>
      </c>
      <c r="GK63" s="67">
        <v>0.1</v>
      </c>
      <c r="GL63" s="68">
        <v>0.1</v>
      </c>
      <c r="GM63" s="66">
        <v>0.1</v>
      </c>
      <c r="GN63" s="67">
        <v>0.1</v>
      </c>
      <c r="GO63" s="67">
        <v>0.1</v>
      </c>
      <c r="GP63" s="67">
        <v>0.1</v>
      </c>
      <c r="GQ63" s="67">
        <v>0.1</v>
      </c>
      <c r="GR63" s="67">
        <v>0.1</v>
      </c>
      <c r="GS63" s="67">
        <v>0.1</v>
      </c>
      <c r="GT63" s="67">
        <v>0.1</v>
      </c>
      <c r="GU63" s="67">
        <v>0.1</v>
      </c>
      <c r="GV63" s="67">
        <v>0.1</v>
      </c>
      <c r="GW63" s="68">
        <v>0.1</v>
      </c>
      <c r="GX63" s="66">
        <v>0.1</v>
      </c>
      <c r="GY63" s="67">
        <v>0.1</v>
      </c>
      <c r="GZ63" s="67">
        <v>0.1</v>
      </c>
      <c r="HA63" s="67">
        <v>0.1</v>
      </c>
      <c r="HB63" s="67">
        <v>0.1</v>
      </c>
      <c r="HC63" s="67">
        <v>0.1</v>
      </c>
      <c r="HD63" s="67">
        <v>0.1</v>
      </c>
      <c r="HE63" s="67">
        <v>0.1</v>
      </c>
      <c r="HF63" s="67">
        <v>0.1</v>
      </c>
      <c r="HG63" s="67">
        <v>0.1</v>
      </c>
      <c r="HH63" s="68">
        <v>0.1</v>
      </c>
      <c r="HI63" s="66">
        <v>0.1</v>
      </c>
      <c r="HJ63" s="67">
        <v>0.1</v>
      </c>
      <c r="HK63" s="67">
        <v>0.1</v>
      </c>
      <c r="HL63" s="67">
        <v>0.1</v>
      </c>
      <c r="HM63" s="68">
        <v>0.1</v>
      </c>
      <c r="HN63">
        <v>0.1</v>
      </c>
      <c r="HO63">
        <v>0.1</v>
      </c>
      <c r="HP63">
        <f t="shared" si="1"/>
        <v>0.2</v>
      </c>
    </row>
    <row r="64" spans="1:224" ht="15.75" thickBot="1" x14ac:dyDescent="0.3">
      <c r="A64">
        <v>61</v>
      </c>
      <c r="B64" s="268" t="s">
        <v>1179</v>
      </c>
      <c r="C64" s="2"/>
      <c r="D64" s="2"/>
      <c r="E64" s="2"/>
      <c r="G64" s="2"/>
      <c r="H64" s="258">
        <v>0.1</v>
      </c>
      <c r="I64" s="259">
        <v>0.1</v>
      </c>
      <c r="J64" s="259">
        <v>0.1</v>
      </c>
      <c r="K64" s="259">
        <v>0.1</v>
      </c>
      <c r="L64" s="259">
        <v>0.1</v>
      </c>
      <c r="M64" s="259">
        <v>0.1</v>
      </c>
      <c r="N64" s="259">
        <v>0.1</v>
      </c>
      <c r="O64" s="259">
        <v>0.1</v>
      </c>
      <c r="P64" s="259">
        <v>0.1</v>
      </c>
      <c r="Q64" s="259">
        <v>0.1</v>
      </c>
      <c r="R64" s="259">
        <v>0.1</v>
      </c>
      <c r="S64" s="259">
        <v>0.1</v>
      </c>
      <c r="T64" s="259">
        <v>0.1</v>
      </c>
      <c r="U64" s="259">
        <v>0.1</v>
      </c>
      <c r="V64" s="259">
        <v>0.1</v>
      </c>
      <c r="W64" s="259">
        <v>0.1</v>
      </c>
      <c r="X64" s="259">
        <v>0.1</v>
      </c>
      <c r="Y64" s="259">
        <v>0.1</v>
      </c>
      <c r="Z64" s="259">
        <v>0.1</v>
      </c>
      <c r="AA64" s="259">
        <v>0.1</v>
      </c>
      <c r="AB64" s="259">
        <v>0.1</v>
      </c>
      <c r="AC64" s="259">
        <v>0.1</v>
      </c>
      <c r="AD64" s="259">
        <v>0.1</v>
      </c>
      <c r="AE64" s="259">
        <v>0.1</v>
      </c>
      <c r="AF64" s="259">
        <v>0.1</v>
      </c>
      <c r="AG64" s="259">
        <v>0.1</v>
      </c>
      <c r="AH64" s="259">
        <v>0.1</v>
      </c>
      <c r="AI64" s="259">
        <v>0.1</v>
      </c>
      <c r="AJ64" s="259">
        <v>0.1</v>
      </c>
      <c r="AK64" s="259">
        <v>0.1</v>
      </c>
      <c r="AL64" s="259">
        <v>0.1</v>
      </c>
      <c r="AM64" s="259">
        <v>0.1</v>
      </c>
      <c r="AN64" s="259">
        <v>0.1</v>
      </c>
      <c r="AO64" s="259">
        <v>0.1</v>
      </c>
      <c r="AP64" s="259">
        <v>0.1</v>
      </c>
      <c r="AQ64" s="259">
        <v>0.1</v>
      </c>
      <c r="AR64" s="259">
        <v>0.1</v>
      </c>
      <c r="AS64" s="259">
        <v>0.1</v>
      </c>
      <c r="AT64" s="259">
        <v>0.1</v>
      </c>
      <c r="AU64" s="259">
        <v>0.1</v>
      </c>
      <c r="AV64" s="259">
        <v>0.1</v>
      </c>
      <c r="AW64" s="259">
        <v>0.1</v>
      </c>
      <c r="AX64" s="259">
        <v>0.1</v>
      </c>
      <c r="AY64" s="259">
        <v>0.1</v>
      </c>
      <c r="AZ64" s="259">
        <v>0.1</v>
      </c>
      <c r="BA64" s="259">
        <v>0.1</v>
      </c>
      <c r="BB64" s="259">
        <v>0.1</v>
      </c>
      <c r="BC64" s="259">
        <v>0.1</v>
      </c>
      <c r="BD64" s="259">
        <v>0.1</v>
      </c>
      <c r="BE64" s="259">
        <v>0.1</v>
      </c>
      <c r="BF64" s="259">
        <v>0.1</v>
      </c>
      <c r="BG64" s="259">
        <v>0.1</v>
      </c>
      <c r="BH64" s="259">
        <v>0.1</v>
      </c>
      <c r="BI64" s="259">
        <v>0.1</v>
      </c>
      <c r="BJ64" s="259">
        <v>0.1</v>
      </c>
      <c r="BK64" s="259">
        <v>0.1</v>
      </c>
      <c r="BL64" s="259">
        <v>0.1</v>
      </c>
      <c r="BM64" s="259">
        <v>0.1</v>
      </c>
      <c r="BN64" s="259">
        <v>0.1</v>
      </c>
      <c r="BO64" s="260">
        <v>0.1</v>
      </c>
      <c r="BS64">
        <v>61</v>
      </c>
      <c r="BT64" s="271">
        <v>4.78</v>
      </c>
      <c r="BU64" s="271">
        <v>1.1399999999999999</v>
      </c>
      <c r="BV64" s="2"/>
      <c r="BW64" s="2"/>
      <c r="BX64" s="2"/>
      <c r="BY64" s="258">
        <v>0.1</v>
      </c>
      <c r="BZ64" s="259">
        <v>0.1</v>
      </c>
      <c r="CA64" s="259">
        <v>0.1</v>
      </c>
      <c r="CB64" s="259">
        <v>0.1</v>
      </c>
      <c r="CC64" s="259">
        <v>0.1</v>
      </c>
      <c r="CD64" s="259">
        <v>0.1</v>
      </c>
      <c r="CE64" s="259">
        <v>0.1</v>
      </c>
      <c r="CF64" s="259">
        <v>0.1</v>
      </c>
      <c r="CG64" s="259">
        <v>0.1</v>
      </c>
      <c r="CH64" s="259">
        <v>0.1</v>
      </c>
      <c r="CI64" s="259">
        <v>0.1</v>
      </c>
      <c r="CJ64" s="259">
        <v>0.1</v>
      </c>
      <c r="CK64" s="259">
        <v>0.1</v>
      </c>
      <c r="CL64" s="259">
        <v>0.1</v>
      </c>
      <c r="CM64" s="259">
        <v>0.1</v>
      </c>
      <c r="CN64" s="259">
        <v>0.1</v>
      </c>
      <c r="CO64" s="259">
        <v>0.1</v>
      </c>
      <c r="CP64" s="259">
        <v>0.1</v>
      </c>
      <c r="CQ64" s="259">
        <v>0.1</v>
      </c>
      <c r="CR64" s="259">
        <v>0.1</v>
      </c>
      <c r="CS64" s="259">
        <v>0.1</v>
      </c>
      <c r="CT64" s="259">
        <v>0.1</v>
      </c>
      <c r="CU64" s="259">
        <v>0.1</v>
      </c>
      <c r="CV64" s="259">
        <v>0.1</v>
      </c>
      <c r="CW64" s="259">
        <v>0.1</v>
      </c>
      <c r="CX64" s="259">
        <v>0.1</v>
      </c>
      <c r="CY64" s="259">
        <v>0.1</v>
      </c>
      <c r="CZ64" s="259">
        <v>0.1</v>
      </c>
      <c r="DA64" s="259">
        <v>0.1</v>
      </c>
      <c r="DB64" s="259">
        <v>0.1</v>
      </c>
      <c r="DC64" s="259">
        <v>0.1</v>
      </c>
      <c r="DD64" s="259">
        <v>0.1</v>
      </c>
      <c r="DE64" s="259">
        <v>0.1</v>
      </c>
      <c r="DF64" s="259">
        <v>0.1</v>
      </c>
      <c r="DG64" s="259">
        <v>0.1</v>
      </c>
      <c r="DH64" s="259">
        <v>0.1</v>
      </c>
      <c r="DI64" s="259">
        <v>0.1</v>
      </c>
      <c r="DJ64" s="259">
        <v>0.1</v>
      </c>
      <c r="DK64" s="259">
        <v>0.1</v>
      </c>
      <c r="DL64" s="259">
        <v>0.1</v>
      </c>
      <c r="DM64" s="259">
        <v>0.1</v>
      </c>
      <c r="DN64" s="259">
        <v>0.1</v>
      </c>
      <c r="DO64" s="259">
        <v>0.1</v>
      </c>
      <c r="DP64" s="259">
        <v>0.1</v>
      </c>
      <c r="DQ64" s="259">
        <v>0.1</v>
      </c>
      <c r="DR64" s="259">
        <v>0.1</v>
      </c>
      <c r="DS64" s="259">
        <v>0.1</v>
      </c>
      <c r="DT64" s="260">
        <v>0.1</v>
      </c>
      <c r="DU64" s="258">
        <v>0.1</v>
      </c>
      <c r="DV64" s="259">
        <v>0.1</v>
      </c>
      <c r="DW64" s="259">
        <v>0.1</v>
      </c>
      <c r="DX64" s="259">
        <v>0.1</v>
      </c>
      <c r="DY64" s="259">
        <v>0.1</v>
      </c>
      <c r="DZ64" s="259">
        <v>0.1</v>
      </c>
      <c r="EA64" s="259">
        <v>0.1</v>
      </c>
      <c r="EB64" s="259">
        <v>0.1</v>
      </c>
      <c r="EC64" s="259">
        <v>0.1</v>
      </c>
      <c r="ED64" s="259">
        <v>0.1</v>
      </c>
      <c r="EE64" s="259">
        <v>0.1</v>
      </c>
      <c r="EF64" s="260">
        <v>0.1</v>
      </c>
      <c r="EJ64">
        <v>61</v>
      </c>
      <c r="EN64">
        <v>0.1</v>
      </c>
      <c r="EO64">
        <v>0.1</v>
      </c>
      <c r="EP64">
        <v>0.1</v>
      </c>
      <c r="EQ64">
        <v>0.1</v>
      </c>
      <c r="ER64">
        <v>0.1</v>
      </c>
      <c r="ES64">
        <v>0.1</v>
      </c>
      <c r="ET64">
        <v>0.1</v>
      </c>
      <c r="EU64">
        <v>0.1</v>
      </c>
      <c r="EV64">
        <v>0.1</v>
      </c>
      <c r="EW64">
        <v>0.1</v>
      </c>
      <c r="EX64">
        <v>0.1</v>
      </c>
      <c r="EY64">
        <v>0.1</v>
      </c>
      <c r="EZ64">
        <v>0.1</v>
      </c>
      <c r="FA64">
        <v>0.1</v>
      </c>
      <c r="FB64">
        <v>0.1</v>
      </c>
      <c r="FC64">
        <v>0.1</v>
      </c>
      <c r="FD64">
        <v>0.1</v>
      </c>
      <c r="FE64">
        <v>0.1</v>
      </c>
      <c r="FF64">
        <v>0.1</v>
      </c>
      <c r="FG64">
        <v>0.1</v>
      </c>
      <c r="FH64">
        <v>0.1</v>
      </c>
      <c r="FI64">
        <v>0.1</v>
      </c>
      <c r="FJ64">
        <v>0.1</v>
      </c>
      <c r="FK64">
        <v>0.1</v>
      </c>
      <c r="FL64">
        <v>0.1</v>
      </c>
      <c r="FM64">
        <v>0.1</v>
      </c>
      <c r="FN64">
        <v>0.1</v>
      </c>
      <c r="FO64">
        <v>0.1</v>
      </c>
      <c r="FP64">
        <v>0.1</v>
      </c>
      <c r="FQ64">
        <v>0.1</v>
      </c>
      <c r="FU64">
        <v>61</v>
      </c>
      <c r="FV64">
        <v>1.03</v>
      </c>
      <c r="FW64">
        <v>1.03</v>
      </c>
      <c r="FX64">
        <v>1.03</v>
      </c>
      <c r="FY64">
        <v>0.5</v>
      </c>
      <c r="GB64" s="66">
        <v>0.1</v>
      </c>
      <c r="GC64" s="67">
        <v>0.1</v>
      </c>
      <c r="GD64" s="67">
        <v>0.1</v>
      </c>
      <c r="GE64" s="67">
        <v>0.1</v>
      </c>
      <c r="GF64" s="67">
        <v>0.1</v>
      </c>
      <c r="GG64" s="67">
        <v>0.1</v>
      </c>
      <c r="GH64" s="67">
        <v>0.1</v>
      </c>
      <c r="GI64" s="67">
        <v>0.1</v>
      </c>
      <c r="GJ64" s="67">
        <v>0.1</v>
      </c>
      <c r="GK64" s="67">
        <v>0.1</v>
      </c>
      <c r="GL64" s="68">
        <v>0.1</v>
      </c>
      <c r="GM64" s="66">
        <v>0.1</v>
      </c>
      <c r="GN64" s="67">
        <v>0.1</v>
      </c>
      <c r="GO64" s="67">
        <v>0.1</v>
      </c>
      <c r="GP64" s="67">
        <v>0.1</v>
      </c>
      <c r="GQ64" s="67">
        <v>0.1</v>
      </c>
      <c r="GR64" s="67">
        <v>0.1</v>
      </c>
      <c r="GS64" s="67">
        <v>0.1</v>
      </c>
      <c r="GT64" s="67">
        <v>0.1</v>
      </c>
      <c r="GU64" s="67">
        <v>0.1</v>
      </c>
      <c r="GV64" s="67">
        <v>0.1</v>
      </c>
      <c r="GW64" s="68">
        <v>0.1</v>
      </c>
      <c r="GX64" s="66">
        <v>0.1</v>
      </c>
      <c r="GY64" s="67">
        <v>0.1</v>
      </c>
      <c r="GZ64" s="67">
        <v>0.1</v>
      </c>
      <c r="HA64" s="67">
        <v>0.1</v>
      </c>
      <c r="HB64" s="67">
        <v>0.1</v>
      </c>
      <c r="HC64" s="67">
        <v>0.1</v>
      </c>
      <c r="HD64" s="67">
        <v>0.1</v>
      </c>
      <c r="HE64" s="67">
        <v>0.1</v>
      </c>
      <c r="HF64" s="67">
        <v>0.1</v>
      </c>
      <c r="HG64" s="67">
        <v>0.1</v>
      </c>
      <c r="HH64" s="68">
        <v>0.1</v>
      </c>
      <c r="HI64" s="66">
        <v>0.1</v>
      </c>
      <c r="HJ64" s="67">
        <v>0.1</v>
      </c>
      <c r="HK64" s="67">
        <v>0.1</v>
      </c>
      <c r="HL64" s="67">
        <v>0.1</v>
      </c>
      <c r="HM64" s="68">
        <v>0.1</v>
      </c>
      <c r="HN64">
        <v>0.1</v>
      </c>
      <c r="HO64">
        <v>0.1</v>
      </c>
      <c r="HP64">
        <f t="shared" si="1"/>
        <v>0.2</v>
      </c>
    </row>
    <row r="65" spans="1:224" ht="15.75" thickBot="1" x14ac:dyDescent="0.3">
      <c r="A65">
        <v>62</v>
      </c>
      <c r="B65" s="268" t="s">
        <v>1180</v>
      </c>
      <c r="C65" s="268">
        <v>1.51</v>
      </c>
      <c r="D65" s="268">
        <v>0.78</v>
      </c>
      <c r="E65" s="2"/>
      <c r="G65" s="2"/>
      <c r="H65" s="258">
        <v>0.1</v>
      </c>
      <c r="I65" s="259">
        <v>0.1</v>
      </c>
      <c r="J65" s="259">
        <v>0.1</v>
      </c>
      <c r="K65" s="259">
        <v>0.1</v>
      </c>
      <c r="L65" s="259">
        <v>0.1</v>
      </c>
      <c r="M65" s="259">
        <v>0.1</v>
      </c>
      <c r="N65" s="259">
        <v>0.1</v>
      </c>
      <c r="O65" s="259">
        <v>0.1</v>
      </c>
      <c r="P65" s="259">
        <v>0.1</v>
      </c>
      <c r="Q65" s="259">
        <v>0.1</v>
      </c>
      <c r="R65" s="259">
        <v>0.1</v>
      </c>
      <c r="S65" s="259">
        <v>0.1</v>
      </c>
      <c r="T65" s="259">
        <v>0.1</v>
      </c>
      <c r="U65" s="259">
        <v>0.1</v>
      </c>
      <c r="V65" s="259">
        <v>0.1</v>
      </c>
      <c r="W65" s="259">
        <v>0.1</v>
      </c>
      <c r="X65" s="259">
        <v>0.1</v>
      </c>
      <c r="Y65" s="259">
        <v>0.1</v>
      </c>
      <c r="Z65" s="259">
        <v>0.1</v>
      </c>
      <c r="AA65" s="259">
        <v>0.1</v>
      </c>
      <c r="AB65" s="259">
        <v>0.1</v>
      </c>
      <c r="AC65" s="259">
        <v>0.1</v>
      </c>
      <c r="AD65" s="259">
        <v>0.1</v>
      </c>
      <c r="AE65" s="259">
        <v>0.1</v>
      </c>
      <c r="AF65" s="259">
        <v>0.1</v>
      </c>
      <c r="AG65" s="259">
        <v>0.1</v>
      </c>
      <c r="AH65" s="259">
        <v>0.1</v>
      </c>
      <c r="AI65" s="259">
        <v>0.1</v>
      </c>
      <c r="AJ65" s="259">
        <v>0.1</v>
      </c>
      <c r="AK65" s="259">
        <v>0.1</v>
      </c>
      <c r="AL65" s="259">
        <v>0.1</v>
      </c>
      <c r="AM65" s="259">
        <v>0.1</v>
      </c>
      <c r="AN65" s="260">
        <v>0.1</v>
      </c>
      <c r="AO65" s="258">
        <v>0.1</v>
      </c>
      <c r="AP65" s="259">
        <v>0.1</v>
      </c>
      <c r="AQ65" s="259">
        <v>0.1</v>
      </c>
      <c r="AR65" s="259">
        <v>0.1</v>
      </c>
      <c r="AS65" s="259">
        <v>0.1</v>
      </c>
      <c r="AT65" s="259">
        <v>0.1</v>
      </c>
      <c r="AU65" s="259">
        <v>0.1</v>
      </c>
      <c r="AV65" s="259">
        <v>0.1</v>
      </c>
      <c r="AW65" s="259">
        <v>0.1</v>
      </c>
      <c r="AX65" s="259">
        <v>0.1</v>
      </c>
      <c r="AY65" s="259">
        <v>0.1</v>
      </c>
      <c r="AZ65" s="259">
        <v>0.1</v>
      </c>
      <c r="BA65" s="259">
        <v>0.1</v>
      </c>
      <c r="BB65" s="259">
        <v>0.1</v>
      </c>
      <c r="BC65" s="259">
        <v>0.1</v>
      </c>
      <c r="BD65" s="260">
        <v>0.1</v>
      </c>
      <c r="BE65" s="258">
        <v>0.1</v>
      </c>
      <c r="BF65" s="259">
        <v>0.1</v>
      </c>
      <c r="BG65" s="259">
        <v>0.1</v>
      </c>
      <c r="BH65" s="259">
        <v>0.1</v>
      </c>
      <c r="BI65" s="259">
        <v>0.1</v>
      </c>
      <c r="BJ65" s="259">
        <v>0.1</v>
      </c>
      <c r="BK65" s="259">
        <v>0.1</v>
      </c>
      <c r="BL65" s="260">
        <v>0.1</v>
      </c>
      <c r="BM65">
        <v>0.1</v>
      </c>
      <c r="BN65">
        <v>0.1</v>
      </c>
      <c r="BO65">
        <v>0.1</v>
      </c>
      <c r="BP65">
        <f>SUM(BM65:BO65)</f>
        <v>0.30000000000000004</v>
      </c>
      <c r="BS65">
        <v>62</v>
      </c>
      <c r="BT65" s="270">
        <v>4.78</v>
      </c>
      <c r="BU65" s="270">
        <v>1.1399999999999999</v>
      </c>
      <c r="BV65" s="2"/>
      <c r="BW65" s="2"/>
      <c r="BX65" s="2"/>
      <c r="BY65" s="258">
        <v>0.1</v>
      </c>
      <c r="BZ65" s="259">
        <v>0.1</v>
      </c>
      <c r="CA65" s="259">
        <v>0.1</v>
      </c>
      <c r="CB65" s="259">
        <v>0.1</v>
      </c>
      <c r="CC65" s="259">
        <v>0.1</v>
      </c>
      <c r="CD65" s="259">
        <v>0.1</v>
      </c>
      <c r="CE65" s="259">
        <v>0.1</v>
      </c>
      <c r="CF65" s="259">
        <v>0.1</v>
      </c>
      <c r="CG65" s="259">
        <v>0.1</v>
      </c>
      <c r="CH65" s="259">
        <v>0.1</v>
      </c>
      <c r="CI65" s="259">
        <v>0.1</v>
      </c>
      <c r="CJ65" s="259">
        <v>0.1</v>
      </c>
      <c r="CK65" s="259">
        <v>0.1</v>
      </c>
      <c r="CL65" s="259">
        <v>0.1</v>
      </c>
      <c r="CM65" s="259">
        <v>0.1</v>
      </c>
      <c r="CN65" s="259">
        <v>0.1</v>
      </c>
      <c r="CO65" s="259">
        <v>0.1</v>
      </c>
      <c r="CP65" s="259">
        <v>0.1</v>
      </c>
      <c r="CQ65" s="259">
        <v>0.1</v>
      </c>
      <c r="CR65" s="259">
        <v>0.1</v>
      </c>
      <c r="CS65" s="259">
        <v>0.1</v>
      </c>
      <c r="CT65" s="259">
        <v>0.1</v>
      </c>
      <c r="CU65" s="259">
        <v>0.1</v>
      </c>
      <c r="CV65" s="259">
        <v>0.1</v>
      </c>
      <c r="CW65" s="259">
        <v>0.1</v>
      </c>
      <c r="CX65" s="259">
        <v>0.1</v>
      </c>
      <c r="CY65" s="259">
        <v>0.1</v>
      </c>
      <c r="CZ65" s="259">
        <v>0.1</v>
      </c>
      <c r="DA65" s="259">
        <v>0.1</v>
      </c>
      <c r="DB65" s="259">
        <v>0.1</v>
      </c>
      <c r="DC65" s="259">
        <v>0.1</v>
      </c>
      <c r="DD65" s="259">
        <v>0.1</v>
      </c>
      <c r="DE65" s="259">
        <v>0.1</v>
      </c>
      <c r="DF65" s="259">
        <v>0.1</v>
      </c>
      <c r="DG65" s="259">
        <v>0.1</v>
      </c>
      <c r="DH65" s="259">
        <v>0.1</v>
      </c>
      <c r="DI65" s="259">
        <v>0.1</v>
      </c>
      <c r="DJ65" s="259">
        <v>0.1</v>
      </c>
      <c r="DK65" s="259">
        <v>0.1</v>
      </c>
      <c r="DL65" s="259">
        <v>0.1</v>
      </c>
      <c r="DM65" s="259">
        <v>0.1</v>
      </c>
      <c r="DN65" s="259">
        <v>0.1</v>
      </c>
      <c r="DO65" s="259">
        <v>0.1</v>
      </c>
      <c r="DP65" s="259">
        <v>0.1</v>
      </c>
      <c r="DQ65" s="259">
        <v>0.1</v>
      </c>
      <c r="DR65" s="259">
        <v>0.1</v>
      </c>
      <c r="DS65" s="259">
        <v>0.1</v>
      </c>
      <c r="DT65" s="260">
        <v>0.1</v>
      </c>
      <c r="DU65" s="258">
        <v>0.1</v>
      </c>
      <c r="DV65" s="259">
        <v>0.1</v>
      </c>
      <c r="DW65" s="259">
        <v>0.1</v>
      </c>
      <c r="DX65" s="259">
        <v>0.1</v>
      </c>
      <c r="DY65" s="259">
        <v>0.1</v>
      </c>
      <c r="DZ65" s="259">
        <v>0.1</v>
      </c>
      <c r="EA65" s="259">
        <v>0.1</v>
      </c>
      <c r="EB65" s="259">
        <v>0.1</v>
      </c>
      <c r="EC65" s="259">
        <v>0.1</v>
      </c>
      <c r="ED65" s="259">
        <v>0.1</v>
      </c>
      <c r="EE65" s="259">
        <v>0.1</v>
      </c>
      <c r="EF65" s="260">
        <v>0.1</v>
      </c>
      <c r="EJ65">
        <v>62</v>
      </c>
      <c r="EN65">
        <v>0.1</v>
      </c>
      <c r="EO65">
        <v>0.1</v>
      </c>
      <c r="EP65">
        <v>0.1</v>
      </c>
      <c r="EQ65">
        <v>0.1</v>
      </c>
      <c r="ER65">
        <v>0.1</v>
      </c>
      <c r="ES65">
        <v>0.1</v>
      </c>
      <c r="ET65">
        <v>0.1</v>
      </c>
      <c r="EU65">
        <v>0.1</v>
      </c>
      <c r="EV65">
        <v>0.1</v>
      </c>
      <c r="EW65">
        <v>0.1</v>
      </c>
      <c r="EX65">
        <v>0.1</v>
      </c>
      <c r="EY65">
        <v>0.1</v>
      </c>
      <c r="EZ65">
        <v>0.1</v>
      </c>
      <c r="FA65">
        <v>0.1</v>
      </c>
      <c r="FB65">
        <v>0.1</v>
      </c>
      <c r="FC65">
        <v>0.1</v>
      </c>
      <c r="FD65">
        <v>0.1</v>
      </c>
      <c r="FE65">
        <v>0.1</v>
      </c>
      <c r="FF65">
        <v>0.1</v>
      </c>
      <c r="FG65">
        <v>0.1</v>
      </c>
      <c r="FH65">
        <v>0.1</v>
      </c>
      <c r="FI65">
        <v>0.1</v>
      </c>
      <c r="FJ65">
        <v>0.1</v>
      </c>
      <c r="FK65">
        <v>0.1</v>
      </c>
      <c r="FL65">
        <v>0.1</v>
      </c>
      <c r="FM65">
        <v>0.1</v>
      </c>
      <c r="FN65">
        <v>0.1</v>
      </c>
      <c r="FO65">
        <v>0.1</v>
      </c>
      <c r="FP65">
        <v>0.1</v>
      </c>
      <c r="FQ65">
        <v>0.1</v>
      </c>
      <c r="FU65">
        <v>62</v>
      </c>
      <c r="FV65">
        <v>1.03</v>
      </c>
      <c r="FW65">
        <v>1.03</v>
      </c>
      <c r="FX65">
        <v>1.03</v>
      </c>
      <c r="FY65">
        <v>0.5</v>
      </c>
      <c r="GB65" s="66">
        <v>0.1</v>
      </c>
      <c r="GC65" s="67">
        <v>0.1</v>
      </c>
      <c r="GD65" s="67">
        <v>0.1</v>
      </c>
      <c r="GE65" s="67">
        <v>0.1</v>
      </c>
      <c r="GF65" s="67">
        <v>0.1</v>
      </c>
      <c r="GG65" s="67">
        <v>0.1</v>
      </c>
      <c r="GH65" s="67">
        <v>0.1</v>
      </c>
      <c r="GI65" s="67">
        <v>0.1</v>
      </c>
      <c r="GJ65" s="67">
        <v>0.1</v>
      </c>
      <c r="GK65" s="67">
        <v>0.1</v>
      </c>
      <c r="GL65" s="68">
        <v>0.1</v>
      </c>
      <c r="GM65" s="66">
        <v>0.1</v>
      </c>
      <c r="GN65" s="67">
        <v>0.1</v>
      </c>
      <c r="GO65" s="67">
        <v>0.1</v>
      </c>
      <c r="GP65" s="67">
        <v>0.1</v>
      </c>
      <c r="GQ65" s="67">
        <v>0.1</v>
      </c>
      <c r="GR65" s="67">
        <v>0.1</v>
      </c>
      <c r="GS65" s="67">
        <v>0.1</v>
      </c>
      <c r="GT65" s="67">
        <v>0.1</v>
      </c>
      <c r="GU65" s="67">
        <v>0.1</v>
      </c>
      <c r="GV65" s="67">
        <v>0.1</v>
      </c>
      <c r="GW65" s="68">
        <v>0.1</v>
      </c>
      <c r="GX65" s="66">
        <v>0.1</v>
      </c>
      <c r="GY65" s="67">
        <v>0.1</v>
      </c>
      <c r="GZ65" s="67">
        <v>0.1</v>
      </c>
      <c r="HA65" s="67">
        <v>0.1</v>
      </c>
      <c r="HB65" s="67">
        <v>0.1</v>
      </c>
      <c r="HC65" s="67">
        <v>0.1</v>
      </c>
      <c r="HD65" s="67">
        <v>0.1</v>
      </c>
      <c r="HE65" s="67">
        <v>0.1</v>
      </c>
      <c r="HF65" s="67">
        <v>0.1</v>
      </c>
      <c r="HG65" s="67">
        <v>0.1</v>
      </c>
      <c r="HH65" s="68">
        <v>0.1</v>
      </c>
      <c r="HI65" s="66">
        <v>0.1</v>
      </c>
      <c r="HJ65" s="67">
        <v>0.1</v>
      </c>
      <c r="HK65" s="67">
        <v>0.1</v>
      </c>
      <c r="HL65" s="67">
        <v>0.1</v>
      </c>
      <c r="HM65" s="68">
        <v>0.1</v>
      </c>
      <c r="HN65">
        <v>0.1</v>
      </c>
      <c r="HO65">
        <v>0.1</v>
      </c>
      <c r="HP65">
        <f t="shared" si="1"/>
        <v>0.2</v>
      </c>
    </row>
    <row r="66" spans="1:224" ht="15.75" thickBot="1" x14ac:dyDescent="0.3">
      <c r="A66">
        <v>63</v>
      </c>
      <c r="B66" s="268" t="s">
        <v>1179</v>
      </c>
      <c r="C66" s="2"/>
      <c r="D66" s="2"/>
      <c r="E66" s="2"/>
      <c r="G66" s="2"/>
      <c r="H66" s="258">
        <v>0.1</v>
      </c>
      <c r="I66" s="259">
        <v>0.1</v>
      </c>
      <c r="J66" s="259">
        <v>0.1</v>
      </c>
      <c r="K66" s="259">
        <v>0.1</v>
      </c>
      <c r="L66" s="259">
        <v>0.1</v>
      </c>
      <c r="M66" s="259">
        <v>0.1</v>
      </c>
      <c r="N66" s="259">
        <v>0.1</v>
      </c>
      <c r="O66" s="259">
        <v>0.1</v>
      </c>
      <c r="P66" s="259">
        <v>0.1</v>
      </c>
      <c r="Q66" s="259">
        <v>0.1</v>
      </c>
      <c r="R66" s="259">
        <v>0.1</v>
      </c>
      <c r="S66" s="259">
        <v>0.1</v>
      </c>
      <c r="T66" s="259">
        <v>0.1</v>
      </c>
      <c r="U66" s="259">
        <v>0.1</v>
      </c>
      <c r="V66" s="259">
        <v>0.1</v>
      </c>
      <c r="W66" s="259">
        <v>0.1</v>
      </c>
      <c r="X66" s="259">
        <v>0.1</v>
      </c>
      <c r="Y66" s="259">
        <v>0.1</v>
      </c>
      <c r="Z66" s="259">
        <v>0.1</v>
      </c>
      <c r="AA66" s="259">
        <v>0.1</v>
      </c>
      <c r="AB66" s="259">
        <v>0.1</v>
      </c>
      <c r="AC66" s="259">
        <v>0.1</v>
      </c>
      <c r="AD66" s="259">
        <v>0.1</v>
      </c>
      <c r="AE66" s="259">
        <v>0.1</v>
      </c>
      <c r="AF66" s="259">
        <v>0.1</v>
      </c>
      <c r="AG66" s="259">
        <v>0.1</v>
      </c>
      <c r="AH66" s="259">
        <v>0.1</v>
      </c>
      <c r="AI66" s="259">
        <v>0.1</v>
      </c>
      <c r="AJ66" s="259">
        <v>0.1</v>
      </c>
      <c r="AK66" s="259">
        <v>0.1</v>
      </c>
      <c r="AL66" s="259">
        <v>0.1</v>
      </c>
      <c r="AM66" s="259">
        <v>0.1</v>
      </c>
      <c r="AN66" s="259">
        <v>0.1</v>
      </c>
      <c r="AO66" s="259">
        <v>0.1</v>
      </c>
      <c r="AP66" s="259">
        <v>0.1</v>
      </c>
      <c r="AQ66" s="259">
        <v>0.1</v>
      </c>
      <c r="AR66" s="259">
        <v>0.1</v>
      </c>
      <c r="AS66" s="259">
        <v>0.1</v>
      </c>
      <c r="AT66" s="259">
        <v>0.1</v>
      </c>
      <c r="AU66" s="259">
        <v>0.1</v>
      </c>
      <c r="AV66" s="259">
        <v>0.1</v>
      </c>
      <c r="AW66" s="259">
        <v>0.1</v>
      </c>
      <c r="AX66" s="259">
        <v>0.1</v>
      </c>
      <c r="AY66" s="259">
        <v>0.1</v>
      </c>
      <c r="AZ66" s="259">
        <v>0.1</v>
      </c>
      <c r="BA66" s="259">
        <v>0.1</v>
      </c>
      <c r="BB66" s="259">
        <v>0.1</v>
      </c>
      <c r="BC66" s="259">
        <v>0.1</v>
      </c>
      <c r="BD66" s="259">
        <v>0.1</v>
      </c>
      <c r="BE66" s="259">
        <v>0.1</v>
      </c>
      <c r="BF66" s="259">
        <v>0.1</v>
      </c>
      <c r="BG66" s="259">
        <v>0.1</v>
      </c>
      <c r="BH66" s="259">
        <v>0.1</v>
      </c>
      <c r="BI66" s="259">
        <v>0.1</v>
      </c>
      <c r="BJ66" s="259">
        <v>0.1</v>
      </c>
      <c r="BK66" s="259">
        <v>0.1</v>
      </c>
      <c r="BL66" s="259">
        <v>0.1</v>
      </c>
      <c r="BM66" s="259">
        <v>0.1</v>
      </c>
      <c r="BN66" s="259">
        <v>0.1</v>
      </c>
      <c r="BO66" s="260">
        <v>0.1</v>
      </c>
      <c r="BS66">
        <v>63</v>
      </c>
      <c r="BT66" s="271">
        <v>4.75</v>
      </c>
      <c r="BU66" s="271">
        <v>1.1399999999999999</v>
      </c>
      <c r="BV66" s="2"/>
      <c r="BW66" s="2"/>
      <c r="BX66" s="2"/>
      <c r="BY66" s="258">
        <v>0.1</v>
      </c>
      <c r="BZ66" s="259">
        <v>0.1</v>
      </c>
      <c r="CA66" s="259">
        <v>0.1</v>
      </c>
      <c r="CB66" s="259">
        <v>0.1</v>
      </c>
      <c r="CC66" s="259">
        <v>0.1</v>
      </c>
      <c r="CD66" s="259">
        <v>0.1</v>
      </c>
      <c r="CE66" s="259">
        <v>0.1</v>
      </c>
      <c r="CF66" s="259">
        <v>0.1</v>
      </c>
      <c r="CG66" s="259">
        <v>0.1</v>
      </c>
      <c r="CH66" s="259">
        <v>0.1</v>
      </c>
      <c r="CI66" s="259">
        <v>0.1</v>
      </c>
      <c r="CJ66" s="259">
        <v>0.1</v>
      </c>
      <c r="CK66" s="259">
        <v>0.1</v>
      </c>
      <c r="CL66" s="259">
        <v>0.1</v>
      </c>
      <c r="CM66" s="259">
        <v>0.1</v>
      </c>
      <c r="CN66" s="259">
        <v>0.1</v>
      </c>
      <c r="CO66" s="259">
        <v>0.1</v>
      </c>
      <c r="CP66" s="259">
        <v>0.1</v>
      </c>
      <c r="CQ66" s="259">
        <v>0.1</v>
      </c>
      <c r="CR66" s="259">
        <v>0.1</v>
      </c>
      <c r="CS66" s="259">
        <v>0.1</v>
      </c>
      <c r="CT66" s="259">
        <v>0.1</v>
      </c>
      <c r="CU66" s="259">
        <v>0.1</v>
      </c>
      <c r="CV66" s="259">
        <v>0.1</v>
      </c>
      <c r="CW66" s="259">
        <v>0.1</v>
      </c>
      <c r="CX66" s="259">
        <v>0.1</v>
      </c>
      <c r="CY66" s="259">
        <v>0.1</v>
      </c>
      <c r="CZ66" s="259">
        <v>0.1</v>
      </c>
      <c r="DA66" s="259">
        <v>0.1</v>
      </c>
      <c r="DB66" s="259">
        <v>0.1</v>
      </c>
      <c r="DC66" s="259">
        <v>0.1</v>
      </c>
      <c r="DD66" s="259">
        <v>0.1</v>
      </c>
      <c r="DE66" s="259">
        <v>0.1</v>
      </c>
      <c r="DF66" s="259">
        <v>0.1</v>
      </c>
      <c r="DG66" s="259">
        <v>0.1</v>
      </c>
      <c r="DH66" s="259">
        <v>0.1</v>
      </c>
      <c r="DI66" s="259">
        <v>0.1</v>
      </c>
      <c r="DJ66" s="259">
        <v>0.1</v>
      </c>
      <c r="DK66" s="259">
        <v>0.1</v>
      </c>
      <c r="DL66" s="259">
        <v>0.1</v>
      </c>
      <c r="DM66" s="259">
        <v>0.1</v>
      </c>
      <c r="DN66" s="259">
        <v>0.1</v>
      </c>
      <c r="DO66" s="259">
        <v>0.1</v>
      </c>
      <c r="DP66" s="259">
        <v>0.1</v>
      </c>
      <c r="DQ66" s="259">
        <v>0.1</v>
      </c>
      <c r="DR66" s="259">
        <v>0.1</v>
      </c>
      <c r="DS66" s="259">
        <v>0.1</v>
      </c>
      <c r="DT66" s="260">
        <v>0.1</v>
      </c>
      <c r="DU66" s="258">
        <v>0.1</v>
      </c>
      <c r="DV66" s="259">
        <v>0.1</v>
      </c>
      <c r="DW66" s="259">
        <v>0.1</v>
      </c>
      <c r="DX66" s="259">
        <v>0.1</v>
      </c>
      <c r="DY66" s="259">
        <v>0.1</v>
      </c>
      <c r="DZ66" s="259">
        <v>0.1</v>
      </c>
      <c r="EA66" s="259">
        <v>0.1</v>
      </c>
      <c r="EB66" s="259">
        <v>0.1</v>
      </c>
      <c r="EC66" s="259">
        <v>0.1</v>
      </c>
      <c r="ED66" s="259">
        <v>0.1</v>
      </c>
      <c r="EE66" s="259">
        <v>0.1</v>
      </c>
      <c r="EF66" s="260">
        <v>0.1</v>
      </c>
      <c r="EJ66">
        <v>63</v>
      </c>
      <c r="EN66">
        <v>0.1</v>
      </c>
      <c r="EO66">
        <v>0.1</v>
      </c>
      <c r="EP66">
        <v>0.1</v>
      </c>
      <c r="EQ66">
        <v>0.1</v>
      </c>
      <c r="ER66">
        <v>0.1</v>
      </c>
      <c r="ES66">
        <v>0.1</v>
      </c>
      <c r="ET66">
        <v>0.1</v>
      </c>
      <c r="EU66">
        <v>0.1</v>
      </c>
      <c r="EV66">
        <v>0.1</v>
      </c>
      <c r="EW66">
        <v>0.1</v>
      </c>
      <c r="EX66">
        <v>0.1</v>
      </c>
      <c r="EY66">
        <v>0.1</v>
      </c>
      <c r="EZ66">
        <v>0.1</v>
      </c>
      <c r="FA66">
        <v>0.1</v>
      </c>
      <c r="FB66">
        <v>0.1</v>
      </c>
      <c r="FC66">
        <v>0.1</v>
      </c>
      <c r="FD66">
        <v>0.1</v>
      </c>
      <c r="FE66">
        <v>0.1</v>
      </c>
      <c r="FF66">
        <v>0.1</v>
      </c>
      <c r="FG66">
        <v>0.1</v>
      </c>
      <c r="FH66">
        <v>0.1</v>
      </c>
      <c r="FI66">
        <v>0.1</v>
      </c>
      <c r="FJ66">
        <v>0.1</v>
      </c>
      <c r="FK66">
        <v>0.1</v>
      </c>
      <c r="FL66">
        <v>0.1</v>
      </c>
      <c r="FM66">
        <v>0.1</v>
      </c>
      <c r="FN66">
        <v>0.1</v>
      </c>
      <c r="FO66">
        <v>0.1</v>
      </c>
      <c r="FP66">
        <v>0.1</v>
      </c>
      <c r="FQ66">
        <v>0.1</v>
      </c>
      <c r="FU66">
        <v>63</v>
      </c>
      <c r="FV66">
        <v>1.03</v>
      </c>
      <c r="FW66">
        <v>1.03</v>
      </c>
      <c r="FX66">
        <v>1.03</v>
      </c>
      <c r="FY66">
        <v>0.48</v>
      </c>
      <c r="GB66" s="66">
        <v>0.1</v>
      </c>
      <c r="GC66" s="67">
        <v>0.1</v>
      </c>
      <c r="GD66" s="67">
        <v>0.1</v>
      </c>
      <c r="GE66" s="67">
        <v>0.1</v>
      </c>
      <c r="GF66" s="67">
        <v>0.1</v>
      </c>
      <c r="GG66" s="67">
        <v>0.1</v>
      </c>
      <c r="GH66" s="67">
        <v>0.1</v>
      </c>
      <c r="GI66" s="67">
        <v>0.1</v>
      </c>
      <c r="GJ66" s="67">
        <v>0.1</v>
      </c>
      <c r="GK66" s="67">
        <v>0.1</v>
      </c>
      <c r="GL66" s="68">
        <v>0.1</v>
      </c>
      <c r="GM66" s="66">
        <v>0.1</v>
      </c>
      <c r="GN66" s="67">
        <v>0.1</v>
      </c>
      <c r="GO66" s="67">
        <v>0.1</v>
      </c>
      <c r="GP66" s="67">
        <v>0.1</v>
      </c>
      <c r="GQ66" s="67">
        <v>0.1</v>
      </c>
      <c r="GR66" s="67">
        <v>0.1</v>
      </c>
      <c r="GS66" s="67">
        <v>0.1</v>
      </c>
      <c r="GT66" s="67">
        <v>0.1</v>
      </c>
      <c r="GU66" s="67">
        <v>0.1</v>
      </c>
      <c r="GV66" s="67">
        <v>0.1</v>
      </c>
      <c r="GW66" s="68">
        <v>0.1</v>
      </c>
      <c r="GX66" s="66">
        <v>0.1</v>
      </c>
      <c r="GY66" s="67">
        <v>0.1</v>
      </c>
      <c r="GZ66" s="67">
        <v>0.1</v>
      </c>
      <c r="HA66" s="67">
        <v>0.1</v>
      </c>
      <c r="HB66" s="67">
        <v>0.1</v>
      </c>
      <c r="HC66" s="67">
        <v>0.1</v>
      </c>
      <c r="HD66" s="67">
        <v>0.1</v>
      </c>
      <c r="HE66" s="67">
        <v>0.1</v>
      </c>
      <c r="HF66" s="67">
        <v>0.1</v>
      </c>
      <c r="HG66" s="67">
        <v>0.1</v>
      </c>
      <c r="HH66" s="68">
        <v>0.1</v>
      </c>
      <c r="HI66" s="66">
        <v>0.1</v>
      </c>
      <c r="HJ66" s="67">
        <v>0.1</v>
      </c>
      <c r="HK66" s="67">
        <v>0.1</v>
      </c>
      <c r="HL66" s="67">
        <v>0.1</v>
      </c>
      <c r="HM66" s="68">
        <v>0.1</v>
      </c>
      <c r="HN66">
        <v>0.1</v>
      </c>
      <c r="HO66">
        <v>0.1</v>
      </c>
      <c r="HP66">
        <f t="shared" si="1"/>
        <v>0.2</v>
      </c>
    </row>
    <row r="67" spans="1:224" ht="15.75" thickBot="1" x14ac:dyDescent="0.3">
      <c r="A67">
        <v>64</v>
      </c>
      <c r="B67" s="268" t="s">
        <v>1180</v>
      </c>
      <c r="C67" s="269">
        <v>1.51</v>
      </c>
      <c r="D67" s="269">
        <v>0.78</v>
      </c>
      <c r="E67" s="2"/>
      <c r="G67" s="2"/>
      <c r="H67" s="258">
        <v>0.1</v>
      </c>
      <c r="I67" s="259">
        <v>0.1</v>
      </c>
      <c r="J67" s="259">
        <v>0.1</v>
      </c>
      <c r="K67" s="259">
        <v>0.1</v>
      </c>
      <c r="L67" s="259">
        <v>0.1</v>
      </c>
      <c r="M67" s="259">
        <v>0.1</v>
      </c>
      <c r="N67" s="259">
        <v>0.1</v>
      </c>
      <c r="O67" s="259">
        <v>0.1</v>
      </c>
      <c r="P67" s="259">
        <v>0.1</v>
      </c>
      <c r="Q67" s="259">
        <v>0.1</v>
      </c>
      <c r="R67" s="259">
        <v>0.1</v>
      </c>
      <c r="S67" s="259">
        <v>0.1</v>
      </c>
      <c r="T67" s="259">
        <v>0.1</v>
      </c>
      <c r="U67" s="259">
        <v>0.1</v>
      </c>
      <c r="V67" s="259">
        <v>0.1</v>
      </c>
      <c r="W67" s="259">
        <v>0.1</v>
      </c>
      <c r="X67" s="259">
        <v>0.1</v>
      </c>
      <c r="Y67" s="259">
        <v>0.1</v>
      </c>
      <c r="Z67" s="259">
        <v>0.1</v>
      </c>
      <c r="AA67" s="259">
        <v>0.1</v>
      </c>
      <c r="AB67" s="259">
        <v>0.1</v>
      </c>
      <c r="AC67" s="259">
        <v>0.1</v>
      </c>
      <c r="AD67" s="259">
        <v>0.1</v>
      </c>
      <c r="AE67" s="259">
        <v>0.1</v>
      </c>
      <c r="AF67" s="259">
        <v>0.1</v>
      </c>
      <c r="AG67" s="259">
        <v>0.1</v>
      </c>
      <c r="AH67" s="259">
        <v>0.1</v>
      </c>
      <c r="AI67" s="259">
        <v>0.1</v>
      </c>
      <c r="AJ67" s="259">
        <v>0.1</v>
      </c>
      <c r="AK67" s="259">
        <v>0.1</v>
      </c>
      <c r="AL67" s="259">
        <v>0.1</v>
      </c>
      <c r="AM67" s="259">
        <v>0.1</v>
      </c>
      <c r="AN67" s="260">
        <v>0.1</v>
      </c>
      <c r="AO67" s="258">
        <v>0.1</v>
      </c>
      <c r="AP67" s="259">
        <v>0.1</v>
      </c>
      <c r="AQ67" s="259">
        <v>0.1</v>
      </c>
      <c r="AR67" s="259">
        <v>0.1</v>
      </c>
      <c r="AS67" s="259">
        <v>0.1</v>
      </c>
      <c r="AT67" s="259">
        <v>0.1</v>
      </c>
      <c r="AU67" s="259">
        <v>0.1</v>
      </c>
      <c r="AV67" s="259">
        <v>0.1</v>
      </c>
      <c r="AW67" s="259">
        <v>0.1</v>
      </c>
      <c r="AX67" s="259">
        <v>0.1</v>
      </c>
      <c r="AY67" s="259">
        <v>0.1</v>
      </c>
      <c r="AZ67" s="259">
        <v>0.1</v>
      </c>
      <c r="BA67" s="259">
        <v>0.1</v>
      </c>
      <c r="BB67" s="259">
        <v>0.1</v>
      </c>
      <c r="BC67" s="259">
        <v>0.1</v>
      </c>
      <c r="BD67" s="260">
        <v>0.1</v>
      </c>
      <c r="BE67" s="258">
        <v>0.1</v>
      </c>
      <c r="BF67" s="259">
        <v>0.1</v>
      </c>
      <c r="BG67" s="259">
        <v>0.1</v>
      </c>
      <c r="BH67" s="259">
        <v>0.1</v>
      </c>
      <c r="BI67" s="259">
        <v>0.1</v>
      </c>
      <c r="BJ67" s="259">
        <v>0.1</v>
      </c>
      <c r="BK67" s="259">
        <v>0.1</v>
      </c>
      <c r="BL67" s="260">
        <v>0.1</v>
      </c>
      <c r="BM67">
        <v>0.1</v>
      </c>
      <c r="BN67">
        <v>0.1</v>
      </c>
      <c r="BO67">
        <v>0.1</v>
      </c>
      <c r="BP67">
        <f>SUM(BM67:BO67)</f>
        <v>0.30000000000000004</v>
      </c>
      <c r="BS67">
        <v>64</v>
      </c>
      <c r="BT67" s="270">
        <v>4.75</v>
      </c>
      <c r="BU67" s="270">
        <v>1.1399999999999999</v>
      </c>
      <c r="BV67" s="2"/>
      <c r="BW67" s="2"/>
      <c r="BX67" s="2"/>
      <c r="BY67" s="258">
        <v>0.1</v>
      </c>
      <c r="BZ67" s="259">
        <v>0.1</v>
      </c>
      <c r="CA67" s="259">
        <v>0.1</v>
      </c>
      <c r="CB67" s="259">
        <v>0.1</v>
      </c>
      <c r="CC67" s="259">
        <v>0.1</v>
      </c>
      <c r="CD67" s="259">
        <v>0.1</v>
      </c>
      <c r="CE67" s="259">
        <v>0.1</v>
      </c>
      <c r="CF67" s="259">
        <v>0.1</v>
      </c>
      <c r="CG67" s="259">
        <v>0.1</v>
      </c>
      <c r="CH67" s="259">
        <v>0.1</v>
      </c>
      <c r="CI67" s="259">
        <v>0.1</v>
      </c>
      <c r="CJ67" s="259">
        <v>0.1</v>
      </c>
      <c r="CK67" s="259">
        <v>0.1</v>
      </c>
      <c r="CL67" s="259">
        <v>0.1</v>
      </c>
      <c r="CM67" s="259">
        <v>0.1</v>
      </c>
      <c r="CN67" s="259">
        <v>0.1</v>
      </c>
      <c r="CO67" s="259">
        <v>0.1</v>
      </c>
      <c r="CP67" s="259">
        <v>0.1</v>
      </c>
      <c r="CQ67" s="259">
        <v>0.1</v>
      </c>
      <c r="CR67" s="259">
        <v>0.1</v>
      </c>
      <c r="CS67" s="259">
        <v>0.1</v>
      </c>
      <c r="CT67" s="259">
        <v>0.1</v>
      </c>
      <c r="CU67" s="259">
        <v>0.1</v>
      </c>
      <c r="CV67" s="259">
        <v>0.1</v>
      </c>
      <c r="CW67" s="259">
        <v>0.1</v>
      </c>
      <c r="CX67" s="259">
        <v>0.1</v>
      </c>
      <c r="CY67" s="259">
        <v>0.1</v>
      </c>
      <c r="CZ67" s="259">
        <v>0.1</v>
      </c>
      <c r="DA67" s="259">
        <v>0.1</v>
      </c>
      <c r="DB67" s="259">
        <v>0.1</v>
      </c>
      <c r="DC67" s="259">
        <v>0.1</v>
      </c>
      <c r="DD67" s="259">
        <v>0.1</v>
      </c>
      <c r="DE67" s="259">
        <v>0.1</v>
      </c>
      <c r="DF67" s="259">
        <v>0.1</v>
      </c>
      <c r="DG67" s="259">
        <v>0.1</v>
      </c>
      <c r="DH67" s="259">
        <v>0.1</v>
      </c>
      <c r="DI67" s="259">
        <v>0.1</v>
      </c>
      <c r="DJ67" s="259">
        <v>0.1</v>
      </c>
      <c r="DK67" s="259">
        <v>0.1</v>
      </c>
      <c r="DL67" s="259">
        <v>0.1</v>
      </c>
      <c r="DM67" s="259">
        <v>0.1</v>
      </c>
      <c r="DN67" s="259">
        <v>0.1</v>
      </c>
      <c r="DO67" s="259">
        <v>0.1</v>
      </c>
      <c r="DP67" s="259">
        <v>0.1</v>
      </c>
      <c r="DQ67" s="259">
        <v>0.1</v>
      </c>
      <c r="DR67" s="259">
        <v>0.1</v>
      </c>
      <c r="DS67" s="259">
        <v>0.1</v>
      </c>
      <c r="DT67" s="260">
        <v>0.1</v>
      </c>
      <c r="DU67" s="258">
        <v>0.1</v>
      </c>
      <c r="DV67" s="259">
        <v>0.1</v>
      </c>
      <c r="DW67" s="259">
        <v>0.1</v>
      </c>
      <c r="DX67" s="259">
        <v>0.1</v>
      </c>
      <c r="DY67" s="259">
        <v>0.1</v>
      </c>
      <c r="DZ67" s="259">
        <v>0.1</v>
      </c>
      <c r="EA67" s="259">
        <v>0.1</v>
      </c>
      <c r="EB67" s="259">
        <v>0.1</v>
      </c>
      <c r="EC67" s="259">
        <v>0.1</v>
      </c>
      <c r="ED67" s="259">
        <v>0.1</v>
      </c>
      <c r="EE67" s="259">
        <v>0.1</v>
      </c>
      <c r="EF67" s="260">
        <v>0.1</v>
      </c>
      <c r="EJ67">
        <v>64</v>
      </c>
      <c r="EN67">
        <v>0.1</v>
      </c>
      <c r="EO67">
        <v>0.1</v>
      </c>
      <c r="EP67">
        <v>0.1</v>
      </c>
      <c r="EQ67">
        <v>0.1</v>
      </c>
      <c r="ER67">
        <v>0.1</v>
      </c>
      <c r="ES67">
        <v>0.1</v>
      </c>
      <c r="ET67">
        <v>0.1</v>
      </c>
      <c r="EU67">
        <v>0.1</v>
      </c>
      <c r="EV67">
        <v>0.1</v>
      </c>
      <c r="EW67">
        <v>0.1</v>
      </c>
      <c r="EX67">
        <v>0.1</v>
      </c>
      <c r="EY67">
        <v>0.1</v>
      </c>
      <c r="EZ67">
        <v>0.1</v>
      </c>
      <c r="FA67">
        <v>0.1</v>
      </c>
      <c r="FB67">
        <v>0.1</v>
      </c>
      <c r="FC67">
        <v>0.1</v>
      </c>
      <c r="FD67">
        <v>0.1</v>
      </c>
      <c r="FE67">
        <v>0.1</v>
      </c>
      <c r="FF67">
        <v>0.1</v>
      </c>
      <c r="FG67">
        <v>0.1</v>
      </c>
      <c r="FH67">
        <v>0.1</v>
      </c>
      <c r="FI67">
        <v>0.1</v>
      </c>
      <c r="FJ67">
        <v>0.1</v>
      </c>
      <c r="FK67">
        <v>0.1</v>
      </c>
      <c r="FL67">
        <v>0.1</v>
      </c>
      <c r="FM67">
        <v>0.1</v>
      </c>
      <c r="FN67">
        <v>0.1</v>
      </c>
      <c r="FO67">
        <v>0.1</v>
      </c>
      <c r="FP67">
        <v>0.1</v>
      </c>
      <c r="FQ67">
        <v>0.1</v>
      </c>
      <c r="FU67">
        <v>64</v>
      </c>
      <c r="FV67">
        <v>1.03</v>
      </c>
      <c r="FW67">
        <v>1.03</v>
      </c>
      <c r="FX67">
        <v>1.03</v>
      </c>
      <c r="FY67">
        <v>0.48</v>
      </c>
      <c r="GB67" s="66">
        <v>0.1</v>
      </c>
      <c r="GC67" s="67">
        <v>0.1</v>
      </c>
      <c r="GD67" s="67">
        <v>0.1</v>
      </c>
      <c r="GE67" s="67">
        <v>0.1</v>
      </c>
      <c r="GF67" s="67">
        <v>0.1</v>
      </c>
      <c r="GG67" s="67">
        <v>0.1</v>
      </c>
      <c r="GH67" s="67">
        <v>0.1</v>
      </c>
      <c r="GI67" s="67">
        <v>0.1</v>
      </c>
      <c r="GJ67" s="67">
        <v>0.1</v>
      </c>
      <c r="GK67" s="67">
        <v>0.1</v>
      </c>
      <c r="GL67" s="68">
        <v>0.1</v>
      </c>
      <c r="GM67" s="66">
        <v>0.1</v>
      </c>
      <c r="GN67" s="67">
        <v>0.1</v>
      </c>
      <c r="GO67" s="67">
        <v>0.1</v>
      </c>
      <c r="GP67" s="67">
        <v>0.1</v>
      </c>
      <c r="GQ67" s="67">
        <v>0.1</v>
      </c>
      <c r="GR67" s="67">
        <v>0.1</v>
      </c>
      <c r="GS67" s="67">
        <v>0.1</v>
      </c>
      <c r="GT67" s="67">
        <v>0.1</v>
      </c>
      <c r="GU67" s="67">
        <v>0.1</v>
      </c>
      <c r="GV67" s="67">
        <v>0.1</v>
      </c>
      <c r="GW67" s="68">
        <v>0.1</v>
      </c>
      <c r="GX67" s="66">
        <v>0.1</v>
      </c>
      <c r="GY67" s="67">
        <v>0.1</v>
      </c>
      <c r="GZ67" s="67">
        <v>0.1</v>
      </c>
      <c r="HA67" s="67">
        <v>0.1</v>
      </c>
      <c r="HB67" s="67">
        <v>0.1</v>
      </c>
      <c r="HC67" s="67">
        <v>0.1</v>
      </c>
      <c r="HD67" s="67">
        <v>0.1</v>
      </c>
      <c r="HE67" s="67">
        <v>0.1</v>
      </c>
      <c r="HF67" s="67">
        <v>0.1</v>
      </c>
      <c r="HG67" s="67">
        <v>0.1</v>
      </c>
      <c r="HH67" s="68">
        <v>0.1</v>
      </c>
      <c r="HI67" s="66">
        <v>0.1</v>
      </c>
      <c r="HJ67" s="67">
        <v>0.1</v>
      </c>
      <c r="HK67" s="67">
        <v>0.1</v>
      </c>
      <c r="HL67" s="67">
        <v>0.1</v>
      </c>
      <c r="HM67" s="68">
        <v>0.1</v>
      </c>
      <c r="HN67">
        <v>0.1</v>
      </c>
      <c r="HO67">
        <v>0.1</v>
      </c>
      <c r="HP67">
        <f t="shared" si="1"/>
        <v>0.2</v>
      </c>
    </row>
    <row r="68" spans="1:224" ht="15.75" thickBot="1" x14ac:dyDescent="0.3">
      <c r="A68">
        <v>65</v>
      </c>
      <c r="B68" s="268" t="s">
        <v>1179</v>
      </c>
      <c r="C68" s="2"/>
      <c r="D68" s="2"/>
      <c r="E68" s="2"/>
      <c r="G68" s="2"/>
      <c r="H68" s="258">
        <v>0.1</v>
      </c>
      <c r="I68" s="259">
        <v>0.1</v>
      </c>
      <c r="J68" s="259">
        <v>0.1</v>
      </c>
      <c r="K68" s="259">
        <v>0.1</v>
      </c>
      <c r="L68" s="259">
        <v>0.1</v>
      </c>
      <c r="M68" s="259">
        <v>0.1</v>
      </c>
      <c r="N68" s="259">
        <v>0.1</v>
      </c>
      <c r="O68" s="259">
        <v>0.1</v>
      </c>
      <c r="P68" s="259">
        <v>0.1</v>
      </c>
      <c r="Q68" s="259">
        <v>0.1</v>
      </c>
      <c r="R68" s="259">
        <v>0.1</v>
      </c>
      <c r="S68" s="259">
        <v>0.1</v>
      </c>
      <c r="T68" s="259">
        <v>0.1</v>
      </c>
      <c r="U68" s="259">
        <v>0.1</v>
      </c>
      <c r="V68" s="259">
        <v>0.1</v>
      </c>
      <c r="W68" s="259">
        <v>0.1</v>
      </c>
      <c r="X68" s="259">
        <v>0.1</v>
      </c>
      <c r="Y68" s="259">
        <v>0.1</v>
      </c>
      <c r="Z68" s="259">
        <v>0.1</v>
      </c>
      <c r="AA68" s="259">
        <v>0.1</v>
      </c>
      <c r="AB68" s="259">
        <v>0.1</v>
      </c>
      <c r="AC68" s="259">
        <v>0.1</v>
      </c>
      <c r="AD68" s="259">
        <v>0.1</v>
      </c>
      <c r="AE68" s="259">
        <v>0.1</v>
      </c>
      <c r="AF68" s="259">
        <v>0.1</v>
      </c>
      <c r="AG68" s="259">
        <v>0.1</v>
      </c>
      <c r="AH68" s="259">
        <v>0.1</v>
      </c>
      <c r="AI68" s="259">
        <v>0.1</v>
      </c>
      <c r="AJ68" s="259">
        <v>0.1</v>
      </c>
      <c r="AK68" s="259">
        <v>0.1</v>
      </c>
      <c r="AL68" s="259">
        <v>0.1</v>
      </c>
      <c r="AM68" s="259">
        <v>0.1</v>
      </c>
      <c r="AN68" s="259">
        <v>0.1</v>
      </c>
      <c r="AO68" s="259">
        <v>0.1</v>
      </c>
      <c r="AP68" s="259">
        <v>0.1</v>
      </c>
      <c r="AQ68" s="259">
        <v>0.1</v>
      </c>
      <c r="AR68" s="259">
        <v>0.1</v>
      </c>
      <c r="AS68" s="259">
        <v>0.1</v>
      </c>
      <c r="AT68" s="259">
        <v>0.1</v>
      </c>
      <c r="AU68" s="259">
        <v>0.1</v>
      </c>
      <c r="AV68" s="259">
        <v>0.1</v>
      </c>
      <c r="AW68" s="259">
        <v>0.1</v>
      </c>
      <c r="AX68" s="259">
        <v>0.1</v>
      </c>
      <c r="AY68" s="259">
        <v>0.1</v>
      </c>
      <c r="AZ68" s="259">
        <v>0.1</v>
      </c>
      <c r="BA68" s="259">
        <v>0.1</v>
      </c>
      <c r="BB68" s="259">
        <v>0.1</v>
      </c>
      <c r="BC68" s="259">
        <v>0.1</v>
      </c>
      <c r="BD68" s="259">
        <v>0.1</v>
      </c>
      <c r="BE68" s="259">
        <v>0.1</v>
      </c>
      <c r="BF68" s="259">
        <v>0.1</v>
      </c>
      <c r="BG68" s="259">
        <v>0.1</v>
      </c>
      <c r="BH68" s="259">
        <v>0.1</v>
      </c>
      <c r="BI68" s="259">
        <v>0.1</v>
      </c>
      <c r="BJ68" s="259">
        <v>0.1</v>
      </c>
      <c r="BK68" s="259">
        <v>0.1</v>
      </c>
      <c r="BL68" s="259">
        <v>0.1</v>
      </c>
      <c r="BM68" s="259">
        <v>0.1</v>
      </c>
      <c r="BN68" s="259">
        <v>0.1</v>
      </c>
      <c r="BO68" s="260">
        <v>0.1</v>
      </c>
      <c r="BS68">
        <v>65</v>
      </c>
      <c r="BT68" s="271">
        <v>4.75</v>
      </c>
      <c r="BU68" s="271">
        <v>1.1499999999999999</v>
      </c>
      <c r="BV68" s="2"/>
      <c r="BW68" s="2"/>
      <c r="BX68" s="2"/>
      <c r="BY68" s="258">
        <v>0.1</v>
      </c>
      <c r="BZ68" s="259">
        <v>0.1</v>
      </c>
      <c r="CA68" s="259">
        <v>0.1</v>
      </c>
      <c r="CB68" s="259">
        <v>0.1</v>
      </c>
      <c r="CC68" s="259">
        <v>0.1</v>
      </c>
      <c r="CD68" s="259">
        <v>0.1</v>
      </c>
      <c r="CE68" s="259">
        <v>0.1</v>
      </c>
      <c r="CF68" s="259">
        <v>0.1</v>
      </c>
      <c r="CG68" s="259">
        <v>0.1</v>
      </c>
      <c r="CH68" s="259">
        <v>0.1</v>
      </c>
      <c r="CI68" s="259">
        <v>0.1</v>
      </c>
      <c r="CJ68" s="259">
        <v>0.1</v>
      </c>
      <c r="CK68" s="259">
        <v>0.1</v>
      </c>
      <c r="CL68" s="259">
        <v>0.1</v>
      </c>
      <c r="CM68" s="259">
        <v>0.1</v>
      </c>
      <c r="CN68" s="259">
        <v>0.1</v>
      </c>
      <c r="CO68" s="259">
        <v>0.1</v>
      </c>
      <c r="CP68" s="259">
        <v>0.1</v>
      </c>
      <c r="CQ68" s="259">
        <v>0.1</v>
      </c>
      <c r="CR68" s="259">
        <v>0.1</v>
      </c>
      <c r="CS68" s="259">
        <v>0.1</v>
      </c>
      <c r="CT68" s="259">
        <v>0.1</v>
      </c>
      <c r="CU68" s="259">
        <v>0.1</v>
      </c>
      <c r="CV68" s="259">
        <v>0.1</v>
      </c>
      <c r="CW68" s="259">
        <v>0.1</v>
      </c>
      <c r="CX68" s="259">
        <v>0.1</v>
      </c>
      <c r="CY68" s="259">
        <v>0.1</v>
      </c>
      <c r="CZ68" s="259">
        <v>0.1</v>
      </c>
      <c r="DA68" s="259">
        <v>0.1</v>
      </c>
      <c r="DB68" s="259">
        <v>0.1</v>
      </c>
      <c r="DC68" s="259">
        <v>0.1</v>
      </c>
      <c r="DD68" s="259">
        <v>0.1</v>
      </c>
      <c r="DE68" s="259">
        <v>0.1</v>
      </c>
      <c r="DF68" s="259">
        <v>0.1</v>
      </c>
      <c r="DG68" s="259">
        <v>0.1</v>
      </c>
      <c r="DH68" s="259">
        <v>0.1</v>
      </c>
      <c r="DI68" s="259">
        <v>0.1</v>
      </c>
      <c r="DJ68" s="259">
        <v>0.1</v>
      </c>
      <c r="DK68" s="259">
        <v>0.1</v>
      </c>
      <c r="DL68" s="259">
        <v>0.1</v>
      </c>
      <c r="DM68" s="259">
        <v>0.1</v>
      </c>
      <c r="DN68" s="259">
        <v>0.1</v>
      </c>
      <c r="DO68" s="259">
        <v>0.1</v>
      </c>
      <c r="DP68" s="259">
        <v>0.1</v>
      </c>
      <c r="DQ68" s="259">
        <v>0.1</v>
      </c>
      <c r="DR68" s="259">
        <v>0.1</v>
      </c>
      <c r="DS68" s="259">
        <v>0.1</v>
      </c>
      <c r="DT68" s="260">
        <v>0.1</v>
      </c>
      <c r="DU68" s="258">
        <v>0.1</v>
      </c>
      <c r="DV68" s="259">
        <v>0.1</v>
      </c>
      <c r="DW68" s="259">
        <v>0.1</v>
      </c>
      <c r="DX68" s="259">
        <v>0.1</v>
      </c>
      <c r="DY68" s="259">
        <v>0.1</v>
      </c>
      <c r="DZ68" s="259">
        <v>0.1</v>
      </c>
      <c r="EA68" s="259">
        <v>0.1</v>
      </c>
      <c r="EB68" s="259">
        <v>0.1</v>
      </c>
      <c r="EC68" s="259">
        <v>0.1</v>
      </c>
      <c r="ED68" s="259">
        <v>0.1</v>
      </c>
      <c r="EE68" s="259">
        <v>0.1</v>
      </c>
      <c r="EF68" s="260">
        <v>0.1</v>
      </c>
      <c r="EJ68">
        <v>65</v>
      </c>
      <c r="EN68">
        <v>0.1</v>
      </c>
      <c r="EO68">
        <v>0.1</v>
      </c>
      <c r="EP68">
        <v>0.1</v>
      </c>
      <c r="EQ68">
        <v>0.1</v>
      </c>
      <c r="ER68">
        <v>0.1</v>
      </c>
      <c r="ES68">
        <v>0.1</v>
      </c>
      <c r="ET68">
        <v>0.1</v>
      </c>
      <c r="EU68">
        <v>0.1</v>
      </c>
      <c r="EV68">
        <v>0.1</v>
      </c>
      <c r="EW68">
        <v>0.1</v>
      </c>
      <c r="EX68">
        <v>0.1</v>
      </c>
      <c r="EY68">
        <v>0.1</v>
      </c>
      <c r="EZ68">
        <v>0.1</v>
      </c>
      <c r="FA68">
        <v>0.1</v>
      </c>
      <c r="FB68">
        <v>0.1</v>
      </c>
      <c r="FC68">
        <v>0.1</v>
      </c>
      <c r="FD68">
        <v>0.1</v>
      </c>
      <c r="FE68">
        <v>0.1</v>
      </c>
      <c r="FF68">
        <v>0.1</v>
      </c>
      <c r="FG68">
        <v>0.1</v>
      </c>
      <c r="FH68">
        <v>0.1</v>
      </c>
      <c r="FI68">
        <v>0.1</v>
      </c>
      <c r="FJ68">
        <v>0.1</v>
      </c>
      <c r="FK68">
        <v>0.1</v>
      </c>
      <c r="FL68">
        <v>0.1</v>
      </c>
      <c r="FM68">
        <v>0.1</v>
      </c>
      <c r="FN68">
        <v>0.1</v>
      </c>
      <c r="FO68">
        <v>0.1</v>
      </c>
      <c r="FP68">
        <v>0.1</v>
      </c>
      <c r="FQ68">
        <v>0.1</v>
      </c>
      <c r="FU68">
        <v>65</v>
      </c>
      <c r="FV68">
        <v>1.03</v>
      </c>
      <c r="FW68">
        <v>1.03</v>
      </c>
      <c r="FX68">
        <v>1.03</v>
      </c>
      <c r="FY68">
        <v>0.46</v>
      </c>
      <c r="GB68" s="66">
        <v>0.1</v>
      </c>
      <c r="GC68" s="67">
        <v>0.1</v>
      </c>
      <c r="GD68" s="67">
        <v>0.1</v>
      </c>
      <c r="GE68" s="67">
        <v>0.1</v>
      </c>
      <c r="GF68" s="67">
        <v>0.1</v>
      </c>
      <c r="GG68" s="67">
        <v>0.1</v>
      </c>
      <c r="GH68" s="67">
        <v>0.1</v>
      </c>
      <c r="GI68" s="67">
        <v>0.1</v>
      </c>
      <c r="GJ68" s="67">
        <v>0.1</v>
      </c>
      <c r="GK68" s="67">
        <v>0.1</v>
      </c>
      <c r="GL68" s="68">
        <v>0.1</v>
      </c>
      <c r="GM68" s="66">
        <v>0.1</v>
      </c>
      <c r="GN68" s="67">
        <v>0.1</v>
      </c>
      <c r="GO68" s="67">
        <v>0.1</v>
      </c>
      <c r="GP68" s="67">
        <v>0.1</v>
      </c>
      <c r="GQ68" s="67">
        <v>0.1</v>
      </c>
      <c r="GR68" s="67">
        <v>0.1</v>
      </c>
      <c r="GS68" s="67">
        <v>0.1</v>
      </c>
      <c r="GT68" s="67">
        <v>0.1</v>
      </c>
      <c r="GU68" s="67">
        <v>0.1</v>
      </c>
      <c r="GV68" s="67">
        <v>0.1</v>
      </c>
      <c r="GW68" s="68">
        <v>0.1</v>
      </c>
      <c r="GX68" s="66">
        <v>0.1</v>
      </c>
      <c r="GY68" s="67">
        <v>0.1</v>
      </c>
      <c r="GZ68" s="67">
        <v>0.1</v>
      </c>
      <c r="HA68" s="67">
        <v>0.1</v>
      </c>
      <c r="HB68" s="67">
        <v>0.1</v>
      </c>
      <c r="HC68" s="67">
        <v>0.1</v>
      </c>
      <c r="HD68" s="67">
        <v>0.1</v>
      </c>
      <c r="HE68" s="67">
        <v>0.1</v>
      </c>
      <c r="HF68" s="67">
        <v>0.1</v>
      </c>
      <c r="HG68" s="67">
        <v>0.1</v>
      </c>
      <c r="HH68" s="68">
        <v>0.1</v>
      </c>
      <c r="HI68" s="66">
        <v>0.1</v>
      </c>
      <c r="HJ68" s="67">
        <v>0.1</v>
      </c>
      <c r="HK68" s="67">
        <v>0.1</v>
      </c>
      <c r="HL68" s="67">
        <v>0.1</v>
      </c>
      <c r="HM68" s="68">
        <v>0.1</v>
      </c>
      <c r="HN68">
        <v>0.1</v>
      </c>
      <c r="HO68">
        <v>0.1</v>
      </c>
      <c r="HP68">
        <f t="shared" si="1"/>
        <v>0.2</v>
      </c>
    </row>
    <row r="69" spans="1:224" ht="15.75" thickBot="1" x14ac:dyDescent="0.3">
      <c r="A69">
        <v>66</v>
      </c>
      <c r="B69" s="268" t="s">
        <v>1180</v>
      </c>
      <c r="C69" s="268">
        <v>1.51</v>
      </c>
      <c r="D69" s="268">
        <v>0.78</v>
      </c>
      <c r="E69" s="2"/>
      <c r="G69" s="2"/>
      <c r="H69" s="258">
        <v>0.1</v>
      </c>
      <c r="I69" s="259">
        <v>0.1</v>
      </c>
      <c r="J69" s="259">
        <v>0.1</v>
      </c>
      <c r="K69" s="259">
        <v>0.1</v>
      </c>
      <c r="L69" s="259">
        <v>0.1</v>
      </c>
      <c r="M69" s="259">
        <v>0.1</v>
      </c>
      <c r="N69" s="259">
        <v>0.1</v>
      </c>
      <c r="O69" s="259">
        <v>0.1</v>
      </c>
      <c r="P69" s="259">
        <v>0.1</v>
      </c>
      <c r="Q69" s="259">
        <v>0.1</v>
      </c>
      <c r="R69" s="259">
        <v>0.1</v>
      </c>
      <c r="S69" s="259">
        <v>0.1</v>
      </c>
      <c r="T69" s="259">
        <v>0.1</v>
      </c>
      <c r="U69" s="259">
        <v>0.1</v>
      </c>
      <c r="V69" s="259">
        <v>0.1</v>
      </c>
      <c r="W69" s="259">
        <v>0.1</v>
      </c>
      <c r="X69" s="259">
        <v>0.1</v>
      </c>
      <c r="Y69" s="259">
        <v>0.1</v>
      </c>
      <c r="Z69" s="259">
        <v>0.1</v>
      </c>
      <c r="AA69" s="259">
        <v>0.1</v>
      </c>
      <c r="AB69" s="259">
        <v>0.1</v>
      </c>
      <c r="AC69" s="259">
        <v>0.1</v>
      </c>
      <c r="AD69" s="259">
        <v>0.1</v>
      </c>
      <c r="AE69" s="259">
        <v>0.1</v>
      </c>
      <c r="AF69" s="259">
        <v>0.1</v>
      </c>
      <c r="AG69" s="259">
        <v>0.1</v>
      </c>
      <c r="AH69" s="259">
        <v>0.1</v>
      </c>
      <c r="AI69" s="259">
        <v>0.1</v>
      </c>
      <c r="AJ69" s="259">
        <v>0.1</v>
      </c>
      <c r="AK69" s="259">
        <v>0.1</v>
      </c>
      <c r="AL69" s="259">
        <v>0.1</v>
      </c>
      <c r="AM69" s="259">
        <v>0.1</v>
      </c>
      <c r="AN69" s="260">
        <v>0.1</v>
      </c>
      <c r="AO69" s="258">
        <v>0.1</v>
      </c>
      <c r="AP69" s="259">
        <v>0.1</v>
      </c>
      <c r="AQ69" s="259">
        <v>0.1</v>
      </c>
      <c r="AR69" s="259">
        <v>0.1</v>
      </c>
      <c r="AS69" s="259">
        <v>0.1</v>
      </c>
      <c r="AT69" s="259">
        <v>0.1</v>
      </c>
      <c r="AU69" s="259">
        <v>0.1</v>
      </c>
      <c r="AV69" s="259">
        <v>0.1</v>
      </c>
      <c r="AW69" s="259">
        <v>0.1</v>
      </c>
      <c r="AX69" s="259">
        <v>0.1</v>
      </c>
      <c r="AY69" s="259">
        <v>0.1</v>
      </c>
      <c r="AZ69" s="259">
        <v>0.1</v>
      </c>
      <c r="BA69" s="259">
        <v>0.1</v>
      </c>
      <c r="BB69" s="259">
        <v>0.1</v>
      </c>
      <c r="BC69" s="259">
        <v>0.1</v>
      </c>
      <c r="BD69" s="260">
        <v>0.1</v>
      </c>
      <c r="BE69" s="258">
        <v>0.1</v>
      </c>
      <c r="BF69" s="259">
        <v>0.1</v>
      </c>
      <c r="BG69" s="259">
        <v>0.1</v>
      </c>
      <c r="BH69" s="259">
        <v>0.1</v>
      </c>
      <c r="BI69" s="259">
        <v>0.1</v>
      </c>
      <c r="BJ69" s="259">
        <v>0.1</v>
      </c>
      <c r="BK69" s="259">
        <v>0.1</v>
      </c>
      <c r="BL69" s="260">
        <v>0.1</v>
      </c>
      <c r="BM69">
        <v>0.1</v>
      </c>
      <c r="BN69">
        <v>0.1</v>
      </c>
      <c r="BO69">
        <v>0.1</v>
      </c>
      <c r="BP69">
        <f>SUM(BM69:BO69)</f>
        <v>0.30000000000000004</v>
      </c>
      <c r="BS69">
        <v>66</v>
      </c>
      <c r="BT69" s="270">
        <v>4.7300000000000004</v>
      </c>
      <c r="BU69" s="270">
        <v>1.19</v>
      </c>
      <c r="BV69" s="2"/>
      <c r="BW69" s="2"/>
      <c r="BX69" s="2"/>
      <c r="BY69" s="258">
        <v>0.1</v>
      </c>
      <c r="BZ69" s="259">
        <v>0.1</v>
      </c>
      <c r="CA69" s="259">
        <v>0.1</v>
      </c>
      <c r="CB69" s="259">
        <v>0.1</v>
      </c>
      <c r="CC69" s="259">
        <v>0.1</v>
      </c>
      <c r="CD69" s="259">
        <v>0.1</v>
      </c>
      <c r="CE69" s="259">
        <v>0.1</v>
      </c>
      <c r="CF69" s="259">
        <v>0.1</v>
      </c>
      <c r="CG69" s="259">
        <v>0.1</v>
      </c>
      <c r="CH69" s="259">
        <v>0.1</v>
      </c>
      <c r="CI69" s="259">
        <v>0.1</v>
      </c>
      <c r="CJ69" s="259">
        <v>0.1</v>
      </c>
      <c r="CK69" s="259">
        <v>0.1</v>
      </c>
      <c r="CL69" s="259">
        <v>0.1</v>
      </c>
      <c r="CM69" s="259">
        <v>0.1</v>
      </c>
      <c r="CN69" s="259">
        <v>0.1</v>
      </c>
      <c r="CO69" s="259">
        <v>0.1</v>
      </c>
      <c r="CP69" s="259">
        <v>0.1</v>
      </c>
      <c r="CQ69" s="259">
        <v>0.1</v>
      </c>
      <c r="CR69" s="259">
        <v>0.1</v>
      </c>
      <c r="CS69" s="259">
        <v>0.1</v>
      </c>
      <c r="CT69" s="259">
        <v>0.1</v>
      </c>
      <c r="CU69" s="259">
        <v>0.1</v>
      </c>
      <c r="CV69" s="259">
        <v>0.1</v>
      </c>
      <c r="CW69" s="259">
        <v>0.1</v>
      </c>
      <c r="CX69" s="259">
        <v>0.1</v>
      </c>
      <c r="CY69" s="259">
        <v>0.1</v>
      </c>
      <c r="CZ69" s="259">
        <v>0.1</v>
      </c>
      <c r="DA69" s="259">
        <v>0.1</v>
      </c>
      <c r="DB69" s="259">
        <v>0.1</v>
      </c>
      <c r="DC69" s="259">
        <v>0.1</v>
      </c>
      <c r="DD69" s="259">
        <v>0.1</v>
      </c>
      <c r="DE69" s="259">
        <v>0.1</v>
      </c>
      <c r="DF69" s="259">
        <v>0.1</v>
      </c>
      <c r="DG69" s="259">
        <v>0.1</v>
      </c>
      <c r="DH69" s="259">
        <v>0.1</v>
      </c>
      <c r="DI69" s="259">
        <v>0.1</v>
      </c>
      <c r="DJ69" s="259">
        <v>0.1</v>
      </c>
      <c r="DK69" s="259">
        <v>0.1</v>
      </c>
      <c r="DL69" s="259">
        <v>0.1</v>
      </c>
      <c r="DM69" s="259">
        <v>0.1</v>
      </c>
      <c r="DN69" s="259">
        <v>0.1</v>
      </c>
      <c r="DO69" s="259">
        <v>0.1</v>
      </c>
      <c r="DP69" s="259">
        <v>0.1</v>
      </c>
      <c r="DQ69" s="259">
        <v>0.1</v>
      </c>
      <c r="DR69" s="259">
        <v>0.1</v>
      </c>
      <c r="DS69" s="259">
        <v>0.1</v>
      </c>
      <c r="DT69" s="260">
        <v>0.1</v>
      </c>
      <c r="DU69" s="258">
        <v>0.1</v>
      </c>
      <c r="DV69" s="259">
        <v>0.1</v>
      </c>
      <c r="DW69" s="259">
        <v>0.1</v>
      </c>
      <c r="DX69" s="259">
        <v>0.1</v>
      </c>
      <c r="DY69" s="259">
        <v>0.1</v>
      </c>
      <c r="DZ69" s="259">
        <v>0.1</v>
      </c>
      <c r="EA69" s="259">
        <v>0.1</v>
      </c>
      <c r="EB69" s="259">
        <v>0.1</v>
      </c>
      <c r="EC69" s="259">
        <v>0.1</v>
      </c>
      <c r="ED69" s="259">
        <v>0.1</v>
      </c>
      <c r="EE69" s="259">
        <v>0.1</v>
      </c>
      <c r="EF69" s="260">
        <v>0.1</v>
      </c>
      <c r="EJ69">
        <v>66</v>
      </c>
      <c r="EN69">
        <v>0.1</v>
      </c>
      <c r="EO69">
        <v>0.1</v>
      </c>
      <c r="EP69">
        <v>0.1</v>
      </c>
      <c r="EQ69">
        <v>0.1</v>
      </c>
      <c r="ER69">
        <v>0.1</v>
      </c>
      <c r="ES69">
        <v>0.1</v>
      </c>
      <c r="ET69">
        <v>0.1</v>
      </c>
      <c r="EU69">
        <v>0.1</v>
      </c>
      <c r="EV69">
        <v>0.1</v>
      </c>
      <c r="EW69">
        <v>0.1</v>
      </c>
      <c r="EX69">
        <v>0.1</v>
      </c>
      <c r="EY69">
        <v>0.1</v>
      </c>
      <c r="EZ69">
        <v>0.1</v>
      </c>
      <c r="FA69">
        <v>0.1</v>
      </c>
      <c r="FB69">
        <v>0.1</v>
      </c>
      <c r="FC69">
        <v>0.1</v>
      </c>
      <c r="FD69">
        <v>0.1</v>
      </c>
      <c r="FE69">
        <v>0.1</v>
      </c>
      <c r="FF69">
        <v>0.1</v>
      </c>
      <c r="FG69">
        <v>0.1</v>
      </c>
      <c r="FH69">
        <v>0.1</v>
      </c>
      <c r="FI69">
        <v>0.1</v>
      </c>
      <c r="FJ69">
        <v>0.1</v>
      </c>
      <c r="FK69">
        <v>0.1</v>
      </c>
      <c r="FL69">
        <v>0.1</v>
      </c>
      <c r="FM69">
        <v>0.1</v>
      </c>
      <c r="FN69">
        <v>0.1</v>
      </c>
      <c r="FO69">
        <v>0.1</v>
      </c>
      <c r="FP69">
        <v>0.1</v>
      </c>
      <c r="FQ69">
        <v>0.1</v>
      </c>
      <c r="FU69">
        <v>66</v>
      </c>
      <c r="FV69">
        <v>1.03</v>
      </c>
      <c r="FW69">
        <v>1.03</v>
      </c>
      <c r="FX69">
        <v>1.03</v>
      </c>
      <c r="FY69">
        <v>0.46</v>
      </c>
      <c r="GB69" s="66">
        <v>0.1</v>
      </c>
      <c r="GC69" s="67">
        <v>0.1</v>
      </c>
      <c r="GD69" s="67">
        <v>0.1</v>
      </c>
      <c r="GE69" s="67">
        <v>0.1</v>
      </c>
      <c r="GF69" s="67">
        <v>0.1</v>
      </c>
      <c r="GG69" s="67">
        <v>0.1</v>
      </c>
      <c r="GH69" s="67">
        <v>0.1</v>
      </c>
      <c r="GI69" s="67">
        <v>0.1</v>
      </c>
      <c r="GJ69" s="67">
        <v>0.1</v>
      </c>
      <c r="GK69" s="67">
        <v>0.1</v>
      </c>
      <c r="GL69" s="68">
        <v>0.1</v>
      </c>
      <c r="GM69" s="66">
        <v>0.1</v>
      </c>
      <c r="GN69" s="67">
        <v>0.1</v>
      </c>
      <c r="GO69" s="67">
        <v>0.1</v>
      </c>
      <c r="GP69" s="67">
        <v>0.1</v>
      </c>
      <c r="GQ69" s="67">
        <v>0.1</v>
      </c>
      <c r="GR69" s="67">
        <v>0.1</v>
      </c>
      <c r="GS69" s="67">
        <v>0.1</v>
      </c>
      <c r="GT69" s="67">
        <v>0.1</v>
      </c>
      <c r="GU69" s="67">
        <v>0.1</v>
      </c>
      <c r="GV69" s="67">
        <v>0.1</v>
      </c>
      <c r="GW69" s="68">
        <v>0.1</v>
      </c>
      <c r="GX69" s="66">
        <v>0.1</v>
      </c>
      <c r="GY69" s="67">
        <v>0.1</v>
      </c>
      <c r="GZ69" s="67">
        <v>0.1</v>
      </c>
      <c r="HA69" s="67">
        <v>0.1</v>
      </c>
      <c r="HB69" s="67">
        <v>0.1</v>
      </c>
      <c r="HC69" s="67">
        <v>0.1</v>
      </c>
      <c r="HD69" s="67">
        <v>0.1</v>
      </c>
      <c r="HE69" s="67">
        <v>0.1</v>
      </c>
      <c r="HF69" s="67">
        <v>0.1</v>
      </c>
      <c r="HG69" s="67">
        <v>0.1</v>
      </c>
      <c r="HH69" s="68">
        <v>0.1</v>
      </c>
      <c r="HI69" s="66">
        <v>0.1</v>
      </c>
      <c r="HJ69" s="67">
        <v>0.1</v>
      </c>
      <c r="HK69" s="67">
        <v>0.1</v>
      </c>
      <c r="HL69" s="67">
        <v>0.1</v>
      </c>
      <c r="HM69" s="68">
        <v>0.1</v>
      </c>
      <c r="HN69">
        <v>0.1</v>
      </c>
      <c r="HO69">
        <v>0.1</v>
      </c>
      <c r="HP69">
        <f t="shared" si="1"/>
        <v>0.2</v>
      </c>
    </row>
    <row r="70" spans="1:224" ht="15.75" thickBot="1" x14ac:dyDescent="0.3">
      <c r="A70">
        <v>67</v>
      </c>
      <c r="B70" s="268" t="s">
        <v>1179</v>
      </c>
      <c r="C70" s="2"/>
      <c r="D70" s="2"/>
      <c r="E70" s="2"/>
      <c r="G70" s="2"/>
      <c r="H70" s="258">
        <v>0.1</v>
      </c>
      <c r="I70" s="259">
        <v>0.1</v>
      </c>
      <c r="J70" s="259">
        <v>0.1</v>
      </c>
      <c r="K70" s="259">
        <v>0.1</v>
      </c>
      <c r="L70" s="259">
        <v>0.1</v>
      </c>
      <c r="M70" s="259">
        <v>0.1</v>
      </c>
      <c r="N70" s="259">
        <v>0.1</v>
      </c>
      <c r="O70" s="259">
        <v>0.1</v>
      </c>
      <c r="P70" s="259">
        <v>0.1</v>
      </c>
      <c r="Q70" s="259">
        <v>0.1</v>
      </c>
      <c r="R70" s="259">
        <v>0.1</v>
      </c>
      <c r="S70" s="259">
        <v>0.1</v>
      </c>
      <c r="T70" s="259">
        <v>0.1</v>
      </c>
      <c r="U70" s="259">
        <v>0.1</v>
      </c>
      <c r="V70" s="259">
        <v>0.1</v>
      </c>
      <c r="W70" s="259">
        <v>0.1</v>
      </c>
      <c r="X70" s="259">
        <v>0.1</v>
      </c>
      <c r="Y70" s="259">
        <v>0.1</v>
      </c>
      <c r="Z70" s="259">
        <v>0.1</v>
      </c>
      <c r="AA70" s="259">
        <v>0.1</v>
      </c>
      <c r="AB70" s="259">
        <v>0.1</v>
      </c>
      <c r="AC70" s="259">
        <v>0.1</v>
      </c>
      <c r="AD70" s="259">
        <v>0.1</v>
      </c>
      <c r="AE70" s="259">
        <v>0.1</v>
      </c>
      <c r="AF70" s="259">
        <v>0.1</v>
      </c>
      <c r="AG70" s="259">
        <v>0.1</v>
      </c>
      <c r="AH70" s="259">
        <v>0.1</v>
      </c>
      <c r="AI70" s="259">
        <v>0.1</v>
      </c>
      <c r="AJ70" s="259">
        <v>0.1</v>
      </c>
      <c r="AK70" s="259">
        <v>0.1</v>
      </c>
      <c r="AL70" s="259">
        <v>0.1</v>
      </c>
      <c r="AM70" s="259">
        <v>0.1</v>
      </c>
      <c r="AN70" s="259">
        <v>0.1</v>
      </c>
      <c r="AO70" s="259">
        <v>0.1</v>
      </c>
      <c r="AP70" s="259">
        <v>0.1</v>
      </c>
      <c r="AQ70" s="259">
        <v>0.1</v>
      </c>
      <c r="AR70" s="259">
        <v>0.1</v>
      </c>
      <c r="AS70" s="259">
        <v>0.1</v>
      </c>
      <c r="AT70" s="259">
        <v>0.1</v>
      </c>
      <c r="AU70" s="259">
        <v>0.1</v>
      </c>
      <c r="AV70" s="259">
        <v>0.1</v>
      </c>
      <c r="AW70" s="259">
        <v>0.1</v>
      </c>
      <c r="AX70" s="259">
        <v>0.1</v>
      </c>
      <c r="AY70" s="259">
        <v>0.1</v>
      </c>
      <c r="AZ70" s="259">
        <v>0.1</v>
      </c>
      <c r="BA70" s="259">
        <v>0.1</v>
      </c>
      <c r="BB70" s="259">
        <v>0.1</v>
      </c>
      <c r="BC70" s="259">
        <v>0.1</v>
      </c>
      <c r="BD70" s="259">
        <v>0.1</v>
      </c>
      <c r="BE70" s="259">
        <v>0.1</v>
      </c>
      <c r="BF70" s="259">
        <v>0.1</v>
      </c>
      <c r="BG70" s="259">
        <v>0.1</v>
      </c>
      <c r="BH70" s="259">
        <v>0.1</v>
      </c>
      <c r="BI70" s="259">
        <v>0.1</v>
      </c>
      <c r="BJ70" s="259">
        <v>0.1</v>
      </c>
      <c r="BK70" s="259">
        <v>0.1</v>
      </c>
      <c r="BL70" s="259">
        <v>0.1</v>
      </c>
      <c r="BM70" s="259">
        <v>0.1</v>
      </c>
      <c r="BN70" s="259">
        <v>0.1</v>
      </c>
      <c r="BO70" s="260">
        <v>0.1</v>
      </c>
      <c r="BS70">
        <v>67</v>
      </c>
      <c r="BT70" s="271">
        <v>4.7300000000000004</v>
      </c>
      <c r="BU70" s="271">
        <v>1.19</v>
      </c>
      <c r="BV70" s="2"/>
      <c r="BW70" s="2"/>
      <c r="BX70" s="2"/>
      <c r="BY70" s="258">
        <v>0.1</v>
      </c>
      <c r="BZ70" s="259">
        <v>0.1</v>
      </c>
      <c r="CA70" s="259">
        <v>0.1</v>
      </c>
      <c r="CB70" s="259">
        <v>0.1</v>
      </c>
      <c r="CC70" s="259">
        <v>0.1</v>
      </c>
      <c r="CD70" s="259">
        <v>0.1</v>
      </c>
      <c r="CE70" s="259">
        <v>0.1</v>
      </c>
      <c r="CF70" s="259">
        <v>0.1</v>
      </c>
      <c r="CG70" s="259">
        <v>0.1</v>
      </c>
      <c r="CH70" s="259">
        <v>0.1</v>
      </c>
      <c r="CI70" s="259">
        <v>0.1</v>
      </c>
      <c r="CJ70" s="259">
        <v>0.1</v>
      </c>
      <c r="CK70" s="259">
        <v>0.1</v>
      </c>
      <c r="CL70" s="259">
        <v>0.1</v>
      </c>
      <c r="CM70" s="259">
        <v>0.1</v>
      </c>
      <c r="CN70" s="259">
        <v>0.1</v>
      </c>
      <c r="CO70" s="259">
        <v>0.1</v>
      </c>
      <c r="CP70" s="259">
        <v>0.1</v>
      </c>
      <c r="CQ70" s="259">
        <v>0.1</v>
      </c>
      <c r="CR70" s="259">
        <v>0.1</v>
      </c>
      <c r="CS70" s="259">
        <v>0.1</v>
      </c>
      <c r="CT70" s="259">
        <v>0.1</v>
      </c>
      <c r="CU70" s="259">
        <v>0.1</v>
      </c>
      <c r="CV70" s="259">
        <v>0.1</v>
      </c>
      <c r="CW70" s="259">
        <v>0.1</v>
      </c>
      <c r="CX70" s="259">
        <v>0.1</v>
      </c>
      <c r="CY70" s="259">
        <v>0.1</v>
      </c>
      <c r="CZ70" s="259">
        <v>0.1</v>
      </c>
      <c r="DA70" s="259">
        <v>0.1</v>
      </c>
      <c r="DB70" s="259">
        <v>0.1</v>
      </c>
      <c r="DC70" s="259">
        <v>0.1</v>
      </c>
      <c r="DD70" s="259">
        <v>0.1</v>
      </c>
      <c r="DE70" s="259">
        <v>0.1</v>
      </c>
      <c r="DF70" s="259">
        <v>0.1</v>
      </c>
      <c r="DG70" s="259">
        <v>0.1</v>
      </c>
      <c r="DH70" s="259">
        <v>0.1</v>
      </c>
      <c r="DI70" s="259">
        <v>0.1</v>
      </c>
      <c r="DJ70" s="259">
        <v>0.1</v>
      </c>
      <c r="DK70" s="259">
        <v>0.1</v>
      </c>
      <c r="DL70" s="259">
        <v>0.1</v>
      </c>
      <c r="DM70" s="259">
        <v>0.1</v>
      </c>
      <c r="DN70" s="259">
        <v>0.1</v>
      </c>
      <c r="DO70" s="259">
        <v>0.1</v>
      </c>
      <c r="DP70" s="259">
        <v>0.1</v>
      </c>
      <c r="DQ70" s="259">
        <v>0.1</v>
      </c>
      <c r="DR70" s="259">
        <v>0.1</v>
      </c>
      <c r="DS70" s="259">
        <v>0.1</v>
      </c>
      <c r="DT70" s="260">
        <v>0.1</v>
      </c>
      <c r="DU70" s="258">
        <v>0.1</v>
      </c>
      <c r="DV70" s="259">
        <v>0.1</v>
      </c>
      <c r="DW70" s="259">
        <v>0.1</v>
      </c>
      <c r="DX70" s="259">
        <v>0.1</v>
      </c>
      <c r="DY70" s="259">
        <v>0.1</v>
      </c>
      <c r="DZ70" s="259">
        <v>0.1</v>
      </c>
      <c r="EA70" s="259">
        <v>0.1</v>
      </c>
      <c r="EB70" s="259">
        <v>0.1</v>
      </c>
      <c r="EC70" s="259">
        <v>0.1</v>
      </c>
      <c r="ED70" s="259">
        <v>0.1</v>
      </c>
      <c r="EE70" s="259">
        <v>0.1</v>
      </c>
      <c r="EF70" s="260">
        <v>0.1</v>
      </c>
      <c r="EJ70">
        <v>67</v>
      </c>
      <c r="EN70">
        <v>0.1</v>
      </c>
      <c r="EO70">
        <v>0.1</v>
      </c>
      <c r="EP70">
        <v>0.1</v>
      </c>
      <c r="EQ70">
        <v>0.1</v>
      </c>
      <c r="ER70">
        <v>0.1</v>
      </c>
      <c r="ES70">
        <v>0.1</v>
      </c>
      <c r="ET70">
        <v>0.1</v>
      </c>
      <c r="EU70">
        <v>0.1</v>
      </c>
      <c r="EV70">
        <v>0.1</v>
      </c>
      <c r="EW70">
        <v>0.1</v>
      </c>
      <c r="EX70">
        <v>0.1</v>
      </c>
      <c r="EY70">
        <v>0.1</v>
      </c>
      <c r="EZ70">
        <v>0.1</v>
      </c>
      <c r="FA70">
        <v>0.1</v>
      </c>
      <c r="FB70">
        <v>0.1</v>
      </c>
      <c r="FC70">
        <v>0.1</v>
      </c>
      <c r="FD70">
        <v>0.1</v>
      </c>
      <c r="FE70">
        <v>0.1</v>
      </c>
      <c r="FF70">
        <v>0.1</v>
      </c>
      <c r="FG70">
        <v>0.1</v>
      </c>
      <c r="FH70">
        <v>0.1</v>
      </c>
      <c r="FI70">
        <v>0.1</v>
      </c>
      <c r="FJ70">
        <v>0.1</v>
      </c>
      <c r="FK70">
        <v>0.1</v>
      </c>
      <c r="FL70">
        <v>0.1</v>
      </c>
      <c r="FM70">
        <v>0.1</v>
      </c>
      <c r="FN70">
        <v>0.1</v>
      </c>
      <c r="FO70">
        <v>0.1</v>
      </c>
      <c r="FP70">
        <v>0.1</v>
      </c>
      <c r="FQ70">
        <v>0.1</v>
      </c>
      <c r="FU70">
        <v>67</v>
      </c>
      <c r="FV70">
        <v>1.03</v>
      </c>
      <c r="FW70">
        <v>1.03</v>
      </c>
      <c r="FX70">
        <v>1.03</v>
      </c>
      <c r="FY70">
        <v>0.46</v>
      </c>
      <c r="GB70" s="66">
        <v>0.1</v>
      </c>
      <c r="GC70" s="67">
        <v>0.1</v>
      </c>
      <c r="GD70" s="67">
        <v>0.1</v>
      </c>
      <c r="GE70" s="67">
        <v>0.1</v>
      </c>
      <c r="GF70" s="67">
        <v>0.1</v>
      </c>
      <c r="GG70" s="67">
        <v>0.1</v>
      </c>
      <c r="GH70" s="67">
        <v>0.1</v>
      </c>
      <c r="GI70" s="67">
        <v>0.1</v>
      </c>
      <c r="GJ70" s="67">
        <v>0.1</v>
      </c>
      <c r="GK70" s="67">
        <v>0.1</v>
      </c>
      <c r="GL70" s="68">
        <v>0.1</v>
      </c>
      <c r="GM70" s="66">
        <v>0.1</v>
      </c>
      <c r="GN70" s="67">
        <v>0.1</v>
      </c>
      <c r="GO70" s="67">
        <v>0.1</v>
      </c>
      <c r="GP70" s="67">
        <v>0.1</v>
      </c>
      <c r="GQ70" s="67">
        <v>0.1</v>
      </c>
      <c r="GR70" s="67">
        <v>0.1</v>
      </c>
      <c r="GS70" s="67">
        <v>0.1</v>
      </c>
      <c r="GT70" s="67">
        <v>0.1</v>
      </c>
      <c r="GU70" s="67">
        <v>0.1</v>
      </c>
      <c r="GV70" s="67">
        <v>0.1</v>
      </c>
      <c r="GW70" s="68">
        <v>0.1</v>
      </c>
      <c r="GX70" s="66">
        <v>0.1</v>
      </c>
      <c r="GY70" s="67">
        <v>0.1</v>
      </c>
      <c r="GZ70" s="67">
        <v>0.1</v>
      </c>
      <c r="HA70" s="67">
        <v>0.1</v>
      </c>
      <c r="HB70" s="67">
        <v>0.1</v>
      </c>
      <c r="HC70" s="67">
        <v>0.1</v>
      </c>
      <c r="HD70" s="67">
        <v>0.1</v>
      </c>
      <c r="HE70" s="67">
        <v>0.1</v>
      </c>
      <c r="HF70" s="67">
        <v>0.1</v>
      </c>
      <c r="HG70" s="67">
        <v>0.1</v>
      </c>
      <c r="HH70" s="68">
        <v>0.1</v>
      </c>
      <c r="HI70" s="66">
        <v>0.1</v>
      </c>
      <c r="HJ70" s="67">
        <v>0.1</v>
      </c>
      <c r="HK70" s="67">
        <v>0.1</v>
      </c>
      <c r="HL70" s="67">
        <v>0.1</v>
      </c>
      <c r="HM70" s="68">
        <v>0.1</v>
      </c>
      <c r="HN70">
        <v>0.1</v>
      </c>
      <c r="HO70">
        <v>0.1</v>
      </c>
      <c r="HP70">
        <f t="shared" si="1"/>
        <v>0.2</v>
      </c>
    </row>
    <row r="71" spans="1:224" ht="15.75" thickBot="1" x14ac:dyDescent="0.3">
      <c r="A71">
        <v>68</v>
      </c>
      <c r="B71" s="268" t="s">
        <v>1180</v>
      </c>
      <c r="C71" s="269">
        <v>1.51</v>
      </c>
      <c r="D71" s="269">
        <v>0.78</v>
      </c>
      <c r="E71" s="2"/>
      <c r="G71" s="2"/>
      <c r="H71" s="258">
        <v>0.1</v>
      </c>
      <c r="I71" s="259">
        <v>0.1</v>
      </c>
      <c r="J71" s="259">
        <v>0.1</v>
      </c>
      <c r="K71" s="259">
        <v>0.1</v>
      </c>
      <c r="L71" s="259">
        <v>0.1</v>
      </c>
      <c r="M71" s="259">
        <v>0.1</v>
      </c>
      <c r="N71" s="259">
        <v>0.1</v>
      </c>
      <c r="O71" s="259">
        <v>0.1</v>
      </c>
      <c r="P71" s="259">
        <v>0.1</v>
      </c>
      <c r="Q71" s="259">
        <v>0.1</v>
      </c>
      <c r="R71" s="259">
        <v>0.1</v>
      </c>
      <c r="S71" s="259">
        <v>0.1</v>
      </c>
      <c r="T71" s="259">
        <v>0.1</v>
      </c>
      <c r="U71" s="259">
        <v>0.1</v>
      </c>
      <c r="V71" s="259">
        <v>0.1</v>
      </c>
      <c r="W71" s="259">
        <v>0.1</v>
      </c>
      <c r="X71" s="259">
        <v>0.1</v>
      </c>
      <c r="Y71" s="259">
        <v>0.1</v>
      </c>
      <c r="Z71" s="259">
        <v>0.1</v>
      </c>
      <c r="AA71" s="259">
        <v>0.1</v>
      </c>
      <c r="AB71" s="259">
        <v>0.1</v>
      </c>
      <c r="AC71" s="259">
        <v>0.1</v>
      </c>
      <c r="AD71" s="259">
        <v>0.1</v>
      </c>
      <c r="AE71" s="259">
        <v>0.1</v>
      </c>
      <c r="AF71" s="259">
        <v>0.1</v>
      </c>
      <c r="AG71" s="259">
        <v>0.1</v>
      </c>
      <c r="AH71" s="259">
        <v>0.1</v>
      </c>
      <c r="AI71" s="259">
        <v>0.1</v>
      </c>
      <c r="AJ71" s="259">
        <v>0.1</v>
      </c>
      <c r="AK71" s="259">
        <v>0.1</v>
      </c>
      <c r="AL71" s="259">
        <v>0.1</v>
      </c>
      <c r="AM71" s="259">
        <v>0.1</v>
      </c>
      <c r="AN71" s="260">
        <v>0.1</v>
      </c>
      <c r="AO71" s="258">
        <v>0.1</v>
      </c>
      <c r="AP71" s="259">
        <v>0.1</v>
      </c>
      <c r="AQ71" s="259">
        <v>0.1</v>
      </c>
      <c r="AR71" s="259">
        <v>0.1</v>
      </c>
      <c r="AS71" s="259">
        <v>0.1</v>
      </c>
      <c r="AT71" s="259">
        <v>0.1</v>
      </c>
      <c r="AU71" s="259">
        <v>0.1</v>
      </c>
      <c r="AV71" s="259">
        <v>0.1</v>
      </c>
      <c r="AW71" s="259">
        <v>0.1</v>
      </c>
      <c r="AX71" s="259">
        <v>0.1</v>
      </c>
      <c r="AY71" s="259">
        <v>0.1</v>
      </c>
      <c r="AZ71" s="259">
        <v>0.1</v>
      </c>
      <c r="BA71" s="259">
        <v>0.1</v>
      </c>
      <c r="BB71" s="259">
        <v>0.1</v>
      </c>
      <c r="BC71" s="259">
        <v>0.1</v>
      </c>
      <c r="BD71" s="260">
        <v>0.1</v>
      </c>
      <c r="BE71" s="258">
        <v>0.1</v>
      </c>
      <c r="BF71" s="259">
        <v>0.1</v>
      </c>
      <c r="BG71" s="259">
        <v>0.1</v>
      </c>
      <c r="BH71" s="259">
        <v>0.1</v>
      </c>
      <c r="BI71" s="259">
        <v>0.1</v>
      </c>
      <c r="BJ71" s="259">
        <v>0.1</v>
      </c>
      <c r="BK71" s="259">
        <v>0.1</v>
      </c>
      <c r="BL71" s="260">
        <v>0.1</v>
      </c>
      <c r="BM71">
        <v>0.1</v>
      </c>
      <c r="BN71">
        <v>0.1</v>
      </c>
      <c r="BO71">
        <v>0.1</v>
      </c>
      <c r="BP71">
        <f>SUM(BM71:BO71)</f>
        <v>0.30000000000000004</v>
      </c>
      <c r="BS71">
        <v>68</v>
      </c>
      <c r="BT71" s="270">
        <v>4.7300000000000004</v>
      </c>
      <c r="BU71" s="270">
        <v>1.2</v>
      </c>
      <c r="BV71" s="2"/>
      <c r="BW71" s="2"/>
      <c r="BX71" s="2"/>
      <c r="BY71" s="258">
        <v>0.1</v>
      </c>
      <c r="BZ71" s="259">
        <v>0.1</v>
      </c>
      <c r="CA71" s="259">
        <v>0.1</v>
      </c>
      <c r="CB71" s="259">
        <v>0.1</v>
      </c>
      <c r="CC71" s="259">
        <v>0.1</v>
      </c>
      <c r="CD71" s="259">
        <v>0.1</v>
      </c>
      <c r="CE71" s="259">
        <v>0.1</v>
      </c>
      <c r="CF71" s="259">
        <v>0.1</v>
      </c>
      <c r="CG71" s="259">
        <v>0.1</v>
      </c>
      <c r="CH71" s="259">
        <v>0.1</v>
      </c>
      <c r="CI71" s="259">
        <v>0.1</v>
      </c>
      <c r="CJ71" s="259">
        <v>0.1</v>
      </c>
      <c r="CK71" s="259">
        <v>0.1</v>
      </c>
      <c r="CL71" s="259">
        <v>0.1</v>
      </c>
      <c r="CM71" s="259">
        <v>0.1</v>
      </c>
      <c r="CN71" s="259">
        <v>0.1</v>
      </c>
      <c r="CO71" s="259">
        <v>0.1</v>
      </c>
      <c r="CP71" s="259">
        <v>0.1</v>
      </c>
      <c r="CQ71" s="259">
        <v>0.1</v>
      </c>
      <c r="CR71" s="259">
        <v>0.1</v>
      </c>
      <c r="CS71" s="259">
        <v>0.1</v>
      </c>
      <c r="CT71" s="259">
        <v>0.1</v>
      </c>
      <c r="CU71" s="259">
        <v>0.1</v>
      </c>
      <c r="CV71" s="259">
        <v>0.1</v>
      </c>
      <c r="CW71" s="259">
        <v>0.1</v>
      </c>
      <c r="CX71" s="259">
        <v>0.1</v>
      </c>
      <c r="CY71" s="259">
        <v>0.1</v>
      </c>
      <c r="CZ71" s="259">
        <v>0.1</v>
      </c>
      <c r="DA71" s="259">
        <v>0.1</v>
      </c>
      <c r="DB71" s="259">
        <v>0.1</v>
      </c>
      <c r="DC71" s="259">
        <v>0.1</v>
      </c>
      <c r="DD71" s="259">
        <v>0.1</v>
      </c>
      <c r="DE71" s="259">
        <v>0.1</v>
      </c>
      <c r="DF71" s="259">
        <v>0.1</v>
      </c>
      <c r="DG71" s="259">
        <v>0.1</v>
      </c>
      <c r="DH71" s="259">
        <v>0.1</v>
      </c>
      <c r="DI71" s="259">
        <v>0.1</v>
      </c>
      <c r="DJ71" s="259">
        <v>0.1</v>
      </c>
      <c r="DK71" s="259">
        <v>0.1</v>
      </c>
      <c r="DL71" s="259">
        <v>0.1</v>
      </c>
      <c r="DM71" s="259">
        <v>0.1</v>
      </c>
      <c r="DN71" s="259">
        <v>0.1</v>
      </c>
      <c r="DO71" s="259">
        <v>0.1</v>
      </c>
      <c r="DP71" s="259">
        <v>0.1</v>
      </c>
      <c r="DQ71" s="259">
        <v>0.1</v>
      </c>
      <c r="DR71" s="259">
        <v>0.1</v>
      </c>
      <c r="DS71" s="259">
        <v>0.1</v>
      </c>
      <c r="DT71" s="260">
        <v>0.1</v>
      </c>
      <c r="DU71" s="258">
        <v>0.1</v>
      </c>
      <c r="DV71" s="259">
        <v>0.1</v>
      </c>
      <c r="DW71" s="259">
        <v>0.1</v>
      </c>
      <c r="DX71" s="259">
        <v>0.1</v>
      </c>
      <c r="DY71" s="259">
        <v>0.1</v>
      </c>
      <c r="DZ71" s="259">
        <v>0.1</v>
      </c>
      <c r="EA71" s="259">
        <v>0.1</v>
      </c>
      <c r="EB71" s="259">
        <v>0.1</v>
      </c>
      <c r="EC71" s="259">
        <v>0.1</v>
      </c>
      <c r="ED71" s="259">
        <v>0.1</v>
      </c>
      <c r="EE71" s="259">
        <v>0.1</v>
      </c>
      <c r="EF71" s="260">
        <v>0.1</v>
      </c>
      <c r="EJ71">
        <v>68</v>
      </c>
      <c r="EN71">
        <v>0.1</v>
      </c>
      <c r="EO71">
        <v>0.1</v>
      </c>
      <c r="EP71">
        <v>0.1</v>
      </c>
      <c r="EQ71">
        <v>0.1</v>
      </c>
      <c r="ER71">
        <v>0.1</v>
      </c>
      <c r="ES71">
        <v>0.1</v>
      </c>
      <c r="ET71">
        <v>0.1</v>
      </c>
      <c r="EU71">
        <v>0.1</v>
      </c>
      <c r="EV71">
        <v>0.1</v>
      </c>
      <c r="EW71">
        <v>0.1</v>
      </c>
      <c r="EX71">
        <v>0.1</v>
      </c>
      <c r="EY71">
        <v>0.1</v>
      </c>
      <c r="EZ71">
        <v>0.1</v>
      </c>
      <c r="FA71">
        <v>0.1</v>
      </c>
      <c r="FB71">
        <v>0.1</v>
      </c>
      <c r="FC71">
        <v>0.1</v>
      </c>
      <c r="FD71">
        <v>0.1</v>
      </c>
      <c r="FE71">
        <v>0.1</v>
      </c>
      <c r="FF71">
        <v>0.1</v>
      </c>
      <c r="FG71">
        <v>0.1</v>
      </c>
      <c r="FH71">
        <v>0.1</v>
      </c>
      <c r="FI71">
        <v>0.1</v>
      </c>
      <c r="FJ71">
        <v>0.1</v>
      </c>
      <c r="FK71">
        <v>0.1</v>
      </c>
      <c r="FL71">
        <v>0.1</v>
      </c>
      <c r="FM71">
        <v>0.1</v>
      </c>
      <c r="FN71">
        <v>0.1</v>
      </c>
      <c r="FO71">
        <v>0.1</v>
      </c>
      <c r="FP71">
        <v>0.1</v>
      </c>
      <c r="FQ71">
        <v>0.1</v>
      </c>
      <c r="FU71">
        <v>68</v>
      </c>
      <c r="FV71">
        <v>1.03</v>
      </c>
      <c r="FW71">
        <v>1.03</v>
      </c>
      <c r="FX71">
        <v>1.03</v>
      </c>
      <c r="FY71">
        <v>0.46</v>
      </c>
      <c r="GB71" s="66">
        <v>0.1</v>
      </c>
      <c r="GC71" s="67">
        <v>0.1</v>
      </c>
      <c r="GD71" s="67">
        <v>0.1</v>
      </c>
      <c r="GE71" s="67">
        <v>0.1</v>
      </c>
      <c r="GF71" s="67">
        <v>0.1</v>
      </c>
      <c r="GG71" s="67">
        <v>0.1</v>
      </c>
      <c r="GH71" s="67">
        <v>0.1</v>
      </c>
      <c r="GI71" s="67">
        <v>0.1</v>
      </c>
      <c r="GJ71" s="67">
        <v>0.1</v>
      </c>
      <c r="GK71" s="67">
        <v>0.1</v>
      </c>
      <c r="GL71" s="68">
        <v>0.1</v>
      </c>
      <c r="GM71" s="66">
        <v>0.1</v>
      </c>
      <c r="GN71" s="67">
        <v>0.1</v>
      </c>
      <c r="GO71" s="67">
        <v>0.1</v>
      </c>
      <c r="GP71" s="67">
        <v>0.1</v>
      </c>
      <c r="GQ71" s="67">
        <v>0.1</v>
      </c>
      <c r="GR71" s="67">
        <v>0.1</v>
      </c>
      <c r="GS71" s="67">
        <v>0.1</v>
      </c>
      <c r="GT71" s="67">
        <v>0.1</v>
      </c>
      <c r="GU71" s="67">
        <v>0.1</v>
      </c>
      <c r="GV71" s="67">
        <v>0.1</v>
      </c>
      <c r="GW71" s="68">
        <v>0.1</v>
      </c>
      <c r="GX71" s="66">
        <v>0.1</v>
      </c>
      <c r="GY71" s="67">
        <v>0.1</v>
      </c>
      <c r="GZ71" s="67">
        <v>0.1</v>
      </c>
      <c r="HA71" s="67">
        <v>0.1</v>
      </c>
      <c r="HB71" s="67">
        <v>0.1</v>
      </c>
      <c r="HC71" s="67">
        <v>0.1</v>
      </c>
      <c r="HD71" s="67">
        <v>0.1</v>
      </c>
      <c r="HE71" s="67">
        <v>0.1</v>
      </c>
      <c r="HF71" s="67">
        <v>0.1</v>
      </c>
      <c r="HG71" s="67">
        <v>0.1</v>
      </c>
      <c r="HH71" s="68">
        <v>0.1</v>
      </c>
      <c r="HI71" s="66">
        <v>0.1</v>
      </c>
      <c r="HJ71" s="67">
        <v>0.1</v>
      </c>
      <c r="HK71" s="67">
        <v>0.1</v>
      </c>
      <c r="HL71" s="67">
        <v>0.1</v>
      </c>
      <c r="HM71" s="68">
        <v>0.1</v>
      </c>
      <c r="HN71">
        <v>0.1</v>
      </c>
      <c r="HO71">
        <v>0.1</v>
      </c>
      <c r="HP71">
        <f t="shared" si="1"/>
        <v>0.2</v>
      </c>
    </row>
    <row r="72" spans="1:224" ht="15.75" thickBot="1" x14ac:dyDescent="0.3">
      <c r="A72">
        <v>69</v>
      </c>
      <c r="B72" s="268" t="s">
        <v>1179</v>
      </c>
      <c r="C72" s="2"/>
      <c r="D72" s="2"/>
      <c r="E72" s="2"/>
      <c r="G72" s="2"/>
      <c r="H72" s="258">
        <v>0.1</v>
      </c>
      <c r="I72" s="259">
        <v>0.1</v>
      </c>
      <c r="J72" s="259">
        <v>0.1</v>
      </c>
      <c r="K72" s="259">
        <v>0.1</v>
      </c>
      <c r="L72" s="259">
        <v>0.1</v>
      </c>
      <c r="M72" s="259">
        <v>0.1</v>
      </c>
      <c r="N72" s="259">
        <v>0.1</v>
      </c>
      <c r="O72" s="259">
        <v>0.1</v>
      </c>
      <c r="P72" s="259">
        <v>0.1</v>
      </c>
      <c r="Q72" s="259">
        <v>0.1</v>
      </c>
      <c r="R72" s="259">
        <v>0.1</v>
      </c>
      <c r="S72" s="259">
        <v>0.1</v>
      </c>
      <c r="T72" s="259">
        <v>0.1</v>
      </c>
      <c r="U72" s="259">
        <v>0.1</v>
      </c>
      <c r="V72" s="259">
        <v>0.1</v>
      </c>
      <c r="W72" s="259">
        <v>0.1</v>
      </c>
      <c r="X72" s="259">
        <v>0.1</v>
      </c>
      <c r="Y72" s="259">
        <v>0.1</v>
      </c>
      <c r="Z72" s="259">
        <v>0.1</v>
      </c>
      <c r="AA72" s="259">
        <v>0.1</v>
      </c>
      <c r="AB72" s="259">
        <v>0.1</v>
      </c>
      <c r="AC72" s="259">
        <v>0.1</v>
      </c>
      <c r="AD72" s="259">
        <v>0.1</v>
      </c>
      <c r="AE72" s="259">
        <v>0.1</v>
      </c>
      <c r="AF72" s="259">
        <v>0.1</v>
      </c>
      <c r="AG72" s="259">
        <v>0.1</v>
      </c>
      <c r="AH72" s="259">
        <v>0.1</v>
      </c>
      <c r="AI72" s="259">
        <v>0.1</v>
      </c>
      <c r="AJ72" s="259">
        <v>0.1</v>
      </c>
      <c r="AK72" s="259">
        <v>0.1</v>
      </c>
      <c r="AL72" s="259">
        <v>0.1</v>
      </c>
      <c r="AM72" s="259">
        <v>0.1</v>
      </c>
      <c r="AN72" s="259">
        <v>0.1</v>
      </c>
      <c r="AO72" s="259">
        <v>0.1</v>
      </c>
      <c r="AP72" s="259">
        <v>0.1</v>
      </c>
      <c r="AQ72" s="259">
        <v>0.1</v>
      </c>
      <c r="AR72" s="259">
        <v>0.1</v>
      </c>
      <c r="AS72" s="259">
        <v>0.1</v>
      </c>
      <c r="AT72" s="259">
        <v>0.1</v>
      </c>
      <c r="AU72" s="259">
        <v>0.1</v>
      </c>
      <c r="AV72" s="259">
        <v>0.1</v>
      </c>
      <c r="AW72" s="259">
        <v>0.1</v>
      </c>
      <c r="AX72" s="259">
        <v>0.1</v>
      </c>
      <c r="AY72" s="259">
        <v>0.1</v>
      </c>
      <c r="AZ72" s="259">
        <v>0.1</v>
      </c>
      <c r="BA72" s="259">
        <v>0.1</v>
      </c>
      <c r="BB72" s="259">
        <v>0.1</v>
      </c>
      <c r="BC72" s="259">
        <v>0.1</v>
      </c>
      <c r="BD72" s="259">
        <v>0.1</v>
      </c>
      <c r="BE72" s="259">
        <v>0.1</v>
      </c>
      <c r="BF72" s="259">
        <v>0.1</v>
      </c>
      <c r="BG72" s="259">
        <v>0.1</v>
      </c>
      <c r="BH72" s="259">
        <v>0.1</v>
      </c>
      <c r="BI72" s="259">
        <v>0.1</v>
      </c>
      <c r="BJ72" s="259">
        <v>0.1</v>
      </c>
      <c r="BK72" s="259">
        <v>0.1</v>
      </c>
      <c r="BL72" s="259">
        <v>0.1</v>
      </c>
      <c r="BM72" s="259">
        <v>0.1</v>
      </c>
      <c r="BN72" s="259">
        <v>0.1</v>
      </c>
      <c r="BO72" s="260">
        <v>0.1</v>
      </c>
      <c r="BS72">
        <v>69</v>
      </c>
      <c r="BT72" s="271">
        <v>4.7300000000000004</v>
      </c>
      <c r="BU72" s="271">
        <v>1.2</v>
      </c>
      <c r="BV72" s="2"/>
      <c r="BW72" s="2"/>
      <c r="BX72" s="2"/>
      <c r="BY72" s="258">
        <v>0.1</v>
      </c>
      <c r="BZ72" s="259">
        <v>0.1</v>
      </c>
      <c r="CA72" s="259">
        <v>0.1</v>
      </c>
      <c r="CB72" s="259">
        <v>0.1</v>
      </c>
      <c r="CC72" s="259">
        <v>0.1</v>
      </c>
      <c r="CD72" s="259">
        <v>0.1</v>
      </c>
      <c r="CE72" s="259">
        <v>0.1</v>
      </c>
      <c r="CF72" s="259">
        <v>0.1</v>
      </c>
      <c r="CG72" s="259">
        <v>0.1</v>
      </c>
      <c r="CH72" s="259">
        <v>0.1</v>
      </c>
      <c r="CI72" s="259">
        <v>0.1</v>
      </c>
      <c r="CJ72" s="259">
        <v>0.1</v>
      </c>
      <c r="CK72" s="259">
        <v>0.1</v>
      </c>
      <c r="CL72" s="259">
        <v>0.1</v>
      </c>
      <c r="CM72" s="259">
        <v>0.1</v>
      </c>
      <c r="CN72" s="259">
        <v>0.1</v>
      </c>
      <c r="CO72" s="259">
        <v>0.1</v>
      </c>
      <c r="CP72" s="259">
        <v>0.1</v>
      </c>
      <c r="CQ72" s="259">
        <v>0.1</v>
      </c>
      <c r="CR72" s="259">
        <v>0.1</v>
      </c>
      <c r="CS72" s="259">
        <v>0.1</v>
      </c>
      <c r="CT72" s="259">
        <v>0.1</v>
      </c>
      <c r="CU72" s="259">
        <v>0.1</v>
      </c>
      <c r="CV72" s="259">
        <v>0.1</v>
      </c>
      <c r="CW72" s="259">
        <v>0.1</v>
      </c>
      <c r="CX72" s="259">
        <v>0.1</v>
      </c>
      <c r="CY72" s="259">
        <v>0.1</v>
      </c>
      <c r="CZ72" s="259">
        <v>0.1</v>
      </c>
      <c r="DA72" s="259">
        <v>0.1</v>
      </c>
      <c r="DB72" s="259">
        <v>0.1</v>
      </c>
      <c r="DC72" s="259">
        <v>0.1</v>
      </c>
      <c r="DD72" s="259">
        <v>0.1</v>
      </c>
      <c r="DE72" s="259">
        <v>0.1</v>
      </c>
      <c r="DF72" s="259">
        <v>0.1</v>
      </c>
      <c r="DG72" s="259">
        <v>0.1</v>
      </c>
      <c r="DH72" s="259">
        <v>0.1</v>
      </c>
      <c r="DI72" s="259">
        <v>0.1</v>
      </c>
      <c r="DJ72" s="259">
        <v>0.1</v>
      </c>
      <c r="DK72" s="259">
        <v>0.1</v>
      </c>
      <c r="DL72" s="259">
        <v>0.1</v>
      </c>
      <c r="DM72" s="259">
        <v>0.1</v>
      </c>
      <c r="DN72" s="259">
        <v>0.1</v>
      </c>
      <c r="DO72" s="259">
        <v>0.1</v>
      </c>
      <c r="DP72" s="259">
        <v>0.1</v>
      </c>
      <c r="DQ72" s="259">
        <v>0.1</v>
      </c>
      <c r="DR72" s="259">
        <v>0.1</v>
      </c>
      <c r="DS72" s="259">
        <v>0.1</v>
      </c>
      <c r="DT72" s="260">
        <v>0.1</v>
      </c>
      <c r="DU72" s="258">
        <v>0.1</v>
      </c>
      <c r="DV72" s="259">
        <v>0.1</v>
      </c>
      <c r="DW72" s="259">
        <v>0.1</v>
      </c>
      <c r="DX72" s="259">
        <v>0.1</v>
      </c>
      <c r="DY72" s="259">
        <v>0.1</v>
      </c>
      <c r="DZ72" s="259">
        <v>0.1</v>
      </c>
      <c r="EA72" s="259">
        <v>0.1</v>
      </c>
      <c r="EB72" s="259">
        <v>0.1</v>
      </c>
      <c r="EC72" s="259">
        <v>0.1</v>
      </c>
      <c r="ED72" s="259">
        <v>0.1</v>
      </c>
      <c r="EE72" s="259">
        <v>0.1</v>
      </c>
      <c r="EF72" s="260">
        <v>0.1</v>
      </c>
      <c r="EJ72">
        <v>69</v>
      </c>
      <c r="EN72">
        <v>0.1</v>
      </c>
      <c r="EO72">
        <v>0.1</v>
      </c>
      <c r="EP72">
        <v>0.1</v>
      </c>
      <c r="EQ72">
        <v>0.1</v>
      </c>
      <c r="ER72">
        <v>0.1</v>
      </c>
      <c r="ES72">
        <v>0.1</v>
      </c>
      <c r="ET72">
        <v>0.1</v>
      </c>
      <c r="EU72">
        <v>0.1</v>
      </c>
      <c r="EV72">
        <v>0.1</v>
      </c>
      <c r="EW72">
        <v>0.1</v>
      </c>
      <c r="EX72">
        <v>0.1</v>
      </c>
      <c r="EY72">
        <v>0.1</v>
      </c>
      <c r="EZ72">
        <v>0.1</v>
      </c>
      <c r="FA72">
        <v>0.1</v>
      </c>
      <c r="FB72">
        <v>0.1</v>
      </c>
      <c r="FC72">
        <v>0.1</v>
      </c>
      <c r="FD72">
        <v>0.1</v>
      </c>
      <c r="FE72">
        <v>0.1</v>
      </c>
      <c r="FF72">
        <v>0.1</v>
      </c>
      <c r="FG72">
        <v>0.1</v>
      </c>
      <c r="FH72">
        <v>0.1</v>
      </c>
      <c r="FI72">
        <v>0.1</v>
      </c>
      <c r="FJ72">
        <v>0.1</v>
      </c>
      <c r="FK72">
        <v>0.1</v>
      </c>
      <c r="FL72">
        <v>0.1</v>
      </c>
      <c r="FM72">
        <v>0.1</v>
      </c>
      <c r="FN72">
        <v>0.1</v>
      </c>
      <c r="FO72">
        <v>0.1</v>
      </c>
      <c r="FP72">
        <v>0.1</v>
      </c>
      <c r="FQ72">
        <v>0.1</v>
      </c>
      <c r="FU72">
        <v>69</v>
      </c>
      <c r="FV72">
        <v>1.03</v>
      </c>
      <c r="FW72">
        <v>1.03</v>
      </c>
      <c r="FX72">
        <v>1.03</v>
      </c>
      <c r="FY72">
        <v>0.44</v>
      </c>
      <c r="GB72" s="66">
        <v>0.1</v>
      </c>
      <c r="GC72" s="67">
        <v>0.1</v>
      </c>
      <c r="GD72" s="67">
        <v>0.1</v>
      </c>
      <c r="GE72" s="67">
        <v>0.1</v>
      </c>
      <c r="GF72" s="67">
        <v>0.1</v>
      </c>
      <c r="GG72" s="67">
        <v>0.1</v>
      </c>
      <c r="GH72" s="67">
        <v>0.1</v>
      </c>
      <c r="GI72" s="67">
        <v>0.1</v>
      </c>
      <c r="GJ72" s="67">
        <v>0.1</v>
      </c>
      <c r="GK72" s="67">
        <v>0.1</v>
      </c>
      <c r="GL72" s="68">
        <v>0.1</v>
      </c>
      <c r="GM72" s="66">
        <v>0.1</v>
      </c>
      <c r="GN72" s="67">
        <v>0.1</v>
      </c>
      <c r="GO72" s="67">
        <v>0.1</v>
      </c>
      <c r="GP72" s="67">
        <v>0.1</v>
      </c>
      <c r="GQ72" s="67">
        <v>0.1</v>
      </c>
      <c r="GR72" s="67">
        <v>0.1</v>
      </c>
      <c r="GS72" s="67">
        <v>0.1</v>
      </c>
      <c r="GT72" s="67">
        <v>0.1</v>
      </c>
      <c r="GU72" s="67">
        <v>0.1</v>
      </c>
      <c r="GV72" s="67">
        <v>0.1</v>
      </c>
      <c r="GW72" s="68">
        <v>0.1</v>
      </c>
      <c r="GX72" s="66">
        <v>0.1</v>
      </c>
      <c r="GY72" s="67">
        <v>0.1</v>
      </c>
      <c r="GZ72" s="67">
        <v>0.1</v>
      </c>
      <c r="HA72" s="67">
        <v>0.1</v>
      </c>
      <c r="HB72" s="67">
        <v>0.1</v>
      </c>
      <c r="HC72" s="67">
        <v>0.1</v>
      </c>
      <c r="HD72" s="67">
        <v>0.1</v>
      </c>
      <c r="HE72" s="67">
        <v>0.1</v>
      </c>
      <c r="HF72" s="67">
        <v>0.1</v>
      </c>
      <c r="HG72" s="67">
        <v>0.1</v>
      </c>
      <c r="HH72" s="68">
        <v>0.1</v>
      </c>
      <c r="HI72" s="66">
        <v>0.1</v>
      </c>
      <c r="HJ72" s="67">
        <v>0.1</v>
      </c>
      <c r="HK72" s="67">
        <v>0.1</v>
      </c>
      <c r="HL72" s="67">
        <v>0.1</v>
      </c>
      <c r="HM72" s="68">
        <v>0.1</v>
      </c>
      <c r="HN72">
        <v>0.1</v>
      </c>
      <c r="HO72">
        <v>0.1</v>
      </c>
      <c r="HP72">
        <f t="shared" si="1"/>
        <v>0.2</v>
      </c>
    </row>
    <row r="73" spans="1:224" ht="15.75" thickBot="1" x14ac:dyDescent="0.3">
      <c r="A73">
        <v>70</v>
      </c>
      <c r="B73" s="268" t="s">
        <v>1180</v>
      </c>
      <c r="C73" s="268">
        <v>1.76</v>
      </c>
      <c r="D73" s="268">
        <v>0.78</v>
      </c>
      <c r="E73" s="2"/>
      <c r="F73" s="2"/>
      <c r="G73" s="2"/>
      <c r="H73" s="258">
        <v>0.1</v>
      </c>
      <c r="I73" s="259">
        <v>0.1</v>
      </c>
      <c r="J73" s="259">
        <v>0.1</v>
      </c>
      <c r="K73" s="259">
        <v>0.1</v>
      </c>
      <c r="L73" s="259">
        <v>0.1</v>
      </c>
      <c r="M73" s="259">
        <v>0.1</v>
      </c>
      <c r="N73" s="259">
        <v>0.1</v>
      </c>
      <c r="O73" s="259">
        <v>0.1</v>
      </c>
      <c r="P73" s="259">
        <v>0.1</v>
      </c>
      <c r="Q73" s="259">
        <v>0.1</v>
      </c>
      <c r="R73" s="259">
        <v>0.1</v>
      </c>
      <c r="S73" s="259">
        <v>0.1</v>
      </c>
      <c r="T73" s="259">
        <v>0.1</v>
      </c>
      <c r="U73" s="259">
        <v>0.1</v>
      </c>
      <c r="V73" s="259">
        <v>0.1</v>
      </c>
      <c r="W73" s="259">
        <v>0.1</v>
      </c>
      <c r="X73" s="259">
        <v>0.1</v>
      </c>
      <c r="Y73" s="259">
        <v>0.1</v>
      </c>
      <c r="Z73" s="259">
        <v>0.1</v>
      </c>
      <c r="AA73" s="259">
        <v>0.1</v>
      </c>
      <c r="AB73" s="259">
        <v>0.1</v>
      </c>
      <c r="AC73" s="259">
        <v>0.1</v>
      </c>
      <c r="AD73" s="259">
        <v>0.1</v>
      </c>
      <c r="AE73" s="259">
        <v>0.1</v>
      </c>
      <c r="AF73" s="259">
        <v>0.1</v>
      </c>
      <c r="AG73" s="259">
        <v>0.1</v>
      </c>
      <c r="AH73" s="259">
        <v>0.1</v>
      </c>
      <c r="AI73" s="259">
        <v>0.1</v>
      </c>
      <c r="AJ73" s="259">
        <v>0.1</v>
      </c>
      <c r="AK73" s="259">
        <v>0.1</v>
      </c>
      <c r="AL73" s="259">
        <v>0.1</v>
      </c>
      <c r="AM73" s="259">
        <v>0.1</v>
      </c>
      <c r="AN73" s="260">
        <v>0.1</v>
      </c>
      <c r="AO73" s="258">
        <v>0.1</v>
      </c>
      <c r="AP73" s="259">
        <v>0.1</v>
      </c>
      <c r="AQ73" s="259">
        <v>0.1</v>
      </c>
      <c r="AR73" s="259">
        <v>0.1</v>
      </c>
      <c r="AS73" s="259">
        <v>0.1</v>
      </c>
      <c r="AT73" s="259">
        <v>0.1</v>
      </c>
      <c r="AU73" s="259">
        <v>0.1</v>
      </c>
      <c r="AV73" s="259">
        <v>0.1</v>
      </c>
      <c r="AW73" s="259">
        <v>0.1</v>
      </c>
      <c r="AX73" s="259">
        <v>0.1</v>
      </c>
      <c r="AY73" s="259">
        <v>0.1</v>
      </c>
      <c r="AZ73" s="259">
        <v>0.1</v>
      </c>
      <c r="BA73" s="259">
        <v>0.1</v>
      </c>
      <c r="BB73" s="259">
        <v>0.1</v>
      </c>
      <c r="BC73" s="259">
        <v>0.1</v>
      </c>
      <c r="BD73" s="259">
        <v>0.1</v>
      </c>
      <c r="BE73" s="259">
        <v>0.1</v>
      </c>
      <c r="BF73" s="260">
        <v>0.1</v>
      </c>
      <c r="BG73" s="258">
        <v>0.1</v>
      </c>
      <c r="BH73" s="259">
        <v>0.1</v>
      </c>
      <c r="BI73" s="259">
        <v>0.1</v>
      </c>
      <c r="BJ73" s="259">
        <v>0.1</v>
      </c>
      <c r="BK73" s="259">
        <v>0.1</v>
      </c>
      <c r="BL73" s="259">
        <v>0.1</v>
      </c>
      <c r="BM73" s="259">
        <v>0.1</v>
      </c>
      <c r="BN73" s="260">
        <v>0.1</v>
      </c>
      <c r="BO73">
        <v>0.1</v>
      </c>
      <c r="BP73">
        <f>SUM(BO73)</f>
        <v>0.1</v>
      </c>
      <c r="BS73">
        <v>70</v>
      </c>
      <c r="BT73" s="270">
        <v>4.7300000000000004</v>
      </c>
      <c r="BU73" s="270">
        <v>1.2</v>
      </c>
      <c r="BV73" s="2"/>
      <c r="BX73" s="2"/>
      <c r="BY73" s="258">
        <v>0.1</v>
      </c>
      <c r="BZ73" s="259">
        <v>0.1</v>
      </c>
      <c r="CA73" s="259">
        <v>0.1</v>
      </c>
      <c r="CB73" s="259">
        <v>0.1</v>
      </c>
      <c r="CC73" s="259">
        <v>0.1</v>
      </c>
      <c r="CD73" s="259">
        <v>0.1</v>
      </c>
      <c r="CE73" s="259">
        <v>0.1</v>
      </c>
      <c r="CF73" s="259">
        <v>0.1</v>
      </c>
      <c r="CG73" s="259">
        <v>0.1</v>
      </c>
      <c r="CH73" s="259">
        <v>0.1</v>
      </c>
      <c r="CI73" s="259">
        <v>0.1</v>
      </c>
      <c r="CJ73" s="259">
        <v>0.1</v>
      </c>
      <c r="CK73" s="259">
        <v>0.1</v>
      </c>
      <c r="CL73" s="259">
        <v>0.1</v>
      </c>
      <c r="CM73" s="259">
        <v>0.1</v>
      </c>
      <c r="CN73" s="259">
        <v>0.1</v>
      </c>
      <c r="CO73" s="259">
        <v>0.1</v>
      </c>
      <c r="CP73" s="259">
        <v>0.1</v>
      </c>
      <c r="CQ73" s="259">
        <v>0.1</v>
      </c>
      <c r="CR73" s="259">
        <v>0.1</v>
      </c>
      <c r="CS73" s="259">
        <v>0.1</v>
      </c>
      <c r="CT73" s="259">
        <v>0.1</v>
      </c>
      <c r="CU73" s="259">
        <v>0.1</v>
      </c>
      <c r="CV73" s="259">
        <v>0.1</v>
      </c>
      <c r="CW73" s="259">
        <v>0.1</v>
      </c>
      <c r="CX73" s="259">
        <v>0.1</v>
      </c>
      <c r="CY73" s="259">
        <v>0.1</v>
      </c>
      <c r="CZ73" s="259">
        <v>0.1</v>
      </c>
      <c r="DA73" s="259">
        <v>0.1</v>
      </c>
      <c r="DB73" s="259">
        <v>0.1</v>
      </c>
      <c r="DC73" s="259">
        <v>0.1</v>
      </c>
      <c r="DD73" s="259">
        <v>0.1</v>
      </c>
      <c r="DE73" s="259">
        <v>0.1</v>
      </c>
      <c r="DF73" s="259">
        <v>0.1</v>
      </c>
      <c r="DG73" s="259">
        <v>0.1</v>
      </c>
      <c r="DH73" s="259">
        <v>0.1</v>
      </c>
      <c r="DI73" s="259">
        <v>0.1</v>
      </c>
      <c r="DJ73" s="259">
        <v>0.1</v>
      </c>
      <c r="DK73" s="259">
        <v>0.1</v>
      </c>
      <c r="DL73" s="259">
        <v>0.1</v>
      </c>
      <c r="DM73" s="259">
        <v>0.1</v>
      </c>
      <c r="DN73" s="259">
        <v>0.1</v>
      </c>
      <c r="DO73" s="259">
        <v>0.1</v>
      </c>
      <c r="DP73" s="259">
        <v>0.1</v>
      </c>
      <c r="DQ73" s="259">
        <v>0.1</v>
      </c>
      <c r="DR73" s="259">
        <v>0.1</v>
      </c>
      <c r="DS73" s="259">
        <v>0.1</v>
      </c>
      <c r="DT73" s="260">
        <v>0.1</v>
      </c>
      <c r="DU73" s="258">
        <v>0.1</v>
      </c>
      <c r="DV73" s="259">
        <v>0.1</v>
      </c>
      <c r="DW73" s="259">
        <v>0.1</v>
      </c>
      <c r="DX73" s="259">
        <v>0.1</v>
      </c>
      <c r="DY73" s="259">
        <v>0.1</v>
      </c>
      <c r="DZ73" s="259">
        <v>0.1</v>
      </c>
      <c r="EA73" s="259">
        <v>0.1</v>
      </c>
      <c r="EB73" s="259">
        <v>0.1</v>
      </c>
      <c r="EC73" s="259">
        <v>0.1</v>
      </c>
      <c r="ED73" s="259">
        <v>0.1</v>
      </c>
      <c r="EE73" s="259">
        <v>0.1</v>
      </c>
      <c r="EF73" s="260">
        <v>0.1</v>
      </c>
      <c r="EJ73">
        <v>70</v>
      </c>
      <c r="EN73">
        <v>0.1</v>
      </c>
      <c r="EO73">
        <v>0.1</v>
      </c>
      <c r="EP73">
        <v>0.1</v>
      </c>
      <c r="EQ73">
        <v>0.1</v>
      </c>
      <c r="ER73">
        <v>0.1</v>
      </c>
      <c r="ES73">
        <v>0.1</v>
      </c>
      <c r="ET73">
        <v>0.1</v>
      </c>
      <c r="EU73">
        <v>0.1</v>
      </c>
      <c r="EV73">
        <v>0.1</v>
      </c>
      <c r="EW73">
        <v>0.1</v>
      </c>
      <c r="EX73">
        <v>0.1</v>
      </c>
      <c r="EY73">
        <v>0.1</v>
      </c>
      <c r="EZ73">
        <v>0.1</v>
      </c>
      <c r="FA73">
        <v>0.1</v>
      </c>
      <c r="FB73">
        <v>0.1</v>
      </c>
      <c r="FC73">
        <v>0.1</v>
      </c>
      <c r="FD73">
        <v>0.1</v>
      </c>
      <c r="FE73">
        <v>0.1</v>
      </c>
      <c r="FF73">
        <v>0.1</v>
      </c>
      <c r="FG73">
        <v>0.1</v>
      </c>
      <c r="FH73">
        <v>0.1</v>
      </c>
      <c r="FI73">
        <v>0.1</v>
      </c>
      <c r="FJ73">
        <v>0.1</v>
      </c>
      <c r="FK73">
        <v>0.1</v>
      </c>
      <c r="FL73">
        <v>0.1</v>
      </c>
      <c r="FM73">
        <v>0.1</v>
      </c>
      <c r="FN73">
        <v>0.1</v>
      </c>
      <c r="FO73">
        <v>0.1</v>
      </c>
      <c r="FP73">
        <v>0.1</v>
      </c>
      <c r="FQ73">
        <v>0.1</v>
      </c>
      <c r="FU73">
        <v>70</v>
      </c>
      <c r="FV73">
        <v>1.03</v>
      </c>
      <c r="FW73">
        <v>1.03</v>
      </c>
      <c r="FX73">
        <v>1.03</v>
      </c>
      <c r="FY73">
        <v>0.23</v>
      </c>
      <c r="FZ73">
        <v>0.23</v>
      </c>
      <c r="GB73" s="66">
        <v>0.1</v>
      </c>
      <c r="GC73" s="67">
        <v>0.1</v>
      </c>
      <c r="GD73" s="67">
        <v>0.1</v>
      </c>
      <c r="GE73" s="67">
        <v>0.1</v>
      </c>
      <c r="GF73" s="67">
        <v>0.1</v>
      </c>
      <c r="GG73" s="67">
        <v>0.1</v>
      </c>
      <c r="GH73" s="67">
        <v>0.1</v>
      </c>
      <c r="GI73" s="67">
        <v>0.1</v>
      </c>
      <c r="GJ73" s="67">
        <v>0.1</v>
      </c>
      <c r="GK73" s="67">
        <v>0.1</v>
      </c>
      <c r="GL73" s="68">
        <v>0.1</v>
      </c>
      <c r="GM73" s="66">
        <v>0.1</v>
      </c>
      <c r="GN73" s="67">
        <v>0.1</v>
      </c>
      <c r="GO73" s="67">
        <v>0.1</v>
      </c>
      <c r="GP73" s="67">
        <v>0.1</v>
      </c>
      <c r="GQ73" s="67">
        <v>0.1</v>
      </c>
      <c r="GR73" s="67">
        <v>0.1</v>
      </c>
      <c r="GS73" s="67">
        <v>0.1</v>
      </c>
      <c r="GT73" s="67">
        <v>0.1</v>
      </c>
      <c r="GU73" s="67">
        <v>0.1</v>
      </c>
      <c r="GV73" s="67">
        <v>0.1</v>
      </c>
      <c r="GW73" s="68">
        <v>0.1</v>
      </c>
      <c r="GX73" s="66">
        <v>0.1</v>
      </c>
      <c r="GY73" s="67">
        <v>0.1</v>
      </c>
      <c r="GZ73" s="67">
        <v>0.1</v>
      </c>
      <c r="HA73" s="67">
        <v>0.1</v>
      </c>
      <c r="HB73" s="67">
        <v>0.1</v>
      </c>
      <c r="HC73" s="67">
        <v>0.1</v>
      </c>
      <c r="HD73" s="67">
        <v>0.1</v>
      </c>
      <c r="HE73" s="67">
        <v>0.1</v>
      </c>
      <c r="HF73" s="67">
        <v>0.1</v>
      </c>
      <c r="HG73" s="67">
        <v>0.1</v>
      </c>
      <c r="HH73" s="68">
        <v>0.1</v>
      </c>
      <c r="HI73" s="66">
        <v>0.1</v>
      </c>
      <c r="HJ73" s="67">
        <v>0.1</v>
      </c>
      <c r="HK73" s="68">
        <v>0.1</v>
      </c>
      <c r="HL73" s="66">
        <v>0.1</v>
      </c>
      <c r="HM73" s="67">
        <v>0.1</v>
      </c>
      <c r="HN73" s="68">
        <v>0.1</v>
      </c>
      <c r="HO73">
        <v>0.1</v>
      </c>
      <c r="HP73">
        <f t="shared" ref="HP73:HP78" si="2">SUM(HO73)</f>
        <v>0.1</v>
      </c>
    </row>
    <row r="74" spans="1:224" ht="15.75" thickBot="1" x14ac:dyDescent="0.3">
      <c r="A74">
        <v>71</v>
      </c>
      <c r="B74" s="268" t="s">
        <v>1181</v>
      </c>
      <c r="C74" s="2"/>
      <c r="D74" s="2"/>
      <c r="E74" s="2"/>
      <c r="F74" s="2"/>
      <c r="G74" s="2"/>
      <c r="H74" s="258">
        <v>0.1</v>
      </c>
      <c r="I74" s="259">
        <v>0.1</v>
      </c>
      <c r="J74" s="259">
        <v>0.1</v>
      </c>
      <c r="K74" s="259">
        <v>0.1</v>
      </c>
      <c r="L74" s="259">
        <v>0.1</v>
      </c>
      <c r="M74" s="259">
        <v>0.1</v>
      </c>
      <c r="N74" s="259">
        <v>0.1</v>
      </c>
      <c r="O74" s="259">
        <v>0.1</v>
      </c>
      <c r="P74" s="259">
        <v>0.1</v>
      </c>
      <c r="Q74" s="259">
        <v>0.1</v>
      </c>
      <c r="R74" s="259">
        <v>0.1</v>
      </c>
      <c r="S74" s="259">
        <v>0.1</v>
      </c>
      <c r="T74" s="259">
        <v>0.1</v>
      </c>
      <c r="U74" s="259">
        <v>0.1</v>
      </c>
      <c r="V74" s="259">
        <v>0.1</v>
      </c>
      <c r="W74" s="259">
        <v>0.1</v>
      </c>
      <c r="X74" s="259">
        <v>0.1</v>
      </c>
      <c r="Y74" s="259">
        <v>0.1</v>
      </c>
      <c r="Z74" s="259">
        <v>0.1</v>
      </c>
      <c r="AA74" s="259">
        <v>0.1</v>
      </c>
      <c r="AB74" s="259">
        <v>0.1</v>
      </c>
      <c r="AC74" s="259">
        <v>0.1</v>
      </c>
      <c r="AD74" s="259">
        <v>0.1</v>
      </c>
      <c r="AE74" s="259">
        <v>0.1</v>
      </c>
      <c r="AF74" s="259">
        <v>0.1</v>
      </c>
      <c r="AG74" s="259">
        <v>0.1</v>
      </c>
      <c r="AH74" s="259">
        <v>0.1</v>
      </c>
      <c r="AI74" s="259">
        <v>0.1</v>
      </c>
      <c r="AJ74" s="259">
        <v>0.1</v>
      </c>
      <c r="AK74" s="259">
        <v>0.1</v>
      </c>
      <c r="AL74" s="259">
        <v>0.1</v>
      </c>
      <c r="AM74" s="259">
        <v>0.1</v>
      </c>
      <c r="AN74" s="259">
        <v>0.1</v>
      </c>
      <c r="AO74" s="259">
        <v>0.1</v>
      </c>
      <c r="AP74" s="259">
        <v>0.1</v>
      </c>
      <c r="AQ74" s="259">
        <v>0.1</v>
      </c>
      <c r="AR74" s="259">
        <v>0.1</v>
      </c>
      <c r="AS74" s="259">
        <v>0.1</v>
      </c>
      <c r="AT74" s="259">
        <v>0.1</v>
      </c>
      <c r="AU74" s="259">
        <v>0.1</v>
      </c>
      <c r="AV74" s="259">
        <v>0.1</v>
      </c>
      <c r="AW74" s="259">
        <v>0.1</v>
      </c>
      <c r="AX74" s="259">
        <v>0.1</v>
      </c>
      <c r="AY74" s="259">
        <v>0.1</v>
      </c>
      <c r="AZ74" s="259">
        <v>0.1</v>
      </c>
      <c r="BA74" s="259">
        <v>0.1</v>
      </c>
      <c r="BB74" s="259">
        <v>0.1</v>
      </c>
      <c r="BC74" s="259">
        <v>0.1</v>
      </c>
      <c r="BD74" s="259">
        <v>0.1</v>
      </c>
      <c r="BE74" s="259">
        <v>0.1</v>
      </c>
      <c r="BF74" s="259">
        <v>0.1</v>
      </c>
      <c r="BG74" s="259">
        <v>0.1</v>
      </c>
      <c r="BH74" s="259">
        <v>0.1</v>
      </c>
      <c r="BI74" s="259">
        <v>0.1</v>
      </c>
      <c r="BJ74" s="259">
        <v>0.1</v>
      </c>
      <c r="BK74" s="259">
        <v>0.1</v>
      </c>
      <c r="BL74" s="259">
        <v>0.1</v>
      </c>
      <c r="BM74" s="259">
        <v>0.1</v>
      </c>
      <c r="BN74" s="259">
        <v>0.1</v>
      </c>
      <c r="BO74" s="260">
        <v>0.1</v>
      </c>
      <c r="BS74">
        <v>71</v>
      </c>
      <c r="BT74" s="271">
        <v>4.7</v>
      </c>
      <c r="BU74" s="271">
        <v>1.3</v>
      </c>
      <c r="BV74" s="2"/>
      <c r="BX74" s="2"/>
      <c r="BY74" s="258">
        <v>0.1</v>
      </c>
      <c r="BZ74" s="259">
        <v>0.1</v>
      </c>
      <c r="CA74" s="259">
        <v>0.1</v>
      </c>
      <c r="CB74" s="259">
        <v>0.1</v>
      </c>
      <c r="CC74" s="259">
        <v>0.1</v>
      </c>
      <c r="CD74" s="259">
        <v>0.1</v>
      </c>
      <c r="CE74" s="259">
        <v>0.1</v>
      </c>
      <c r="CF74" s="259">
        <v>0.1</v>
      </c>
      <c r="CG74" s="259">
        <v>0.1</v>
      </c>
      <c r="CH74" s="259">
        <v>0.1</v>
      </c>
      <c r="CI74" s="259">
        <v>0.1</v>
      </c>
      <c r="CJ74" s="259">
        <v>0.1</v>
      </c>
      <c r="CK74" s="259">
        <v>0.1</v>
      </c>
      <c r="CL74" s="259">
        <v>0.1</v>
      </c>
      <c r="CM74" s="259">
        <v>0.1</v>
      </c>
      <c r="CN74" s="259">
        <v>0.1</v>
      </c>
      <c r="CO74" s="259">
        <v>0.1</v>
      </c>
      <c r="CP74" s="259">
        <v>0.1</v>
      </c>
      <c r="CQ74" s="259">
        <v>0.1</v>
      </c>
      <c r="CR74" s="259">
        <v>0.1</v>
      </c>
      <c r="CS74" s="259">
        <v>0.1</v>
      </c>
      <c r="CT74" s="259">
        <v>0.1</v>
      </c>
      <c r="CU74" s="259">
        <v>0.1</v>
      </c>
      <c r="CV74" s="259">
        <v>0.1</v>
      </c>
      <c r="CW74" s="259">
        <v>0.1</v>
      </c>
      <c r="CX74" s="259">
        <v>0.1</v>
      </c>
      <c r="CY74" s="259">
        <v>0.1</v>
      </c>
      <c r="CZ74" s="259">
        <v>0.1</v>
      </c>
      <c r="DA74" s="259">
        <v>0.1</v>
      </c>
      <c r="DB74" s="259">
        <v>0.1</v>
      </c>
      <c r="DC74" s="259">
        <v>0.1</v>
      </c>
      <c r="DD74" s="259">
        <v>0.1</v>
      </c>
      <c r="DE74" s="259">
        <v>0.1</v>
      </c>
      <c r="DF74" s="259">
        <v>0.1</v>
      </c>
      <c r="DG74" s="259">
        <v>0.1</v>
      </c>
      <c r="DH74" s="259">
        <v>0.1</v>
      </c>
      <c r="DI74" s="259">
        <v>0.1</v>
      </c>
      <c r="DJ74" s="259">
        <v>0.1</v>
      </c>
      <c r="DK74" s="259">
        <v>0.1</v>
      </c>
      <c r="DL74" s="259">
        <v>0.1</v>
      </c>
      <c r="DM74" s="259">
        <v>0.1</v>
      </c>
      <c r="DN74" s="259">
        <v>0.1</v>
      </c>
      <c r="DO74" s="259">
        <v>0.1</v>
      </c>
      <c r="DP74" s="259">
        <v>0.1</v>
      </c>
      <c r="DQ74" s="259">
        <v>0.1</v>
      </c>
      <c r="DR74" s="259">
        <v>0.1</v>
      </c>
      <c r="DS74" s="260">
        <v>0.1</v>
      </c>
      <c r="DT74" s="258">
        <v>0.1</v>
      </c>
      <c r="DU74" s="259">
        <v>0.1</v>
      </c>
      <c r="DV74" s="259">
        <v>0.1</v>
      </c>
      <c r="DW74" s="259">
        <v>0.1</v>
      </c>
      <c r="DX74" s="259">
        <v>0.1</v>
      </c>
      <c r="DY74" s="259">
        <v>0.1</v>
      </c>
      <c r="DZ74" s="259">
        <v>0.1</v>
      </c>
      <c r="EA74" s="259">
        <v>0.1</v>
      </c>
      <c r="EB74" s="259">
        <v>0.1</v>
      </c>
      <c r="EC74" s="259">
        <v>0.1</v>
      </c>
      <c r="ED74" s="259">
        <v>0.1</v>
      </c>
      <c r="EE74" s="259">
        <v>0.1</v>
      </c>
      <c r="EF74" s="260">
        <v>0.1</v>
      </c>
      <c r="EJ74">
        <v>71</v>
      </c>
      <c r="EN74">
        <v>0.1</v>
      </c>
      <c r="EO74">
        <v>0.1</v>
      </c>
      <c r="EP74">
        <v>0.1</v>
      </c>
      <c r="EQ74">
        <v>0.1</v>
      </c>
      <c r="ER74">
        <v>0.1</v>
      </c>
      <c r="ES74">
        <v>0.1</v>
      </c>
      <c r="ET74">
        <v>0.1</v>
      </c>
      <c r="EU74">
        <v>0.1</v>
      </c>
      <c r="EV74">
        <v>0.1</v>
      </c>
      <c r="EW74">
        <v>0.1</v>
      </c>
      <c r="EX74">
        <v>0.1</v>
      </c>
      <c r="EY74">
        <v>0.1</v>
      </c>
      <c r="EZ74">
        <v>0.1</v>
      </c>
      <c r="FA74">
        <v>0.1</v>
      </c>
      <c r="FB74">
        <v>0.1</v>
      </c>
      <c r="FC74">
        <v>0.1</v>
      </c>
      <c r="FD74">
        <v>0.1</v>
      </c>
      <c r="FE74">
        <v>0.1</v>
      </c>
      <c r="FF74">
        <v>0.1</v>
      </c>
      <c r="FG74">
        <v>0.1</v>
      </c>
      <c r="FH74">
        <v>0.1</v>
      </c>
      <c r="FI74">
        <v>0.1</v>
      </c>
      <c r="FJ74">
        <v>0.1</v>
      </c>
      <c r="FK74">
        <v>0.1</v>
      </c>
      <c r="FL74">
        <v>0.1</v>
      </c>
      <c r="FM74">
        <v>0.1</v>
      </c>
      <c r="FN74">
        <v>0.1</v>
      </c>
      <c r="FO74">
        <v>0.1</v>
      </c>
      <c r="FP74">
        <v>0.1</v>
      </c>
      <c r="FQ74">
        <v>0.1</v>
      </c>
      <c r="FU74">
        <v>71</v>
      </c>
      <c r="FV74">
        <v>1.03</v>
      </c>
      <c r="FW74">
        <v>1.03</v>
      </c>
      <c r="FX74">
        <v>1.03</v>
      </c>
      <c r="FY74">
        <v>0.26</v>
      </c>
      <c r="FZ74">
        <v>0.26</v>
      </c>
      <c r="GB74" s="66">
        <v>0.1</v>
      </c>
      <c r="GC74" s="67">
        <v>0.1</v>
      </c>
      <c r="GD74" s="67">
        <v>0.1</v>
      </c>
      <c r="GE74" s="67">
        <v>0.1</v>
      </c>
      <c r="GF74" s="67">
        <v>0.1</v>
      </c>
      <c r="GG74" s="67">
        <v>0.1</v>
      </c>
      <c r="GH74" s="67">
        <v>0.1</v>
      </c>
      <c r="GI74" s="67">
        <v>0.1</v>
      </c>
      <c r="GJ74" s="67">
        <v>0.1</v>
      </c>
      <c r="GK74" s="67">
        <v>0.1</v>
      </c>
      <c r="GL74" s="68">
        <v>0.1</v>
      </c>
      <c r="GM74" s="66">
        <v>0.1</v>
      </c>
      <c r="GN74" s="67">
        <v>0.1</v>
      </c>
      <c r="GO74" s="67">
        <v>0.1</v>
      </c>
      <c r="GP74" s="67">
        <v>0.1</v>
      </c>
      <c r="GQ74" s="67">
        <v>0.1</v>
      </c>
      <c r="GR74" s="67">
        <v>0.1</v>
      </c>
      <c r="GS74" s="67">
        <v>0.1</v>
      </c>
      <c r="GT74" s="67">
        <v>0.1</v>
      </c>
      <c r="GU74" s="67">
        <v>0.1</v>
      </c>
      <c r="GV74" s="67">
        <v>0.1</v>
      </c>
      <c r="GW74" s="68">
        <v>0.1</v>
      </c>
      <c r="GX74" s="66">
        <v>0.1</v>
      </c>
      <c r="GY74" s="67">
        <v>0.1</v>
      </c>
      <c r="GZ74" s="67">
        <v>0.1</v>
      </c>
      <c r="HA74" s="67">
        <v>0.1</v>
      </c>
      <c r="HB74" s="67">
        <v>0.1</v>
      </c>
      <c r="HC74" s="67">
        <v>0.1</v>
      </c>
      <c r="HD74" s="67">
        <v>0.1</v>
      </c>
      <c r="HE74" s="67">
        <v>0.1</v>
      </c>
      <c r="HF74" s="67">
        <v>0.1</v>
      </c>
      <c r="HG74" s="67">
        <v>0.1</v>
      </c>
      <c r="HH74" s="68">
        <v>0.1</v>
      </c>
      <c r="HI74" s="66">
        <v>0.1</v>
      </c>
      <c r="HJ74" s="67">
        <v>0.1</v>
      </c>
      <c r="HK74" s="68">
        <v>0.1</v>
      </c>
      <c r="HL74" s="66">
        <v>0.1</v>
      </c>
      <c r="HM74" s="67">
        <v>0.1</v>
      </c>
      <c r="HN74" s="68">
        <v>0.1</v>
      </c>
      <c r="HO74">
        <v>0.1</v>
      </c>
      <c r="HP74">
        <f t="shared" si="2"/>
        <v>0.1</v>
      </c>
    </row>
    <row r="75" spans="1:224" ht="15.75" thickBot="1" x14ac:dyDescent="0.3">
      <c r="A75">
        <v>72</v>
      </c>
      <c r="B75" s="268" t="s">
        <v>1182</v>
      </c>
      <c r="C75" s="269">
        <v>1.73</v>
      </c>
      <c r="D75" s="269">
        <v>0.78</v>
      </c>
      <c r="E75" s="2"/>
      <c r="F75" s="2"/>
      <c r="G75" s="2"/>
      <c r="H75" s="258">
        <v>0.1</v>
      </c>
      <c r="I75" s="259">
        <v>0.1</v>
      </c>
      <c r="J75" s="259">
        <v>0.1</v>
      </c>
      <c r="K75" s="259">
        <v>0.1</v>
      </c>
      <c r="L75" s="259">
        <v>0.1</v>
      </c>
      <c r="M75" s="259">
        <v>0.1</v>
      </c>
      <c r="N75" s="259">
        <v>0.1</v>
      </c>
      <c r="O75" s="259">
        <v>0.1</v>
      </c>
      <c r="P75" s="259">
        <v>0.1</v>
      </c>
      <c r="Q75" s="259">
        <v>0.1</v>
      </c>
      <c r="R75" s="259">
        <v>0.1</v>
      </c>
      <c r="S75" s="259">
        <v>0.1</v>
      </c>
      <c r="T75" s="259">
        <v>0.1</v>
      </c>
      <c r="U75" s="259">
        <v>0.1</v>
      </c>
      <c r="V75" s="259">
        <v>0.1</v>
      </c>
      <c r="W75" s="259">
        <v>0.1</v>
      </c>
      <c r="X75" s="259">
        <v>0.1</v>
      </c>
      <c r="Y75" s="259">
        <v>0.1</v>
      </c>
      <c r="Z75" s="259">
        <v>0.1</v>
      </c>
      <c r="AA75" s="259">
        <v>0.1</v>
      </c>
      <c r="AB75" s="259">
        <v>0.1</v>
      </c>
      <c r="AC75" s="259">
        <v>0.1</v>
      </c>
      <c r="AD75" s="259">
        <v>0.1</v>
      </c>
      <c r="AE75" s="259">
        <v>0.1</v>
      </c>
      <c r="AF75" s="259">
        <v>0.1</v>
      </c>
      <c r="AG75" s="259">
        <v>0.1</v>
      </c>
      <c r="AH75" s="259">
        <v>0.1</v>
      </c>
      <c r="AI75" s="259">
        <v>0.1</v>
      </c>
      <c r="AJ75" s="259">
        <v>0.1</v>
      </c>
      <c r="AK75" s="259">
        <v>0.1</v>
      </c>
      <c r="AL75" s="259">
        <v>0.1</v>
      </c>
      <c r="AM75" s="259">
        <v>0.1</v>
      </c>
      <c r="AN75" s="260">
        <v>0.1</v>
      </c>
      <c r="AO75" s="258">
        <v>0.1</v>
      </c>
      <c r="AP75" s="259">
        <v>0.1</v>
      </c>
      <c r="AQ75" s="259">
        <v>0.1</v>
      </c>
      <c r="AR75" s="259">
        <v>0.1</v>
      </c>
      <c r="AS75" s="259">
        <v>0.1</v>
      </c>
      <c r="AT75" s="259">
        <v>0.1</v>
      </c>
      <c r="AU75" s="259">
        <v>0.1</v>
      </c>
      <c r="AV75" s="259">
        <v>0.1</v>
      </c>
      <c r="AW75" s="259">
        <v>0.1</v>
      </c>
      <c r="AX75" s="259">
        <v>0.1</v>
      </c>
      <c r="AY75" s="259">
        <v>0.1</v>
      </c>
      <c r="AZ75" s="259">
        <v>0.1</v>
      </c>
      <c r="BA75" s="259">
        <v>0.1</v>
      </c>
      <c r="BB75" s="259">
        <v>0.1</v>
      </c>
      <c r="BC75" s="259">
        <v>0.1</v>
      </c>
      <c r="BD75" s="259">
        <v>0.1</v>
      </c>
      <c r="BE75" s="259">
        <v>0.1</v>
      </c>
      <c r="BF75" s="260">
        <v>0.1</v>
      </c>
      <c r="BG75" s="258">
        <v>0.1</v>
      </c>
      <c r="BH75" s="259">
        <v>0.1</v>
      </c>
      <c r="BI75" s="259">
        <v>0.1</v>
      </c>
      <c r="BJ75" s="259">
        <v>0.1</v>
      </c>
      <c r="BK75" s="259">
        <v>0.1</v>
      </c>
      <c r="BL75" s="259">
        <v>0.1</v>
      </c>
      <c r="BM75" s="259">
        <v>0.1</v>
      </c>
      <c r="BN75" s="260">
        <v>0.1</v>
      </c>
      <c r="BO75">
        <v>0.1</v>
      </c>
      <c r="BP75">
        <f>SUM(BO75)</f>
        <v>0.1</v>
      </c>
      <c r="BS75">
        <v>72</v>
      </c>
      <c r="BT75" s="270">
        <v>4.66</v>
      </c>
      <c r="BU75" s="270">
        <v>1.3</v>
      </c>
      <c r="BV75" s="2"/>
      <c r="BX75" s="2"/>
      <c r="BY75" s="258">
        <v>0.1</v>
      </c>
      <c r="BZ75" s="259">
        <v>0.1</v>
      </c>
      <c r="CA75" s="259">
        <v>0.1</v>
      </c>
      <c r="CB75" s="259">
        <v>0.1</v>
      </c>
      <c r="CC75" s="259">
        <v>0.1</v>
      </c>
      <c r="CD75" s="259">
        <v>0.1</v>
      </c>
      <c r="CE75" s="259">
        <v>0.1</v>
      </c>
      <c r="CF75" s="259">
        <v>0.1</v>
      </c>
      <c r="CG75" s="259">
        <v>0.1</v>
      </c>
      <c r="CH75" s="259">
        <v>0.1</v>
      </c>
      <c r="CI75" s="259">
        <v>0.1</v>
      </c>
      <c r="CJ75" s="259">
        <v>0.1</v>
      </c>
      <c r="CK75" s="259">
        <v>0.1</v>
      </c>
      <c r="CL75" s="259">
        <v>0.1</v>
      </c>
      <c r="CM75" s="259">
        <v>0.1</v>
      </c>
      <c r="CN75" s="259">
        <v>0.1</v>
      </c>
      <c r="CO75" s="259">
        <v>0.1</v>
      </c>
      <c r="CP75" s="259">
        <v>0.1</v>
      </c>
      <c r="CQ75" s="259">
        <v>0.1</v>
      </c>
      <c r="CR75" s="259">
        <v>0.1</v>
      </c>
      <c r="CS75" s="259">
        <v>0.1</v>
      </c>
      <c r="CT75" s="259">
        <v>0.1</v>
      </c>
      <c r="CU75" s="259">
        <v>0.1</v>
      </c>
      <c r="CV75" s="259">
        <v>0.1</v>
      </c>
      <c r="CW75" s="259">
        <v>0.1</v>
      </c>
      <c r="CX75" s="259">
        <v>0.1</v>
      </c>
      <c r="CY75" s="259">
        <v>0.1</v>
      </c>
      <c r="CZ75" s="259">
        <v>0.1</v>
      </c>
      <c r="DA75" s="259">
        <v>0.1</v>
      </c>
      <c r="DB75" s="259">
        <v>0.1</v>
      </c>
      <c r="DC75" s="259">
        <v>0.1</v>
      </c>
      <c r="DD75" s="259">
        <v>0.1</v>
      </c>
      <c r="DE75" s="259">
        <v>0.1</v>
      </c>
      <c r="DF75" s="259">
        <v>0.1</v>
      </c>
      <c r="DG75" s="259">
        <v>0.1</v>
      </c>
      <c r="DH75" s="259">
        <v>0.1</v>
      </c>
      <c r="DI75" s="259">
        <v>0.1</v>
      </c>
      <c r="DJ75" s="259">
        <v>0.1</v>
      </c>
      <c r="DK75" s="259">
        <v>0.1</v>
      </c>
      <c r="DL75" s="259">
        <v>0.1</v>
      </c>
      <c r="DM75" s="259">
        <v>0.1</v>
      </c>
      <c r="DN75" s="259">
        <v>0.1</v>
      </c>
      <c r="DO75" s="259">
        <v>0.1</v>
      </c>
      <c r="DP75" s="259">
        <v>0.1</v>
      </c>
      <c r="DQ75" s="259">
        <v>0.1</v>
      </c>
      <c r="DR75" s="259">
        <v>0.1</v>
      </c>
      <c r="DS75" s="260">
        <v>0.1</v>
      </c>
      <c r="DT75" s="258">
        <v>0.1</v>
      </c>
      <c r="DU75" s="259">
        <v>0.1</v>
      </c>
      <c r="DV75" s="259">
        <v>0.1</v>
      </c>
      <c r="DW75" s="259">
        <v>0.1</v>
      </c>
      <c r="DX75" s="259">
        <v>0.1</v>
      </c>
      <c r="DY75" s="259">
        <v>0.1</v>
      </c>
      <c r="DZ75" s="259">
        <v>0.1</v>
      </c>
      <c r="EA75" s="259">
        <v>0.1</v>
      </c>
      <c r="EB75" s="259">
        <v>0.1</v>
      </c>
      <c r="EC75" s="259">
        <v>0.1</v>
      </c>
      <c r="ED75" s="259">
        <v>0.1</v>
      </c>
      <c r="EE75" s="259">
        <v>0.1</v>
      </c>
      <c r="EF75" s="260">
        <v>0.1</v>
      </c>
      <c r="EJ75">
        <v>72</v>
      </c>
      <c r="EN75">
        <v>0.1</v>
      </c>
      <c r="EO75">
        <v>0.1</v>
      </c>
      <c r="EP75">
        <v>0.1</v>
      </c>
      <c r="EQ75">
        <v>0.1</v>
      </c>
      <c r="ER75">
        <v>0.1</v>
      </c>
      <c r="ES75">
        <v>0.1</v>
      </c>
      <c r="ET75">
        <v>0.1</v>
      </c>
      <c r="EU75">
        <v>0.1</v>
      </c>
      <c r="EV75">
        <v>0.1</v>
      </c>
      <c r="EW75">
        <v>0.1</v>
      </c>
      <c r="EX75">
        <v>0.1</v>
      </c>
      <c r="EY75">
        <v>0.1</v>
      </c>
      <c r="EZ75">
        <v>0.1</v>
      </c>
      <c r="FA75">
        <v>0.1</v>
      </c>
      <c r="FB75">
        <v>0.1</v>
      </c>
      <c r="FC75">
        <v>0.1</v>
      </c>
      <c r="FD75">
        <v>0.1</v>
      </c>
      <c r="FE75">
        <v>0.1</v>
      </c>
      <c r="FF75">
        <v>0.1</v>
      </c>
      <c r="FG75">
        <v>0.1</v>
      </c>
      <c r="FH75">
        <v>0.1</v>
      </c>
      <c r="FI75">
        <v>0.1</v>
      </c>
      <c r="FJ75">
        <v>0.1</v>
      </c>
      <c r="FK75">
        <v>0.1</v>
      </c>
      <c r="FL75">
        <v>0.1</v>
      </c>
      <c r="FM75">
        <v>0.1</v>
      </c>
      <c r="FN75">
        <v>0.1</v>
      </c>
      <c r="FO75">
        <v>0.1</v>
      </c>
      <c r="FP75">
        <v>0.1</v>
      </c>
      <c r="FQ75">
        <v>0.1</v>
      </c>
      <c r="FU75">
        <v>72</v>
      </c>
      <c r="FV75">
        <v>1.03</v>
      </c>
      <c r="FW75">
        <v>1.03</v>
      </c>
      <c r="FX75">
        <v>1.03</v>
      </c>
      <c r="FY75">
        <v>0.28000000000000003</v>
      </c>
      <c r="FZ75">
        <v>0.28000000000000003</v>
      </c>
      <c r="GB75" s="66">
        <v>0.1</v>
      </c>
      <c r="GC75" s="67">
        <v>0.1</v>
      </c>
      <c r="GD75" s="67">
        <v>0.1</v>
      </c>
      <c r="GE75" s="67">
        <v>0.1</v>
      </c>
      <c r="GF75" s="67">
        <v>0.1</v>
      </c>
      <c r="GG75" s="67">
        <v>0.1</v>
      </c>
      <c r="GH75" s="67">
        <v>0.1</v>
      </c>
      <c r="GI75" s="67">
        <v>0.1</v>
      </c>
      <c r="GJ75" s="67">
        <v>0.1</v>
      </c>
      <c r="GK75" s="67">
        <v>0.1</v>
      </c>
      <c r="GL75" s="68">
        <v>0.1</v>
      </c>
      <c r="GM75" s="66">
        <v>0.1</v>
      </c>
      <c r="GN75" s="67">
        <v>0.1</v>
      </c>
      <c r="GO75" s="67">
        <v>0.1</v>
      </c>
      <c r="GP75" s="67">
        <v>0.1</v>
      </c>
      <c r="GQ75" s="67">
        <v>0.1</v>
      </c>
      <c r="GR75" s="67">
        <v>0.1</v>
      </c>
      <c r="GS75" s="67">
        <v>0.1</v>
      </c>
      <c r="GT75" s="67">
        <v>0.1</v>
      </c>
      <c r="GU75" s="67">
        <v>0.1</v>
      </c>
      <c r="GV75" s="67">
        <v>0.1</v>
      </c>
      <c r="GW75" s="68">
        <v>0.1</v>
      </c>
      <c r="GX75" s="66">
        <v>0.1</v>
      </c>
      <c r="GY75" s="67">
        <v>0.1</v>
      </c>
      <c r="GZ75" s="67">
        <v>0.1</v>
      </c>
      <c r="HA75" s="67">
        <v>0.1</v>
      </c>
      <c r="HB75" s="67">
        <v>0.1</v>
      </c>
      <c r="HC75" s="67">
        <v>0.1</v>
      </c>
      <c r="HD75" s="67">
        <v>0.1</v>
      </c>
      <c r="HE75" s="67">
        <v>0.1</v>
      </c>
      <c r="HF75" s="67">
        <v>0.1</v>
      </c>
      <c r="HG75" s="67">
        <v>0.1</v>
      </c>
      <c r="HH75" s="68">
        <v>0.1</v>
      </c>
      <c r="HI75" s="66">
        <v>0.1</v>
      </c>
      <c r="HJ75" s="67">
        <v>0.1</v>
      </c>
      <c r="HK75" s="68">
        <v>0.1</v>
      </c>
      <c r="HL75" s="66">
        <v>0.1</v>
      </c>
      <c r="HM75" s="67">
        <v>0.1</v>
      </c>
      <c r="HN75" s="68">
        <v>0.1</v>
      </c>
      <c r="HO75">
        <v>0.1</v>
      </c>
      <c r="HP75">
        <f t="shared" si="2"/>
        <v>0.1</v>
      </c>
    </row>
    <row r="76" spans="1:224" ht="15.75" thickBot="1" x14ac:dyDescent="0.3">
      <c r="A76">
        <v>73</v>
      </c>
      <c r="B76" s="268" t="s">
        <v>1181</v>
      </c>
      <c r="C76" s="2"/>
      <c r="D76" s="2"/>
      <c r="E76" s="2"/>
      <c r="F76" s="2"/>
      <c r="G76" s="2"/>
      <c r="H76" s="258">
        <v>0.1</v>
      </c>
      <c r="I76" s="259">
        <v>0.1</v>
      </c>
      <c r="J76" s="259">
        <v>0.1</v>
      </c>
      <c r="K76" s="259">
        <v>0.1</v>
      </c>
      <c r="L76" s="259">
        <v>0.1</v>
      </c>
      <c r="M76" s="259">
        <v>0.1</v>
      </c>
      <c r="N76" s="259">
        <v>0.1</v>
      </c>
      <c r="O76" s="259">
        <v>0.1</v>
      </c>
      <c r="P76" s="259">
        <v>0.1</v>
      </c>
      <c r="Q76" s="259">
        <v>0.1</v>
      </c>
      <c r="R76" s="259">
        <v>0.1</v>
      </c>
      <c r="S76" s="259">
        <v>0.1</v>
      </c>
      <c r="T76" s="259">
        <v>0.1</v>
      </c>
      <c r="U76" s="259">
        <v>0.1</v>
      </c>
      <c r="V76" s="259">
        <v>0.1</v>
      </c>
      <c r="W76" s="259">
        <v>0.1</v>
      </c>
      <c r="X76" s="259">
        <v>0.1</v>
      </c>
      <c r="Y76" s="259">
        <v>0.1</v>
      </c>
      <c r="Z76" s="259">
        <v>0.1</v>
      </c>
      <c r="AA76" s="259">
        <v>0.1</v>
      </c>
      <c r="AB76" s="259">
        <v>0.1</v>
      </c>
      <c r="AC76" s="259">
        <v>0.1</v>
      </c>
      <c r="AD76" s="259">
        <v>0.1</v>
      </c>
      <c r="AE76" s="259">
        <v>0.1</v>
      </c>
      <c r="AF76" s="259">
        <v>0.1</v>
      </c>
      <c r="AG76" s="259">
        <v>0.1</v>
      </c>
      <c r="AH76" s="259">
        <v>0.1</v>
      </c>
      <c r="AI76" s="259">
        <v>0.1</v>
      </c>
      <c r="AJ76" s="259">
        <v>0.1</v>
      </c>
      <c r="AK76" s="259">
        <v>0.1</v>
      </c>
      <c r="AL76" s="259">
        <v>0.1</v>
      </c>
      <c r="AM76" s="259">
        <v>0.1</v>
      </c>
      <c r="AN76" s="259">
        <v>0.1</v>
      </c>
      <c r="AO76" s="259">
        <v>0.1</v>
      </c>
      <c r="AP76" s="259">
        <v>0.1</v>
      </c>
      <c r="AQ76" s="259">
        <v>0.1</v>
      </c>
      <c r="AR76" s="259">
        <v>0.1</v>
      </c>
      <c r="AS76" s="259">
        <v>0.1</v>
      </c>
      <c r="AT76" s="259">
        <v>0.1</v>
      </c>
      <c r="AU76" s="259">
        <v>0.1</v>
      </c>
      <c r="AV76" s="259">
        <v>0.1</v>
      </c>
      <c r="AW76" s="259">
        <v>0.1</v>
      </c>
      <c r="AX76" s="259">
        <v>0.1</v>
      </c>
      <c r="AY76" s="259">
        <v>0.1</v>
      </c>
      <c r="AZ76" s="259">
        <v>0.1</v>
      </c>
      <c r="BA76" s="259">
        <v>0.1</v>
      </c>
      <c r="BB76" s="259">
        <v>0.1</v>
      </c>
      <c r="BC76" s="259">
        <v>0.1</v>
      </c>
      <c r="BD76" s="259">
        <v>0.1</v>
      </c>
      <c r="BE76" s="259">
        <v>0.1</v>
      </c>
      <c r="BF76" s="259">
        <v>0.1</v>
      </c>
      <c r="BG76" s="259">
        <v>0.1</v>
      </c>
      <c r="BH76" s="259">
        <v>0.1</v>
      </c>
      <c r="BI76" s="259">
        <v>0.1</v>
      </c>
      <c r="BJ76" s="259">
        <v>0.1</v>
      </c>
      <c r="BK76" s="259">
        <v>0.1</v>
      </c>
      <c r="BL76" s="259">
        <v>0.1</v>
      </c>
      <c r="BM76" s="259">
        <v>0.1</v>
      </c>
      <c r="BN76" s="259">
        <v>0.1</v>
      </c>
      <c r="BO76" s="260">
        <v>0.1</v>
      </c>
      <c r="BS76">
        <v>73</v>
      </c>
      <c r="BT76" s="271">
        <v>4.66</v>
      </c>
      <c r="BU76" s="271">
        <v>1.3</v>
      </c>
      <c r="BV76" s="2"/>
      <c r="BX76" s="2"/>
      <c r="BY76" s="258">
        <v>0.1</v>
      </c>
      <c r="BZ76" s="259">
        <v>0.1</v>
      </c>
      <c r="CA76" s="259">
        <v>0.1</v>
      </c>
      <c r="CB76" s="259">
        <v>0.1</v>
      </c>
      <c r="CC76" s="259">
        <v>0.1</v>
      </c>
      <c r="CD76" s="259">
        <v>0.1</v>
      </c>
      <c r="CE76" s="259">
        <v>0.1</v>
      </c>
      <c r="CF76" s="259">
        <v>0.1</v>
      </c>
      <c r="CG76" s="259">
        <v>0.1</v>
      </c>
      <c r="CH76" s="259">
        <v>0.1</v>
      </c>
      <c r="CI76" s="259">
        <v>0.1</v>
      </c>
      <c r="CJ76" s="259">
        <v>0.1</v>
      </c>
      <c r="CK76" s="259">
        <v>0.1</v>
      </c>
      <c r="CL76" s="259">
        <v>0.1</v>
      </c>
      <c r="CM76" s="259">
        <v>0.1</v>
      </c>
      <c r="CN76" s="259">
        <v>0.1</v>
      </c>
      <c r="CO76" s="259">
        <v>0.1</v>
      </c>
      <c r="CP76" s="259">
        <v>0.1</v>
      </c>
      <c r="CQ76" s="259">
        <v>0.1</v>
      </c>
      <c r="CR76" s="259">
        <v>0.1</v>
      </c>
      <c r="CS76" s="259">
        <v>0.1</v>
      </c>
      <c r="CT76" s="259">
        <v>0.1</v>
      </c>
      <c r="CU76" s="259">
        <v>0.1</v>
      </c>
      <c r="CV76" s="259">
        <v>0.1</v>
      </c>
      <c r="CW76" s="259">
        <v>0.1</v>
      </c>
      <c r="CX76" s="259">
        <v>0.1</v>
      </c>
      <c r="CY76" s="259">
        <v>0.1</v>
      </c>
      <c r="CZ76" s="259">
        <v>0.1</v>
      </c>
      <c r="DA76" s="259">
        <v>0.1</v>
      </c>
      <c r="DB76" s="259">
        <v>0.1</v>
      </c>
      <c r="DC76" s="259">
        <v>0.1</v>
      </c>
      <c r="DD76" s="259">
        <v>0.1</v>
      </c>
      <c r="DE76" s="259">
        <v>0.1</v>
      </c>
      <c r="DF76" s="259">
        <v>0.1</v>
      </c>
      <c r="DG76" s="259">
        <v>0.1</v>
      </c>
      <c r="DH76" s="259">
        <v>0.1</v>
      </c>
      <c r="DI76" s="259">
        <v>0.1</v>
      </c>
      <c r="DJ76" s="259">
        <v>0.1</v>
      </c>
      <c r="DK76" s="259">
        <v>0.1</v>
      </c>
      <c r="DL76" s="259">
        <v>0.1</v>
      </c>
      <c r="DM76" s="259">
        <v>0.1</v>
      </c>
      <c r="DN76" s="259">
        <v>0.1</v>
      </c>
      <c r="DO76" s="259">
        <v>0.1</v>
      </c>
      <c r="DP76" s="259">
        <v>0.1</v>
      </c>
      <c r="DQ76" s="259">
        <v>0.1</v>
      </c>
      <c r="DR76" s="259">
        <v>0.1</v>
      </c>
      <c r="DS76" s="260">
        <v>0.1</v>
      </c>
      <c r="DT76" s="258">
        <v>0.1</v>
      </c>
      <c r="DU76" s="259">
        <v>0.1</v>
      </c>
      <c r="DV76" s="259">
        <v>0.1</v>
      </c>
      <c r="DW76" s="259">
        <v>0.1</v>
      </c>
      <c r="DX76" s="259">
        <v>0.1</v>
      </c>
      <c r="DY76" s="259">
        <v>0.1</v>
      </c>
      <c r="DZ76" s="259">
        <v>0.1</v>
      </c>
      <c r="EA76" s="259">
        <v>0.1</v>
      </c>
      <c r="EB76" s="259">
        <v>0.1</v>
      </c>
      <c r="EC76" s="259">
        <v>0.1</v>
      </c>
      <c r="ED76" s="259">
        <v>0.1</v>
      </c>
      <c r="EE76" s="259">
        <v>0.1</v>
      </c>
      <c r="EF76" s="260">
        <v>0.1</v>
      </c>
      <c r="EJ76">
        <v>73</v>
      </c>
      <c r="EN76">
        <v>0.1</v>
      </c>
      <c r="EO76">
        <v>0.1</v>
      </c>
      <c r="EP76">
        <v>0.1</v>
      </c>
      <c r="EQ76">
        <v>0.1</v>
      </c>
      <c r="ER76">
        <v>0.1</v>
      </c>
      <c r="ES76">
        <v>0.1</v>
      </c>
      <c r="ET76">
        <v>0.1</v>
      </c>
      <c r="EU76">
        <v>0.1</v>
      </c>
      <c r="EV76">
        <v>0.1</v>
      </c>
      <c r="EW76">
        <v>0.1</v>
      </c>
      <c r="EX76">
        <v>0.1</v>
      </c>
      <c r="EY76">
        <v>0.1</v>
      </c>
      <c r="EZ76">
        <v>0.1</v>
      </c>
      <c r="FA76">
        <v>0.1</v>
      </c>
      <c r="FB76">
        <v>0.1</v>
      </c>
      <c r="FC76">
        <v>0.1</v>
      </c>
      <c r="FD76">
        <v>0.1</v>
      </c>
      <c r="FE76">
        <v>0.1</v>
      </c>
      <c r="FF76">
        <v>0.1</v>
      </c>
      <c r="FG76">
        <v>0.1</v>
      </c>
      <c r="FH76">
        <v>0.1</v>
      </c>
      <c r="FI76">
        <v>0.1</v>
      </c>
      <c r="FJ76">
        <v>0.1</v>
      </c>
      <c r="FK76">
        <v>0.1</v>
      </c>
      <c r="FL76">
        <v>0.1</v>
      </c>
      <c r="FM76">
        <v>0.1</v>
      </c>
      <c r="FN76">
        <v>0.1</v>
      </c>
      <c r="FO76">
        <v>0.1</v>
      </c>
      <c r="FP76">
        <v>0.1</v>
      </c>
      <c r="FQ76">
        <v>0.1</v>
      </c>
      <c r="FU76">
        <v>73</v>
      </c>
      <c r="FV76">
        <v>1.03</v>
      </c>
      <c r="FW76">
        <v>1.03</v>
      </c>
      <c r="FX76">
        <v>1.03</v>
      </c>
      <c r="FY76">
        <v>0.28000000000000003</v>
      </c>
      <c r="FZ76">
        <v>0.28000000000000003</v>
      </c>
      <c r="GB76" s="66">
        <v>0.1</v>
      </c>
      <c r="GC76" s="67">
        <v>0.1</v>
      </c>
      <c r="GD76" s="67">
        <v>0.1</v>
      </c>
      <c r="GE76" s="67">
        <v>0.1</v>
      </c>
      <c r="GF76" s="67">
        <v>0.1</v>
      </c>
      <c r="GG76" s="67">
        <v>0.1</v>
      </c>
      <c r="GH76" s="67">
        <v>0.1</v>
      </c>
      <c r="GI76" s="67">
        <v>0.1</v>
      </c>
      <c r="GJ76" s="67">
        <v>0.1</v>
      </c>
      <c r="GK76" s="67">
        <v>0.1</v>
      </c>
      <c r="GL76" s="68">
        <v>0.1</v>
      </c>
      <c r="GM76" s="66">
        <v>0.1</v>
      </c>
      <c r="GN76" s="67">
        <v>0.1</v>
      </c>
      <c r="GO76" s="67">
        <v>0.1</v>
      </c>
      <c r="GP76" s="67">
        <v>0.1</v>
      </c>
      <c r="GQ76" s="67">
        <v>0.1</v>
      </c>
      <c r="GR76" s="67">
        <v>0.1</v>
      </c>
      <c r="GS76" s="67">
        <v>0.1</v>
      </c>
      <c r="GT76" s="67">
        <v>0.1</v>
      </c>
      <c r="GU76" s="67">
        <v>0.1</v>
      </c>
      <c r="GV76" s="67">
        <v>0.1</v>
      </c>
      <c r="GW76" s="68">
        <v>0.1</v>
      </c>
      <c r="GX76" s="66">
        <v>0.1</v>
      </c>
      <c r="GY76" s="67">
        <v>0.1</v>
      </c>
      <c r="GZ76" s="67">
        <v>0.1</v>
      </c>
      <c r="HA76" s="67">
        <v>0.1</v>
      </c>
      <c r="HB76" s="67">
        <v>0.1</v>
      </c>
      <c r="HC76" s="67">
        <v>0.1</v>
      </c>
      <c r="HD76" s="67">
        <v>0.1</v>
      </c>
      <c r="HE76" s="67">
        <v>0.1</v>
      </c>
      <c r="HF76" s="67">
        <v>0.1</v>
      </c>
      <c r="HG76" s="67">
        <v>0.1</v>
      </c>
      <c r="HH76" s="68">
        <v>0.1</v>
      </c>
      <c r="HI76" s="66">
        <v>0.1</v>
      </c>
      <c r="HJ76" s="67">
        <v>0.1</v>
      </c>
      <c r="HK76" s="68">
        <v>0.1</v>
      </c>
      <c r="HL76" s="66">
        <v>0.1</v>
      </c>
      <c r="HM76" s="67">
        <v>0.1</v>
      </c>
      <c r="HN76" s="68">
        <v>0.1</v>
      </c>
      <c r="HO76">
        <v>0.1</v>
      </c>
      <c r="HP76">
        <f t="shared" si="2"/>
        <v>0.1</v>
      </c>
    </row>
    <row r="77" spans="1:224" ht="15.75" thickBot="1" x14ac:dyDescent="0.3">
      <c r="A77">
        <v>74</v>
      </c>
      <c r="B77" s="268" t="s">
        <v>1182</v>
      </c>
      <c r="C77" s="268">
        <v>1.73</v>
      </c>
      <c r="D77" s="268">
        <v>0.67</v>
      </c>
      <c r="E77" s="2"/>
      <c r="F77" s="2"/>
      <c r="G77" s="2"/>
      <c r="H77" s="261">
        <v>0.1</v>
      </c>
      <c r="I77" s="262">
        <v>0.1</v>
      </c>
      <c r="J77" s="262">
        <v>0.1</v>
      </c>
      <c r="K77" s="262">
        <v>0.1</v>
      </c>
      <c r="L77" s="262">
        <v>0.1</v>
      </c>
      <c r="M77" s="262">
        <v>0.1</v>
      </c>
      <c r="N77" s="262">
        <v>0.1</v>
      </c>
      <c r="O77" s="262">
        <v>0.1</v>
      </c>
      <c r="P77" s="262">
        <v>0.1</v>
      </c>
      <c r="Q77" s="262">
        <v>0.1</v>
      </c>
      <c r="R77" s="262">
        <v>0.1</v>
      </c>
      <c r="S77" s="262">
        <v>0.1</v>
      </c>
      <c r="T77" s="262">
        <v>0.1</v>
      </c>
      <c r="U77" s="262">
        <v>0.1</v>
      </c>
      <c r="V77" s="262">
        <v>0.1</v>
      </c>
      <c r="W77" s="262">
        <v>0.1</v>
      </c>
      <c r="X77" s="262">
        <v>0.1</v>
      </c>
      <c r="Y77" s="262">
        <v>0.1</v>
      </c>
      <c r="Z77" s="262">
        <v>0.1</v>
      </c>
      <c r="AA77" s="262">
        <v>0.1</v>
      </c>
      <c r="AB77" s="262">
        <v>0.1</v>
      </c>
      <c r="AC77" s="262">
        <v>0.1</v>
      </c>
      <c r="AD77" s="262">
        <v>0.1</v>
      </c>
      <c r="AE77" s="262">
        <v>0.1</v>
      </c>
      <c r="AF77" s="262">
        <v>0.1</v>
      </c>
      <c r="AG77" s="262">
        <v>0.1</v>
      </c>
      <c r="AH77" s="262">
        <v>0.1</v>
      </c>
      <c r="AI77" s="262">
        <v>0.1</v>
      </c>
      <c r="AJ77" s="262">
        <v>0.1</v>
      </c>
      <c r="AK77" s="262">
        <v>0.1</v>
      </c>
      <c r="AL77" s="262">
        <v>0.1</v>
      </c>
      <c r="AM77" s="262">
        <v>0.1</v>
      </c>
      <c r="AN77" s="263">
        <v>0.1</v>
      </c>
      <c r="AO77" s="258">
        <v>0.1</v>
      </c>
      <c r="AP77" s="259">
        <v>0.1</v>
      </c>
      <c r="AQ77" s="259">
        <v>0.1</v>
      </c>
      <c r="AR77" s="259">
        <v>0.1</v>
      </c>
      <c r="AS77" s="259">
        <v>0.1</v>
      </c>
      <c r="AT77" s="259">
        <v>0.1</v>
      </c>
      <c r="AU77" s="259">
        <v>0.1</v>
      </c>
      <c r="AV77" s="259">
        <v>0.1</v>
      </c>
      <c r="AW77" s="259">
        <v>0.1</v>
      </c>
      <c r="AX77" s="259">
        <v>0.1</v>
      </c>
      <c r="AY77" s="259">
        <v>0.1</v>
      </c>
      <c r="AZ77" s="259">
        <v>0.1</v>
      </c>
      <c r="BA77" s="259">
        <v>0.1</v>
      </c>
      <c r="BB77" s="259">
        <v>0.1</v>
      </c>
      <c r="BC77" s="259">
        <v>0.1</v>
      </c>
      <c r="BD77" s="259">
        <v>0.1</v>
      </c>
      <c r="BE77" s="259">
        <v>0.1</v>
      </c>
      <c r="BF77" s="260">
        <v>0.1</v>
      </c>
      <c r="BG77" s="258">
        <v>0.1</v>
      </c>
      <c r="BH77" s="259">
        <v>0.1</v>
      </c>
      <c r="BI77" s="259">
        <v>0.1</v>
      </c>
      <c r="BJ77" s="259">
        <v>0.1</v>
      </c>
      <c r="BK77" s="259">
        <v>0.1</v>
      </c>
      <c r="BL77" s="259">
        <v>0.1</v>
      </c>
      <c r="BM77" s="260">
        <v>0.1</v>
      </c>
      <c r="BN77">
        <v>0.1</v>
      </c>
      <c r="BO77">
        <v>0.1</v>
      </c>
      <c r="BP77">
        <f>SUM(BN77:BO77)</f>
        <v>0.2</v>
      </c>
      <c r="BS77">
        <v>74</v>
      </c>
      <c r="BT77" s="270">
        <v>4.63</v>
      </c>
      <c r="BU77" s="270">
        <v>1.3</v>
      </c>
      <c r="BV77" s="2"/>
      <c r="BX77" s="2"/>
      <c r="BY77" s="258">
        <v>0.1</v>
      </c>
      <c r="BZ77" s="259">
        <v>0.1</v>
      </c>
      <c r="CA77" s="259">
        <v>0.1</v>
      </c>
      <c r="CB77" s="259">
        <v>0.1</v>
      </c>
      <c r="CC77" s="259">
        <v>0.1</v>
      </c>
      <c r="CD77" s="259">
        <v>0.1</v>
      </c>
      <c r="CE77" s="259">
        <v>0.1</v>
      </c>
      <c r="CF77" s="259">
        <v>0.1</v>
      </c>
      <c r="CG77" s="259">
        <v>0.1</v>
      </c>
      <c r="CH77" s="259">
        <v>0.1</v>
      </c>
      <c r="CI77" s="259">
        <v>0.1</v>
      </c>
      <c r="CJ77" s="259">
        <v>0.1</v>
      </c>
      <c r="CK77" s="259">
        <v>0.1</v>
      </c>
      <c r="CL77" s="259">
        <v>0.1</v>
      </c>
      <c r="CM77" s="259">
        <v>0.1</v>
      </c>
      <c r="CN77" s="259">
        <v>0.1</v>
      </c>
      <c r="CO77" s="259">
        <v>0.1</v>
      </c>
      <c r="CP77" s="259">
        <v>0.1</v>
      </c>
      <c r="CQ77" s="259">
        <v>0.1</v>
      </c>
      <c r="CR77" s="259">
        <v>0.1</v>
      </c>
      <c r="CS77" s="259">
        <v>0.1</v>
      </c>
      <c r="CT77" s="259">
        <v>0.1</v>
      </c>
      <c r="CU77" s="259">
        <v>0.1</v>
      </c>
      <c r="CV77" s="259">
        <v>0.1</v>
      </c>
      <c r="CW77" s="259">
        <v>0.1</v>
      </c>
      <c r="CX77" s="259">
        <v>0.1</v>
      </c>
      <c r="CY77" s="259">
        <v>0.1</v>
      </c>
      <c r="CZ77" s="259">
        <v>0.1</v>
      </c>
      <c r="DA77" s="259">
        <v>0.1</v>
      </c>
      <c r="DB77" s="259">
        <v>0.1</v>
      </c>
      <c r="DC77" s="259">
        <v>0.1</v>
      </c>
      <c r="DD77" s="259">
        <v>0.1</v>
      </c>
      <c r="DE77" s="259">
        <v>0.1</v>
      </c>
      <c r="DF77" s="259">
        <v>0.1</v>
      </c>
      <c r="DG77" s="259">
        <v>0.1</v>
      </c>
      <c r="DH77" s="259">
        <v>0.1</v>
      </c>
      <c r="DI77" s="259">
        <v>0.1</v>
      </c>
      <c r="DJ77" s="259">
        <v>0.1</v>
      </c>
      <c r="DK77" s="259">
        <v>0.1</v>
      </c>
      <c r="DL77" s="259">
        <v>0.1</v>
      </c>
      <c r="DM77" s="259">
        <v>0.1</v>
      </c>
      <c r="DN77" s="259">
        <v>0.1</v>
      </c>
      <c r="DO77" s="259">
        <v>0.1</v>
      </c>
      <c r="DP77" s="259">
        <v>0.1</v>
      </c>
      <c r="DQ77" s="259">
        <v>0.1</v>
      </c>
      <c r="DR77" s="259">
        <v>0.1</v>
      </c>
      <c r="DS77" s="260">
        <v>0.1</v>
      </c>
      <c r="DT77" s="258">
        <v>0.1</v>
      </c>
      <c r="DU77" s="259">
        <v>0.1</v>
      </c>
      <c r="DV77" s="259">
        <v>0.1</v>
      </c>
      <c r="DW77" s="259">
        <v>0.1</v>
      </c>
      <c r="DX77" s="259">
        <v>0.1</v>
      </c>
      <c r="DY77" s="259">
        <v>0.1</v>
      </c>
      <c r="DZ77" s="259">
        <v>0.1</v>
      </c>
      <c r="EA77" s="259">
        <v>0.1</v>
      </c>
      <c r="EB77" s="259">
        <v>0.1</v>
      </c>
      <c r="EC77" s="259">
        <v>0.1</v>
      </c>
      <c r="ED77" s="259">
        <v>0.1</v>
      </c>
      <c r="EE77" s="259">
        <v>0.1</v>
      </c>
      <c r="EF77" s="260">
        <v>0.1</v>
      </c>
      <c r="EJ77">
        <v>74</v>
      </c>
      <c r="EN77">
        <v>0.1</v>
      </c>
      <c r="EO77">
        <v>0.1</v>
      </c>
      <c r="EP77">
        <v>0.1</v>
      </c>
      <c r="EQ77">
        <v>0.1</v>
      </c>
      <c r="ER77">
        <v>0.1</v>
      </c>
      <c r="ES77">
        <v>0.1</v>
      </c>
      <c r="ET77">
        <v>0.1</v>
      </c>
      <c r="EU77">
        <v>0.1</v>
      </c>
      <c r="EV77">
        <v>0.1</v>
      </c>
      <c r="EW77">
        <v>0.1</v>
      </c>
      <c r="EX77">
        <v>0.1</v>
      </c>
      <c r="EY77">
        <v>0.1</v>
      </c>
      <c r="EZ77">
        <v>0.1</v>
      </c>
      <c r="FA77">
        <v>0.1</v>
      </c>
      <c r="FB77">
        <v>0.1</v>
      </c>
      <c r="FC77">
        <v>0.1</v>
      </c>
      <c r="FD77">
        <v>0.1</v>
      </c>
      <c r="FE77">
        <v>0.1</v>
      </c>
      <c r="FF77">
        <v>0.1</v>
      </c>
      <c r="FG77">
        <v>0.1</v>
      </c>
      <c r="FH77">
        <v>0.1</v>
      </c>
      <c r="FI77">
        <v>0.1</v>
      </c>
      <c r="FJ77">
        <v>0.1</v>
      </c>
      <c r="FK77">
        <v>0.1</v>
      </c>
      <c r="FL77">
        <v>0.1</v>
      </c>
      <c r="FM77">
        <v>0.1</v>
      </c>
      <c r="FN77">
        <v>0.1</v>
      </c>
      <c r="FO77">
        <v>0.1</v>
      </c>
      <c r="FP77">
        <v>0.1</v>
      </c>
      <c r="FQ77">
        <v>0.1</v>
      </c>
      <c r="FU77">
        <v>74</v>
      </c>
      <c r="FV77">
        <v>1.03</v>
      </c>
      <c r="FW77">
        <v>1.03</v>
      </c>
      <c r="FX77">
        <v>1.03</v>
      </c>
      <c r="FY77">
        <v>0.28000000000000003</v>
      </c>
      <c r="FZ77">
        <v>0.28000000000000003</v>
      </c>
      <c r="GB77" s="66">
        <v>0.1</v>
      </c>
      <c r="GC77" s="67">
        <v>0.1</v>
      </c>
      <c r="GD77" s="67">
        <v>0.1</v>
      </c>
      <c r="GE77" s="67">
        <v>0.1</v>
      </c>
      <c r="GF77" s="67">
        <v>0.1</v>
      </c>
      <c r="GG77" s="67">
        <v>0.1</v>
      </c>
      <c r="GH77" s="67">
        <v>0.1</v>
      </c>
      <c r="GI77" s="67">
        <v>0.1</v>
      </c>
      <c r="GJ77" s="67">
        <v>0.1</v>
      </c>
      <c r="GK77" s="67">
        <v>0.1</v>
      </c>
      <c r="GL77" s="68">
        <v>0.1</v>
      </c>
      <c r="GM77" s="66">
        <v>0.1</v>
      </c>
      <c r="GN77" s="67">
        <v>0.1</v>
      </c>
      <c r="GO77" s="67">
        <v>0.1</v>
      </c>
      <c r="GP77" s="67">
        <v>0.1</v>
      </c>
      <c r="GQ77" s="67">
        <v>0.1</v>
      </c>
      <c r="GR77" s="67">
        <v>0.1</v>
      </c>
      <c r="GS77" s="67">
        <v>0.1</v>
      </c>
      <c r="GT77" s="67">
        <v>0.1</v>
      </c>
      <c r="GU77" s="67">
        <v>0.1</v>
      </c>
      <c r="GV77" s="67">
        <v>0.1</v>
      </c>
      <c r="GW77" s="68">
        <v>0.1</v>
      </c>
      <c r="GX77" s="66">
        <v>0.1</v>
      </c>
      <c r="GY77" s="67">
        <v>0.1</v>
      </c>
      <c r="GZ77" s="67">
        <v>0.1</v>
      </c>
      <c r="HA77" s="67">
        <v>0.1</v>
      </c>
      <c r="HB77" s="67">
        <v>0.1</v>
      </c>
      <c r="HC77" s="67">
        <v>0.1</v>
      </c>
      <c r="HD77" s="67">
        <v>0.1</v>
      </c>
      <c r="HE77" s="67">
        <v>0.1</v>
      </c>
      <c r="HF77" s="67">
        <v>0.1</v>
      </c>
      <c r="HG77" s="67">
        <v>0.1</v>
      </c>
      <c r="HH77" s="68">
        <v>0.1</v>
      </c>
      <c r="HI77" s="66">
        <v>0.1</v>
      </c>
      <c r="HJ77" s="67">
        <v>0.1</v>
      </c>
      <c r="HK77" s="68">
        <v>0.1</v>
      </c>
      <c r="HL77" s="66">
        <v>0.1</v>
      </c>
      <c r="HM77" s="67">
        <v>0.1</v>
      </c>
      <c r="HN77" s="68">
        <v>0.1</v>
      </c>
      <c r="HO77">
        <v>0.1</v>
      </c>
      <c r="HP77">
        <f t="shared" si="2"/>
        <v>0.1</v>
      </c>
    </row>
    <row r="78" spans="1:224" ht="15.75" thickBot="1" x14ac:dyDescent="0.3">
      <c r="A78">
        <v>75</v>
      </c>
      <c r="B78" s="268" t="s">
        <v>1183</v>
      </c>
      <c r="C78" s="268">
        <v>1.51</v>
      </c>
      <c r="D78" s="2"/>
      <c r="E78" s="2"/>
      <c r="F78" s="2"/>
      <c r="G78" s="2"/>
      <c r="H78" s="258">
        <v>0.1</v>
      </c>
      <c r="I78" s="259">
        <v>0.1</v>
      </c>
      <c r="J78" s="259">
        <v>0.1</v>
      </c>
      <c r="K78" s="259">
        <v>0.1</v>
      </c>
      <c r="L78" s="259">
        <v>0.1</v>
      </c>
      <c r="M78" s="259">
        <v>0.1</v>
      </c>
      <c r="N78" s="259">
        <v>0.1</v>
      </c>
      <c r="O78" s="259">
        <v>0.1</v>
      </c>
      <c r="P78" s="259">
        <v>0.1</v>
      </c>
      <c r="Q78" s="259">
        <v>0.1</v>
      </c>
      <c r="R78" s="259">
        <v>0.1</v>
      </c>
      <c r="S78" s="259">
        <v>0.1</v>
      </c>
      <c r="T78" s="259">
        <v>0.1</v>
      </c>
      <c r="U78" s="259">
        <v>0.1</v>
      </c>
      <c r="V78" s="259">
        <v>0.1</v>
      </c>
      <c r="W78" s="259">
        <v>0.1</v>
      </c>
      <c r="X78" s="259">
        <v>0.1</v>
      </c>
      <c r="Y78" s="259">
        <v>0.1</v>
      </c>
      <c r="Z78" s="259">
        <v>0.1</v>
      </c>
      <c r="AA78" s="259">
        <v>0.1</v>
      </c>
      <c r="AB78" s="259">
        <v>0.1</v>
      </c>
      <c r="AC78" s="259">
        <v>0.1</v>
      </c>
      <c r="AD78" s="259">
        <v>0.1</v>
      </c>
      <c r="AE78" s="259">
        <v>0.1</v>
      </c>
      <c r="AF78" s="259">
        <v>0.1</v>
      </c>
      <c r="AG78" s="259">
        <v>0.1</v>
      </c>
      <c r="AH78" s="259">
        <v>0.1</v>
      </c>
      <c r="AI78" s="259">
        <v>0.1</v>
      </c>
      <c r="AJ78" s="259">
        <v>0.1</v>
      </c>
      <c r="AK78" s="259">
        <v>0.1</v>
      </c>
      <c r="AL78" s="259">
        <v>0.1</v>
      </c>
      <c r="AM78" s="259">
        <v>0.1</v>
      </c>
      <c r="AN78" s="259">
        <v>0.1</v>
      </c>
      <c r="AO78" s="259">
        <v>0.1</v>
      </c>
      <c r="AP78" s="259">
        <v>0.1</v>
      </c>
      <c r="AQ78" s="259">
        <v>0.1</v>
      </c>
      <c r="AR78" s="259">
        <v>0.1</v>
      </c>
      <c r="AS78" s="259">
        <v>0.1</v>
      </c>
      <c r="AT78" s="259">
        <v>0.1</v>
      </c>
      <c r="AU78" s="260">
        <v>0.1</v>
      </c>
      <c r="AV78" s="258">
        <v>0.1</v>
      </c>
      <c r="AW78" s="259">
        <v>0.1</v>
      </c>
      <c r="AX78" s="259">
        <v>0.1</v>
      </c>
      <c r="AY78" s="259">
        <v>0.1</v>
      </c>
      <c r="AZ78" s="259">
        <v>0.1</v>
      </c>
      <c r="BA78" s="259">
        <v>0.1</v>
      </c>
      <c r="BB78" s="259">
        <v>0.1</v>
      </c>
      <c r="BC78" s="259">
        <v>0.1</v>
      </c>
      <c r="BD78" s="259">
        <v>0.1</v>
      </c>
      <c r="BE78" s="259">
        <v>0.1</v>
      </c>
      <c r="BF78" s="259">
        <v>0.1</v>
      </c>
      <c r="BG78" s="264">
        <v>0.1</v>
      </c>
      <c r="BH78" s="264">
        <v>0.1</v>
      </c>
      <c r="BI78" s="264">
        <v>0.1</v>
      </c>
      <c r="BJ78" s="264">
        <v>0.1</v>
      </c>
      <c r="BK78" s="265">
        <v>0.1</v>
      </c>
      <c r="BL78">
        <v>0.1</v>
      </c>
      <c r="BM78">
        <v>0.1</v>
      </c>
      <c r="BN78">
        <v>0.1</v>
      </c>
      <c r="BO78">
        <v>0.1</v>
      </c>
      <c r="BP78">
        <f>SUM(BL78:BO78)</f>
        <v>0.4</v>
      </c>
      <c r="BS78">
        <v>75</v>
      </c>
      <c r="BT78" s="271">
        <v>4.63</v>
      </c>
      <c r="BU78" s="271">
        <v>1.3</v>
      </c>
      <c r="BV78" s="2"/>
      <c r="BX78" s="2"/>
      <c r="BY78" s="258">
        <v>0.1</v>
      </c>
      <c r="BZ78" s="259">
        <v>0.1</v>
      </c>
      <c r="CA78" s="259">
        <v>0.1</v>
      </c>
      <c r="CB78" s="259">
        <v>0.1</v>
      </c>
      <c r="CC78" s="259">
        <v>0.1</v>
      </c>
      <c r="CD78" s="259">
        <v>0.1</v>
      </c>
      <c r="CE78" s="259">
        <v>0.1</v>
      </c>
      <c r="CF78" s="259">
        <v>0.1</v>
      </c>
      <c r="CG78" s="259">
        <v>0.1</v>
      </c>
      <c r="CH78" s="259">
        <v>0.1</v>
      </c>
      <c r="CI78" s="259">
        <v>0.1</v>
      </c>
      <c r="CJ78" s="259">
        <v>0.1</v>
      </c>
      <c r="CK78" s="259">
        <v>0.1</v>
      </c>
      <c r="CL78" s="259">
        <v>0.1</v>
      </c>
      <c r="CM78" s="259">
        <v>0.1</v>
      </c>
      <c r="CN78" s="259">
        <v>0.1</v>
      </c>
      <c r="CO78" s="259">
        <v>0.1</v>
      </c>
      <c r="CP78" s="259">
        <v>0.1</v>
      </c>
      <c r="CQ78" s="259">
        <v>0.1</v>
      </c>
      <c r="CR78" s="259">
        <v>0.1</v>
      </c>
      <c r="CS78" s="259">
        <v>0.1</v>
      </c>
      <c r="CT78" s="259">
        <v>0.1</v>
      </c>
      <c r="CU78" s="259">
        <v>0.1</v>
      </c>
      <c r="CV78" s="259">
        <v>0.1</v>
      </c>
      <c r="CW78" s="259">
        <v>0.1</v>
      </c>
      <c r="CX78" s="259">
        <v>0.1</v>
      </c>
      <c r="CY78" s="259">
        <v>0.1</v>
      </c>
      <c r="CZ78" s="259">
        <v>0.1</v>
      </c>
      <c r="DA78" s="259">
        <v>0.1</v>
      </c>
      <c r="DB78" s="259">
        <v>0.1</v>
      </c>
      <c r="DC78" s="259">
        <v>0.1</v>
      </c>
      <c r="DD78" s="259">
        <v>0.1</v>
      </c>
      <c r="DE78" s="259">
        <v>0.1</v>
      </c>
      <c r="DF78" s="259">
        <v>0.1</v>
      </c>
      <c r="DG78" s="259">
        <v>0.1</v>
      </c>
      <c r="DH78" s="259">
        <v>0.1</v>
      </c>
      <c r="DI78" s="259">
        <v>0.1</v>
      </c>
      <c r="DJ78" s="259">
        <v>0.1</v>
      </c>
      <c r="DK78" s="259">
        <v>0.1</v>
      </c>
      <c r="DL78" s="259">
        <v>0.1</v>
      </c>
      <c r="DM78" s="259">
        <v>0.1</v>
      </c>
      <c r="DN78" s="259">
        <v>0.1</v>
      </c>
      <c r="DO78" s="259">
        <v>0.1</v>
      </c>
      <c r="DP78" s="259">
        <v>0.1</v>
      </c>
      <c r="DQ78" s="259">
        <v>0.1</v>
      </c>
      <c r="DR78" s="259">
        <v>0.1</v>
      </c>
      <c r="DS78" s="260">
        <v>0.1</v>
      </c>
      <c r="DT78" s="258">
        <v>0.1</v>
      </c>
      <c r="DU78" s="259">
        <v>0.1</v>
      </c>
      <c r="DV78" s="259">
        <v>0.1</v>
      </c>
      <c r="DW78" s="259">
        <v>0.1</v>
      </c>
      <c r="DX78" s="259">
        <v>0.1</v>
      </c>
      <c r="DY78" s="259">
        <v>0.1</v>
      </c>
      <c r="DZ78" s="259">
        <v>0.1</v>
      </c>
      <c r="EA78" s="259">
        <v>0.1</v>
      </c>
      <c r="EB78" s="259">
        <v>0.1</v>
      </c>
      <c r="EC78" s="259">
        <v>0.1</v>
      </c>
      <c r="ED78" s="259">
        <v>0.1</v>
      </c>
      <c r="EE78" s="259">
        <v>0.1</v>
      </c>
      <c r="EF78" s="260">
        <v>0.1</v>
      </c>
      <c r="EJ78">
        <v>75</v>
      </c>
      <c r="EN78">
        <v>0.1</v>
      </c>
      <c r="EO78">
        <v>0.1</v>
      </c>
      <c r="EP78">
        <v>0.1</v>
      </c>
      <c r="EQ78">
        <v>0.1</v>
      </c>
      <c r="ER78">
        <v>0.1</v>
      </c>
      <c r="ES78">
        <v>0.1</v>
      </c>
      <c r="ET78">
        <v>0.1</v>
      </c>
      <c r="EU78">
        <v>0.1</v>
      </c>
      <c r="EV78">
        <v>0.1</v>
      </c>
      <c r="EW78">
        <v>0.1</v>
      </c>
      <c r="EX78">
        <v>0.1</v>
      </c>
      <c r="EY78">
        <v>0.1</v>
      </c>
      <c r="EZ78">
        <v>0.1</v>
      </c>
      <c r="FA78">
        <v>0.1</v>
      </c>
      <c r="FB78">
        <v>0.1</v>
      </c>
      <c r="FC78">
        <v>0.1</v>
      </c>
      <c r="FD78">
        <v>0.1</v>
      </c>
      <c r="FE78">
        <v>0.1</v>
      </c>
      <c r="FF78">
        <v>0.1</v>
      </c>
      <c r="FG78">
        <v>0.1</v>
      </c>
      <c r="FH78">
        <v>0.1</v>
      </c>
      <c r="FI78">
        <v>0.1</v>
      </c>
      <c r="FJ78">
        <v>0.1</v>
      </c>
      <c r="FK78">
        <v>0.1</v>
      </c>
      <c r="FL78">
        <v>0.1</v>
      </c>
      <c r="FM78">
        <v>0.1</v>
      </c>
      <c r="FN78">
        <v>0.1</v>
      </c>
      <c r="FO78">
        <v>0.1</v>
      </c>
      <c r="FP78">
        <v>0.1</v>
      </c>
      <c r="FQ78">
        <v>0.1</v>
      </c>
      <c r="FU78">
        <v>75</v>
      </c>
      <c r="FV78">
        <v>1.03</v>
      </c>
      <c r="FW78">
        <v>1.03</v>
      </c>
      <c r="FX78">
        <v>1.03</v>
      </c>
      <c r="FY78">
        <v>0.28000000000000003</v>
      </c>
      <c r="FZ78">
        <v>0.28000000000000003</v>
      </c>
      <c r="GB78" s="66">
        <v>0.1</v>
      </c>
      <c r="GC78" s="67">
        <v>0.1</v>
      </c>
      <c r="GD78" s="67">
        <v>0.1</v>
      </c>
      <c r="GE78" s="67">
        <v>0.1</v>
      </c>
      <c r="GF78" s="67">
        <v>0.1</v>
      </c>
      <c r="GG78" s="67">
        <v>0.1</v>
      </c>
      <c r="GH78" s="67">
        <v>0.1</v>
      </c>
      <c r="GI78" s="67">
        <v>0.1</v>
      </c>
      <c r="GJ78" s="67">
        <v>0.1</v>
      </c>
      <c r="GK78" s="67">
        <v>0.1</v>
      </c>
      <c r="GL78" s="68">
        <v>0.1</v>
      </c>
      <c r="GM78" s="66">
        <v>0.1</v>
      </c>
      <c r="GN78" s="67">
        <v>0.1</v>
      </c>
      <c r="GO78" s="67">
        <v>0.1</v>
      </c>
      <c r="GP78" s="67">
        <v>0.1</v>
      </c>
      <c r="GQ78" s="67">
        <v>0.1</v>
      </c>
      <c r="GR78" s="67">
        <v>0.1</v>
      </c>
      <c r="GS78" s="67">
        <v>0.1</v>
      </c>
      <c r="GT78" s="67">
        <v>0.1</v>
      </c>
      <c r="GU78" s="67">
        <v>0.1</v>
      </c>
      <c r="GV78" s="67">
        <v>0.1</v>
      </c>
      <c r="GW78" s="68">
        <v>0.1</v>
      </c>
      <c r="GX78" s="66">
        <v>0.1</v>
      </c>
      <c r="GY78" s="67">
        <v>0.1</v>
      </c>
      <c r="GZ78" s="67">
        <v>0.1</v>
      </c>
      <c r="HA78" s="67">
        <v>0.1</v>
      </c>
      <c r="HB78" s="67">
        <v>0.1</v>
      </c>
      <c r="HC78" s="67">
        <v>0.1</v>
      </c>
      <c r="HD78" s="67">
        <v>0.1</v>
      </c>
      <c r="HE78" s="67">
        <v>0.1</v>
      </c>
      <c r="HF78" s="67">
        <v>0.1</v>
      </c>
      <c r="HG78" s="67">
        <v>0.1</v>
      </c>
      <c r="HH78" s="68">
        <v>0.1</v>
      </c>
      <c r="HI78" s="66">
        <v>0.1</v>
      </c>
      <c r="HJ78" s="67">
        <v>0.1</v>
      </c>
      <c r="HK78" s="68">
        <v>0.1</v>
      </c>
      <c r="HL78" s="66">
        <v>0.1</v>
      </c>
      <c r="HM78" s="67">
        <v>0.1</v>
      </c>
      <c r="HN78" s="68">
        <v>0.1</v>
      </c>
      <c r="HO78">
        <v>0.1</v>
      </c>
      <c r="HP78">
        <f t="shared" si="2"/>
        <v>0.1</v>
      </c>
    </row>
    <row r="79" spans="1:224" ht="15.75" thickBot="1" x14ac:dyDescent="0.3">
      <c r="A79">
        <v>76</v>
      </c>
      <c r="B79" s="268" t="s">
        <v>1184</v>
      </c>
      <c r="C79" s="268" t="s">
        <v>1184</v>
      </c>
      <c r="D79" s="269">
        <v>1.51</v>
      </c>
      <c r="E79" s="2"/>
      <c r="F79" s="2"/>
      <c r="G79" s="2"/>
      <c r="H79" s="258">
        <v>0.1</v>
      </c>
      <c r="I79" s="259">
        <v>0.1</v>
      </c>
      <c r="J79" s="259">
        <v>0.1</v>
      </c>
      <c r="K79" s="259">
        <v>0.1</v>
      </c>
      <c r="L79" s="259">
        <v>0.1</v>
      </c>
      <c r="M79" s="259">
        <v>0.1</v>
      </c>
      <c r="N79" s="259">
        <v>0.1</v>
      </c>
      <c r="O79" s="259">
        <v>0.1</v>
      </c>
      <c r="P79" s="259">
        <v>0.1</v>
      </c>
      <c r="Q79" s="259">
        <v>0.1</v>
      </c>
      <c r="R79" s="259">
        <v>0.1</v>
      </c>
      <c r="S79" s="259">
        <v>0.1</v>
      </c>
      <c r="T79" s="259">
        <v>0.1</v>
      </c>
      <c r="U79" s="259">
        <v>0.1</v>
      </c>
      <c r="V79" s="259">
        <v>0.1</v>
      </c>
      <c r="W79" s="259">
        <v>0.1</v>
      </c>
      <c r="X79" s="259">
        <v>0.1</v>
      </c>
      <c r="Y79" s="259">
        <v>0.1</v>
      </c>
      <c r="Z79" s="259">
        <v>0.1</v>
      </c>
      <c r="AA79" s="259">
        <v>0.1</v>
      </c>
      <c r="AB79" s="259">
        <v>0.1</v>
      </c>
      <c r="AC79" s="260">
        <v>0.1</v>
      </c>
      <c r="AD79" s="258">
        <v>0.1</v>
      </c>
      <c r="AE79" s="259">
        <v>0.1</v>
      </c>
      <c r="AF79" s="259">
        <v>0.1</v>
      </c>
      <c r="AG79" s="259">
        <v>0.1</v>
      </c>
      <c r="AH79" s="259">
        <v>0.1</v>
      </c>
      <c r="AI79" s="259">
        <v>0.1</v>
      </c>
      <c r="AJ79" s="259">
        <v>0.1</v>
      </c>
      <c r="AK79" s="259">
        <v>0.1</v>
      </c>
      <c r="AL79" s="259">
        <v>0.1</v>
      </c>
      <c r="AM79" s="259">
        <v>0.1</v>
      </c>
      <c r="AN79" s="259">
        <v>0.1</v>
      </c>
      <c r="AO79" s="259">
        <v>0.1</v>
      </c>
      <c r="AP79" s="259">
        <v>0.1</v>
      </c>
      <c r="AQ79" s="259">
        <v>0.1</v>
      </c>
      <c r="AR79" s="259">
        <v>0.1</v>
      </c>
      <c r="AS79" s="259">
        <v>0.1</v>
      </c>
      <c r="AT79" s="259">
        <v>0.1</v>
      </c>
      <c r="AU79" s="259">
        <v>0.1</v>
      </c>
      <c r="AV79" s="259">
        <v>0.1</v>
      </c>
      <c r="AW79" s="259">
        <v>0.1</v>
      </c>
      <c r="AX79" s="259">
        <v>0.1</v>
      </c>
      <c r="AY79" s="260">
        <v>0.1</v>
      </c>
      <c r="AZ79" s="258">
        <v>0.1</v>
      </c>
      <c r="BA79" s="259">
        <v>0.1</v>
      </c>
      <c r="BB79" s="259">
        <v>0.1</v>
      </c>
      <c r="BC79" s="259">
        <v>0.1</v>
      </c>
      <c r="BD79" s="259">
        <v>0.1</v>
      </c>
      <c r="BE79" s="259">
        <v>0.1</v>
      </c>
      <c r="BF79" s="259">
        <v>0.1</v>
      </c>
      <c r="BG79" s="259">
        <v>0.1</v>
      </c>
      <c r="BH79" s="259">
        <v>0.1</v>
      </c>
      <c r="BI79" s="259">
        <v>0.1</v>
      </c>
      <c r="BJ79" s="259">
        <v>0.1</v>
      </c>
      <c r="BK79" s="259">
        <v>0.1</v>
      </c>
      <c r="BL79" s="259">
        <v>0.1</v>
      </c>
      <c r="BM79" s="259">
        <v>0.1</v>
      </c>
      <c r="BN79" s="259">
        <v>0.1</v>
      </c>
      <c r="BO79" s="260">
        <v>0.1</v>
      </c>
      <c r="BS79">
        <v>76</v>
      </c>
      <c r="BT79" s="270">
        <v>4.55</v>
      </c>
      <c r="BU79" s="271">
        <v>1.33</v>
      </c>
      <c r="BV79" s="2"/>
      <c r="BX79" s="2"/>
      <c r="BY79" s="258">
        <v>0.1</v>
      </c>
      <c r="BZ79" s="259">
        <v>0.1</v>
      </c>
      <c r="CA79" s="259">
        <v>0.1</v>
      </c>
      <c r="CB79" s="259">
        <v>0.1</v>
      </c>
      <c r="CC79" s="259">
        <v>0.1</v>
      </c>
      <c r="CD79" s="259">
        <v>0.1</v>
      </c>
      <c r="CE79" s="259">
        <v>0.1</v>
      </c>
      <c r="CF79" s="259">
        <v>0.1</v>
      </c>
      <c r="CG79" s="259">
        <v>0.1</v>
      </c>
      <c r="CH79" s="259">
        <v>0.1</v>
      </c>
      <c r="CI79" s="259">
        <v>0.1</v>
      </c>
      <c r="CJ79" s="259">
        <v>0.1</v>
      </c>
      <c r="CK79" s="259">
        <v>0.1</v>
      </c>
      <c r="CL79" s="259">
        <v>0.1</v>
      </c>
      <c r="CM79" s="259">
        <v>0.1</v>
      </c>
      <c r="CN79" s="259">
        <v>0.1</v>
      </c>
      <c r="CO79" s="259">
        <v>0.1</v>
      </c>
      <c r="CP79" s="259">
        <v>0.1</v>
      </c>
      <c r="CQ79" s="259">
        <v>0.1</v>
      </c>
      <c r="CR79" s="259">
        <v>0.1</v>
      </c>
      <c r="CS79" s="259">
        <v>0.1</v>
      </c>
      <c r="CT79" s="259">
        <v>0.1</v>
      </c>
      <c r="CU79" s="259">
        <v>0.1</v>
      </c>
      <c r="CV79" s="259">
        <v>0.1</v>
      </c>
      <c r="CW79" s="259">
        <v>0.1</v>
      </c>
      <c r="CX79" s="259">
        <v>0.1</v>
      </c>
      <c r="CY79" s="259">
        <v>0.1</v>
      </c>
      <c r="CZ79" s="259">
        <v>0.1</v>
      </c>
      <c r="DA79" s="259">
        <v>0.1</v>
      </c>
      <c r="DB79" s="259">
        <v>0.1</v>
      </c>
      <c r="DC79" s="259">
        <v>0.1</v>
      </c>
      <c r="DD79" s="259">
        <v>0.1</v>
      </c>
      <c r="DE79" s="259">
        <v>0.1</v>
      </c>
      <c r="DF79" s="259">
        <v>0.1</v>
      </c>
      <c r="DG79" s="259">
        <v>0.1</v>
      </c>
      <c r="DH79" s="259">
        <v>0.1</v>
      </c>
      <c r="DI79" s="259">
        <v>0.1</v>
      </c>
      <c r="DJ79" s="259">
        <v>0.1</v>
      </c>
      <c r="DK79" s="259">
        <v>0.1</v>
      </c>
      <c r="DL79" s="259">
        <v>0.1</v>
      </c>
      <c r="DM79" s="259">
        <v>0.1</v>
      </c>
      <c r="DN79" s="259">
        <v>0.1</v>
      </c>
      <c r="DO79" s="259">
        <v>0.1</v>
      </c>
      <c r="DP79" s="259">
        <v>0.1</v>
      </c>
      <c r="DQ79" s="259">
        <v>0.1</v>
      </c>
      <c r="DR79" s="260">
        <v>0.1</v>
      </c>
      <c r="DS79" s="258">
        <v>0.1</v>
      </c>
      <c r="DT79" s="259">
        <v>0.1</v>
      </c>
      <c r="DU79" s="259">
        <v>0.1</v>
      </c>
      <c r="DV79" s="259">
        <v>0.1</v>
      </c>
      <c r="DW79" s="259">
        <v>0.1</v>
      </c>
      <c r="DX79" s="259">
        <v>0.1</v>
      </c>
      <c r="DY79" s="259">
        <v>0.1</v>
      </c>
      <c r="DZ79" s="259">
        <v>0.1</v>
      </c>
      <c r="EA79" s="259">
        <v>0.1</v>
      </c>
      <c r="EB79" s="259">
        <v>0.1</v>
      </c>
      <c r="EC79" s="259">
        <v>0.1</v>
      </c>
      <c r="ED79" s="259">
        <v>0.1</v>
      </c>
      <c r="EE79" s="259">
        <v>0.1</v>
      </c>
      <c r="EF79" s="260">
        <v>0.1</v>
      </c>
      <c r="EJ79">
        <v>76</v>
      </c>
      <c r="EN79">
        <v>0.1</v>
      </c>
      <c r="EO79">
        <v>0.1</v>
      </c>
      <c r="EP79">
        <v>0.1</v>
      </c>
      <c r="EQ79">
        <v>0.1</v>
      </c>
      <c r="ER79">
        <v>0.1</v>
      </c>
      <c r="ES79">
        <v>0.1</v>
      </c>
      <c r="ET79">
        <v>0.1</v>
      </c>
      <c r="EU79">
        <v>0.1</v>
      </c>
      <c r="EV79">
        <v>0.1</v>
      </c>
      <c r="EW79">
        <v>0.1</v>
      </c>
      <c r="EX79">
        <v>0.1</v>
      </c>
      <c r="EY79">
        <v>0.1</v>
      </c>
      <c r="EZ79">
        <v>0.1</v>
      </c>
      <c r="FA79">
        <v>0.1</v>
      </c>
      <c r="FB79">
        <v>0.1</v>
      </c>
      <c r="FC79">
        <v>0.1</v>
      </c>
      <c r="FD79">
        <v>0.1</v>
      </c>
      <c r="FE79">
        <v>0.1</v>
      </c>
      <c r="FF79">
        <v>0.1</v>
      </c>
      <c r="FG79">
        <v>0.1</v>
      </c>
      <c r="FH79">
        <v>0.1</v>
      </c>
      <c r="FI79">
        <v>0.1</v>
      </c>
      <c r="FJ79">
        <v>0.1</v>
      </c>
      <c r="FK79">
        <v>0.1</v>
      </c>
      <c r="FL79">
        <v>0.1</v>
      </c>
      <c r="FM79">
        <v>0.1</v>
      </c>
      <c r="FN79">
        <v>0.1</v>
      </c>
      <c r="FO79">
        <v>0.1</v>
      </c>
      <c r="FP79">
        <v>0.1</v>
      </c>
      <c r="FQ79">
        <v>0.1</v>
      </c>
      <c r="FU79">
        <v>76</v>
      </c>
      <c r="FV79">
        <v>1.03</v>
      </c>
      <c r="FW79">
        <v>1.03</v>
      </c>
      <c r="FX79">
        <v>1.03</v>
      </c>
      <c r="FY79">
        <v>0.28999999999999998</v>
      </c>
      <c r="FZ79">
        <v>0.28999999999999998</v>
      </c>
      <c r="GB79" s="66">
        <v>0.1</v>
      </c>
      <c r="GC79" s="67">
        <v>0.1</v>
      </c>
      <c r="GD79" s="67">
        <v>0.1</v>
      </c>
      <c r="GE79" s="67">
        <v>0.1</v>
      </c>
      <c r="GF79" s="67">
        <v>0.1</v>
      </c>
      <c r="GG79" s="67">
        <v>0.1</v>
      </c>
      <c r="GH79" s="67">
        <v>0.1</v>
      </c>
      <c r="GI79" s="67">
        <v>0.1</v>
      </c>
      <c r="GJ79" s="67">
        <v>0.1</v>
      </c>
      <c r="GK79" s="67">
        <v>0.1</v>
      </c>
      <c r="GL79" s="68">
        <v>0.1</v>
      </c>
      <c r="GM79" s="66">
        <v>0.1</v>
      </c>
      <c r="GN79" s="67">
        <v>0.1</v>
      </c>
      <c r="GO79" s="67">
        <v>0.1</v>
      </c>
      <c r="GP79" s="67">
        <v>0.1</v>
      </c>
      <c r="GQ79" s="67">
        <v>0.1</v>
      </c>
      <c r="GR79" s="67">
        <v>0.1</v>
      </c>
      <c r="GS79" s="67">
        <v>0.1</v>
      </c>
      <c r="GT79" s="67">
        <v>0.1</v>
      </c>
      <c r="GU79" s="67">
        <v>0.1</v>
      </c>
      <c r="GV79" s="67">
        <v>0.1</v>
      </c>
      <c r="GW79" s="68">
        <v>0.1</v>
      </c>
      <c r="GX79" s="66">
        <v>0.1</v>
      </c>
      <c r="GY79" s="67">
        <v>0.1</v>
      </c>
      <c r="GZ79" s="67">
        <v>0.1</v>
      </c>
      <c r="HA79" s="67">
        <v>0.1</v>
      </c>
      <c r="HB79" s="67">
        <v>0.1</v>
      </c>
      <c r="HC79" s="67">
        <v>0.1</v>
      </c>
      <c r="HD79" s="67">
        <v>0.1</v>
      </c>
      <c r="HE79" s="67">
        <v>0.1</v>
      </c>
      <c r="HF79" s="67">
        <v>0.1</v>
      </c>
      <c r="HG79" s="67">
        <v>0.1</v>
      </c>
      <c r="HH79" s="68">
        <v>0.1</v>
      </c>
      <c r="HI79" s="66">
        <v>0.1</v>
      </c>
      <c r="HJ79" s="67">
        <v>0.1</v>
      </c>
      <c r="HK79" s="68">
        <v>0.1</v>
      </c>
      <c r="HL79" s="66">
        <v>0.1</v>
      </c>
      <c r="HM79" s="67">
        <v>0.1</v>
      </c>
      <c r="HN79" s="68">
        <v>0.1</v>
      </c>
      <c r="HO79">
        <v>0.1</v>
      </c>
      <c r="HP79">
        <f>SUM(HO79)</f>
        <v>0.1</v>
      </c>
    </row>
    <row r="80" spans="1:224" ht="15.75" thickBot="1" x14ac:dyDescent="0.3">
      <c r="A80">
        <v>77</v>
      </c>
      <c r="B80" s="268" t="s">
        <v>1183</v>
      </c>
      <c r="C80" s="268">
        <v>1.51</v>
      </c>
      <c r="D80" s="2"/>
      <c r="E80" s="2"/>
      <c r="F80" s="2"/>
      <c r="G80" s="2"/>
      <c r="H80" s="258">
        <v>0.1</v>
      </c>
      <c r="I80" s="259">
        <v>0.1</v>
      </c>
      <c r="J80" s="259">
        <v>0.1</v>
      </c>
      <c r="K80" s="259">
        <v>0.1</v>
      </c>
      <c r="L80" s="259">
        <v>0.1</v>
      </c>
      <c r="M80" s="259">
        <v>0.1</v>
      </c>
      <c r="N80" s="259">
        <v>0.1</v>
      </c>
      <c r="O80" s="259">
        <v>0.1</v>
      </c>
      <c r="P80" s="259">
        <v>0.1</v>
      </c>
      <c r="Q80" s="259">
        <v>0.1</v>
      </c>
      <c r="R80" s="259">
        <v>0.1</v>
      </c>
      <c r="S80" s="259">
        <v>0.1</v>
      </c>
      <c r="T80" s="259">
        <v>0.1</v>
      </c>
      <c r="U80" s="259">
        <v>0.1</v>
      </c>
      <c r="V80" s="259">
        <v>0.1</v>
      </c>
      <c r="W80" s="259">
        <v>0.1</v>
      </c>
      <c r="X80" s="259">
        <v>0.1</v>
      </c>
      <c r="Y80" s="259">
        <v>0.1</v>
      </c>
      <c r="Z80" s="259">
        <v>0.1</v>
      </c>
      <c r="AA80" s="259">
        <v>0.1</v>
      </c>
      <c r="AB80" s="259">
        <v>0.1</v>
      </c>
      <c r="AC80" s="259">
        <v>0.1</v>
      </c>
      <c r="AD80" s="259">
        <v>0.1</v>
      </c>
      <c r="AE80" s="259">
        <v>0.1</v>
      </c>
      <c r="AF80" s="259">
        <v>0.1</v>
      </c>
      <c r="AG80" s="259">
        <v>0.1</v>
      </c>
      <c r="AH80" s="259">
        <v>0.1</v>
      </c>
      <c r="AI80" s="259">
        <v>0.1</v>
      </c>
      <c r="AJ80" s="259">
        <v>0.1</v>
      </c>
      <c r="AK80" s="259">
        <v>0.1</v>
      </c>
      <c r="AL80" s="259">
        <v>0.1</v>
      </c>
      <c r="AM80" s="259">
        <v>0.1</v>
      </c>
      <c r="AN80" s="259">
        <v>0.1</v>
      </c>
      <c r="AO80" s="259">
        <v>0.1</v>
      </c>
      <c r="AP80" s="259">
        <v>0.1</v>
      </c>
      <c r="AQ80" s="259">
        <v>0.1</v>
      </c>
      <c r="AR80" s="259">
        <v>0.1</v>
      </c>
      <c r="AS80" s="259">
        <v>0.1</v>
      </c>
      <c r="AT80" s="259">
        <v>0.1</v>
      </c>
      <c r="AU80" s="260">
        <v>0.1</v>
      </c>
      <c r="AV80" s="258">
        <v>0.1</v>
      </c>
      <c r="AW80" s="259">
        <v>0.1</v>
      </c>
      <c r="AX80" s="259">
        <v>0.1</v>
      </c>
      <c r="AY80" s="259">
        <v>0.1</v>
      </c>
      <c r="AZ80" s="259">
        <v>0.1</v>
      </c>
      <c r="BA80" s="259">
        <v>0.1</v>
      </c>
      <c r="BB80" s="259">
        <v>0.1</v>
      </c>
      <c r="BC80" s="259">
        <v>0.1</v>
      </c>
      <c r="BD80" s="259">
        <v>0.1</v>
      </c>
      <c r="BE80" s="259">
        <v>0.1</v>
      </c>
      <c r="BF80" s="259">
        <v>0.1</v>
      </c>
      <c r="BG80" s="259">
        <v>0.1</v>
      </c>
      <c r="BH80" s="259">
        <v>0.1</v>
      </c>
      <c r="BI80" s="259">
        <v>0.1</v>
      </c>
      <c r="BJ80" s="259">
        <v>0.1</v>
      </c>
      <c r="BK80" s="260">
        <v>0.1</v>
      </c>
      <c r="BL80">
        <v>0.1</v>
      </c>
      <c r="BM80">
        <v>0.1</v>
      </c>
      <c r="BN80">
        <v>0.1</v>
      </c>
      <c r="BO80">
        <v>0.1</v>
      </c>
      <c r="BP80">
        <f>SUM(BL80:BO80)</f>
        <v>0.4</v>
      </c>
      <c r="BS80">
        <v>77</v>
      </c>
      <c r="BT80" s="271">
        <v>4.5</v>
      </c>
      <c r="BU80" s="270">
        <v>1.33</v>
      </c>
      <c r="BV80" s="2"/>
      <c r="BX80" s="2"/>
      <c r="BY80" s="258">
        <v>0.1</v>
      </c>
      <c r="BZ80" s="259">
        <v>0.1</v>
      </c>
      <c r="CA80" s="259">
        <v>0.1</v>
      </c>
      <c r="CB80" s="259">
        <v>0.1</v>
      </c>
      <c r="CC80" s="259">
        <v>0.1</v>
      </c>
      <c r="CD80" s="259">
        <v>0.1</v>
      </c>
      <c r="CE80" s="259">
        <v>0.1</v>
      </c>
      <c r="CF80" s="259">
        <v>0.1</v>
      </c>
      <c r="CG80" s="259">
        <v>0.1</v>
      </c>
      <c r="CH80" s="259">
        <v>0.1</v>
      </c>
      <c r="CI80" s="259">
        <v>0.1</v>
      </c>
      <c r="CJ80" s="259">
        <v>0.1</v>
      </c>
      <c r="CK80" s="259">
        <v>0.1</v>
      </c>
      <c r="CL80" s="259">
        <v>0.1</v>
      </c>
      <c r="CM80" s="259">
        <v>0.1</v>
      </c>
      <c r="CN80" s="259">
        <v>0.1</v>
      </c>
      <c r="CO80" s="259">
        <v>0.1</v>
      </c>
      <c r="CP80" s="259">
        <v>0.1</v>
      </c>
      <c r="CQ80" s="259">
        <v>0.1</v>
      </c>
      <c r="CR80" s="259">
        <v>0.1</v>
      </c>
      <c r="CS80" s="259">
        <v>0.1</v>
      </c>
      <c r="CT80" s="259">
        <v>0.1</v>
      </c>
      <c r="CU80" s="259">
        <v>0.1</v>
      </c>
      <c r="CV80" s="259">
        <v>0.1</v>
      </c>
      <c r="CW80" s="259">
        <v>0.1</v>
      </c>
      <c r="CX80" s="259">
        <v>0.1</v>
      </c>
      <c r="CY80" s="259">
        <v>0.1</v>
      </c>
      <c r="CZ80" s="259">
        <v>0.1</v>
      </c>
      <c r="DA80" s="259">
        <v>0.1</v>
      </c>
      <c r="DB80" s="259">
        <v>0.1</v>
      </c>
      <c r="DC80" s="259">
        <v>0.1</v>
      </c>
      <c r="DD80" s="259">
        <v>0.1</v>
      </c>
      <c r="DE80" s="259">
        <v>0.1</v>
      </c>
      <c r="DF80" s="259">
        <v>0.1</v>
      </c>
      <c r="DG80" s="259">
        <v>0.1</v>
      </c>
      <c r="DH80" s="259">
        <v>0.1</v>
      </c>
      <c r="DI80" s="259">
        <v>0.1</v>
      </c>
      <c r="DJ80" s="259">
        <v>0.1</v>
      </c>
      <c r="DK80" s="259">
        <v>0.1</v>
      </c>
      <c r="DL80" s="259">
        <v>0.1</v>
      </c>
      <c r="DM80" s="259">
        <v>0.1</v>
      </c>
      <c r="DN80" s="259">
        <v>0.1</v>
      </c>
      <c r="DO80" s="259">
        <v>0.1</v>
      </c>
      <c r="DP80" s="259">
        <v>0.1</v>
      </c>
      <c r="DQ80" s="260">
        <v>0.1</v>
      </c>
      <c r="DR80" s="258">
        <v>0.1</v>
      </c>
      <c r="DS80" s="259">
        <v>0.1</v>
      </c>
      <c r="DT80" s="259">
        <v>0.1</v>
      </c>
      <c r="DU80" s="259">
        <v>0.1</v>
      </c>
      <c r="DV80" s="259">
        <v>0.1</v>
      </c>
      <c r="DW80" s="259">
        <v>0.1</v>
      </c>
      <c r="DX80" s="259">
        <v>0.1</v>
      </c>
      <c r="DY80" s="259">
        <v>0.1</v>
      </c>
      <c r="DZ80" s="259">
        <v>0.1</v>
      </c>
      <c r="EA80" s="259">
        <v>0.1</v>
      </c>
      <c r="EB80" s="259">
        <v>0.1</v>
      </c>
      <c r="EC80" s="259">
        <v>0.1</v>
      </c>
      <c r="ED80" s="259">
        <v>0.1</v>
      </c>
      <c r="EE80" s="260">
        <v>0.1</v>
      </c>
      <c r="EF80">
        <v>0.1</v>
      </c>
      <c r="EG80">
        <f>SUM(EF80)</f>
        <v>0.1</v>
      </c>
      <c r="EJ80">
        <v>77</v>
      </c>
      <c r="EN80">
        <v>0.1</v>
      </c>
      <c r="EO80">
        <v>0.1</v>
      </c>
      <c r="EP80">
        <v>0.1</v>
      </c>
      <c r="EQ80">
        <v>0.1</v>
      </c>
      <c r="ER80">
        <v>0.1</v>
      </c>
      <c r="ES80">
        <v>0.1</v>
      </c>
      <c r="ET80">
        <v>0.1</v>
      </c>
      <c r="EU80">
        <v>0.1</v>
      </c>
      <c r="EV80">
        <v>0.1</v>
      </c>
      <c r="EW80">
        <v>0.1</v>
      </c>
      <c r="EX80">
        <v>0.1</v>
      </c>
      <c r="EY80">
        <v>0.1</v>
      </c>
      <c r="EZ80">
        <v>0.1</v>
      </c>
      <c r="FA80">
        <v>0.1</v>
      </c>
      <c r="FB80">
        <v>0.1</v>
      </c>
      <c r="FC80">
        <v>0.1</v>
      </c>
      <c r="FD80">
        <v>0.1</v>
      </c>
      <c r="FE80">
        <v>0.1</v>
      </c>
      <c r="FF80">
        <v>0.1</v>
      </c>
      <c r="FG80">
        <v>0.1</v>
      </c>
      <c r="FH80">
        <v>0.1</v>
      </c>
      <c r="FI80">
        <v>0.1</v>
      </c>
      <c r="FJ80">
        <v>0.1</v>
      </c>
      <c r="FK80">
        <v>0.1</v>
      </c>
      <c r="FL80">
        <v>0.1</v>
      </c>
      <c r="FM80">
        <v>0.1</v>
      </c>
      <c r="FN80">
        <v>0.1</v>
      </c>
      <c r="FO80">
        <v>0.1</v>
      </c>
      <c r="FP80">
        <v>0.1</v>
      </c>
      <c r="FQ80">
        <v>0.1</v>
      </c>
      <c r="FU80">
        <v>77</v>
      </c>
      <c r="FV80">
        <v>0.43</v>
      </c>
      <c r="FW80">
        <v>0.43</v>
      </c>
      <c r="FX80">
        <v>0.44</v>
      </c>
      <c r="FY80">
        <v>0.38</v>
      </c>
      <c r="FZ80">
        <v>0.38</v>
      </c>
      <c r="GA80">
        <v>0.38</v>
      </c>
      <c r="GB80" s="66">
        <v>0.1</v>
      </c>
      <c r="GC80" s="67">
        <v>0.1</v>
      </c>
      <c r="GD80" s="67">
        <v>0.1</v>
      </c>
      <c r="GE80" s="67">
        <v>0.1</v>
      </c>
      <c r="GF80" s="68">
        <v>0.1</v>
      </c>
      <c r="GG80" s="66">
        <v>0.1</v>
      </c>
      <c r="GH80" s="67">
        <v>0.1</v>
      </c>
      <c r="GI80" s="67">
        <v>0.1</v>
      </c>
      <c r="GJ80" s="67">
        <v>0.1</v>
      </c>
      <c r="GK80" s="68">
        <v>0.1</v>
      </c>
      <c r="GL80" s="66">
        <v>0.1</v>
      </c>
      <c r="GM80" s="67">
        <v>0.1</v>
      </c>
      <c r="GN80" s="67">
        <v>0.1</v>
      </c>
      <c r="GO80" s="67">
        <v>0.1</v>
      </c>
      <c r="GP80" s="68">
        <v>0.1</v>
      </c>
      <c r="GQ80" s="66">
        <v>0.1</v>
      </c>
      <c r="GR80" s="67">
        <v>0.1</v>
      </c>
      <c r="GS80" s="67">
        <v>0.1</v>
      </c>
      <c r="GT80" s="68">
        <v>0.1</v>
      </c>
      <c r="GU80" s="66">
        <v>0.1</v>
      </c>
      <c r="GV80" s="67">
        <v>0.1</v>
      </c>
      <c r="GW80" s="67">
        <v>0.1</v>
      </c>
      <c r="GX80" s="68">
        <v>0.1</v>
      </c>
      <c r="GY80" s="66">
        <v>0.1</v>
      </c>
      <c r="GZ80" s="67">
        <v>0.1</v>
      </c>
      <c r="HA80" s="67">
        <v>0.1</v>
      </c>
      <c r="HB80" s="68">
        <v>0.1</v>
      </c>
      <c r="HC80">
        <v>0.1</v>
      </c>
      <c r="HD80">
        <v>0.1</v>
      </c>
      <c r="HE80">
        <v>0.1</v>
      </c>
      <c r="HF80">
        <v>0.1</v>
      </c>
      <c r="HG80">
        <v>0.1</v>
      </c>
      <c r="HH80">
        <v>0.1</v>
      </c>
      <c r="HI80">
        <v>0.1</v>
      </c>
      <c r="HJ80">
        <v>0.1</v>
      </c>
      <c r="HK80">
        <v>0.1</v>
      </c>
      <c r="HL80">
        <v>0.1</v>
      </c>
      <c r="HM80">
        <v>0.1</v>
      </c>
      <c r="HN80">
        <v>0.1</v>
      </c>
      <c r="HO80">
        <v>0.1</v>
      </c>
      <c r="HP80">
        <f>SUM(HC80:HO80)</f>
        <v>1.3</v>
      </c>
    </row>
    <row r="81" spans="1:224" ht="15.75" thickBot="1" x14ac:dyDescent="0.3">
      <c r="A81">
        <v>78</v>
      </c>
      <c r="B81" s="268" t="s">
        <v>1184</v>
      </c>
      <c r="C81" s="268" t="s">
        <v>1184</v>
      </c>
      <c r="D81" s="269">
        <v>1.51</v>
      </c>
      <c r="E81" s="2"/>
      <c r="F81" s="2"/>
      <c r="G81" s="2"/>
      <c r="H81" s="258">
        <v>0.1</v>
      </c>
      <c r="I81" s="259">
        <v>0.1</v>
      </c>
      <c r="J81" s="259">
        <v>0.1</v>
      </c>
      <c r="K81" s="259">
        <v>0.1</v>
      </c>
      <c r="L81" s="259">
        <v>0.1</v>
      </c>
      <c r="M81" s="259">
        <v>0.1</v>
      </c>
      <c r="N81" s="259">
        <v>0.1</v>
      </c>
      <c r="O81" s="259">
        <v>0.1</v>
      </c>
      <c r="P81" s="259">
        <v>0.1</v>
      </c>
      <c r="Q81" s="259">
        <v>0.1</v>
      </c>
      <c r="R81" s="259">
        <v>0.1</v>
      </c>
      <c r="S81" s="259">
        <v>0.1</v>
      </c>
      <c r="T81" s="259">
        <v>0.1</v>
      </c>
      <c r="U81" s="259">
        <v>0.1</v>
      </c>
      <c r="V81" s="259">
        <v>0.1</v>
      </c>
      <c r="W81" s="259">
        <v>0.1</v>
      </c>
      <c r="X81" s="259">
        <v>0.1</v>
      </c>
      <c r="Y81" s="259">
        <v>0.1</v>
      </c>
      <c r="Z81" s="259">
        <v>0.1</v>
      </c>
      <c r="AA81" s="259">
        <v>0.1</v>
      </c>
      <c r="AB81" s="259">
        <v>0.1</v>
      </c>
      <c r="AC81" s="260">
        <v>0.1</v>
      </c>
      <c r="AD81" s="258">
        <v>0.1</v>
      </c>
      <c r="AE81" s="259">
        <v>0.1</v>
      </c>
      <c r="AF81" s="259">
        <v>0.1</v>
      </c>
      <c r="AG81" s="259">
        <v>0.1</v>
      </c>
      <c r="AH81" s="259">
        <v>0.1</v>
      </c>
      <c r="AI81" s="259">
        <v>0.1</v>
      </c>
      <c r="AJ81" s="259">
        <v>0.1</v>
      </c>
      <c r="AK81" s="259">
        <v>0.1</v>
      </c>
      <c r="AL81" s="259">
        <v>0.1</v>
      </c>
      <c r="AM81" s="259">
        <v>0.1</v>
      </c>
      <c r="AN81" s="259">
        <v>0.1</v>
      </c>
      <c r="AO81" s="259">
        <v>0.1</v>
      </c>
      <c r="AP81" s="259">
        <v>0.1</v>
      </c>
      <c r="AQ81" s="259">
        <v>0.1</v>
      </c>
      <c r="AR81" s="259">
        <v>0.1</v>
      </c>
      <c r="AS81" s="259">
        <v>0.1</v>
      </c>
      <c r="AT81" s="259">
        <v>0.1</v>
      </c>
      <c r="AU81" s="259">
        <v>0.1</v>
      </c>
      <c r="AV81" s="259">
        <v>0.1</v>
      </c>
      <c r="AW81" s="259">
        <v>0.1</v>
      </c>
      <c r="AX81" s="259">
        <v>0.1</v>
      </c>
      <c r="AY81" s="260">
        <v>0.1</v>
      </c>
      <c r="AZ81" s="258">
        <v>0.1</v>
      </c>
      <c r="BA81" s="259">
        <v>0.1</v>
      </c>
      <c r="BB81" s="259">
        <v>0.1</v>
      </c>
      <c r="BC81" s="259">
        <v>0.1</v>
      </c>
      <c r="BD81" s="259">
        <v>0.1</v>
      </c>
      <c r="BE81" s="259">
        <v>0.1</v>
      </c>
      <c r="BF81" s="259">
        <v>0.1</v>
      </c>
      <c r="BG81" s="259">
        <v>0.1</v>
      </c>
      <c r="BH81" s="259">
        <v>0.1</v>
      </c>
      <c r="BI81" s="259">
        <v>0.1</v>
      </c>
      <c r="BJ81" s="259">
        <v>0.1</v>
      </c>
      <c r="BK81" s="259">
        <v>0.1</v>
      </c>
      <c r="BL81" s="259">
        <v>0.1</v>
      </c>
      <c r="BM81" s="259">
        <v>0.1</v>
      </c>
      <c r="BN81" s="259">
        <v>0.1</v>
      </c>
      <c r="BO81" s="260">
        <v>0.1</v>
      </c>
      <c r="BS81">
        <v>78</v>
      </c>
      <c r="BT81" s="270">
        <v>4.5</v>
      </c>
      <c r="BU81" s="271">
        <v>1.33</v>
      </c>
      <c r="BV81" s="2"/>
      <c r="BX81" s="2"/>
      <c r="BY81" s="258">
        <v>0.1</v>
      </c>
      <c r="BZ81" s="259">
        <v>0.1</v>
      </c>
      <c r="CA81" s="259">
        <v>0.1</v>
      </c>
      <c r="CB81" s="259">
        <v>0.1</v>
      </c>
      <c r="CC81" s="259">
        <v>0.1</v>
      </c>
      <c r="CD81" s="259">
        <v>0.1</v>
      </c>
      <c r="CE81" s="259">
        <v>0.1</v>
      </c>
      <c r="CF81" s="259">
        <v>0.1</v>
      </c>
      <c r="CG81" s="259">
        <v>0.1</v>
      </c>
      <c r="CH81" s="259">
        <v>0.1</v>
      </c>
      <c r="CI81" s="259">
        <v>0.1</v>
      </c>
      <c r="CJ81" s="259">
        <v>0.1</v>
      </c>
      <c r="CK81" s="259">
        <v>0.1</v>
      </c>
      <c r="CL81" s="259">
        <v>0.1</v>
      </c>
      <c r="CM81" s="259">
        <v>0.1</v>
      </c>
      <c r="CN81" s="259">
        <v>0.1</v>
      </c>
      <c r="CO81" s="259">
        <v>0.1</v>
      </c>
      <c r="CP81" s="259">
        <v>0.1</v>
      </c>
      <c r="CQ81" s="259">
        <v>0.1</v>
      </c>
      <c r="CR81" s="259">
        <v>0.1</v>
      </c>
      <c r="CS81" s="259">
        <v>0.1</v>
      </c>
      <c r="CT81" s="259">
        <v>0.1</v>
      </c>
      <c r="CU81" s="259">
        <v>0.1</v>
      </c>
      <c r="CV81" s="259">
        <v>0.1</v>
      </c>
      <c r="CW81" s="259">
        <v>0.1</v>
      </c>
      <c r="CX81" s="259">
        <v>0.1</v>
      </c>
      <c r="CY81" s="259">
        <v>0.1</v>
      </c>
      <c r="CZ81" s="259">
        <v>0.1</v>
      </c>
      <c r="DA81" s="259">
        <v>0.1</v>
      </c>
      <c r="DB81" s="259">
        <v>0.1</v>
      </c>
      <c r="DC81" s="259">
        <v>0.1</v>
      </c>
      <c r="DD81" s="259">
        <v>0.1</v>
      </c>
      <c r="DE81" s="259">
        <v>0.1</v>
      </c>
      <c r="DF81" s="259">
        <v>0.1</v>
      </c>
      <c r="DG81" s="259">
        <v>0.1</v>
      </c>
      <c r="DH81" s="259">
        <v>0.1</v>
      </c>
      <c r="DI81" s="259">
        <v>0.1</v>
      </c>
      <c r="DJ81" s="259">
        <v>0.1</v>
      </c>
      <c r="DK81" s="259">
        <v>0.1</v>
      </c>
      <c r="DL81" s="259">
        <v>0.1</v>
      </c>
      <c r="DM81" s="259">
        <v>0.1</v>
      </c>
      <c r="DN81" s="259">
        <v>0.1</v>
      </c>
      <c r="DO81" s="259">
        <v>0.1</v>
      </c>
      <c r="DP81" s="259">
        <v>0.1</v>
      </c>
      <c r="DQ81" s="260">
        <v>0.1</v>
      </c>
      <c r="DR81" s="258">
        <v>0.1</v>
      </c>
      <c r="DS81" s="259">
        <v>0.1</v>
      </c>
      <c r="DT81" s="259">
        <v>0.1</v>
      </c>
      <c r="DU81" s="259">
        <v>0.1</v>
      </c>
      <c r="DV81" s="259">
        <v>0.1</v>
      </c>
      <c r="DW81" s="259">
        <v>0.1</v>
      </c>
      <c r="DX81" s="259">
        <v>0.1</v>
      </c>
      <c r="DY81" s="259">
        <v>0.1</v>
      </c>
      <c r="DZ81" s="259">
        <v>0.1</v>
      </c>
      <c r="EA81" s="259">
        <v>0.1</v>
      </c>
      <c r="EB81" s="259">
        <v>0.1</v>
      </c>
      <c r="EC81" s="259">
        <v>0.1</v>
      </c>
      <c r="ED81" s="259">
        <v>0.1</v>
      </c>
      <c r="EE81" s="260">
        <v>0.1</v>
      </c>
      <c r="EF81">
        <v>0.1</v>
      </c>
      <c r="EG81">
        <f t="shared" ref="EG81:EG88" si="3">SUM(EF81)</f>
        <v>0.1</v>
      </c>
      <c r="EJ81">
        <v>78</v>
      </c>
      <c r="EN81">
        <v>0.1</v>
      </c>
      <c r="EO81">
        <v>0.1</v>
      </c>
      <c r="EP81">
        <v>0.1</v>
      </c>
      <c r="EQ81">
        <v>0.1</v>
      </c>
      <c r="ER81">
        <v>0.1</v>
      </c>
      <c r="ES81">
        <v>0.1</v>
      </c>
      <c r="ET81">
        <v>0.1</v>
      </c>
      <c r="EU81">
        <v>0.1</v>
      </c>
      <c r="EV81">
        <v>0.1</v>
      </c>
      <c r="EW81">
        <v>0.1</v>
      </c>
      <c r="EX81">
        <v>0.1</v>
      </c>
      <c r="EY81">
        <v>0.1</v>
      </c>
      <c r="EZ81">
        <v>0.1</v>
      </c>
      <c r="FA81">
        <v>0.1</v>
      </c>
      <c r="FB81">
        <v>0.1</v>
      </c>
      <c r="FC81">
        <v>0.1</v>
      </c>
      <c r="FD81">
        <v>0.1</v>
      </c>
      <c r="FE81">
        <v>0.1</v>
      </c>
      <c r="FF81">
        <v>0.1</v>
      </c>
      <c r="FG81">
        <v>0.1</v>
      </c>
      <c r="FH81">
        <v>0.1</v>
      </c>
      <c r="FI81">
        <v>0.1</v>
      </c>
      <c r="FJ81">
        <v>0.1</v>
      </c>
      <c r="FK81">
        <v>0.1</v>
      </c>
      <c r="FL81">
        <v>0.1</v>
      </c>
      <c r="FM81">
        <v>0.1</v>
      </c>
      <c r="FN81">
        <v>0.1</v>
      </c>
      <c r="FO81">
        <v>0.1</v>
      </c>
      <c r="FP81">
        <v>0.1</v>
      </c>
      <c r="FQ81">
        <v>0.1</v>
      </c>
      <c r="FU81">
        <v>78</v>
      </c>
      <c r="FV81">
        <v>0.4</v>
      </c>
      <c r="FW81">
        <v>0.4</v>
      </c>
      <c r="FX81">
        <v>0.4</v>
      </c>
      <c r="FY81">
        <v>0.42</v>
      </c>
      <c r="FZ81">
        <v>0.42</v>
      </c>
      <c r="GA81">
        <v>0.22</v>
      </c>
      <c r="GB81" s="66">
        <v>0.1</v>
      </c>
      <c r="GC81" s="67">
        <v>0.1</v>
      </c>
      <c r="GD81" s="67">
        <v>0.1</v>
      </c>
      <c r="GE81" s="68">
        <v>0.1</v>
      </c>
      <c r="GF81" s="66">
        <v>0.1</v>
      </c>
      <c r="GG81" s="67">
        <v>0.1</v>
      </c>
      <c r="GH81" s="67">
        <v>0.1</v>
      </c>
      <c r="GI81" s="68">
        <v>0.1</v>
      </c>
      <c r="GJ81" s="66">
        <v>0.1</v>
      </c>
      <c r="GK81" s="67">
        <v>0.1</v>
      </c>
      <c r="GL81" s="67">
        <v>0.1</v>
      </c>
      <c r="GM81" s="68">
        <v>0.1</v>
      </c>
      <c r="GN81" s="66">
        <v>0.1</v>
      </c>
      <c r="GO81" s="67">
        <v>0.1</v>
      </c>
      <c r="GP81" s="67">
        <v>0.1</v>
      </c>
      <c r="GQ81" s="67">
        <v>0.1</v>
      </c>
      <c r="GR81" s="68">
        <v>0.1</v>
      </c>
      <c r="GS81" s="66">
        <v>0.1</v>
      </c>
      <c r="GT81" s="67">
        <v>0.1</v>
      </c>
      <c r="GU81" s="67">
        <v>0.1</v>
      </c>
      <c r="GV81" s="67">
        <v>0.1</v>
      </c>
      <c r="GW81" s="68">
        <v>0.1</v>
      </c>
      <c r="GX81" s="66">
        <v>0.1</v>
      </c>
      <c r="GY81" s="67">
        <v>0.1</v>
      </c>
      <c r="GZ81" s="68">
        <v>0.1</v>
      </c>
      <c r="HA81">
        <v>0.1</v>
      </c>
      <c r="HB81">
        <v>0.1</v>
      </c>
      <c r="HC81">
        <v>0.1</v>
      </c>
      <c r="HD81">
        <v>0.1</v>
      </c>
      <c r="HE81">
        <v>0.1</v>
      </c>
      <c r="HF81">
        <v>0.1</v>
      </c>
      <c r="HG81">
        <v>0.1</v>
      </c>
      <c r="HH81">
        <v>0.1</v>
      </c>
      <c r="HI81">
        <v>0.1</v>
      </c>
      <c r="HJ81">
        <v>0.1</v>
      </c>
      <c r="HK81">
        <v>0.1</v>
      </c>
      <c r="HL81">
        <v>0.1</v>
      </c>
      <c r="HM81">
        <v>0.1</v>
      </c>
      <c r="HN81">
        <v>0.1</v>
      </c>
      <c r="HO81">
        <v>0.1</v>
      </c>
      <c r="HP81">
        <f>SUM(HA81:HO81)</f>
        <v>1.5000000000000002</v>
      </c>
    </row>
    <row r="82" spans="1:224" ht="15.75" thickBot="1" x14ac:dyDescent="0.3">
      <c r="A82">
        <v>79</v>
      </c>
      <c r="B82" s="268" t="s">
        <v>1183</v>
      </c>
      <c r="C82" s="268">
        <v>1.51</v>
      </c>
      <c r="D82" s="2"/>
      <c r="E82" s="2"/>
      <c r="F82" s="2"/>
      <c r="G82" s="2"/>
      <c r="H82" s="258">
        <v>0.1</v>
      </c>
      <c r="I82" s="259">
        <v>0.1</v>
      </c>
      <c r="J82" s="259">
        <v>0.1</v>
      </c>
      <c r="K82" s="259">
        <v>0.1</v>
      </c>
      <c r="L82" s="259">
        <v>0.1</v>
      </c>
      <c r="M82" s="259">
        <v>0.1</v>
      </c>
      <c r="N82" s="259">
        <v>0.1</v>
      </c>
      <c r="O82" s="259">
        <v>0.1</v>
      </c>
      <c r="P82" s="259">
        <v>0.1</v>
      </c>
      <c r="Q82" s="259">
        <v>0.1</v>
      </c>
      <c r="R82" s="259">
        <v>0.1</v>
      </c>
      <c r="S82" s="259">
        <v>0.1</v>
      </c>
      <c r="T82" s="259">
        <v>0.1</v>
      </c>
      <c r="U82" s="259">
        <v>0.1</v>
      </c>
      <c r="V82" s="259">
        <v>0.1</v>
      </c>
      <c r="W82" s="259">
        <v>0.1</v>
      </c>
      <c r="X82" s="259">
        <v>0.1</v>
      </c>
      <c r="Y82" s="259">
        <v>0.1</v>
      </c>
      <c r="Z82" s="259">
        <v>0.1</v>
      </c>
      <c r="AA82" s="259">
        <v>0.1</v>
      </c>
      <c r="AB82" s="259">
        <v>0.1</v>
      </c>
      <c r="AC82" s="259">
        <v>0.1</v>
      </c>
      <c r="AD82" s="259">
        <v>0.1</v>
      </c>
      <c r="AE82" s="259">
        <v>0.1</v>
      </c>
      <c r="AF82" s="259">
        <v>0.1</v>
      </c>
      <c r="AG82" s="259">
        <v>0.1</v>
      </c>
      <c r="AH82" s="259">
        <v>0.1</v>
      </c>
      <c r="AI82" s="259">
        <v>0.1</v>
      </c>
      <c r="AJ82" s="259">
        <v>0.1</v>
      </c>
      <c r="AK82" s="259">
        <v>0.1</v>
      </c>
      <c r="AL82" s="259">
        <v>0.1</v>
      </c>
      <c r="AM82" s="259">
        <v>0.1</v>
      </c>
      <c r="AN82" s="259">
        <v>0.1</v>
      </c>
      <c r="AO82" s="259">
        <v>0.1</v>
      </c>
      <c r="AP82" s="259">
        <v>0.1</v>
      </c>
      <c r="AQ82" s="259">
        <v>0.1</v>
      </c>
      <c r="AR82" s="259">
        <v>0.1</v>
      </c>
      <c r="AS82" s="259">
        <v>0.1</v>
      </c>
      <c r="AT82" s="259">
        <v>0.1</v>
      </c>
      <c r="AU82" s="260">
        <v>0.1</v>
      </c>
      <c r="AV82" s="258">
        <v>0.1</v>
      </c>
      <c r="AW82" s="259">
        <v>0.1</v>
      </c>
      <c r="AX82" s="259">
        <v>0.1</v>
      </c>
      <c r="AY82" s="259">
        <v>0.1</v>
      </c>
      <c r="AZ82" s="259">
        <v>0.1</v>
      </c>
      <c r="BA82" s="259">
        <v>0.1</v>
      </c>
      <c r="BB82" s="259">
        <v>0.1</v>
      </c>
      <c r="BC82" s="259">
        <v>0.1</v>
      </c>
      <c r="BD82" s="259">
        <v>0.1</v>
      </c>
      <c r="BE82" s="259">
        <v>0.1</v>
      </c>
      <c r="BF82" s="259">
        <v>0.1</v>
      </c>
      <c r="BG82" s="259">
        <v>0.1</v>
      </c>
      <c r="BH82" s="259">
        <v>0.1</v>
      </c>
      <c r="BI82" s="259">
        <v>0.1</v>
      </c>
      <c r="BJ82" s="259">
        <v>0.1</v>
      </c>
      <c r="BK82" s="260">
        <v>0.1</v>
      </c>
      <c r="BL82">
        <v>0.1</v>
      </c>
      <c r="BM82">
        <v>0.1</v>
      </c>
      <c r="BN82">
        <v>0.1</v>
      </c>
      <c r="BO82">
        <v>0.1</v>
      </c>
      <c r="BP82">
        <f>SUM(BL82:BO82)</f>
        <v>0.4</v>
      </c>
      <c r="BS82">
        <v>79</v>
      </c>
      <c r="BT82" s="271">
        <v>4.5</v>
      </c>
      <c r="BU82" s="270">
        <v>1.33</v>
      </c>
      <c r="BV82" s="2"/>
      <c r="BX82" s="2"/>
      <c r="BY82" s="258">
        <v>0.1</v>
      </c>
      <c r="BZ82" s="259">
        <v>0.1</v>
      </c>
      <c r="CA82" s="259">
        <v>0.1</v>
      </c>
      <c r="CB82" s="259">
        <v>0.1</v>
      </c>
      <c r="CC82" s="259">
        <v>0.1</v>
      </c>
      <c r="CD82" s="259">
        <v>0.1</v>
      </c>
      <c r="CE82" s="259">
        <v>0.1</v>
      </c>
      <c r="CF82" s="259">
        <v>0.1</v>
      </c>
      <c r="CG82" s="259">
        <v>0.1</v>
      </c>
      <c r="CH82" s="259">
        <v>0.1</v>
      </c>
      <c r="CI82" s="259">
        <v>0.1</v>
      </c>
      <c r="CJ82" s="259">
        <v>0.1</v>
      </c>
      <c r="CK82" s="259">
        <v>0.1</v>
      </c>
      <c r="CL82" s="259">
        <v>0.1</v>
      </c>
      <c r="CM82" s="259">
        <v>0.1</v>
      </c>
      <c r="CN82" s="259">
        <v>0.1</v>
      </c>
      <c r="CO82" s="259">
        <v>0.1</v>
      </c>
      <c r="CP82" s="259">
        <v>0.1</v>
      </c>
      <c r="CQ82" s="259">
        <v>0.1</v>
      </c>
      <c r="CR82" s="259">
        <v>0.1</v>
      </c>
      <c r="CS82" s="259">
        <v>0.1</v>
      </c>
      <c r="CT82" s="259">
        <v>0.1</v>
      </c>
      <c r="CU82" s="259">
        <v>0.1</v>
      </c>
      <c r="CV82" s="259">
        <v>0.1</v>
      </c>
      <c r="CW82" s="259">
        <v>0.1</v>
      </c>
      <c r="CX82" s="259">
        <v>0.1</v>
      </c>
      <c r="CY82" s="259">
        <v>0.1</v>
      </c>
      <c r="CZ82" s="259">
        <v>0.1</v>
      </c>
      <c r="DA82" s="259">
        <v>0.1</v>
      </c>
      <c r="DB82" s="259">
        <v>0.1</v>
      </c>
      <c r="DC82" s="259">
        <v>0.1</v>
      </c>
      <c r="DD82" s="259">
        <v>0.1</v>
      </c>
      <c r="DE82" s="259">
        <v>0.1</v>
      </c>
      <c r="DF82" s="259">
        <v>0.1</v>
      </c>
      <c r="DG82" s="259">
        <v>0.1</v>
      </c>
      <c r="DH82" s="259">
        <v>0.1</v>
      </c>
      <c r="DI82" s="259">
        <v>0.1</v>
      </c>
      <c r="DJ82" s="259">
        <v>0.1</v>
      </c>
      <c r="DK82" s="259">
        <v>0.1</v>
      </c>
      <c r="DL82" s="259">
        <v>0.1</v>
      </c>
      <c r="DM82" s="259">
        <v>0.1</v>
      </c>
      <c r="DN82" s="259">
        <v>0.1</v>
      </c>
      <c r="DO82" s="259">
        <v>0.1</v>
      </c>
      <c r="DP82" s="259">
        <v>0.1</v>
      </c>
      <c r="DQ82" s="260">
        <v>0.1</v>
      </c>
      <c r="DR82" s="258">
        <v>0.1</v>
      </c>
      <c r="DS82" s="259">
        <v>0.1</v>
      </c>
      <c r="DT82" s="259">
        <v>0.1</v>
      </c>
      <c r="DU82" s="259">
        <v>0.1</v>
      </c>
      <c r="DV82" s="259">
        <v>0.1</v>
      </c>
      <c r="DW82" s="259">
        <v>0.1</v>
      </c>
      <c r="DX82" s="259">
        <v>0.1</v>
      </c>
      <c r="DY82" s="259">
        <v>0.1</v>
      </c>
      <c r="DZ82" s="259">
        <v>0.1</v>
      </c>
      <c r="EA82" s="259">
        <v>0.1</v>
      </c>
      <c r="EB82" s="259">
        <v>0.1</v>
      </c>
      <c r="EC82" s="259">
        <v>0.1</v>
      </c>
      <c r="ED82" s="259">
        <v>0.1</v>
      </c>
      <c r="EE82" s="260">
        <v>0.1</v>
      </c>
      <c r="EF82">
        <v>0.1</v>
      </c>
      <c r="EG82">
        <f t="shared" si="3"/>
        <v>0.1</v>
      </c>
      <c r="EJ82">
        <v>79</v>
      </c>
      <c r="EN82">
        <v>0.1</v>
      </c>
      <c r="EO82">
        <v>0.1</v>
      </c>
      <c r="EP82">
        <v>0.1</v>
      </c>
      <c r="EQ82">
        <v>0.1</v>
      </c>
      <c r="ER82">
        <v>0.1</v>
      </c>
      <c r="ES82">
        <v>0.1</v>
      </c>
      <c r="ET82">
        <v>0.1</v>
      </c>
      <c r="EU82">
        <v>0.1</v>
      </c>
      <c r="EV82">
        <v>0.1</v>
      </c>
      <c r="EW82">
        <v>0.1</v>
      </c>
      <c r="EX82">
        <v>0.1</v>
      </c>
      <c r="EY82">
        <v>0.1</v>
      </c>
      <c r="EZ82">
        <v>0.1</v>
      </c>
      <c r="FA82">
        <v>0.1</v>
      </c>
      <c r="FB82">
        <v>0.1</v>
      </c>
      <c r="FC82">
        <v>0.1</v>
      </c>
      <c r="FD82">
        <v>0.1</v>
      </c>
      <c r="FE82">
        <v>0.1</v>
      </c>
      <c r="FF82">
        <v>0.1</v>
      </c>
      <c r="FG82">
        <v>0.1</v>
      </c>
      <c r="FH82">
        <v>0.1</v>
      </c>
      <c r="FI82">
        <v>0.1</v>
      </c>
      <c r="FJ82">
        <v>0.1</v>
      </c>
      <c r="FK82">
        <v>0.1</v>
      </c>
      <c r="FL82">
        <v>0.1</v>
      </c>
      <c r="FM82">
        <v>0.1</v>
      </c>
      <c r="FN82">
        <v>0.1</v>
      </c>
      <c r="FO82">
        <v>0.1</v>
      </c>
      <c r="FP82">
        <v>0.1</v>
      </c>
      <c r="FQ82">
        <v>0.1</v>
      </c>
      <c r="FU82">
        <v>79</v>
      </c>
      <c r="GB82">
        <v>0.1</v>
      </c>
      <c r="GC82">
        <v>0.1</v>
      </c>
      <c r="GD82">
        <v>0.1</v>
      </c>
      <c r="GE82">
        <v>0.1</v>
      </c>
      <c r="GF82">
        <v>0.1</v>
      </c>
      <c r="GG82">
        <v>0.1</v>
      </c>
      <c r="GH82">
        <v>0.1</v>
      </c>
      <c r="GI82">
        <v>0.1</v>
      </c>
      <c r="GJ82">
        <v>0.1</v>
      </c>
      <c r="GK82">
        <v>0.1</v>
      </c>
      <c r="GL82">
        <v>0.1</v>
      </c>
      <c r="GM82">
        <v>0.1</v>
      </c>
      <c r="GN82">
        <v>0.1</v>
      </c>
      <c r="GO82">
        <v>0.1</v>
      </c>
      <c r="GP82">
        <v>0.1</v>
      </c>
      <c r="GQ82">
        <v>0.1</v>
      </c>
      <c r="GR82">
        <v>0.1</v>
      </c>
      <c r="GS82">
        <v>0.1</v>
      </c>
      <c r="GT82">
        <v>0.1</v>
      </c>
      <c r="GU82">
        <v>0.1</v>
      </c>
      <c r="GV82">
        <v>0.1</v>
      </c>
      <c r="GW82">
        <v>0.1</v>
      </c>
      <c r="GX82">
        <v>0.1</v>
      </c>
      <c r="GY82">
        <v>0.1</v>
      </c>
      <c r="GZ82">
        <v>0.1</v>
      </c>
      <c r="HA82">
        <v>0.1</v>
      </c>
      <c r="HB82">
        <v>0.1</v>
      </c>
      <c r="HC82">
        <v>0.1</v>
      </c>
      <c r="HD82">
        <v>0.1</v>
      </c>
      <c r="HE82">
        <v>0.1</v>
      </c>
      <c r="HF82">
        <v>0.1</v>
      </c>
      <c r="HG82">
        <v>0.1</v>
      </c>
      <c r="HH82">
        <v>0.1</v>
      </c>
      <c r="HI82">
        <v>0.1</v>
      </c>
      <c r="HJ82">
        <v>0.1</v>
      </c>
      <c r="HK82">
        <v>0.1</v>
      </c>
      <c r="HL82">
        <v>0.1</v>
      </c>
      <c r="HM82">
        <v>0.1</v>
      </c>
      <c r="HN82">
        <v>0.1</v>
      </c>
      <c r="HO82">
        <v>0.1</v>
      </c>
    </row>
    <row r="83" spans="1:224" ht="15.75" thickBot="1" x14ac:dyDescent="0.3">
      <c r="A83">
        <v>80</v>
      </c>
      <c r="B83" s="268" t="s">
        <v>1184</v>
      </c>
      <c r="C83" s="268">
        <v>1.71</v>
      </c>
      <c r="D83" s="269">
        <v>1.72</v>
      </c>
      <c r="E83" s="2"/>
      <c r="F83" s="2"/>
      <c r="G83" s="2"/>
      <c r="H83" s="258">
        <v>0.1</v>
      </c>
      <c r="I83" s="259">
        <v>0.1</v>
      </c>
      <c r="J83" s="259">
        <v>0.1</v>
      </c>
      <c r="K83" s="259">
        <v>0.1</v>
      </c>
      <c r="L83" s="259">
        <v>0.1</v>
      </c>
      <c r="M83" s="259">
        <v>0.1</v>
      </c>
      <c r="N83" s="259">
        <v>0.1</v>
      </c>
      <c r="O83" s="259">
        <v>0.1</v>
      </c>
      <c r="P83" s="259">
        <v>0.1</v>
      </c>
      <c r="Q83" s="259">
        <v>0.1</v>
      </c>
      <c r="R83" s="259">
        <v>0.1</v>
      </c>
      <c r="S83" s="259">
        <v>0.1</v>
      </c>
      <c r="T83" s="259">
        <v>0.1</v>
      </c>
      <c r="U83" s="259">
        <v>0.1</v>
      </c>
      <c r="V83" s="259">
        <v>0.1</v>
      </c>
      <c r="W83" s="259">
        <v>0.1</v>
      </c>
      <c r="X83" s="259">
        <v>0.1</v>
      </c>
      <c r="Y83" s="259">
        <v>0.1</v>
      </c>
      <c r="Z83" s="259">
        <v>0.1</v>
      </c>
      <c r="AA83" s="259">
        <v>0.1</v>
      </c>
      <c r="AB83" s="259">
        <v>0.1</v>
      </c>
      <c r="AC83" s="260">
        <v>0.1</v>
      </c>
      <c r="AD83" s="258">
        <v>0.1</v>
      </c>
      <c r="AE83" s="259">
        <v>0.1</v>
      </c>
      <c r="AF83" s="259">
        <v>0.1</v>
      </c>
      <c r="AG83" s="259">
        <v>0.1</v>
      </c>
      <c r="AH83" s="259">
        <v>0.1</v>
      </c>
      <c r="AI83" s="259">
        <v>0.1</v>
      </c>
      <c r="AJ83" s="259">
        <v>0.1</v>
      </c>
      <c r="AK83" s="259">
        <v>0.1</v>
      </c>
      <c r="AL83" s="259">
        <v>0.1</v>
      </c>
      <c r="AM83" s="259">
        <v>0.1</v>
      </c>
      <c r="AN83" s="259">
        <v>0.1</v>
      </c>
      <c r="AO83" s="259">
        <v>0.1</v>
      </c>
      <c r="AP83" s="259">
        <v>0.1</v>
      </c>
      <c r="AQ83" s="259">
        <v>0.1</v>
      </c>
      <c r="AR83" s="259">
        <v>0.1</v>
      </c>
      <c r="AS83" s="259">
        <v>0.1</v>
      </c>
      <c r="AT83" s="259">
        <v>0.1</v>
      </c>
      <c r="AU83" s="260">
        <v>0.1</v>
      </c>
      <c r="AV83" s="258">
        <v>0.1</v>
      </c>
      <c r="AW83" s="259">
        <v>0.1</v>
      </c>
      <c r="AX83" s="259">
        <v>0.1</v>
      </c>
      <c r="AY83" s="259">
        <v>0.1</v>
      </c>
      <c r="AZ83" s="259">
        <v>0.1</v>
      </c>
      <c r="BA83" s="259">
        <v>0.1</v>
      </c>
      <c r="BB83" s="259">
        <v>0.1</v>
      </c>
      <c r="BC83" s="259">
        <v>0.1</v>
      </c>
      <c r="BD83" s="259">
        <v>0.1</v>
      </c>
      <c r="BE83" s="259">
        <v>0.1</v>
      </c>
      <c r="BF83" s="259">
        <v>0.1</v>
      </c>
      <c r="BG83" s="259">
        <v>0.1</v>
      </c>
      <c r="BH83" s="259">
        <v>0.1</v>
      </c>
      <c r="BI83" s="259">
        <v>0.1</v>
      </c>
      <c r="BJ83" s="259">
        <v>0.1</v>
      </c>
      <c r="BK83" s="259">
        <v>0.1</v>
      </c>
      <c r="BL83" s="259">
        <v>0.1</v>
      </c>
      <c r="BM83" s="260">
        <v>0.1</v>
      </c>
      <c r="BN83">
        <v>0.1</v>
      </c>
      <c r="BO83">
        <v>0.1</v>
      </c>
      <c r="BP83">
        <f>SUM(BN83:BO83)</f>
        <v>0.2</v>
      </c>
      <c r="BS83">
        <v>80</v>
      </c>
      <c r="BT83" s="270">
        <v>4.5</v>
      </c>
      <c r="BU83" s="271">
        <v>1.33</v>
      </c>
      <c r="BV83" s="2"/>
      <c r="BX83" s="2"/>
      <c r="BY83" s="258">
        <v>0.1</v>
      </c>
      <c r="BZ83" s="259">
        <v>0.1</v>
      </c>
      <c r="CA83" s="259">
        <v>0.1</v>
      </c>
      <c r="CB83" s="259">
        <v>0.1</v>
      </c>
      <c r="CC83" s="259">
        <v>0.1</v>
      </c>
      <c r="CD83" s="259">
        <v>0.1</v>
      </c>
      <c r="CE83" s="259">
        <v>0.1</v>
      </c>
      <c r="CF83" s="259">
        <v>0.1</v>
      </c>
      <c r="CG83" s="259">
        <v>0.1</v>
      </c>
      <c r="CH83" s="259">
        <v>0.1</v>
      </c>
      <c r="CI83" s="259">
        <v>0.1</v>
      </c>
      <c r="CJ83" s="259">
        <v>0.1</v>
      </c>
      <c r="CK83" s="259">
        <v>0.1</v>
      </c>
      <c r="CL83" s="259">
        <v>0.1</v>
      </c>
      <c r="CM83" s="259">
        <v>0.1</v>
      </c>
      <c r="CN83" s="259">
        <v>0.1</v>
      </c>
      <c r="CO83" s="259">
        <v>0.1</v>
      </c>
      <c r="CP83" s="259">
        <v>0.1</v>
      </c>
      <c r="CQ83" s="259">
        <v>0.1</v>
      </c>
      <c r="CR83" s="259">
        <v>0.1</v>
      </c>
      <c r="CS83" s="259">
        <v>0.1</v>
      </c>
      <c r="CT83" s="259">
        <v>0.1</v>
      </c>
      <c r="CU83" s="259">
        <v>0.1</v>
      </c>
      <c r="CV83" s="259">
        <v>0.1</v>
      </c>
      <c r="CW83" s="259">
        <v>0.1</v>
      </c>
      <c r="CX83" s="259">
        <v>0.1</v>
      </c>
      <c r="CY83" s="259">
        <v>0.1</v>
      </c>
      <c r="CZ83" s="259">
        <v>0.1</v>
      </c>
      <c r="DA83" s="259">
        <v>0.1</v>
      </c>
      <c r="DB83" s="259">
        <v>0.1</v>
      </c>
      <c r="DC83" s="259">
        <v>0.1</v>
      </c>
      <c r="DD83" s="259">
        <v>0.1</v>
      </c>
      <c r="DE83" s="259">
        <v>0.1</v>
      </c>
      <c r="DF83" s="259">
        <v>0.1</v>
      </c>
      <c r="DG83" s="259">
        <v>0.1</v>
      </c>
      <c r="DH83" s="259">
        <v>0.1</v>
      </c>
      <c r="DI83" s="259">
        <v>0.1</v>
      </c>
      <c r="DJ83" s="259">
        <v>0.1</v>
      </c>
      <c r="DK83" s="259">
        <v>0.1</v>
      </c>
      <c r="DL83" s="259">
        <v>0.1</v>
      </c>
      <c r="DM83" s="259">
        <v>0.1</v>
      </c>
      <c r="DN83" s="259">
        <v>0.1</v>
      </c>
      <c r="DO83" s="259">
        <v>0.1</v>
      </c>
      <c r="DP83" s="259">
        <v>0.1</v>
      </c>
      <c r="DQ83" s="260">
        <v>0.1</v>
      </c>
      <c r="DR83" s="258">
        <v>0.1</v>
      </c>
      <c r="DS83" s="259">
        <v>0.1</v>
      </c>
      <c r="DT83" s="259">
        <v>0.1</v>
      </c>
      <c r="DU83" s="259">
        <v>0.1</v>
      </c>
      <c r="DV83" s="259">
        <v>0.1</v>
      </c>
      <c r="DW83" s="259">
        <v>0.1</v>
      </c>
      <c r="DX83" s="259">
        <v>0.1</v>
      </c>
      <c r="DY83" s="259">
        <v>0.1</v>
      </c>
      <c r="DZ83" s="259">
        <v>0.1</v>
      </c>
      <c r="EA83" s="259">
        <v>0.1</v>
      </c>
      <c r="EB83" s="259">
        <v>0.1</v>
      </c>
      <c r="EC83" s="259">
        <v>0.1</v>
      </c>
      <c r="ED83" s="259">
        <v>0.1</v>
      </c>
      <c r="EE83" s="260">
        <v>0.1</v>
      </c>
      <c r="EF83">
        <v>0.1</v>
      </c>
      <c r="EG83">
        <f t="shared" si="3"/>
        <v>0.1</v>
      </c>
      <c r="EJ83">
        <v>80</v>
      </c>
      <c r="EN83">
        <v>0.1</v>
      </c>
      <c r="EO83">
        <v>0.1</v>
      </c>
      <c r="EP83">
        <v>0.1</v>
      </c>
      <c r="EQ83">
        <v>0.1</v>
      </c>
      <c r="ER83">
        <v>0.1</v>
      </c>
      <c r="ES83">
        <v>0.1</v>
      </c>
      <c r="ET83">
        <v>0.1</v>
      </c>
      <c r="EU83">
        <v>0.1</v>
      </c>
      <c r="EV83">
        <v>0.1</v>
      </c>
      <c r="EW83">
        <v>0.1</v>
      </c>
      <c r="EX83">
        <v>0.1</v>
      </c>
      <c r="EY83">
        <v>0.1</v>
      </c>
      <c r="EZ83">
        <v>0.1</v>
      </c>
      <c r="FA83">
        <v>0.1</v>
      </c>
      <c r="FB83">
        <v>0.1</v>
      </c>
      <c r="FC83">
        <v>0.1</v>
      </c>
      <c r="FD83">
        <v>0.1</v>
      </c>
      <c r="FE83">
        <v>0.1</v>
      </c>
      <c r="FF83">
        <v>0.1</v>
      </c>
      <c r="FG83">
        <v>0.1</v>
      </c>
      <c r="FH83">
        <v>0.1</v>
      </c>
      <c r="FI83">
        <v>0.1</v>
      </c>
      <c r="FJ83">
        <v>0.1</v>
      </c>
      <c r="FK83">
        <v>0.1</v>
      </c>
      <c r="FL83">
        <v>0.1</v>
      </c>
      <c r="FM83">
        <v>0.1</v>
      </c>
      <c r="FN83">
        <v>0.1</v>
      </c>
      <c r="FO83">
        <v>0.1</v>
      </c>
      <c r="FP83">
        <v>0.1</v>
      </c>
      <c r="FQ83">
        <v>0.1</v>
      </c>
      <c r="FU83">
        <v>80</v>
      </c>
      <c r="GB83">
        <v>0.1</v>
      </c>
      <c r="GC83">
        <v>0.1</v>
      </c>
      <c r="GD83">
        <v>0.1</v>
      </c>
      <c r="GE83">
        <v>0.1</v>
      </c>
      <c r="GF83">
        <v>0.1</v>
      </c>
      <c r="GG83">
        <v>0.1</v>
      </c>
      <c r="GH83">
        <v>0.1</v>
      </c>
      <c r="GI83">
        <v>0.1</v>
      </c>
      <c r="GJ83">
        <v>0.1</v>
      </c>
      <c r="GK83">
        <v>0.1</v>
      </c>
      <c r="GL83">
        <v>0.1</v>
      </c>
      <c r="GM83">
        <v>0.1</v>
      </c>
      <c r="GN83">
        <v>0.1</v>
      </c>
      <c r="GO83">
        <v>0.1</v>
      </c>
      <c r="GP83">
        <v>0.1</v>
      </c>
      <c r="GQ83">
        <v>0.1</v>
      </c>
      <c r="GR83">
        <v>0.1</v>
      </c>
      <c r="GS83">
        <v>0.1</v>
      </c>
      <c r="GT83">
        <v>0.1</v>
      </c>
      <c r="GU83">
        <v>0.1</v>
      </c>
      <c r="GV83">
        <v>0.1</v>
      </c>
      <c r="GW83">
        <v>0.1</v>
      </c>
      <c r="GX83">
        <v>0.1</v>
      </c>
      <c r="GY83">
        <v>0.1</v>
      </c>
      <c r="GZ83">
        <v>0.1</v>
      </c>
      <c r="HA83">
        <v>0.1</v>
      </c>
      <c r="HB83">
        <v>0.1</v>
      </c>
      <c r="HC83">
        <v>0.1</v>
      </c>
      <c r="HD83">
        <v>0.1</v>
      </c>
      <c r="HE83">
        <v>0.1</v>
      </c>
      <c r="HF83">
        <v>0.1</v>
      </c>
      <c r="HG83">
        <v>0.1</v>
      </c>
      <c r="HH83">
        <v>0.1</v>
      </c>
      <c r="HI83">
        <v>0.1</v>
      </c>
      <c r="HJ83">
        <v>0.1</v>
      </c>
      <c r="HK83">
        <v>0.1</v>
      </c>
      <c r="HL83">
        <v>0.1</v>
      </c>
      <c r="HM83">
        <v>0.1</v>
      </c>
      <c r="HN83">
        <v>0.1</v>
      </c>
      <c r="HO83">
        <v>0.1</v>
      </c>
    </row>
    <row r="84" spans="1:224" ht="15.75" thickBot="1" x14ac:dyDescent="0.3">
      <c r="A84">
        <v>81</v>
      </c>
      <c r="B84" s="268" t="s">
        <v>1183</v>
      </c>
      <c r="C84" s="269">
        <v>1.51</v>
      </c>
      <c r="D84" s="2"/>
      <c r="E84" s="2"/>
      <c r="F84" s="2"/>
      <c r="G84" s="2"/>
      <c r="H84" s="261">
        <v>0.1</v>
      </c>
      <c r="I84" s="262">
        <v>0.1</v>
      </c>
      <c r="J84" s="262">
        <v>0.1</v>
      </c>
      <c r="K84" s="262">
        <v>0.1</v>
      </c>
      <c r="L84" s="262">
        <v>0.1</v>
      </c>
      <c r="M84" s="262">
        <v>0.1</v>
      </c>
      <c r="N84" s="262">
        <v>0.1</v>
      </c>
      <c r="O84" s="262">
        <v>0.1</v>
      </c>
      <c r="P84" s="262">
        <v>0.1</v>
      </c>
      <c r="Q84" s="262">
        <v>0.1</v>
      </c>
      <c r="R84" s="262">
        <v>0.1</v>
      </c>
      <c r="S84" s="262">
        <v>0.1</v>
      </c>
      <c r="T84" s="262">
        <v>0.1</v>
      </c>
      <c r="U84" s="262">
        <v>0.1</v>
      </c>
      <c r="V84" s="262">
        <v>0.1</v>
      </c>
      <c r="W84" s="262">
        <v>0.1</v>
      </c>
      <c r="X84" s="262">
        <v>0.1</v>
      </c>
      <c r="Y84" s="262">
        <v>0.1</v>
      </c>
      <c r="Z84" s="262">
        <v>0.1</v>
      </c>
      <c r="AA84" s="262">
        <v>0.1</v>
      </c>
      <c r="AB84" s="262">
        <v>0.1</v>
      </c>
      <c r="AC84" s="262">
        <v>0.1</v>
      </c>
      <c r="AD84" s="262">
        <v>0.1</v>
      </c>
      <c r="AE84" s="262">
        <v>0.1</v>
      </c>
      <c r="AF84" s="262">
        <v>0.1</v>
      </c>
      <c r="AG84" s="262">
        <v>0.1</v>
      </c>
      <c r="AH84" s="262">
        <v>0.1</v>
      </c>
      <c r="AI84" s="262">
        <v>0.1</v>
      </c>
      <c r="AJ84" s="262">
        <v>0.1</v>
      </c>
      <c r="AK84" s="262">
        <v>0.1</v>
      </c>
      <c r="AL84" s="262">
        <v>0.1</v>
      </c>
      <c r="AM84" s="262">
        <v>0.1</v>
      </c>
      <c r="AN84" s="262">
        <v>0.1</v>
      </c>
      <c r="AO84" s="262">
        <v>0.1</v>
      </c>
      <c r="AP84" s="262">
        <v>0.1</v>
      </c>
      <c r="AQ84" s="262">
        <v>0.1</v>
      </c>
      <c r="AR84" s="262">
        <v>0.1</v>
      </c>
      <c r="AS84" s="262">
        <v>0.1</v>
      </c>
      <c r="AT84" s="262">
        <v>0.1</v>
      </c>
      <c r="AU84" s="263">
        <v>0.1</v>
      </c>
      <c r="AV84" s="258">
        <v>0.1</v>
      </c>
      <c r="AW84" s="259">
        <v>0.1</v>
      </c>
      <c r="AX84" s="259">
        <v>0.1</v>
      </c>
      <c r="AY84" s="259">
        <v>0.1</v>
      </c>
      <c r="AZ84" s="259">
        <v>0.1</v>
      </c>
      <c r="BA84" s="259">
        <v>0.1</v>
      </c>
      <c r="BB84" s="259">
        <v>0.1</v>
      </c>
      <c r="BC84" s="259">
        <v>0.1</v>
      </c>
      <c r="BD84" s="259">
        <v>0.1</v>
      </c>
      <c r="BE84" s="259">
        <v>0.1</v>
      </c>
      <c r="BF84" s="259">
        <v>0.1</v>
      </c>
      <c r="BG84" s="259">
        <v>0.1</v>
      </c>
      <c r="BH84" s="259">
        <v>0.1</v>
      </c>
      <c r="BI84" s="259">
        <v>0.1</v>
      </c>
      <c r="BJ84" s="259">
        <v>0.1</v>
      </c>
      <c r="BK84" s="260">
        <v>0.1</v>
      </c>
      <c r="BL84">
        <v>0.1</v>
      </c>
      <c r="BM84">
        <v>0.1</v>
      </c>
      <c r="BN84">
        <v>0.1</v>
      </c>
      <c r="BO84">
        <v>0.1</v>
      </c>
      <c r="BP84">
        <f>SUM(BL84:BO84)</f>
        <v>0.4</v>
      </c>
      <c r="BS84">
        <v>81</v>
      </c>
      <c r="BT84" s="271">
        <v>4.4400000000000004</v>
      </c>
      <c r="BU84" s="270">
        <v>1.34</v>
      </c>
      <c r="BV84" s="2"/>
      <c r="BX84" s="2"/>
      <c r="BY84" s="258">
        <v>0.1</v>
      </c>
      <c r="BZ84" s="259">
        <v>0.1</v>
      </c>
      <c r="CA84" s="259">
        <v>0.1</v>
      </c>
      <c r="CB84" s="259">
        <v>0.1</v>
      </c>
      <c r="CC84" s="259">
        <v>0.1</v>
      </c>
      <c r="CD84" s="259">
        <v>0.1</v>
      </c>
      <c r="CE84" s="259">
        <v>0.1</v>
      </c>
      <c r="CF84" s="259">
        <v>0.1</v>
      </c>
      <c r="CG84" s="259">
        <v>0.1</v>
      </c>
      <c r="CH84" s="259">
        <v>0.1</v>
      </c>
      <c r="CI84" s="259">
        <v>0.1</v>
      </c>
      <c r="CJ84" s="259">
        <v>0.1</v>
      </c>
      <c r="CK84" s="259">
        <v>0.1</v>
      </c>
      <c r="CL84" s="259">
        <v>0.1</v>
      </c>
      <c r="CM84" s="259">
        <v>0.1</v>
      </c>
      <c r="CN84" s="259">
        <v>0.1</v>
      </c>
      <c r="CO84" s="259">
        <v>0.1</v>
      </c>
      <c r="CP84" s="259">
        <v>0.1</v>
      </c>
      <c r="CQ84" s="259">
        <v>0.1</v>
      </c>
      <c r="CR84" s="259">
        <v>0.1</v>
      </c>
      <c r="CS84" s="259">
        <v>0.1</v>
      </c>
      <c r="CT84" s="259">
        <v>0.1</v>
      </c>
      <c r="CU84" s="259">
        <v>0.1</v>
      </c>
      <c r="CV84" s="259">
        <v>0.1</v>
      </c>
      <c r="CW84" s="259">
        <v>0.1</v>
      </c>
      <c r="CX84" s="259">
        <v>0.1</v>
      </c>
      <c r="CY84" s="259">
        <v>0.1</v>
      </c>
      <c r="CZ84" s="259">
        <v>0.1</v>
      </c>
      <c r="DA84" s="259">
        <v>0.1</v>
      </c>
      <c r="DB84" s="259">
        <v>0.1</v>
      </c>
      <c r="DC84" s="259">
        <v>0.1</v>
      </c>
      <c r="DD84" s="259">
        <v>0.1</v>
      </c>
      <c r="DE84" s="259">
        <v>0.1</v>
      </c>
      <c r="DF84" s="259">
        <v>0.1</v>
      </c>
      <c r="DG84" s="259">
        <v>0.1</v>
      </c>
      <c r="DH84" s="259">
        <v>0.1</v>
      </c>
      <c r="DI84" s="259">
        <v>0.1</v>
      </c>
      <c r="DJ84" s="259">
        <v>0.1</v>
      </c>
      <c r="DK84" s="259">
        <v>0.1</v>
      </c>
      <c r="DL84" s="259">
        <v>0.1</v>
      </c>
      <c r="DM84" s="259">
        <v>0.1</v>
      </c>
      <c r="DN84" s="259">
        <v>0.1</v>
      </c>
      <c r="DO84" s="259">
        <v>0.1</v>
      </c>
      <c r="DP84" s="259">
        <v>0.1</v>
      </c>
      <c r="DQ84" s="260">
        <v>0.1</v>
      </c>
      <c r="DR84" s="258">
        <v>0.1</v>
      </c>
      <c r="DS84" s="259">
        <v>0.1</v>
      </c>
      <c r="DT84" s="259">
        <v>0.1</v>
      </c>
      <c r="DU84" s="259">
        <v>0.1</v>
      </c>
      <c r="DV84" s="259">
        <v>0.1</v>
      </c>
      <c r="DW84" s="259">
        <v>0.1</v>
      </c>
      <c r="DX84" s="259">
        <v>0.1</v>
      </c>
      <c r="DY84" s="259">
        <v>0.1</v>
      </c>
      <c r="DZ84" s="259">
        <v>0.1</v>
      </c>
      <c r="EA84" s="259">
        <v>0.1</v>
      </c>
      <c r="EB84" s="259">
        <v>0.1</v>
      </c>
      <c r="EC84" s="259">
        <v>0.1</v>
      </c>
      <c r="ED84" s="259">
        <v>0.1</v>
      </c>
      <c r="EE84" s="260">
        <v>0.1</v>
      </c>
      <c r="EF84">
        <v>0.1</v>
      </c>
      <c r="EG84">
        <f t="shared" si="3"/>
        <v>0.1</v>
      </c>
      <c r="EJ84">
        <v>81</v>
      </c>
      <c r="EN84">
        <v>0.1</v>
      </c>
      <c r="EO84">
        <v>0.1</v>
      </c>
      <c r="EP84">
        <v>0.1</v>
      </c>
      <c r="EQ84">
        <v>0.1</v>
      </c>
      <c r="ER84">
        <v>0.1</v>
      </c>
      <c r="ES84">
        <v>0.1</v>
      </c>
      <c r="ET84">
        <v>0.1</v>
      </c>
      <c r="EU84">
        <v>0.1</v>
      </c>
      <c r="EV84">
        <v>0.1</v>
      </c>
      <c r="EW84">
        <v>0.1</v>
      </c>
      <c r="EX84">
        <v>0.1</v>
      </c>
      <c r="EY84">
        <v>0.1</v>
      </c>
      <c r="EZ84">
        <v>0.1</v>
      </c>
      <c r="FA84">
        <v>0.1</v>
      </c>
      <c r="FB84">
        <v>0.1</v>
      </c>
      <c r="FC84">
        <v>0.1</v>
      </c>
      <c r="FD84">
        <v>0.1</v>
      </c>
      <c r="FE84">
        <v>0.1</v>
      </c>
      <c r="FF84">
        <v>0.1</v>
      </c>
      <c r="FG84">
        <v>0.1</v>
      </c>
      <c r="FH84">
        <v>0.1</v>
      </c>
      <c r="FI84">
        <v>0.1</v>
      </c>
      <c r="FJ84">
        <v>0.1</v>
      </c>
      <c r="FK84">
        <v>0.1</v>
      </c>
      <c r="FL84">
        <v>0.1</v>
      </c>
      <c r="FM84">
        <v>0.1</v>
      </c>
      <c r="FN84">
        <v>0.1</v>
      </c>
      <c r="FO84">
        <v>0.1</v>
      </c>
      <c r="FP84">
        <v>0.1</v>
      </c>
      <c r="FQ84">
        <v>0.1</v>
      </c>
      <c r="FU84">
        <v>81</v>
      </c>
      <c r="GB84">
        <v>0.1</v>
      </c>
      <c r="GC84">
        <v>0.1</v>
      </c>
      <c r="GD84">
        <v>0.1</v>
      </c>
      <c r="GE84">
        <v>0.1</v>
      </c>
      <c r="GF84">
        <v>0.1</v>
      </c>
      <c r="GG84">
        <v>0.1</v>
      </c>
      <c r="GH84">
        <v>0.1</v>
      </c>
      <c r="GI84">
        <v>0.1</v>
      </c>
      <c r="GJ84">
        <v>0.1</v>
      </c>
      <c r="GK84">
        <v>0.1</v>
      </c>
      <c r="GL84">
        <v>0.1</v>
      </c>
      <c r="GM84">
        <v>0.1</v>
      </c>
      <c r="GN84">
        <v>0.1</v>
      </c>
      <c r="GO84">
        <v>0.1</v>
      </c>
      <c r="GP84">
        <v>0.1</v>
      </c>
      <c r="GQ84">
        <v>0.1</v>
      </c>
      <c r="GR84">
        <v>0.1</v>
      </c>
      <c r="GS84">
        <v>0.1</v>
      </c>
      <c r="GT84">
        <v>0.1</v>
      </c>
      <c r="GU84">
        <v>0.1</v>
      </c>
      <c r="GV84">
        <v>0.1</v>
      </c>
      <c r="GW84">
        <v>0.1</v>
      </c>
      <c r="GX84">
        <v>0.1</v>
      </c>
      <c r="GY84">
        <v>0.1</v>
      </c>
      <c r="GZ84">
        <v>0.1</v>
      </c>
      <c r="HA84">
        <v>0.1</v>
      </c>
      <c r="HB84">
        <v>0.1</v>
      </c>
      <c r="HC84">
        <v>0.1</v>
      </c>
      <c r="HD84">
        <v>0.1</v>
      </c>
      <c r="HE84">
        <v>0.1</v>
      </c>
      <c r="HF84">
        <v>0.1</v>
      </c>
      <c r="HG84">
        <v>0.1</v>
      </c>
      <c r="HH84">
        <v>0.1</v>
      </c>
      <c r="HI84">
        <v>0.1</v>
      </c>
      <c r="HJ84">
        <v>0.1</v>
      </c>
      <c r="HK84">
        <v>0.1</v>
      </c>
      <c r="HL84">
        <v>0.1</v>
      </c>
      <c r="HM84">
        <v>0.1</v>
      </c>
      <c r="HN84">
        <v>0.1</v>
      </c>
      <c r="HO84">
        <v>0.1</v>
      </c>
    </row>
    <row r="85" spans="1:224" ht="15.75" thickBot="1" x14ac:dyDescent="0.3">
      <c r="A85">
        <v>82</v>
      </c>
      <c r="B85" s="269">
        <v>4.96</v>
      </c>
      <c r="C85" s="268">
        <v>0.52</v>
      </c>
      <c r="D85" s="2"/>
      <c r="E85" s="2"/>
      <c r="F85" s="2"/>
      <c r="G85" s="2"/>
      <c r="H85" s="258">
        <v>0.1</v>
      </c>
      <c r="I85" s="259">
        <v>0.1</v>
      </c>
      <c r="J85" s="259">
        <v>0.1</v>
      </c>
      <c r="K85" s="259">
        <v>0.1</v>
      </c>
      <c r="L85" s="259">
        <v>0.1</v>
      </c>
      <c r="M85" s="259">
        <v>0.1</v>
      </c>
      <c r="N85" s="259">
        <v>0.1</v>
      </c>
      <c r="O85" s="259">
        <v>0.1</v>
      </c>
      <c r="P85" s="259">
        <v>0.1</v>
      </c>
      <c r="Q85" s="259">
        <v>0.1</v>
      </c>
      <c r="R85" s="259">
        <v>0.1</v>
      </c>
      <c r="S85" s="259">
        <v>0.1</v>
      </c>
      <c r="T85" s="259">
        <v>0.1</v>
      </c>
      <c r="U85" s="259">
        <v>0.1</v>
      </c>
      <c r="V85" s="259">
        <v>0.1</v>
      </c>
      <c r="W85" s="259">
        <v>0.1</v>
      </c>
      <c r="X85" s="259">
        <v>0.1</v>
      </c>
      <c r="Y85" s="259">
        <v>0.1</v>
      </c>
      <c r="Z85" s="259">
        <v>0.1</v>
      </c>
      <c r="AA85" s="259">
        <v>0.1</v>
      </c>
      <c r="AB85" s="259">
        <v>0.1</v>
      </c>
      <c r="AC85" s="259">
        <v>0.1</v>
      </c>
      <c r="AD85" s="259">
        <v>0.1</v>
      </c>
      <c r="AE85" s="259">
        <v>0.1</v>
      </c>
      <c r="AF85" s="259">
        <v>0.1</v>
      </c>
      <c r="AG85" s="259">
        <v>0.1</v>
      </c>
      <c r="AH85" s="259">
        <v>0.1</v>
      </c>
      <c r="AI85" s="259">
        <v>0.1</v>
      </c>
      <c r="AJ85" s="259">
        <v>0.1</v>
      </c>
      <c r="AK85" s="259">
        <v>0.1</v>
      </c>
      <c r="AL85" s="259">
        <v>0.1</v>
      </c>
      <c r="AM85" s="259">
        <v>0.1</v>
      </c>
      <c r="AN85" s="259">
        <v>0.1</v>
      </c>
      <c r="AO85" s="259">
        <v>0.1</v>
      </c>
      <c r="AP85" s="259">
        <v>0.1</v>
      </c>
      <c r="AQ85" s="259">
        <v>0.1</v>
      </c>
      <c r="AR85" s="259">
        <v>0.1</v>
      </c>
      <c r="AS85" s="259">
        <v>0.1</v>
      </c>
      <c r="AT85" s="259">
        <v>0.1</v>
      </c>
      <c r="AU85" s="259">
        <v>0.1</v>
      </c>
      <c r="AV85" s="259">
        <v>0.1</v>
      </c>
      <c r="AW85" s="259">
        <v>0.1</v>
      </c>
      <c r="AX85" s="259">
        <v>0.1</v>
      </c>
      <c r="AY85" s="259">
        <v>0.1</v>
      </c>
      <c r="AZ85" s="259">
        <v>0.1</v>
      </c>
      <c r="BA85" s="259">
        <v>0.1</v>
      </c>
      <c r="BB85" s="259">
        <v>0.1</v>
      </c>
      <c r="BC85" s="259">
        <v>0.1</v>
      </c>
      <c r="BD85" s="259">
        <v>0.1</v>
      </c>
      <c r="BE85" s="260">
        <v>0.1</v>
      </c>
      <c r="BF85" s="258">
        <v>0.1</v>
      </c>
      <c r="BG85" s="259">
        <v>0.1</v>
      </c>
      <c r="BH85" s="259">
        <v>0.1</v>
      </c>
      <c r="BI85" s="259">
        <v>0.1</v>
      </c>
      <c r="BJ85" s="259">
        <v>0.1</v>
      </c>
      <c r="BK85" s="260">
        <v>0.1</v>
      </c>
      <c r="BL85">
        <v>0.1</v>
      </c>
      <c r="BM85">
        <v>0.1</v>
      </c>
      <c r="BN85">
        <v>0.1</v>
      </c>
      <c r="BO85">
        <v>0.1</v>
      </c>
      <c r="BP85">
        <f>SUM(BL85:BO85)</f>
        <v>0.4</v>
      </c>
      <c r="BS85">
        <v>82</v>
      </c>
      <c r="BT85" s="270">
        <v>4.43</v>
      </c>
      <c r="BU85" s="271">
        <v>1.35</v>
      </c>
      <c r="BV85" s="2"/>
      <c r="BX85" s="2"/>
      <c r="BY85" s="258">
        <v>0.1</v>
      </c>
      <c r="BZ85" s="259">
        <v>0.1</v>
      </c>
      <c r="CA85" s="259">
        <v>0.1</v>
      </c>
      <c r="CB85" s="259">
        <v>0.1</v>
      </c>
      <c r="CC85" s="259">
        <v>0.1</v>
      </c>
      <c r="CD85" s="259">
        <v>0.1</v>
      </c>
      <c r="CE85" s="259">
        <v>0.1</v>
      </c>
      <c r="CF85" s="259">
        <v>0.1</v>
      </c>
      <c r="CG85" s="259">
        <v>0.1</v>
      </c>
      <c r="CH85" s="259">
        <v>0.1</v>
      </c>
      <c r="CI85" s="259">
        <v>0.1</v>
      </c>
      <c r="CJ85" s="259">
        <v>0.1</v>
      </c>
      <c r="CK85" s="259">
        <v>0.1</v>
      </c>
      <c r="CL85" s="259">
        <v>0.1</v>
      </c>
      <c r="CM85" s="259">
        <v>0.1</v>
      </c>
      <c r="CN85" s="259">
        <v>0.1</v>
      </c>
      <c r="CO85" s="259">
        <v>0.1</v>
      </c>
      <c r="CP85" s="259">
        <v>0.1</v>
      </c>
      <c r="CQ85" s="259">
        <v>0.1</v>
      </c>
      <c r="CR85" s="259">
        <v>0.1</v>
      </c>
      <c r="CS85" s="259">
        <v>0.1</v>
      </c>
      <c r="CT85" s="259">
        <v>0.1</v>
      </c>
      <c r="CU85" s="259">
        <v>0.1</v>
      </c>
      <c r="CV85" s="259">
        <v>0.1</v>
      </c>
      <c r="CW85" s="259">
        <v>0.1</v>
      </c>
      <c r="CX85" s="259">
        <v>0.1</v>
      </c>
      <c r="CY85" s="259">
        <v>0.1</v>
      </c>
      <c r="CZ85" s="259">
        <v>0.1</v>
      </c>
      <c r="DA85" s="259">
        <v>0.1</v>
      </c>
      <c r="DB85" s="259">
        <v>0.1</v>
      </c>
      <c r="DC85" s="259">
        <v>0.1</v>
      </c>
      <c r="DD85" s="259">
        <v>0.1</v>
      </c>
      <c r="DE85" s="259">
        <v>0.1</v>
      </c>
      <c r="DF85" s="259">
        <v>0.1</v>
      </c>
      <c r="DG85" s="259">
        <v>0.1</v>
      </c>
      <c r="DH85" s="259">
        <v>0.1</v>
      </c>
      <c r="DI85" s="259">
        <v>0.1</v>
      </c>
      <c r="DJ85" s="259">
        <v>0.1</v>
      </c>
      <c r="DK85" s="259">
        <v>0.1</v>
      </c>
      <c r="DL85" s="259">
        <v>0.1</v>
      </c>
      <c r="DM85" s="259">
        <v>0.1</v>
      </c>
      <c r="DN85" s="259">
        <v>0.1</v>
      </c>
      <c r="DO85" s="259">
        <v>0.1</v>
      </c>
      <c r="DP85" s="259">
        <v>0.1</v>
      </c>
      <c r="DQ85" s="260">
        <v>0.1</v>
      </c>
      <c r="DR85" s="258">
        <v>0.1</v>
      </c>
      <c r="DS85" s="259">
        <v>0.1</v>
      </c>
      <c r="DT85" s="259">
        <v>0.1</v>
      </c>
      <c r="DU85" s="259">
        <v>0.1</v>
      </c>
      <c r="DV85" s="259">
        <v>0.1</v>
      </c>
      <c r="DW85" s="259">
        <v>0.1</v>
      </c>
      <c r="DX85" s="259">
        <v>0.1</v>
      </c>
      <c r="DY85" s="259">
        <v>0.1</v>
      </c>
      <c r="DZ85" s="259">
        <v>0.1</v>
      </c>
      <c r="EA85" s="259">
        <v>0.1</v>
      </c>
      <c r="EB85" s="259">
        <v>0.1</v>
      </c>
      <c r="EC85" s="259">
        <v>0.1</v>
      </c>
      <c r="ED85" s="259">
        <v>0.1</v>
      </c>
      <c r="EE85" s="260">
        <v>0.1</v>
      </c>
      <c r="EF85">
        <v>0.1</v>
      </c>
      <c r="EG85">
        <f t="shared" si="3"/>
        <v>0.1</v>
      </c>
      <c r="EJ85">
        <v>82</v>
      </c>
      <c r="EN85">
        <v>0.1</v>
      </c>
      <c r="EO85">
        <v>0.1</v>
      </c>
      <c r="EP85">
        <v>0.1</v>
      </c>
      <c r="EQ85">
        <v>0.1</v>
      </c>
      <c r="ER85">
        <v>0.1</v>
      </c>
      <c r="ES85">
        <v>0.1</v>
      </c>
      <c r="ET85">
        <v>0.1</v>
      </c>
      <c r="EU85">
        <v>0.1</v>
      </c>
      <c r="EV85">
        <v>0.1</v>
      </c>
      <c r="EW85">
        <v>0.1</v>
      </c>
      <c r="EX85">
        <v>0.1</v>
      </c>
      <c r="EY85">
        <v>0.1</v>
      </c>
      <c r="EZ85">
        <v>0.1</v>
      </c>
      <c r="FA85">
        <v>0.1</v>
      </c>
      <c r="FB85">
        <v>0.1</v>
      </c>
      <c r="FC85">
        <v>0.1</v>
      </c>
      <c r="FD85">
        <v>0.1</v>
      </c>
      <c r="FE85">
        <v>0.1</v>
      </c>
      <c r="FF85">
        <v>0.1</v>
      </c>
      <c r="FG85">
        <v>0.1</v>
      </c>
      <c r="FH85">
        <v>0.1</v>
      </c>
      <c r="FI85">
        <v>0.1</v>
      </c>
      <c r="FJ85">
        <v>0.1</v>
      </c>
      <c r="FK85">
        <v>0.1</v>
      </c>
      <c r="FL85">
        <v>0.1</v>
      </c>
      <c r="FM85">
        <v>0.1</v>
      </c>
      <c r="FN85">
        <v>0.1</v>
      </c>
      <c r="FO85">
        <v>0.1</v>
      </c>
      <c r="FP85">
        <v>0.1</v>
      </c>
      <c r="FQ85">
        <v>0.1</v>
      </c>
      <c r="FU85">
        <v>82</v>
      </c>
      <c r="GB85">
        <v>0.1</v>
      </c>
      <c r="GC85">
        <v>0.1</v>
      </c>
      <c r="GD85">
        <v>0.1</v>
      </c>
      <c r="GE85">
        <v>0.1</v>
      </c>
      <c r="GF85">
        <v>0.1</v>
      </c>
      <c r="GG85">
        <v>0.1</v>
      </c>
      <c r="GH85">
        <v>0.1</v>
      </c>
      <c r="GI85">
        <v>0.1</v>
      </c>
      <c r="GJ85">
        <v>0.1</v>
      </c>
      <c r="GK85">
        <v>0.1</v>
      </c>
      <c r="GL85">
        <v>0.1</v>
      </c>
      <c r="GM85">
        <v>0.1</v>
      </c>
      <c r="GN85">
        <v>0.1</v>
      </c>
      <c r="GO85">
        <v>0.1</v>
      </c>
      <c r="GP85">
        <v>0.1</v>
      </c>
      <c r="GQ85">
        <v>0.1</v>
      </c>
      <c r="GR85">
        <v>0.1</v>
      </c>
      <c r="GS85">
        <v>0.1</v>
      </c>
      <c r="GT85">
        <v>0.1</v>
      </c>
      <c r="GU85">
        <v>0.1</v>
      </c>
      <c r="GV85">
        <v>0.1</v>
      </c>
      <c r="GW85">
        <v>0.1</v>
      </c>
      <c r="GX85">
        <v>0.1</v>
      </c>
      <c r="GY85">
        <v>0.1</v>
      </c>
      <c r="GZ85">
        <v>0.1</v>
      </c>
      <c r="HA85">
        <v>0.1</v>
      </c>
      <c r="HB85">
        <v>0.1</v>
      </c>
      <c r="HC85">
        <v>0.1</v>
      </c>
      <c r="HD85">
        <v>0.1</v>
      </c>
      <c r="HE85">
        <v>0.1</v>
      </c>
      <c r="HF85">
        <v>0.1</v>
      </c>
      <c r="HG85">
        <v>0.1</v>
      </c>
      <c r="HH85">
        <v>0.1</v>
      </c>
      <c r="HI85">
        <v>0.1</v>
      </c>
      <c r="HJ85">
        <v>0.1</v>
      </c>
      <c r="HK85">
        <v>0.1</v>
      </c>
      <c r="HL85">
        <v>0.1</v>
      </c>
      <c r="HM85">
        <v>0.1</v>
      </c>
      <c r="HN85">
        <v>0.1</v>
      </c>
      <c r="HO85">
        <v>0.1</v>
      </c>
    </row>
    <row r="86" spans="1:224" ht="15.75" thickBot="1" x14ac:dyDescent="0.3">
      <c r="A86">
        <v>83</v>
      </c>
      <c r="B86" s="268">
        <v>4.96</v>
      </c>
      <c r="C86" s="269">
        <v>0.53</v>
      </c>
      <c r="D86" s="2"/>
      <c r="E86" s="2"/>
      <c r="F86" s="2"/>
      <c r="G86" s="2"/>
      <c r="H86" s="258">
        <v>0.1</v>
      </c>
      <c r="I86" s="259">
        <v>0.1</v>
      </c>
      <c r="J86" s="259">
        <v>0.1</v>
      </c>
      <c r="K86" s="259">
        <v>0.1</v>
      </c>
      <c r="L86" s="259">
        <v>0.1</v>
      </c>
      <c r="M86" s="259">
        <v>0.1</v>
      </c>
      <c r="N86" s="259">
        <v>0.1</v>
      </c>
      <c r="O86" s="259">
        <v>0.1</v>
      </c>
      <c r="P86" s="259">
        <v>0.1</v>
      </c>
      <c r="Q86" s="259">
        <v>0.1</v>
      </c>
      <c r="R86" s="259">
        <v>0.1</v>
      </c>
      <c r="S86" s="259">
        <v>0.1</v>
      </c>
      <c r="T86" s="259">
        <v>0.1</v>
      </c>
      <c r="U86" s="259">
        <v>0.1</v>
      </c>
      <c r="V86" s="259">
        <v>0.1</v>
      </c>
      <c r="W86" s="259">
        <v>0.1</v>
      </c>
      <c r="X86" s="259">
        <v>0.1</v>
      </c>
      <c r="Y86" s="259">
        <v>0.1</v>
      </c>
      <c r="Z86" s="259">
        <v>0.1</v>
      </c>
      <c r="AA86" s="259">
        <v>0.1</v>
      </c>
      <c r="AB86" s="259">
        <v>0.1</v>
      </c>
      <c r="AC86" s="259">
        <v>0.1</v>
      </c>
      <c r="AD86" s="259">
        <v>0.1</v>
      </c>
      <c r="AE86" s="259">
        <v>0.1</v>
      </c>
      <c r="AF86" s="259">
        <v>0.1</v>
      </c>
      <c r="AG86" s="259">
        <v>0.1</v>
      </c>
      <c r="AH86" s="259">
        <v>0.1</v>
      </c>
      <c r="AI86" s="259">
        <v>0.1</v>
      </c>
      <c r="AJ86" s="259">
        <v>0.1</v>
      </c>
      <c r="AK86" s="259">
        <v>0.1</v>
      </c>
      <c r="AL86" s="259">
        <v>0.1</v>
      </c>
      <c r="AM86" s="259">
        <v>0.1</v>
      </c>
      <c r="AN86" s="259">
        <v>0.1</v>
      </c>
      <c r="AO86" s="259">
        <v>0.1</v>
      </c>
      <c r="AP86" s="259">
        <v>0.1</v>
      </c>
      <c r="AQ86" s="259">
        <v>0.1</v>
      </c>
      <c r="AR86" s="259">
        <v>0.1</v>
      </c>
      <c r="AS86" s="259">
        <v>0.1</v>
      </c>
      <c r="AT86" s="259">
        <v>0.1</v>
      </c>
      <c r="AU86" s="259">
        <v>0.1</v>
      </c>
      <c r="AV86" s="259">
        <v>0.1</v>
      </c>
      <c r="AW86" s="259">
        <v>0.1</v>
      </c>
      <c r="AX86" s="259">
        <v>0.1</v>
      </c>
      <c r="AY86" s="259">
        <v>0.1</v>
      </c>
      <c r="AZ86" s="259">
        <v>0.1</v>
      </c>
      <c r="BA86" s="259">
        <v>0.1</v>
      </c>
      <c r="BB86" s="259">
        <v>0.1</v>
      </c>
      <c r="BC86" s="259">
        <v>0.1</v>
      </c>
      <c r="BD86" s="259">
        <v>0.1</v>
      </c>
      <c r="BE86" s="260">
        <v>0.1</v>
      </c>
      <c r="BF86" s="258">
        <v>0.1</v>
      </c>
      <c r="BG86" s="259">
        <v>0.1</v>
      </c>
      <c r="BH86" s="259">
        <v>0.1</v>
      </c>
      <c r="BI86" s="259">
        <v>0.1</v>
      </c>
      <c r="BJ86" s="259">
        <v>0.1</v>
      </c>
      <c r="BK86" s="260">
        <v>0.1</v>
      </c>
      <c r="BL86">
        <v>0.1</v>
      </c>
      <c r="BM86">
        <v>0.1</v>
      </c>
      <c r="BN86">
        <v>0.1</v>
      </c>
      <c r="BO86">
        <v>0.1</v>
      </c>
      <c r="BP86">
        <f>SUM(BL86:BO86)</f>
        <v>0.4</v>
      </c>
      <c r="BS86">
        <v>83</v>
      </c>
      <c r="BT86" s="271">
        <v>4.43</v>
      </c>
      <c r="BU86" s="270">
        <v>1.37</v>
      </c>
      <c r="BV86" s="2"/>
      <c r="BX86" s="2"/>
      <c r="BY86" s="258">
        <v>0.1</v>
      </c>
      <c r="BZ86" s="259">
        <v>0.1</v>
      </c>
      <c r="CA86" s="259">
        <v>0.1</v>
      </c>
      <c r="CB86" s="259">
        <v>0.1</v>
      </c>
      <c r="CC86" s="259">
        <v>0.1</v>
      </c>
      <c r="CD86" s="259">
        <v>0.1</v>
      </c>
      <c r="CE86" s="259">
        <v>0.1</v>
      </c>
      <c r="CF86" s="259">
        <v>0.1</v>
      </c>
      <c r="CG86" s="259">
        <v>0.1</v>
      </c>
      <c r="CH86" s="259">
        <v>0.1</v>
      </c>
      <c r="CI86" s="259">
        <v>0.1</v>
      </c>
      <c r="CJ86" s="259">
        <v>0.1</v>
      </c>
      <c r="CK86" s="259">
        <v>0.1</v>
      </c>
      <c r="CL86" s="259">
        <v>0.1</v>
      </c>
      <c r="CM86" s="259">
        <v>0.1</v>
      </c>
      <c r="CN86" s="259">
        <v>0.1</v>
      </c>
      <c r="CO86" s="259">
        <v>0.1</v>
      </c>
      <c r="CP86" s="259">
        <v>0.1</v>
      </c>
      <c r="CQ86" s="259">
        <v>0.1</v>
      </c>
      <c r="CR86" s="259">
        <v>0.1</v>
      </c>
      <c r="CS86" s="259">
        <v>0.1</v>
      </c>
      <c r="CT86" s="259">
        <v>0.1</v>
      </c>
      <c r="CU86" s="259">
        <v>0.1</v>
      </c>
      <c r="CV86" s="259">
        <v>0.1</v>
      </c>
      <c r="CW86" s="259">
        <v>0.1</v>
      </c>
      <c r="CX86" s="259">
        <v>0.1</v>
      </c>
      <c r="CY86" s="259">
        <v>0.1</v>
      </c>
      <c r="CZ86" s="259">
        <v>0.1</v>
      </c>
      <c r="DA86" s="259">
        <v>0.1</v>
      </c>
      <c r="DB86" s="259">
        <v>0.1</v>
      </c>
      <c r="DC86" s="259">
        <v>0.1</v>
      </c>
      <c r="DD86" s="259">
        <v>0.1</v>
      </c>
      <c r="DE86" s="259">
        <v>0.1</v>
      </c>
      <c r="DF86" s="259">
        <v>0.1</v>
      </c>
      <c r="DG86" s="259">
        <v>0.1</v>
      </c>
      <c r="DH86" s="259">
        <v>0.1</v>
      </c>
      <c r="DI86" s="259">
        <v>0.1</v>
      </c>
      <c r="DJ86" s="259">
        <v>0.1</v>
      </c>
      <c r="DK86" s="259">
        <v>0.1</v>
      </c>
      <c r="DL86" s="259">
        <v>0.1</v>
      </c>
      <c r="DM86" s="259">
        <v>0.1</v>
      </c>
      <c r="DN86" s="259">
        <v>0.1</v>
      </c>
      <c r="DO86" s="259">
        <v>0.1</v>
      </c>
      <c r="DP86" s="259">
        <v>0.1</v>
      </c>
      <c r="DQ86" s="260">
        <v>0.1</v>
      </c>
      <c r="DR86" s="258">
        <v>0.1</v>
      </c>
      <c r="DS86" s="259">
        <v>0.1</v>
      </c>
      <c r="DT86" s="259">
        <v>0.1</v>
      </c>
      <c r="DU86" s="259">
        <v>0.1</v>
      </c>
      <c r="DV86" s="259">
        <v>0.1</v>
      </c>
      <c r="DW86" s="259">
        <v>0.1</v>
      </c>
      <c r="DX86" s="259">
        <v>0.1</v>
      </c>
      <c r="DY86" s="259">
        <v>0.1</v>
      </c>
      <c r="DZ86" s="259">
        <v>0.1</v>
      </c>
      <c r="EA86" s="259">
        <v>0.1</v>
      </c>
      <c r="EB86" s="259">
        <v>0.1</v>
      </c>
      <c r="EC86" s="259">
        <v>0.1</v>
      </c>
      <c r="ED86" s="259">
        <v>0.1</v>
      </c>
      <c r="EE86" s="260">
        <v>0.1</v>
      </c>
      <c r="EF86">
        <v>0.1</v>
      </c>
      <c r="EG86">
        <f t="shared" si="3"/>
        <v>0.1</v>
      </c>
      <c r="EJ86">
        <v>83</v>
      </c>
      <c r="EN86">
        <v>0.1</v>
      </c>
      <c r="EO86">
        <v>0.1</v>
      </c>
      <c r="EP86">
        <v>0.1</v>
      </c>
      <c r="EQ86">
        <v>0.1</v>
      </c>
      <c r="ER86">
        <v>0.1</v>
      </c>
      <c r="ES86">
        <v>0.1</v>
      </c>
      <c r="ET86">
        <v>0.1</v>
      </c>
      <c r="EU86">
        <v>0.1</v>
      </c>
      <c r="EV86">
        <v>0.1</v>
      </c>
      <c r="EW86">
        <v>0.1</v>
      </c>
      <c r="EX86">
        <v>0.1</v>
      </c>
      <c r="EY86">
        <v>0.1</v>
      </c>
      <c r="EZ86">
        <v>0.1</v>
      </c>
      <c r="FA86">
        <v>0.1</v>
      </c>
      <c r="FB86">
        <v>0.1</v>
      </c>
      <c r="FC86">
        <v>0.1</v>
      </c>
      <c r="FD86">
        <v>0.1</v>
      </c>
      <c r="FE86">
        <v>0.1</v>
      </c>
      <c r="FF86">
        <v>0.1</v>
      </c>
      <c r="FG86">
        <v>0.1</v>
      </c>
      <c r="FH86">
        <v>0.1</v>
      </c>
      <c r="FI86">
        <v>0.1</v>
      </c>
      <c r="FJ86">
        <v>0.1</v>
      </c>
      <c r="FK86">
        <v>0.1</v>
      </c>
      <c r="FL86">
        <v>0.1</v>
      </c>
      <c r="FM86">
        <v>0.1</v>
      </c>
      <c r="FN86">
        <v>0.1</v>
      </c>
      <c r="FO86">
        <v>0.1</v>
      </c>
      <c r="FP86">
        <v>0.1</v>
      </c>
      <c r="FQ86">
        <v>0.1</v>
      </c>
      <c r="FU86">
        <v>83</v>
      </c>
      <c r="GB86">
        <v>0.1</v>
      </c>
      <c r="GC86">
        <v>0.1</v>
      </c>
      <c r="GD86">
        <v>0.1</v>
      </c>
      <c r="GE86">
        <v>0.1</v>
      </c>
      <c r="GF86">
        <v>0.1</v>
      </c>
      <c r="GG86">
        <v>0.1</v>
      </c>
      <c r="GH86">
        <v>0.1</v>
      </c>
      <c r="GI86">
        <v>0.1</v>
      </c>
      <c r="GJ86">
        <v>0.1</v>
      </c>
      <c r="GK86">
        <v>0.1</v>
      </c>
      <c r="GL86">
        <v>0.1</v>
      </c>
      <c r="GM86">
        <v>0.1</v>
      </c>
      <c r="GN86">
        <v>0.1</v>
      </c>
      <c r="GO86">
        <v>0.1</v>
      </c>
      <c r="GP86">
        <v>0.1</v>
      </c>
      <c r="GQ86">
        <v>0.1</v>
      </c>
      <c r="GR86">
        <v>0.1</v>
      </c>
      <c r="GS86">
        <v>0.1</v>
      </c>
      <c r="GT86">
        <v>0.1</v>
      </c>
      <c r="GU86">
        <v>0.1</v>
      </c>
      <c r="GV86">
        <v>0.1</v>
      </c>
      <c r="GW86">
        <v>0.1</v>
      </c>
      <c r="GX86">
        <v>0.1</v>
      </c>
      <c r="GY86">
        <v>0.1</v>
      </c>
      <c r="GZ86">
        <v>0.1</v>
      </c>
      <c r="HA86">
        <v>0.1</v>
      </c>
      <c r="HB86">
        <v>0.1</v>
      </c>
      <c r="HC86">
        <v>0.1</v>
      </c>
      <c r="HD86">
        <v>0.1</v>
      </c>
      <c r="HE86">
        <v>0.1</v>
      </c>
      <c r="HF86">
        <v>0.1</v>
      </c>
      <c r="HG86">
        <v>0.1</v>
      </c>
      <c r="HH86">
        <v>0.1</v>
      </c>
      <c r="HI86">
        <v>0.1</v>
      </c>
      <c r="HJ86">
        <v>0.1</v>
      </c>
      <c r="HK86">
        <v>0.1</v>
      </c>
      <c r="HL86">
        <v>0.1</v>
      </c>
      <c r="HM86">
        <v>0.1</v>
      </c>
      <c r="HN86">
        <v>0.1</v>
      </c>
      <c r="HO86">
        <v>0.1</v>
      </c>
    </row>
    <row r="87" spans="1:224" ht="15.75" thickBot="1" x14ac:dyDescent="0.3">
      <c r="A87">
        <v>84</v>
      </c>
      <c r="B87" s="269">
        <v>4.96</v>
      </c>
      <c r="C87" s="268">
        <v>0.62</v>
      </c>
      <c r="D87" s="2"/>
      <c r="E87" s="2"/>
      <c r="F87" s="2"/>
      <c r="G87" s="2"/>
      <c r="H87" s="258">
        <v>0.1</v>
      </c>
      <c r="I87" s="259">
        <v>0.1</v>
      </c>
      <c r="J87" s="259">
        <v>0.1</v>
      </c>
      <c r="K87" s="259">
        <v>0.1</v>
      </c>
      <c r="L87" s="259">
        <v>0.1</v>
      </c>
      <c r="M87" s="259">
        <v>0.1</v>
      </c>
      <c r="N87" s="259">
        <v>0.1</v>
      </c>
      <c r="O87" s="259">
        <v>0.1</v>
      </c>
      <c r="P87" s="259">
        <v>0.1</v>
      </c>
      <c r="Q87" s="259">
        <v>0.1</v>
      </c>
      <c r="R87" s="259">
        <v>0.1</v>
      </c>
      <c r="S87" s="259">
        <v>0.1</v>
      </c>
      <c r="T87" s="259">
        <v>0.1</v>
      </c>
      <c r="U87" s="259">
        <v>0.1</v>
      </c>
      <c r="V87" s="259">
        <v>0.1</v>
      </c>
      <c r="W87" s="259">
        <v>0.1</v>
      </c>
      <c r="X87" s="259">
        <v>0.1</v>
      </c>
      <c r="Y87" s="259">
        <v>0.1</v>
      </c>
      <c r="Z87" s="259">
        <v>0.1</v>
      </c>
      <c r="AA87" s="259">
        <v>0.1</v>
      </c>
      <c r="AB87" s="259">
        <v>0.1</v>
      </c>
      <c r="AC87" s="259">
        <v>0.1</v>
      </c>
      <c r="AD87" s="259">
        <v>0.1</v>
      </c>
      <c r="AE87" s="259">
        <v>0.1</v>
      </c>
      <c r="AF87" s="259">
        <v>0.1</v>
      </c>
      <c r="AG87" s="259">
        <v>0.1</v>
      </c>
      <c r="AH87" s="259">
        <v>0.1</v>
      </c>
      <c r="AI87" s="259">
        <v>0.1</v>
      </c>
      <c r="AJ87" s="259">
        <v>0.1</v>
      </c>
      <c r="AK87" s="259">
        <v>0.1</v>
      </c>
      <c r="AL87" s="259">
        <v>0.1</v>
      </c>
      <c r="AM87" s="259">
        <v>0.1</v>
      </c>
      <c r="AN87" s="259">
        <v>0.1</v>
      </c>
      <c r="AO87" s="259">
        <v>0.1</v>
      </c>
      <c r="AP87" s="259">
        <v>0.1</v>
      </c>
      <c r="AQ87" s="259">
        <v>0.1</v>
      </c>
      <c r="AR87" s="259">
        <v>0.1</v>
      </c>
      <c r="AS87" s="259">
        <v>0.1</v>
      </c>
      <c r="AT87" s="259">
        <v>0.1</v>
      </c>
      <c r="AU87" s="259">
        <v>0.1</v>
      </c>
      <c r="AV87" s="259">
        <v>0.1</v>
      </c>
      <c r="AW87" s="259">
        <v>0.1</v>
      </c>
      <c r="AX87" s="259">
        <v>0.1</v>
      </c>
      <c r="AY87" s="259">
        <v>0.1</v>
      </c>
      <c r="AZ87" s="259">
        <v>0.1</v>
      </c>
      <c r="BA87" s="259">
        <v>0.1</v>
      </c>
      <c r="BB87" s="259">
        <v>0.1</v>
      </c>
      <c r="BC87" s="259">
        <v>0.1</v>
      </c>
      <c r="BD87" s="259">
        <v>0.1</v>
      </c>
      <c r="BE87" s="260">
        <v>0.1</v>
      </c>
      <c r="BF87" s="258">
        <v>0.1</v>
      </c>
      <c r="BG87" s="259">
        <v>0.1</v>
      </c>
      <c r="BH87" s="259">
        <v>0.1</v>
      </c>
      <c r="BI87" s="259">
        <v>0.1</v>
      </c>
      <c r="BJ87" s="259">
        <v>0.1</v>
      </c>
      <c r="BK87" s="259">
        <v>0.1</v>
      </c>
      <c r="BL87" s="260">
        <v>0.1</v>
      </c>
      <c r="BM87">
        <v>0.1</v>
      </c>
      <c r="BN87">
        <v>0.1</v>
      </c>
      <c r="BO87">
        <v>0.1</v>
      </c>
      <c r="BP87">
        <f>SUM(BM87:BO87)</f>
        <v>0.30000000000000004</v>
      </c>
      <c r="BS87">
        <v>84</v>
      </c>
      <c r="BT87" s="270">
        <v>4.43</v>
      </c>
      <c r="BU87" s="271">
        <v>1.37</v>
      </c>
      <c r="BV87" s="2"/>
      <c r="BX87" s="2"/>
      <c r="BY87" s="258">
        <v>0.1</v>
      </c>
      <c r="BZ87" s="259">
        <v>0.1</v>
      </c>
      <c r="CA87" s="259">
        <v>0.1</v>
      </c>
      <c r="CB87" s="259">
        <v>0.1</v>
      </c>
      <c r="CC87" s="259">
        <v>0.1</v>
      </c>
      <c r="CD87" s="259">
        <v>0.1</v>
      </c>
      <c r="CE87" s="259">
        <v>0.1</v>
      </c>
      <c r="CF87" s="259">
        <v>0.1</v>
      </c>
      <c r="CG87" s="259">
        <v>0.1</v>
      </c>
      <c r="CH87" s="259">
        <v>0.1</v>
      </c>
      <c r="CI87" s="259">
        <v>0.1</v>
      </c>
      <c r="CJ87" s="259">
        <v>0.1</v>
      </c>
      <c r="CK87" s="259">
        <v>0.1</v>
      </c>
      <c r="CL87" s="259">
        <v>0.1</v>
      </c>
      <c r="CM87" s="259">
        <v>0.1</v>
      </c>
      <c r="CN87" s="259">
        <v>0.1</v>
      </c>
      <c r="CO87" s="259">
        <v>0.1</v>
      </c>
      <c r="CP87" s="259">
        <v>0.1</v>
      </c>
      <c r="CQ87" s="259">
        <v>0.1</v>
      </c>
      <c r="CR87" s="259">
        <v>0.1</v>
      </c>
      <c r="CS87" s="259">
        <v>0.1</v>
      </c>
      <c r="CT87" s="259">
        <v>0.1</v>
      </c>
      <c r="CU87" s="259">
        <v>0.1</v>
      </c>
      <c r="CV87" s="259">
        <v>0.1</v>
      </c>
      <c r="CW87" s="259">
        <v>0.1</v>
      </c>
      <c r="CX87" s="259">
        <v>0.1</v>
      </c>
      <c r="CY87" s="259">
        <v>0.1</v>
      </c>
      <c r="CZ87" s="259">
        <v>0.1</v>
      </c>
      <c r="DA87" s="259">
        <v>0.1</v>
      </c>
      <c r="DB87" s="259">
        <v>0.1</v>
      </c>
      <c r="DC87" s="259">
        <v>0.1</v>
      </c>
      <c r="DD87" s="259">
        <v>0.1</v>
      </c>
      <c r="DE87" s="259">
        <v>0.1</v>
      </c>
      <c r="DF87" s="259">
        <v>0.1</v>
      </c>
      <c r="DG87" s="259">
        <v>0.1</v>
      </c>
      <c r="DH87" s="259">
        <v>0.1</v>
      </c>
      <c r="DI87" s="259">
        <v>0.1</v>
      </c>
      <c r="DJ87" s="259">
        <v>0.1</v>
      </c>
      <c r="DK87" s="259">
        <v>0.1</v>
      </c>
      <c r="DL87" s="259">
        <v>0.1</v>
      </c>
      <c r="DM87" s="259">
        <v>0.1</v>
      </c>
      <c r="DN87" s="259">
        <v>0.1</v>
      </c>
      <c r="DO87" s="259">
        <v>0.1</v>
      </c>
      <c r="DP87" s="259">
        <v>0.1</v>
      </c>
      <c r="DQ87" s="260">
        <v>0.1</v>
      </c>
      <c r="DR87" s="258">
        <v>0.1</v>
      </c>
      <c r="DS87" s="259">
        <v>0.1</v>
      </c>
      <c r="DT87" s="259">
        <v>0.1</v>
      </c>
      <c r="DU87" s="259">
        <v>0.1</v>
      </c>
      <c r="DV87" s="259">
        <v>0.1</v>
      </c>
      <c r="DW87" s="259">
        <v>0.1</v>
      </c>
      <c r="DX87" s="259">
        <v>0.1</v>
      </c>
      <c r="DY87" s="259">
        <v>0.1</v>
      </c>
      <c r="DZ87" s="259">
        <v>0.1</v>
      </c>
      <c r="EA87" s="259">
        <v>0.1</v>
      </c>
      <c r="EB87" s="259">
        <v>0.1</v>
      </c>
      <c r="EC87" s="259">
        <v>0.1</v>
      </c>
      <c r="ED87" s="259">
        <v>0.1</v>
      </c>
      <c r="EE87" s="260">
        <v>0.1</v>
      </c>
      <c r="EF87">
        <v>0.1</v>
      </c>
      <c r="EG87">
        <f t="shared" si="3"/>
        <v>0.1</v>
      </c>
      <c r="EJ87">
        <v>84</v>
      </c>
      <c r="EN87">
        <v>0.1</v>
      </c>
      <c r="EO87">
        <v>0.1</v>
      </c>
      <c r="EP87">
        <v>0.1</v>
      </c>
      <c r="EQ87">
        <v>0.1</v>
      </c>
      <c r="ER87">
        <v>0.1</v>
      </c>
      <c r="ES87">
        <v>0.1</v>
      </c>
      <c r="ET87">
        <v>0.1</v>
      </c>
      <c r="EU87">
        <v>0.1</v>
      </c>
      <c r="EV87">
        <v>0.1</v>
      </c>
      <c r="EW87">
        <v>0.1</v>
      </c>
      <c r="EX87">
        <v>0.1</v>
      </c>
      <c r="EY87">
        <v>0.1</v>
      </c>
      <c r="EZ87">
        <v>0.1</v>
      </c>
      <c r="FA87">
        <v>0.1</v>
      </c>
      <c r="FB87">
        <v>0.1</v>
      </c>
      <c r="FC87">
        <v>0.1</v>
      </c>
      <c r="FD87">
        <v>0.1</v>
      </c>
      <c r="FE87">
        <v>0.1</v>
      </c>
      <c r="FF87">
        <v>0.1</v>
      </c>
      <c r="FG87">
        <v>0.1</v>
      </c>
      <c r="FH87">
        <v>0.1</v>
      </c>
      <c r="FI87">
        <v>0.1</v>
      </c>
      <c r="FJ87">
        <v>0.1</v>
      </c>
      <c r="FK87">
        <v>0.1</v>
      </c>
      <c r="FL87">
        <v>0.1</v>
      </c>
      <c r="FM87">
        <v>0.1</v>
      </c>
      <c r="FN87">
        <v>0.1</v>
      </c>
      <c r="FO87">
        <v>0.1</v>
      </c>
      <c r="FP87">
        <v>0.1</v>
      </c>
      <c r="FQ87">
        <v>0.1</v>
      </c>
      <c r="FU87">
        <v>84</v>
      </c>
      <c r="GB87">
        <v>0.1</v>
      </c>
      <c r="GC87">
        <v>0.1</v>
      </c>
      <c r="GD87">
        <v>0.1</v>
      </c>
      <c r="GE87">
        <v>0.1</v>
      </c>
      <c r="GF87">
        <v>0.1</v>
      </c>
      <c r="GG87">
        <v>0.1</v>
      </c>
      <c r="GH87">
        <v>0.1</v>
      </c>
      <c r="GI87">
        <v>0.1</v>
      </c>
      <c r="GJ87">
        <v>0.1</v>
      </c>
      <c r="GK87">
        <v>0.1</v>
      </c>
      <c r="GL87">
        <v>0.1</v>
      </c>
      <c r="GM87">
        <v>0.1</v>
      </c>
      <c r="GN87">
        <v>0.1</v>
      </c>
      <c r="GO87">
        <v>0.1</v>
      </c>
      <c r="GP87">
        <v>0.1</v>
      </c>
      <c r="GQ87">
        <v>0.1</v>
      </c>
      <c r="GR87">
        <v>0.1</v>
      </c>
      <c r="GS87">
        <v>0.1</v>
      </c>
      <c r="GT87">
        <v>0.1</v>
      </c>
      <c r="GU87">
        <v>0.1</v>
      </c>
      <c r="GV87">
        <v>0.1</v>
      </c>
      <c r="GW87">
        <v>0.1</v>
      </c>
      <c r="GX87">
        <v>0.1</v>
      </c>
      <c r="GY87">
        <v>0.1</v>
      </c>
      <c r="GZ87">
        <v>0.1</v>
      </c>
      <c r="HA87">
        <v>0.1</v>
      </c>
      <c r="HB87">
        <v>0.1</v>
      </c>
      <c r="HC87">
        <v>0.1</v>
      </c>
      <c r="HD87">
        <v>0.1</v>
      </c>
      <c r="HE87">
        <v>0.1</v>
      </c>
      <c r="HF87">
        <v>0.1</v>
      </c>
      <c r="HG87">
        <v>0.1</v>
      </c>
      <c r="HH87">
        <v>0.1</v>
      </c>
      <c r="HI87">
        <v>0.1</v>
      </c>
      <c r="HJ87">
        <v>0.1</v>
      </c>
      <c r="HK87">
        <v>0.1</v>
      </c>
      <c r="HL87">
        <v>0.1</v>
      </c>
      <c r="HM87">
        <v>0.1</v>
      </c>
      <c r="HN87">
        <v>0.1</v>
      </c>
      <c r="HO87">
        <v>0.1</v>
      </c>
    </row>
    <row r="88" spans="1:224" ht="15.75" thickBot="1" x14ac:dyDescent="0.3">
      <c r="A88">
        <v>85</v>
      </c>
      <c r="B88" s="268">
        <v>4.96</v>
      </c>
      <c r="C88" s="269">
        <v>0.67</v>
      </c>
      <c r="D88" s="2"/>
      <c r="E88" s="2"/>
      <c r="F88" s="2"/>
      <c r="G88" s="2"/>
      <c r="H88" s="258">
        <v>0.1</v>
      </c>
      <c r="I88" s="259">
        <v>0.1</v>
      </c>
      <c r="J88" s="259">
        <v>0.1</v>
      </c>
      <c r="K88" s="259">
        <v>0.1</v>
      </c>
      <c r="L88" s="259">
        <v>0.1</v>
      </c>
      <c r="M88" s="259">
        <v>0.1</v>
      </c>
      <c r="N88" s="259">
        <v>0.1</v>
      </c>
      <c r="O88" s="259">
        <v>0.1</v>
      </c>
      <c r="P88" s="259">
        <v>0.1</v>
      </c>
      <c r="Q88" s="259">
        <v>0.1</v>
      </c>
      <c r="R88" s="259">
        <v>0.1</v>
      </c>
      <c r="S88" s="259">
        <v>0.1</v>
      </c>
      <c r="T88" s="259">
        <v>0.1</v>
      </c>
      <c r="U88" s="259">
        <v>0.1</v>
      </c>
      <c r="V88" s="259">
        <v>0.1</v>
      </c>
      <c r="W88" s="259">
        <v>0.1</v>
      </c>
      <c r="X88" s="259">
        <v>0.1</v>
      </c>
      <c r="Y88" s="259">
        <v>0.1</v>
      </c>
      <c r="Z88" s="259">
        <v>0.1</v>
      </c>
      <c r="AA88" s="259">
        <v>0.1</v>
      </c>
      <c r="AB88" s="259">
        <v>0.1</v>
      </c>
      <c r="AC88" s="259">
        <v>0.1</v>
      </c>
      <c r="AD88" s="259">
        <v>0.1</v>
      </c>
      <c r="AE88" s="259">
        <v>0.1</v>
      </c>
      <c r="AF88" s="259">
        <v>0.1</v>
      </c>
      <c r="AG88" s="259">
        <v>0.1</v>
      </c>
      <c r="AH88" s="259">
        <v>0.1</v>
      </c>
      <c r="AI88" s="259">
        <v>0.1</v>
      </c>
      <c r="AJ88" s="259">
        <v>0.1</v>
      </c>
      <c r="AK88" s="259">
        <v>0.1</v>
      </c>
      <c r="AL88" s="259">
        <v>0.1</v>
      </c>
      <c r="AM88" s="259">
        <v>0.1</v>
      </c>
      <c r="AN88" s="259">
        <v>0.1</v>
      </c>
      <c r="AO88" s="259">
        <v>0.1</v>
      </c>
      <c r="AP88" s="259">
        <v>0.1</v>
      </c>
      <c r="AQ88" s="259">
        <v>0.1</v>
      </c>
      <c r="AR88" s="259">
        <v>0.1</v>
      </c>
      <c r="AS88" s="259">
        <v>0.1</v>
      </c>
      <c r="AT88" s="259">
        <v>0.1</v>
      </c>
      <c r="AU88" s="259">
        <v>0.1</v>
      </c>
      <c r="AV88" s="259">
        <v>0.1</v>
      </c>
      <c r="AW88" s="259">
        <v>0.1</v>
      </c>
      <c r="AX88" s="259">
        <v>0.1</v>
      </c>
      <c r="AY88" s="259">
        <v>0.1</v>
      </c>
      <c r="AZ88" s="259">
        <v>0.1</v>
      </c>
      <c r="BA88" s="259">
        <v>0.1</v>
      </c>
      <c r="BB88" s="259">
        <v>0.1</v>
      </c>
      <c r="BC88" s="259">
        <v>0.1</v>
      </c>
      <c r="BD88" s="259">
        <v>0.1</v>
      </c>
      <c r="BE88" s="260">
        <v>0.1</v>
      </c>
      <c r="BF88" s="258">
        <v>0.1</v>
      </c>
      <c r="BG88" s="259">
        <v>0.1</v>
      </c>
      <c r="BH88" s="259">
        <v>0.1</v>
      </c>
      <c r="BI88" s="259">
        <v>0.1</v>
      </c>
      <c r="BJ88" s="259">
        <v>0.1</v>
      </c>
      <c r="BK88" s="259">
        <v>0.1</v>
      </c>
      <c r="BL88" s="260">
        <v>0.1</v>
      </c>
      <c r="BM88">
        <v>0.1</v>
      </c>
      <c r="BN88">
        <v>0.1</v>
      </c>
      <c r="BO88">
        <v>0.1</v>
      </c>
      <c r="BP88">
        <f>SUM(BM88:BO88)</f>
        <v>0.30000000000000004</v>
      </c>
      <c r="BS88">
        <v>85</v>
      </c>
      <c r="BT88" s="271">
        <v>4.43</v>
      </c>
      <c r="BU88" s="270">
        <v>1.37</v>
      </c>
      <c r="BV88" s="2"/>
      <c r="BX88" s="2"/>
      <c r="BY88" s="258">
        <v>0.1</v>
      </c>
      <c r="BZ88" s="259">
        <v>0.1</v>
      </c>
      <c r="CA88" s="259">
        <v>0.1</v>
      </c>
      <c r="CB88" s="259">
        <v>0.1</v>
      </c>
      <c r="CC88" s="259">
        <v>0.1</v>
      </c>
      <c r="CD88" s="259">
        <v>0.1</v>
      </c>
      <c r="CE88" s="259">
        <v>0.1</v>
      </c>
      <c r="CF88" s="259">
        <v>0.1</v>
      </c>
      <c r="CG88" s="259">
        <v>0.1</v>
      </c>
      <c r="CH88" s="259">
        <v>0.1</v>
      </c>
      <c r="CI88" s="259">
        <v>0.1</v>
      </c>
      <c r="CJ88" s="259">
        <v>0.1</v>
      </c>
      <c r="CK88" s="259">
        <v>0.1</v>
      </c>
      <c r="CL88" s="259">
        <v>0.1</v>
      </c>
      <c r="CM88" s="259">
        <v>0.1</v>
      </c>
      <c r="CN88" s="259">
        <v>0.1</v>
      </c>
      <c r="CO88" s="259">
        <v>0.1</v>
      </c>
      <c r="CP88" s="259">
        <v>0.1</v>
      </c>
      <c r="CQ88" s="259">
        <v>0.1</v>
      </c>
      <c r="CR88" s="259">
        <v>0.1</v>
      </c>
      <c r="CS88" s="259">
        <v>0.1</v>
      </c>
      <c r="CT88" s="259">
        <v>0.1</v>
      </c>
      <c r="CU88" s="259">
        <v>0.1</v>
      </c>
      <c r="CV88" s="259">
        <v>0.1</v>
      </c>
      <c r="CW88" s="259">
        <v>0.1</v>
      </c>
      <c r="CX88" s="259">
        <v>0.1</v>
      </c>
      <c r="CY88" s="259">
        <v>0.1</v>
      </c>
      <c r="CZ88" s="259">
        <v>0.1</v>
      </c>
      <c r="DA88" s="259">
        <v>0.1</v>
      </c>
      <c r="DB88" s="259">
        <v>0.1</v>
      </c>
      <c r="DC88" s="259">
        <v>0.1</v>
      </c>
      <c r="DD88" s="259">
        <v>0.1</v>
      </c>
      <c r="DE88" s="259">
        <v>0.1</v>
      </c>
      <c r="DF88" s="259">
        <v>0.1</v>
      </c>
      <c r="DG88" s="259">
        <v>0.1</v>
      </c>
      <c r="DH88" s="259">
        <v>0.1</v>
      </c>
      <c r="DI88" s="259">
        <v>0.1</v>
      </c>
      <c r="DJ88" s="259">
        <v>0.1</v>
      </c>
      <c r="DK88" s="259">
        <v>0.1</v>
      </c>
      <c r="DL88" s="259">
        <v>0.1</v>
      </c>
      <c r="DM88" s="259">
        <v>0.1</v>
      </c>
      <c r="DN88" s="259">
        <v>0.1</v>
      </c>
      <c r="DO88" s="259">
        <v>0.1</v>
      </c>
      <c r="DP88" s="259">
        <v>0.1</v>
      </c>
      <c r="DQ88" s="260">
        <v>0.1</v>
      </c>
      <c r="DR88" s="258">
        <v>0.1</v>
      </c>
      <c r="DS88" s="259">
        <v>0.1</v>
      </c>
      <c r="DT88" s="259">
        <v>0.1</v>
      </c>
      <c r="DU88" s="259">
        <v>0.1</v>
      </c>
      <c r="DV88" s="259">
        <v>0.1</v>
      </c>
      <c r="DW88" s="259">
        <v>0.1</v>
      </c>
      <c r="DX88" s="259">
        <v>0.1</v>
      </c>
      <c r="DY88" s="259">
        <v>0.1</v>
      </c>
      <c r="DZ88" s="259">
        <v>0.1</v>
      </c>
      <c r="EA88" s="259">
        <v>0.1</v>
      </c>
      <c r="EB88" s="259">
        <v>0.1</v>
      </c>
      <c r="EC88" s="259">
        <v>0.1</v>
      </c>
      <c r="ED88" s="259">
        <v>0.1</v>
      </c>
      <c r="EE88" s="260">
        <v>0.1</v>
      </c>
      <c r="EF88">
        <v>0.1</v>
      </c>
      <c r="EG88">
        <f t="shared" si="3"/>
        <v>0.1</v>
      </c>
      <c r="EJ88">
        <v>85</v>
      </c>
      <c r="EN88">
        <v>0.1</v>
      </c>
      <c r="EO88">
        <v>0.1</v>
      </c>
      <c r="EP88">
        <v>0.1</v>
      </c>
      <c r="EQ88">
        <v>0.1</v>
      </c>
      <c r="ER88">
        <v>0.1</v>
      </c>
      <c r="ES88">
        <v>0.1</v>
      </c>
      <c r="ET88">
        <v>0.1</v>
      </c>
      <c r="EU88">
        <v>0.1</v>
      </c>
      <c r="EV88">
        <v>0.1</v>
      </c>
      <c r="EW88">
        <v>0.1</v>
      </c>
      <c r="EX88">
        <v>0.1</v>
      </c>
      <c r="EY88">
        <v>0.1</v>
      </c>
      <c r="EZ88">
        <v>0.1</v>
      </c>
      <c r="FA88">
        <v>0.1</v>
      </c>
      <c r="FB88">
        <v>0.1</v>
      </c>
      <c r="FC88">
        <v>0.1</v>
      </c>
      <c r="FD88">
        <v>0.1</v>
      </c>
      <c r="FE88">
        <v>0.1</v>
      </c>
      <c r="FF88">
        <v>0.1</v>
      </c>
      <c r="FG88">
        <v>0.1</v>
      </c>
      <c r="FH88">
        <v>0.1</v>
      </c>
      <c r="FI88">
        <v>0.1</v>
      </c>
      <c r="FJ88">
        <v>0.1</v>
      </c>
      <c r="FK88">
        <v>0.1</v>
      </c>
      <c r="FL88">
        <v>0.1</v>
      </c>
      <c r="FM88">
        <v>0.1</v>
      </c>
      <c r="FN88">
        <v>0.1</v>
      </c>
      <c r="FO88">
        <v>0.1</v>
      </c>
      <c r="FP88">
        <v>0.1</v>
      </c>
      <c r="FQ88">
        <v>0.1</v>
      </c>
      <c r="FU88">
        <v>85</v>
      </c>
      <c r="GB88">
        <v>0.1</v>
      </c>
      <c r="GC88">
        <v>0.1</v>
      </c>
      <c r="GD88">
        <v>0.1</v>
      </c>
      <c r="GE88">
        <v>0.1</v>
      </c>
      <c r="GF88">
        <v>0.1</v>
      </c>
      <c r="GG88">
        <v>0.1</v>
      </c>
      <c r="GH88">
        <v>0.1</v>
      </c>
      <c r="GI88">
        <v>0.1</v>
      </c>
      <c r="GJ88">
        <v>0.1</v>
      </c>
      <c r="GK88">
        <v>0.1</v>
      </c>
      <c r="GL88">
        <v>0.1</v>
      </c>
      <c r="GM88">
        <v>0.1</v>
      </c>
      <c r="GN88">
        <v>0.1</v>
      </c>
      <c r="GO88">
        <v>0.1</v>
      </c>
      <c r="GP88">
        <v>0.1</v>
      </c>
      <c r="GQ88">
        <v>0.1</v>
      </c>
      <c r="GR88">
        <v>0.1</v>
      </c>
      <c r="GS88">
        <v>0.1</v>
      </c>
      <c r="GT88">
        <v>0.1</v>
      </c>
      <c r="GU88">
        <v>0.1</v>
      </c>
      <c r="GV88">
        <v>0.1</v>
      </c>
      <c r="GW88">
        <v>0.1</v>
      </c>
      <c r="GX88">
        <v>0.1</v>
      </c>
      <c r="GY88">
        <v>0.1</v>
      </c>
      <c r="GZ88">
        <v>0.1</v>
      </c>
      <c r="HA88">
        <v>0.1</v>
      </c>
      <c r="HB88">
        <v>0.1</v>
      </c>
      <c r="HC88">
        <v>0.1</v>
      </c>
      <c r="HD88">
        <v>0.1</v>
      </c>
      <c r="HE88">
        <v>0.1</v>
      </c>
      <c r="HF88">
        <v>0.1</v>
      </c>
      <c r="HG88">
        <v>0.1</v>
      </c>
      <c r="HH88">
        <v>0.1</v>
      </c>
      <c r="HI88">
        <v>0.1</v>
      </c>
      <c r="HJ88">
        <v>0.1</v>
      </c>
      <c r="HK88">
        <v>0.1</v>
      </c>
      <c r="HL88">
        <v>0.1</v>
      </c>
      <c r="HM88">
        <v>0.1</v>
      </c>
      <c r="HN88">
        <v>0.1</v>
      </c>
      <c r="HO88">
        <v>0.1</v>
      </c>
    </row>
    <row r="89" spans="1:224" ht="15.75" thickBot="1" x14ac:dyDescent="0.3">
      <c r="A89">
        <v>86</v>
      </c>
      <c r="B89" s="269">
        <v>3.72</v>
      </c>
      <c r="C89" s="269">
        <v>1.68</v>
      </c>
      <c r="D89" s="2"/>
      <c r="E89" s="2"/>
      <c r="F89" s="2"/>
      <c r="G89" s="2"/>
      <c r="H89" s="258">
        <v>0.1</v>
      </c>
      <c r="I89" s="259">
        <v>0.1</v>
      </c>
      <c r="J89" s="259">
        <v>0.1</v>
      </c>
      <c r="K89" s="259">
        <v>0.1</v>
      </c>
      <c r="L89" s="259">
        <v>0.1</v>
      </c>
      <c r="M89" s="259">
        <v>0.1</v>
      </c>
      <c r="N89" s="259">
        <v>0.1</v>
      </c>
      <c r="O89" s="259">
        <v>0.1</v>
      </c>
      <c r="P89" s="259">
        <v>0.1</v>
      </c>
      <c r="Q89" s="259">
        <v>0.1</v>
      </c>
      <c r="R89" s="259">
        <v>0.1</v>
      </c>
      <c r="S89" s="259">
        <v>0.1</v>
      </c>
      <c r="T89" s="259">
        <v>0.1</v>
      </c>
      <c r="U89" s="259">
        <v>0.1</v>
      </c>
      <c r="V89" s="259">
        <v>0.1</v>
      </c>
      <c r="W89" s="259">
        <v>0.1</v>
      </c>
      <c r="X89" s="259">
        <v>0.1</v>
      </c>
      <c r="Y89" s="259">
        <v>0.1</v>
      </c>
      <c r="Z89" s="259">
        <v>0.1</v>
      </c>
      <c r="AA89" s="259">
        <v>0.1</v>
      </c>
      <c r="AB89" s="259">
        <v>0.1</v>
      </c>
      <c r="AC89" s="259">
        <v>0.1</v>
      </c>
      <c r="AD89" s="259">
        <v>0.1</v>
      </c>
      <c r="AE89" s="259">
        <v>0.1</v>
      </c>
      <c r="AF89" s="259">
        <v>0.1</v>
      </c>
      <c r="AG89" s="259">
        <v>0.1</v>
      </c>
      <c r="AH89" s="259">
        <v>0.1</v>
      </c>
      <c r="AI89" s="259">
        <v>0.1</v>
      </c>
      <c r="AJ89" s="259">
        <v>0.1</v>
      </c>
      <c r="AK89" s="259">
        <v>0.1</v>
      </c>
      <c r="AL89" s="259">
        <v>0.1</v>
      </c>
      <c r="AM89" s="259">
        <v>0.1</v>
      </c>
      <c r="AN89" s="259">
        <v>0.1</v>
      </c>
      <c r="AO89" s="259">
        <v>0.1</v>
      </c>
      <c r="AP89" s="259">
        <v>0.1</v>
      </c>
      <c r="AQ89" s="259">
        <v>0.1</v>
      </c>
      <c r="AR89" s="259">
        <v>0.1</v>
      </c>
      <c r="AS89" s="260">
        <v>0.1</v>
      </c>
      <c r="AT89" s="258">
        <v>0.1</v>
      </c>
      <c r="AU89" s="259">
        <v>0.1</v>
      </c>
      <c r="AV89" s="259">
        <v>0.1</v>
      </c>
      <c r="AW89" s="259">
        <v>0.1</v>
      </c>
      <c r="AX89" s="259">
        <v>0.1</v>
      </c>
      <c r="AY89" s="259">
        <v>0.1</v>
      </c>
      <c r="AZ89" s="259">
        <v>0.1</v>
      </c>
      <c r="BA89" s="259">
        <v>0.1</v>
      </c>
      <c r="BB89" s="259">
        <v>0.1</v>
      </c>
      <c r="BC89" s="259">
        <v>0.1</v>
      </c>
      <c r="BD89" s="259">
        <v>0.1</v>
      </c>
      <c r="BE89" s="259">
        <v>0.1</v>
      </c>
      <c r="BF89" s="264">
        <v>0.1</v>
      </c>
      <c r="BG89" s="264">
        <v>0.1</v>
      </c>
      <c r="BH89" s="264">
        <v>0.1</v>
      </c>
      <c r="BI89" s="264">
        <v>0.1</v>
      </c>
      <c r="BJ89" s="265">
        <v>0.1</v>
      </c>
      <c r="BK89">
        <v>0.1</v>
      </c>
      <c r="BL89">
        <v>0.1</v>
      </c>
      <c r="BM89">
        <v>0.1</v>
      </c>
      <c r="BN89">
        <v>0.1</v>
      </c>
      <c r="BO89">
        <v>0.1</v>
      </c>
      <c r="BP89">
        <f t="shared" ref="BP89:BP103" si="4">SUM(BK89:BO89)</f>
        <v>0.5</v>
      </c>
      <c r="BS89">
        <v>86</v>
      </c>
      <c r="BT89" s="270">
        <v>4.4000000000000004</v>
      </c>
      <c r="BU89" s="271">
        <v>1.37</v>
      </c>
      <c r="BV89" s="2"/>
      <c r="BX89" s="2"/>
      <c r="BY89" s="258">
        <v>0.1</v>
      </c>
      <c r="BZ89" s="259">
        <v>0.1</v>
      </c>
      <c r="CA89" s="259">
        <v>0.1</v>
      </c>
      <c r="CB89" s="259">
        <v>0.1</v>
      </c>
      <c r="CC89" s="259">
        <v>0.1</v>
      </c>
      <c r="CD89" s="259">
        <v>0.1</v>
      </c>
      <c r="CE89" s="259">
        <v>0.1</v>
      </c>
      <c r="CF89" s="259">
        <v>0.1</v>
      </c>
      <c r="CG89" s="259">
        <v>0.1</v>
      </c>
      <c r="CH89" s="259">
        <v>0.1</v>
      </c>
      <c r="CI89" s="259">
        <v>0.1</v>
      </c>
      <c r="CJ89" s="259">
        <v>0.1</v>
      </c>
      <c r="CK89" s="259">
        <v>0.1</v>
      </c>
      <c r="CL89" s="259">
        <v>0.1</v>
      </c>
      <c r="CM89" s="259">
        <v>0.1</v>
      </c>
      <c r="CN89" s="259">
        <v>0.1</v>
      </c>
      <c r="CO89" s="259">
        <v>0.1</v>
      </c>
      <c r="CP89" s="259">
        <v>0.1</v>
      </c>
      <c r="CQ89" s="259">
        <v>0.1</v>
      </c>
      <c r="CR89" s="259">
        <v>0.1</v>
      </c>
      <c r="CS89" s="259">
        <v>0.1</v>
      </c>
      <c r="CT89" s="259">
        <v>0.1</v>
      </c>
      <c r="CU89" s="259">
        <v>0.1</v>
      </c>
      <c r="CV89" s="259">
        <v>0.1</v>
      </c>
      <c r="CW89" s="259">
        <v>0.1</v>
      </c>
      <c r="CX89" s="259">
        <v>0.1</v>
      </c>
      <c r="CY89" s="259">
        <v>0.1</v>
      </c>
      <c r="CZ89" s="259">
        <v>0.1</v>
      </c>
      <c r="DA89" s="259">
        <v>0.1</v>
      </c>
      <c r="DB89" s="259">
        <v>0.1</v>
      </c>
      <c r="DC89" s="259">
        <v>0.1</v>
      </c>
      <c r="DD89" s="259">
        <v>0.1</v>
      </c>
      <c r="DE89" s="259">
        <v>0.1</v>
      </c>
      <c r="DF89" s="259">
        <v>0.1</v>
      </c>
      <c r="DG89" s="259">
        <v>0.1</v>
      </c>
      <c r="DH89" s="259">
        <v>0.1</v>
      </c>
      <c r="DI89" s="259">
        <v>0.1</v>
      </c>
      <c r="DJ89" s="259">
        <v>0.1</v>
      </c>
      <c r="DK89" s="259">
        <v>0.1</v>
      </c>
      <c r="DL89" s="259">
        <v>0.1</v>
      </c>
      <c r="DM89" s="259">
        <v>0.1</v>
      </c>
      <c r="DN89" s="259">
        <v>0.1</v>
      </c>
      <c r="DO89" s="259">
        <v>0.1</v>
      </c>
      <c r="DP89" s="260">
        <v>0.1</v>
      </c>
      <c r="DQ89" s="258">
        <v>0.1</v>
      </c>
      <c r="DR89" s="259">
        <v>0.1</v>
      </c>
      <c r="DS89" s="259">
        <v>0.1</v>
      </c>
      <c r="DT89" s="259">
        <v>0.1</v>
      </c>
      <c r="DU89" s="259">
        <v>0.1</v>
      </c>
      <c r="DV89" s="259">
        <v>0.1</v>
      </c>
      <c r="DW89" s="259">
        <v>0.1</v>
      </c>
      <c r="DX89" s="259">
        <v>0.1</v>
      </c>
      <c r="DY89" s="259">
        <v>0.1</v>
      </c>
      <c r="DZ89" s="259">
        <v>0.1</v>
      </c>
      <c r="EA89" s="259">
        <v>0.1</v>
      </c>
      <c r="EB89" s="259">
        <v>0.1</v>
      </c>
      <c r="EC89" s="259">
        <v>0.1</v>
      </c>
      <c r="ED89" s="260">
        <v>0.1</v>
      </c>
      <c r="EE89">
        <v>0.1</v>
      </c>
      <c r="EF89">
        <v>0.1</v>
      </c>
      <c r="EG89">
        <f>SUM(EE89:EF89)</f>
        <v>0.2</v>
      </c>
      <c r="EJ89">
        <v>86</v>
      </c>
      <c r="EN89">
        <v>0.1</v>
      </c>
      <c r="EO89">
        <v>0.1</v>
      </c>
      <c r="EP89">
        <v>0.1</v>
      </c>
      <c r="EQ89">
        <v>0.1</v>
      </c>
      <c r="ER89">
        <v>0.1</v>
      </c>
      <c r="ES89">
        <v>0.1</v>
      </c>
      <c r="ET89">
        <v>0.1</v>
      </c>
      <c r="EU89">
        <v>0.1</v>
      </c>
      <c r="EV89">
        <v>0.1</v>
      </c>
      <c r="EW89">
        <v>0.1</v>
      </c>
      <c r="EX89">
        <v>0.1</v>
      </c>
      <c r="EY89">
        <v>0.1</v>
      </c>
      <c r="EZ89">
        <v>0.1</v>
      </c>
      <c r="FA89">
        <v>0.1</v>
      </c>
      <c r="FB89">
        <v>0.1</v>
      </c>
      <c r="FC89">
        <v>0.1</v>
      </c>
      <c r="FD89">
        <v>0.1</v>
      </c>
      <c r="FE89">
        <v>0.1</v>
      </c>
      <c r="FF89">
        <v>0.1</v>
      </c>
      <c r="FG89">
        <v>0.1</v>
      </c>
      <c r="FH89">
        <v>0.1</v>
      </c>
      <c r="FI89">
        <v>0.1</v>
      </c>
      <c r="FJ89">
        <v>0.1</v>
      </c>
      <c r="FK89">
        <v>0.1</v>
      </c>
      <c r="FL89">
        <v>0.1</v>
      </c>
      <c r="FM89">
        <v>0.1</v>
      </c>
      <c r="FN89">
        <v>0.1</v>
      </c>
      <c r="FO89">
        <v>0.1</v>
      </c>
      <c r="FP89">
        <v>0.1</v>
      </c>
      <c r="FQ89">
        <v>0.1</v>
      </c>
      <c r="FU89">
        <v>86</v>
      </c>
      <c r="GB89">
        <v>0.1</v>
      </c>
      <c r="GC89">
        <v>0.1</v>
      </c>
      <c r="GD89">
        <v>0.1</v>
      </c>
      <c r="GE89">
        <v>0.1</v>
      </c>
      <c r="GF89">
        <v>0.1</v>
      </c>
      <c r="GG89">
        <v>0.1</v>
      </c>
      <c r="GH89">
        <v>0.1</v>
      </c>
      <c r="GI89">
        <v>0.1</v>
      </c>
      <c r="GJ89">
        <v>0.1</v>
      </c>
      <c r="GK89">
        <v>0.1</v>
      </c>
      <c r="GL89">
        <v>0.1</v>
      </c>
      <c r="GM89">
        <v>0.1</v>
      </c>
      <c r="GN89">
        <v>0.1</v>
      </c>
      <c r="GO89">
        <v>0.1</v>
      </c>
      <c r="GP89">
        <v>0.1</v>
      </c>
      <c r="GQ89">
        <v>0.1</v>
      </c>
      <c r="GR89">
        <v>0.1</v>
      </c>
      <c r="GS89">
        <v>0.1</v>
      </c>
      <c r="GT89">
        <v>0.1</v>
      </c>
      <c r="GU89">
        <v>0.1</v>
      </c>
      <c r="GV89">
        <v>0.1</v>
      </c>
      <c r="GW89">
        <v>0.1</v>
      </c>
      <c r="GX89">
        <v>0.1</v>
      </c>
      <c r="GY89">
        <v>0.1</v>
      </c>
      <c r="GZ89">
        <v>0.1</v>
      </c>
      <c r="HA89">
        <v>0.1</v>
      </c>
      <c r="HB89">
        <v>0.1</v>
      </c>
      <c r="HC89">
        <v>0.1</v>
      </c>
      <c r="HD89">
        <v>0.1</v>
      </c>
      <c r="HE89">
        <v>0.1</v>
      </c>
      <c r="HF89">
        <v>0.1</v>
      </c>
      <c r="HG89">
        <v>0.1</v>
      </c>
      <c r="HH89">
        <v>0.1</v>
      </c>
      <c r="HI89">
        <v>0.1</v>
      </c>
      <c r="HJ89">
        <v>0.1</v>
      </c>
      <c r="HK89">
        <v>0.1</v>
      </c>
      <c r="HL89">
        <v>0.1</v>
      </c>
      <c r="HM89">
        <v>0.1</v>
      </c>
      <c r="HN89">
        <v>0.1</v>
      </c>
      <c r="HO89">
        <v>0.1</v>
      </c>
    </row>
    <row r="90" spans="1:224" ht="15.75" thickBot="1" x14ac:dyDescent="0.3">
      <c r="A90">
        <v>87</v>
      </c>
      <c r="B90" s="268">
        <v>3.72</v>
      </c>
      <c r="C90" s="268">
        <v>1.67</v>
      </c>
      <c r="D90" s="2"/>
      <c r="E90" s="2"/>
      <c r="F90" s="2"/>
      <c r="G90" s="2"/>
      <c r="H90" s="258">
        <v>0.1</v>
      </c>
      <c r="I90" s="259">
        <v>0.1</v>
      </c>
      <c r="J90" s="259">
        <v>0.1</v>
      </c>
      <c r="K90" s="259">
        <v>0.1</v>
      </c>
      <c r="L90" s="259">
        <v>0.1</v>
      </c>
      <c r="M90" s="259">
        <v>0.1</v>
      </c>
      <c r="N90" s="259">
        <v>0.1</v>
      </c>
      <c r="O90" s="259">
        <v>0.1</v>
      </c>
      <c r="P90" s="259">
        <v>0.1</v>
      </c>
      <c r="Q90" s="259">
        <v>0.1</v>
      </c>
      <c r="R90" s="259">
        <v>0.1</v>
      </c>
      <c r="S90" s="259">
        <v>0.1</v>
      </c>
      <c r="T90" s="259">
        <v>0.1</v>
      </c>
      <c r="U90" s="259">
        <v>0.1</v>
      </c>
      <c r="V90" s="259">
        <v>0.1</v>
      </c>
      <c r="W90" s="259">
        <v>0.1</v>
      </c>
      <c r="X90" s="259">
        <v>0.1</v>
      </c>
      <c r="Y90" s="259">
        <v>0.1</v>
      </c>
      <c r="Z90" s="259">
        <v>0.1</v>
      </c>
      <c r="AA90" s="259">
        <v>0.1</v>
      </c>
      <c r="AB90" s="259">
        <v>0.1</v>
      </c>
      <c r="AC90" s="259">
        <v>0.1</v>
      </c>
      <c r="AD90" s="259">
        <v>0.1</v>
      </c>
      <c r="AE90" s="259">
        <v>0.1</v>
      </c>
      <c r="AF90" s="259">
        <v>0.1</v>
      </c>
      <c r="AG90" s="259">
        <v>0.1</v>
      </c>
      <c r="AH90" s="259">
        <v>0.1</v>
      </c>
      <c r="AI90" s="259">
        <v>0.1</v>
      </c>
      <c r="AJ90" s="259">
        <v>0.1</v>
      </c>
      <c r="AK90" s="259">
        <v>0.1</v>
      </c>
      <c r="AL90" s="259">
        <v>0.1</v>
      </c>
      <c r="AM90" s="259">
        <v>0.1</v>
      </c>
      <c r="AN90" s="259">
        <v>0.1</v>
      </c>
      <c r="AO90" s="259">
        <v>0.1</v>
      </c>
      <c r="AP90" s="259">
        <v>0.1</v>
      </c>
      <c r="AQ90" s="259">
        <v>0.1</v>
      </c>
      <c r="AR90" s="259">
        <v>0.1</v>
      </c>
      <c r="AS90" s="260">
        <v>0.1</v>
      </c>
      <c r="AT90" s="258">
        <v>0.1</v>
      </c>
      <c r="AU90" s="259">
        <v>0.1</v>
      </c>
      <c r="AV90" s="259">
        <v>0.1</v>
      </c>
      <c r="AW90" s="259">
        <v>0.1</v>
      </c>
      <c r="AX90" s="259">
        <v>0.1</v>
      </c>
      <c r="AY90" s="259">
        <v>0.1</v>
      </c>
      <c r="AZ90" s="259">
        <v>0.1</v>
      </c>
      <c r="BA90" s="259">
        <v>0.1</v>
      </c>
      <c r="BB90" s="259">
        <v>0.1</v>
      </c>
      <c r="BC90" s="259">
        <v>0.1</v>
      </c>
      <c r="BD90" s="259">
        <v>0.1</v>
      </c>
      <c r="BE90" s="259">
        <v>0.1</v>
      </c>
      <c r="BF90" s="259">
        <v>0.1</v>
      </c>
      <c r="BG90" s="259">
        <v>0.1</v>
      </c>
      <c r="BH90" s="259">
        <v>0.1</v>
      </c>
      <c r="BI90" s="259">
        <v>0.1</v>
      </c>
      <c r="BJ90" s="260">
        <v>0.1</v>
      </c>
      <c r="BK90">
        <v>0.1</v>
      </c>
      <c r="BL90">
        <v>0.1</v>
      </c>
      <c r="BM90">
        <v>0.1</v>
      </c>
      <c r="BN90">
        <v>0.1</v>
      </c>
      <c r="BO90">
        <v>0.1</v>
      </c>
      <c r="BP90">
        <f t="shared" si="4"/>
        <v>0.5</v>
      </c>
      <c r="BS90">
        <v>87</v>
      </c>
      <c r="BT90" s="271">
        <v>4.4000000000000004</v>
      </c>
      <c r="BU90" s="270">
        <v>1.38</v>
      </c>
      <c r="BV90" s="2"/>
      <c r="BX90" s="2"/>
      <c r="BY90" s="258">
        <v>0.1</v>
      </c>
      <c r="BZ90" s="259">
        <v>0.1</v>
      </c>
      <c r="CA90" s="259">
        <v>0.1</v>
      </c>
      <c r="CB90" s="259">
        <v>0.1</v>
      </c>
      <c r="CC90" s="259">
        <v>0.1</v>
      </c>
      <c r="CD90" s="259">
        <v>0.1</v>
      </c>
      <c r="CE90" s="259">
        <v>0.1</v>
      </c>
      <c r="CF90" s="259">
        <v>0.1</v>
      </c>
      <c r="CG90" s="259">
        <v>0.1</v>
      </c>
      <c r="CH90" s="259">
        <v>0.1</v>
      </c>
      <c r="CI90" s="259">
        <v>0.1</v>
      </c>
      <c r="CJ90" s="259">
        <v>0.1</v>
      </c>
      <c r="CK90" s="259">
        <v>0.1</v>
      </c>
      <c r="CL90" s="259">
        <v>0.1</v>
      </c>
      <c r="CM90" s="259">
        <v>0.1</v>
      </c>
      <c r="CN90" s="259">
        <v>0.1</v>
      </c>
      <c r="CO90" s="259">
        <v>0.1</v>
      </c>
      <c r="CP90" s="259">
        <v>0.1</v>
      </c>
      <c r="CQ90" s="259">
        <v>0.1</v>
      </c>
      <c r="CR90" s="259">
        <v>0.1</v>
      </c>
      <c r="CS90" s="259">
        <v>0.1</v>
      </c>
      <c r="CT90" s="259">
        <v>0.1</v>
      </c>
      <c r="CU90" s="259">
        <v>0.1</v>
      </c>
      <c r="CV90" s="259">
        <v>0.1</v>
      </c>
      <c r="CW90" s="259">
        <v>0.1</v>
      </c>
      <c r="CX90" s="259">
        <v>0.1</v>
      </c>
      <c r="CY90" s="259">
        <v>0.1</v>
      </c>
      <c r="CZ90" s="259">
        <v>0.1</v>
      </c>
      <c r="DA90" s="259">
        <v>0.1</v>
      </c>
      <c r="DB90" s="259">
        <v>0.1</v>
      </c>
      <c r="DC90" s="259">
        <v>0.1</v>
      </c>
      <c r="DD90" s="259">
        <v>0.1</v>
      </c>
      <c r="DE90" s="259">
        <v>0.1</v>
      </c>
      <c r="DF90" s="259">
        <v>0.1</v>
      </c>
      <c r="DG90" s="259">
        <v>0.1</v>
      </c>
      <c r="DH90" s="259">
        <v>0.1</v>
      </c>
      <c r="DI90" s="259">
        <v>0.1</v>
      </c>
      <c r="DJ90" s="259">
        <v>0.1</v>
      </c>
      <c r="DK90" s="259">
        <v>0.1</v>
      </c>
      <c r="DL90" s="259">
        <v>0.1</v>
      </c>
      <c r="DM90" s="259">
        <v>0.1</v>
      </c>
      <c r="DN90" s="259">
        <v>0.1</v>
      </c>
      <c r="DO90" s="259">
        <v>0.1</v>
      </c>
      <c r="DP90" s="260">
        <v>0.1</v>
      </c>
      <c r="DQ90" s="258">
        <v>0.1</v>
      </c>
      <c r="DR90" s="259">
        <v>0.1</v>
      </c>
      <c r="DS90" s="259">
        <v>0.1</v>
      </c>
      <c r="DT90" s="259">
        <v>0.1</v>
      </c>
      <c r="DU90" s="259">
        <v>0.1</v>
      </c>
      <c r="DV90" s="259">
        <v>0.1</v>
      </c>
      <c r="DW90" s="259">
        <v>0.1</v>
      </c>
      <c r="DX90" s="259">
        <v>0.1</v>
      </c>
      <c r="DY90" s="259">
        <v>0.1</v>
      </c>
      <c r="DZ90" s="259">
        <v>0.1</v>
      </c>
      <c r="EA90" s="259">
        <v>0.1</v>
      </c>
      <c r="EB90" s="259">
        <v>0.1</v>
      </c>
      <c r="EC90" s="259">
        <v>0.1</v>
      </c>
      <c r="ED90" s="260">
        <v>0.1</v>
      </c>
      <c r="EE90">
        <v>0.1</v>
      </c>
      <c r="EF90">
        <v>0.1</v>
      </c>
      <c r="EG90">
        <f t="shared" ref="EG90:EG95" si="5">SUM(EE90:EF90)</f>
        <v>0.2</v>
      </c>
      <c r="EJ90">
        <v>87</v>
      </c>
      <c r="EN90">
        <v>0.1</v>
      </c>
      <c r="EO90">
        <v>0.1</v>
      </c>
      <c r="EP90">
        <v>0.1</v>
      </c>
      <c r="EQ90">
        <v>0.1</v>
      </c>
      <c r="ER90">
        <v>0.1</v>
      </c>
      <c r="ES90">
        <v>0.1</v>
      </c>
      <c r="ET90">
        <v>0.1</v>
      </c>
      <c r="EU90">
        <v>0.1</v>
      </c>
      <c r="EV90">
        <v>0.1</v>
      </c>
      <c r="EW90">
        <v>0.1</v>
      </c>
      <c r="EX90">
        <v>0.1</v>
      </c>
      <c r="EY90">
        <v>0.1</v>
      </c>
      <c r="EZ90">
        <v>0.1</v>
      </c>
      <c r="FA90">
        <v>0.1</v>
      </c>
      <c r="FB90">
        <v>0.1</v>
      </c>
      <c r="FC90">
        <v>0.1</v>
      </c>
      <c r="FD90">
        <v>0.1</v>
      </c>
      <c r="FE90">
        <v>0.1</v>
      </c>
      <c r="FF90">
        <v>0.1</v>
      </c>
      <c r="FG90">
        <v>0.1</v>
      </c>
      <c r="FH90">
        <v>0.1</v>
      </c>
      <c r="FI90">
        <v>0.1</v>
      </c>
      <c r="FJ90">
        <v>0.1</v>
      </c>
      <c r="FK90">
        <v>0.1</v>
      </c>
      <c r="FL90">
        <v>0.1</v>
      </c>
      <c r="FM90">
        <v>0.1</v>
      </c>
      <c r="FN90">
        <v>0.1</v>
      </c>
      <c r="FO90">
        <v>0.1</v>
      </c>
      <c r="FP90">
        <v>0.1</v>
      </c>
      <c r="FQ90">
        <v>0.1</v>
      </c>
      <c r="FU90">
        <v>87</v>
      </c>
      <c r="GB90">
        <v>0.1</v>
      </c>
      <c r="GC90">
        <v>0.1</v>
      </c>
      <c r="GD90">
        <v>0.1</v>
      </c>
      <c r="GE90">
        <v>0.1</v>
      </c>
      <c r="GF90">
        <v>0.1</v>
      </c>
      <c r="GG90">
        <v>0.1</v>
      </c>
      <c r="GH90">
        <v>0.1</v>
      </c>
      <c r="GI90">
        <v>0.1</v>
      </c>
      <c r="GJ90">
        <v>0.1</v>
      </c>
      <c r="GK90">
        <v>0.1</v>
      </c>
      <c r="GL90">
        <v>0.1</v>
      </c>
      <c r="GM90">
        <v>0.1</v>
      </c>
      <c r="GN90">
        <v>0.1</v>
      </c>
      <c r="GO90">
        <v>0.1</v>
      </c>
      <c r="GP90">
        <v>0.1</v>
      </c>
      <c r="GQ90">
        <v>0.1</v>
      </c>
      <c r="GR90">
        <v>0.1</v>
      </c>
      <c r="GS90">
        <v>0.1</v>
      </c>
      <c r="GT90">
        <v>0.1</v>
      </c>
      <c r="GU90">
        <v>0.1</v>
      </c>
      <c r="GV90">
        <v>0.1</v>
      </c>
      <c r="GW90">
        <v>0.1</v>
      </c>
      <c r="GX90">
        <v>0.1</v>
      </c>
      <c r="GY90">
        <v>0.1</v>
      </c>
      <c r="GZ90">
        <v>0.1</v>
      </c>
      <c r="HA90">
        <v>0.1</v>
      </c>
      <c r="HB90">
        <v>0.1</v>
      </c>
      <c r="HC90">
        <v>0.1</v>
      </c>
      <c r="HD90">
        <v>0.1</v>
      </c>
      <c r="HE90">
        <v>0.1</v>
      </c>
      <c r="HF90">
        <v>0.1</v>
      </c>
      <c r="HG90">
        <v>0.1</v>
      </c>
      <c r="HH90">
        <v>0.1</v>
      </c>
      <c r="HI90">
        <v>0.1</v>
      </c>
      <c r="HJ90">
        <v>0.1</v>
      </c>
      <c r="HK90">
        <v>0.1</v>
      </c>
      <c r="HL90">
        <v>0.1</v>
      </c>
      <c r="HM90">
        <v>0.1</v>
      </c>
      <c r="HN90">
        <v>0.1</v>
      </c>
      <c r="HO90">
        <v>0.1</v>
      </c>
    </row>
    <row r="91" spans="1:224" ht="15.75" thickBot="1" x14ac:dyDescent="0.3">
      <c r="A91">
        <v>88</v>
      </c>
      <c r="B91" s="269">
        <v>3.72</v>
      </c>
      <c r="C91" s="269">
        <v>1.67</v>
      </c>
      <c r="D91" s="2"/>
      <c r="E91" s="2"/>
      <c r="F91" s="2"/>
      <c r="G91" s="2"/>
      <c r="H91" s="258">
        <v>0.1</v>
      </c>
      <c r="I91" s="259">
        <v>0.1</v>
      </c>
      <c r="J91" s="259">
        <v>0.1</v>
      </c>
      <c r="K91" s="259">
        <v>0.1</v>
      </c>
      <c r="L91" s="259">
        <v>0.1</v>
      </c>
      <c r="M91" s="259">
        <v>0.1</v>
      </c>
      <c r="N91" s="259">
        <v>0.1</v>
      </c>
      <c r="O91" s="259">
        <v>0.1</v>
      </c>
      <c r="P91" s="259">
        <v>0.1</v>
      </c>
      <c r="Q91" s="259">
        <v>0.1</v>
      </c>
      <c r="R91" s="259">
        <v>0.1</v>
      </c>
      <c r="S91" s="259">
        <v>0.1</v>
      </c>
      <c r="T91" s="259">
        <v>0.1</v>
      </c>
      <c r="U91" s="259">
        <v>0.1</v>
      </c>
      <c r="V91" s="259">
        <v>0.1</v>
      </c>
      <c r="W91" s="259">
        <v>0.1</v>
      </c>
      <c r="X91" s="259">
        <v>0.1</v>
      </c>
      <c r="Y91" s="259">
        <v>0.1</v>
      </c>
      <c r="Z91" s="259">
        <v>0.1</v>
      </c>
      <c r="AA91" s="259">
        <v>0.1</v>
      </c>
      <c r="AB91" s="259">
        <v>0.1</v>
      </c>
      <c r="AC91" s="259">
        <v>0.1</v>
      </c>
      <c r="AD91" s="259">
        <v>0.1</v>
      </c>
      <c r="AE91" s="259">
        <v>0.1</v>
      </c>
      <c r="AF91" s="259">
        <v>0.1</v>
      </c>
      <c r="AG91" s="259">
        <v>0.1</v>
      </c>
      <c r="AH91" s="259">
        <v>0.1</v>
      </c>
      <c r="AI91" s="259">
        <v>0.1</v>
      </c>
      <c r="AJ91" s="259">
        <v>0.1</v>
      </c>
      <c r="AK91" s="259">
        <v>0.1</v>
      </c>
      <c r="AL91" s="259">
        <v>0.1</v>
      </c>
      <c r="AM91" s="259">
        <v>0.1</v>
      </c>
      <c r="AN91" s="259">
        <v>0.1</v>
      </c>
      <c r="AO91" s="259">
        <v>0.1</v>
      </c>
      <c r="AP91" s="259">
        <v>0.1</v>
      </c>
      <c r="AQ91" s="259">
        <v>0.1</v>
      </c>
      <c r="AR91" s="259">
        <v>0.1</v>
      </c>
      <c r="AS91" s="260">
        <v>0.1</v>
      </c>
      <c r="AT91" s="258">
        <v>0.1</v>
      </c>
      <c r="AU91" s="259">
        <v>0.1</v>
      </c>
      <c r="AV91" s="259">
        <v>0.1</v>
      </c>
      <c r="AW91" s="259">
        <v>0.1</v>
      </c>
      <c r="AX91" s="259">
        <v>0.1</v>
      </c>
      <c r="AY91" s="259">
        <v>0.1</v>
      </c>
      <c r="AZ91" s="259">
        <v>0.1</v>
      </c>
      <c r="BA91" s="259">
        <v>0.1</v>
      </c>
      <c r="BB91" s="259">
        <v>0.1</v>
      </c>
      <c r="BC91" s="259">
        <v>0.1</v>
      </c>
      <c r="BD91" s="259">
        <v>0.1</v>
      </c>
      <c r="BE91" s="259">
        <v>0.1</v>
      </c>
      <c r="BF91" s="259">
        <v>0.1</v>
      </c>
      <c r="BG91" s="259">
        <v>0.1</v>
      </c>
      <c r="BH91" s="259">
        <v>0.1</v>
      </c>
      <c r="BI91" s="259">
        <v>0.1</v>
      </c>
      <c r="BJ91" s="260">
        <v>0.1</v>
      </c>
      <c r="BK91">
        <v>0.1</v>
      </c>
      <c r="BL91">
        <v>0.1</v>
      </c>
      <c r="BM91">
        <v>0.1</v>
      </c>
      <c r="BN91">
        <v>0.1</v>
      </c>
      <c r="BO91">
        <v>0.1</v>
      </c>
      <c r="BP91">
        <f t="shared" si="4"/>
        <v>0.5</v>
      </c>
      <c r="BS91">
        <v>88</v>
      </c>
      <c r="BT91" s="270">
        <v>4.38</v>
      </c>
      <c r="BU91" s="271">
        <v>1.38</v>
      </c>
      <c r="BV91" s="2"/>
      <c r="BX91" s="2"/>
      <c r="BY91" s="258">
        <v>0.1</v>
      </c>
      <c r="BZ91" s="259">
        <v>0.1</v>
      </c>
      <c r="CA91" s="259">
        <v>0.1</v>
      </c>
      <c r="CB91" s="259">
        <v>0.1</v>
      </c>
      <c r="CC91" s="259">
        <v>0.1</v>
      </c>
      <c r="CD91" s="259">
        <v>0.1</v>
      </c>
      <c r="CE91" s="259">
        <v>0.1</v>
      </c>
      <c r="CF91" s="259">
        <v>0.1</v>
      </c>
      <c r="CG91" s="259">
        <v>0.1</v>
      </c>
      <c r="CH91" s="259">
        <v>0.1</v>
      </c>
      <c r="CI91" s="259">
        <v>0.1</v>
      </c>
      <c r="CJ91" s="259">
        <v>0.1</v>
      </c>
      <c r="CK91" s="259">
        <v>0.1</v>
      </c>
      <c r="CL91" s="259">
        <v>0.1</v>
      </c>
      <c r="CM91" s="259">
        <v>0.1</v>
      </c>
      <c r="CN91" s="259">
        <v>0.1</v>
      </c>
      <c r="CO91" s="259">
        <v>0.1</v>
      </c>
      <c r="CP91" s="259">
        <v>0.1</v>
      </c>
      <c r="CQ91" s="259">
        <v>0.1</v>
      </c>
      <c r="CR91" s="259">
        <v>0.1</v>
      </c>
      <c r="CS91" s="259">
        <v>0.1</v>
      </c>
      <c r="CT91" s="259">
        <v>0.1</v>
      </c>
      <c r="CU91" s="259">
        <v>0.1</v>
      </c>
      <c r="CV91" s="259">
        <v>0.1</v>
      </c>
      <c r="CW91" s="259">
        <v>0.1</v>
      </c>
      <c r="CX91" s="259">
        <v>0.1</v>
      </c>
      <c r="CY91" s="259">
        <v>0.1</v>
      </c>
      <c r="CZ91" s="259">
        <v>0.1</v>
      </c>
      <c r="DA91" s="259">
        <v>0.1</v>
      </c>
      <c r="DB91" s="259">
        <v>0.1</v>
      </c>
      <c r="DC91" s="259">
        <v>0.1</v>
      </c>
      <c r="DD91" s="259">
        <v>0.1</v>
      </c>
      <c r="DE91" s="259">
        <v>0.1</v>
      </c>
      <c r="DF91" s="259">
        <v>0.1</v>
      </c>
      <c r="DG91" s="259">
        <v>0.1</v>
      </c>
      <c r="DH91" s="259">
        <v>0.1</v>
      </c>
      <c r="DI91" s="259">
        <v>0.1</v>
      </c>
      <c r="DJ91" s="259">
        <v>0.1</v>
      </c>
      <c r="DK91" s="259">
        <v>0.1</v>
      </c>
      <c r="DL91" s="259">
        <v>0.1</v>
      </c>
      <c r="DM91" s="259">
        <v>0.1</v>
      </c>
      <c r="DN91" s="259">
        <v>0.1</v>
      </c>
      <c r="DO91" s="259">
        <v>0.1</v>
      </c>
      <c r="DP91" s="260">
        <v>0.1</v>
      </c>
      <c r="DQ91" s="258">
        <v>0.1</v>
      </c>
      <c r="DR91" s="259">
        <v>0.1</v>
      </c>
      <c r="DS91" s="259">
        <v>0.1</v>
      </c>
      <c r="DT91" s="259">
        <v>0.1</v>
      </c>
      <c r="DU91" s="259">
        <v>0.1</v>
      </c>
      <c r="DV91" s="259">
        <v>0.1</v>
      </c>
      <c r="DW91" s="259">
        <v>0.1</v>
      </c>
      <c r="DX91" s="259">
        <v>0.1</v>
      </c>
      <c r="DY91" s="259">
        <v>0.1</v>
      </c>
      <c r="DZ91" s="259">
        <v>0.1</v>
      </c>
      <c r="EA91" s="259">
        <v>0.1</v>
      </c>
      <c r="EB91" s="259">
        <v>0.1</v>
      </c>
      <c r="EC91" s="259">
        <v>0.1</v>
      </c>
      <c r="ED91" s="260">
        <v>0.1</v>
      </c>
      <c r="EE91">
        <v>0.1</v>
      </c>
      <c r="EF91">
        <v>0.1</v>
      </c>
      <c r="EG91">
        <f t="shared" si="5"/>
        <v>0.2</v>
      </c>
      <c r="EJ91">
        <v>88</v>
      </c>
      <c r="EN91">
        <v>0.1</v>
      </c>
      <c r="EO91">
        <v>0.1</v>
      </c>
      <c r="EP91">
        <v>0.1</v>
      </c>
      <c r="EQ91">
        <v>0.1</v>
      </c>
      <c r="ER91">
        <v>0.1</v>
      </c>
      <c r="ES91">
        <v>0.1</v>
      </c>
      <c r="ET91">
        <v>0.1</v>
      </c>
      <c r="EU91">
        <v>0.1</v>
      </c>
      <c r="EV91">
        <v>0.1</v>
      </c>
      <c r="EW91">
        <v>0.1</v>
      </c>
      <c r="EX91">
        <v>0.1</v>
      </c>
      <c r="EY91">
        <v>0.1</v>
      </c>
      <c r="EZ91">
        <v>0.1</v>
      </c>
      <c r="FA91">
        <v>0.1</v>
      </c>
      <c r="FB91">
        <v>0.1</v>
      </c>
      <c r="FC91">
        <v>0.1</v>
      </c>
      <c r="FD91">
        <v>0.1</v>
      </c>
      <c r="FE91">
        <v>0.1</v>
      </c>
      <c r="FF91">
        <v>0.1</v>
      </c>
      <c r="FG91">
        <v>0.1</v>
      </c>
      <c r="FH91">
        <v>0.1</v>
      </c>
      <c r="FI91">
        <v>0.1</v>
      </c>
      <c r="FJ91">
        <v>0.1</v>
      </c>
      <c r="FK91">
        <v>0.1</v>
      </c>
      <c r="FL91">
        <v>0.1</v>
      </c>
      <c r="FM91">
        <v>0.1</v>
      </c>
      <c r="FN91">
        <v>0.1</v>
      </c>
      <c r="FO91">
        <v>0.1</v>
      </c>
      <c r="FP91">
        <v>0.1</v>
      </c>
      <c r="FQ91">
        <v>0.1</v>
      </c>
      <c r="FU91">
        <v>88</v>
      </c>
      <c r="GB91">
        <v>0.1</v>
      </c>
      <c r="GC91">
        <v>0.1</v>
      </c>
      <c r="GD91">
        <v>0.1</v>
      </c>
      <c r="GE91">
        <v>0.1</v>
      </c>
      <c r="GF91">
        <v>0.1</v>
      </c>
      <c r="GG91">
        <v>0.1</v>
      </c>
      <c r="GH91">
        <v>0.1</v>
      </c>
      <c r="GI91">
        <v>0.1</v>
      </c>
      <c r="GJ91">
        <v>0.1</v>
      </c>
      <c r="GK91">
        <v>0.1</v>
      </c>
      <c r="GL91">
        <v>0.1</v>
      </c>
      <c r="GM91">
        <v>0.1</v>
      </c>
      <c r="GN91">
        <v>0.1</v>
      </c>
      <c r="GO91">
        <v>0.1</v>
      </c>
      <c r="GP91">
        <v>0.1</v>
      </c>
      <c r="GQ91">
        <v>0.1</v>
      </c>
      <c r="GR91">
        <v>0.1</v>
      </c>
      <c r="GS91">
        <v>0.1</v>
      </c>
      <c r="GT91">
        <v>0.1</v>
      </c>
      <c r="GU91">
        <v>0.1</v>
      </c>
      <c r="GV91">
        <v>0.1</v>
      </c>
      <c r="GW91">
        <v>0.1</v>
      </c>
      <c r="GX91">
        <v>0.1</v>
      </c>
      <c r="GY91">
        <v>0.1</v>
      </c>
      <c r="GZ91">
        <v>0.1</v>
      </c>
      <c r="HA91">
        <v>0.1</v>
      </c>
      <c r="HB91">
        <v>0.1</v>
      </c>
      <c r="HC91">
        <v>0.1</v>
      </c>
      <c r="HD91">
        <v>0.1</v>
      </c>
      <c r="HE91">
        <v>0.1</v>
      </c>
      <c r="HF91">
        <v>0.1</v>
      </c>
      <c r="HG91">
        <v>0.1</v>
      </c>
      <c r="HH91">
        <v>0.1</v>
      </c>
      <c r="HI91">
        <v>0.1</v>
      </c>
      <c r="HJ91">
        <v>0.1</v>
      </c>
      <c r="HK91">
        <v>0.1</v>
      </c>
      <c r="HL91">
        <v>0.1</v>
      </c>
      <c r="HM91">
        <v>0.1</v>
      </c>
      <c r="HN91">
        <v>0.1</v>
      </c>
      <c r="HO91">
        <v>0.1</v>
      </c>
    </row>
    <row r="92" spans="1:224" ht="15.75" thickBot="1" x14ac:dyDescent="0.3">
      <c r="A92">
        <v>89</v>
      </c>
      <c r="B92" s="268">
        <v>3.72</v>
      </c>
      <c r="C92" s="268">
        <v>1.67</v>
      </c>
      <c r="D92" s="2"/>
      <c r="E92" s="2"/>
      <c r="F92" s="2"/>
      <c r="G92" s="2"/>
      <c r="H92" s="258">
        <v>0.1</v>
      </c>
      <c r="I92" s="259">
        <v>0.1</v>
      </c>
      <c r="J92" s="259">
        <v>0.1</v>
      </c>
      <c r="K92" s="259">
        <v>0.1</v>
      </c>
      <c r="L92" s="259">
        <v>0.1</v>
      </c>
      <c r="M92" s="259">
        <v>0.1</v>
      </c>
      <c r="N92" s="259">
        <v>0.1</v>
      </c>
      <c r="O92" s="259">
        <v>0.1</v>
      </c>
      <c r="P92" s="259">
        <v>0.1</v>
      </c>
      <c r="Q92" s="259">
        <v>0.1</v>
      </c>
      <c r="R92" s="259">
        <v>0.1</v>
      </c>
      <c r="S92" s="259">
        <v>0.1</v>
      </c>
      <c r="T92" s="259">
        <v>0.1</v>
      </c>
      <c r="U92" s="259">
        <v>0.1</v>
      </c>
      <c r="V92" s="259">
        <v>0.1</v>
      </c>
      <c r="W92" s="259">
        <v>0.1</v>
      </c>
      <c r="X92" s="259">
        <v>0.1</v>
      </c>
      <c r="Y92" s="259">
        <v>0.1</v>
      </c>
      <c r="Z92" s="259">
        <v>0.1</v>
      </c>
      <c r="AA92" s="259">
        <v>0.1</v>
      </c>
      <c r="AB92" s="259">
        <v>0.1</v>
      </c>
      <c r="AC92" s="259">
        <v>0.1</v>
      </c>
      <c r="AD92" s="259">
        <v>0.1</v>
      </c>
      <c r="AE92" s="259">
        <v>0.1</v>
      </c>
      <c r="AF92" s="259">
        <v>0.1</v>
      </c>
      <c r="AG92" s="259">
        <v>0.1</v>
      </c>
      <c r="AH92" s="259">
        <v>0.1</v>
      </c>
      <c r="AI92" s="259">
        <v>0.1</v>
      </c>
      <c r="AJ92" s="259">
        <v>0.1</v>
      </c>
      <c r="AK92" s="259">
        <v>0.1</v>
      </c>
      <c r="AL92" s="259">
        <v>0.1</v>
      </c>
      <c r="AM92" s="259">
        <v>0.1</v>
      </c>
      <c r="AN92" s="259">
        <v>0.1</v>
      </c>
      <c r="AO92" s="259">
        <v>0.1</v>
      </c>
      <c r="AP92" s="259">
        <v>0.1</v>
      </c>
      <c r="AQ92" s="259">
        <v>0.1</v>
      </c>
      <c r="AR92" s="259">
        <v>0.1</v>
      </c>
      <c r="AS92" s="260">
        <v>0.1</v>
      </c>
      <c r="AT92" s="258">
        <v>0.1</v>
      </c>
      <c r="AU92" s="259">
        <v>0.1</v>
      </c>
      <c r="AV92" s="259">
        <v>0.1</v>
      </c>
      <c r="AW92" s="259">
        <v>0.1</v>
      </c>
      <c r="AX92" s="259">
        <v>0.1</v>
      </c>
      <c r="AY92" s="259">
        <v>0.1</v>
      </c>
      <c r="AZ92" s="259">
        <v>0.1</v>
      </c>
      <c r="BA92" s="259">
        <v>0.1</v>
      </c>
      <c r="BB92" s="259">
        <v>0.1</v>
      </c>
      <c r="BC92" s="259">
        <v>0.1</v>
      </c>
      <c r="BD92" s="259">
        <v>0.1</v>
      </c>
      <c r="BE92" s="259">
        <v>0.1</v>
      </c>
      <c r="BF92" s="259">
        <v>0.1</v>
      </c>
      <c r="BG92" s="259">
        <v>0.1</v>
      </c>
      <c r="BH92" s="259">
        <v>0.1</v>
      </c>
      <c r="BI92" s="259">
        <v>0.1</v>
      </c>
      <c r="BJ92" s="260">
        <v>0.1</v>
      </c>
      <c r="BK92">
        <v>0.1</v>
      </c>
      <c r="BL92">
        <v>0.1</v>
      </c>
      <c r="BM92">
        <v>0.1</v>
      </c>
      <c r="BN92">
        <v>0.1</v>
      </c>
      <c r="BO92">
        <v>0.1</v>
      </c>
      <c r="BP92">
        <f t="shared" si="4"/>
        <v>0.5</v>
      </c>
      <c r="BS92">
        <v>89</v>
      </c>
      <c r="BT92" s="271">
        <v>4.38</v>
      </c>
      <c r="BU92" s="270">
        <v>1.4</v>
      </c>
      <c r="BV92" s="2"/>
      <c r="BX92" s="2"/>
      <c r="BY92" s="258">
        <v>0.1</v>
      </c>
      <c r="BZ92" s="259">
        <v>0.1</v>
      </c>
      <c r="CA92" s="259">
        <v>0.1</v>
      </c>
      <c r="CB92" s="259">
        <v>0.1</v>
      </c>
      <c r="CC92" s="259">
        <v>0.1</v>
      </c>
      <c r="CD92" s="259">
        <v>0.1</v>
      </c>
      <c r="CE92" s="259">
        <v>0.1</v>
      </c>
      <c r="CF92" s="259">
        <v>0.1</v>
      </c>
      <c r="CG92" s="259">
        <v>0.1</v>
      </c>
      <c r="CH92" s="259">
        <v>0.1</v>
      </c>
      <c r="CI92" s="259">
        <v>0.1</v>
      </c>
      <c r="CJ92" s="259">
        <v>0.1</v>
      </c>
      <c r="CK92" s="259">
        <v>0.1</v>
      </c>
      <c r="CL92" s="259">
        <v>0.1</v>
      </c>
      <c r="CM92" s="259">
        <v>0.1</v>
      </c>
      <c r="CN92" s="259">
        <v>0.1</v>
      </c>
      <c r="CO92" s="259">
        <v>0.1</v>
      </c>
      <c r="CP92" s="259">
        <v>0.1</v>
      </c>
      <c r="CQ92" s="259">
        <v>0.1</v>
      </c>
      <c r="CR92" s="259">
        <v>0.1</v>
      </c>
      <c r="CS92" s="259">
        <v>0.1</v>
      </c>
      <c r="CT92" s="259">
        <v>0.1</v>
      </c>
      <c r="CU92" s="259">
        <v>0.1</v>
      </c>
      <c r="CV92" s="259">
        <v>0.1</v>
      </c>
      <c r="CW92" s="259">
        <v>0.1</v>
      </c>
      <c r="CX92" s="259">
        <v>0.1</v>
      </c>
      <c r="CY92" s="259">
        <v>0.1</v>
      </c>
      <c r="CZ92" s="259">
        <v>0.1</v>
      </c>
      <c r="DA92" s="259">
        <v>0.1</v>
      </c>
      <c r="DB92" s="259">
        <v>0.1</v>
      </c>
      <c r="DC92" s="259">
        <v>0.1</v>
      </c>
      <c r="DD92" s="259">
        <v>0.1</v>
      </c>
      <c r="DE92" s="259">
        <v>0.1</v>
      </c>
      <c r="DF92" s="259">
        <v>0.1</v>
      </c>
      <c r="DG92" s="259">
        <v>0.1</v>
      </c>
      <c r="DH92" s="259">
        <v>0.1</v>
      </c>
      <c r="DI92" s="259">
        <v>0.1</v>
      </c>
      <c r="DJ92" s="259">
        <v>0.1</v>
      </c>
      <c r="DK92" s="259">
        <v>0.1</v>
      </c>
      <c r="DL92" s="259">
        <v>0.1</v>
      </c>
      <c r="DM92" s="259">
        <v>0.1</v>
      </c>
      <c r="DN92" s="259">
        <v>0.1</v>
      </c>
      <c r="DO92" s="259">
        <v>0.1</v>
      </c>
      <c r="DP92" s="260">
        <v>0.1</v>
      </c>
      <c r="DQ92" s="258">
        <v>0.1</v>
      </c>
      <c r="DR92" s="259">
        <v>0.1</v>
      </c>
      <c r="DS92" s="259">
        <v>0.1</v>
      </c>
      <c r="DT92" s="259">
        <v>0.1</v>
      </c>
      <c r="DU92" s="259">
        <v>0.1</v>
      </c>
      <c r="DV92" s="259">
        <v>0.1</v>
      </c>
      <c r="DW92" s="259">
        <v>0.1</v>
      </c>
      <c r="DX92" s="259">
        <v>0.1</v>
      </c>
      <c r="DY92" s="259">
        <v>0.1</v>
      </c>
      <c r="DZ92" s="259">
        <v>0.1</v>
      </c>
      <c r="EA92" s="259">
        <v>0.1</v>
      </c>
      <c r="EB92" s="259">
        <v>0.1</v>
      </c>
      <c r="EC92" s="259">
        <v>0.1</v>
      </c>
      <c r="ED92" s="260">
        <v>0.1</v>
      </c>
      <c r="EE92">
        <v>0.1</v>
      </c>
      <c r="EF92">
        <v>0.1</v>
      </c>
      <c r="EG92">
        <f t="shared" si="5"/>
        <v>0.2</v>
      </c>
      <c r="EJ92">
        <v>89</v>
      </c>
      <c r="EN92">
        <v>0.1</v>
      </c>
      <c r="EO92">
        <v>0.1</v>
      </c>
      <c r="EP92">
        <v>0.1</v>
      </c>
      <c r="EQ92">
        <v>0.1</v>
      </c>
      <c r="ER92">
        <v>0.1</v>
      </c>
      <c r="ES92">
        <v>0.1</v>
      </c>
      <c r="ET92">
        <v>0.1</v>
      </c>
      <c r="EU92">
        <v>0.1</v>
      </c>
      <c r="EV92">
        <v>0.1</v>
      </c>
      <c r="EW92">
        <v>0.1</v>
      </c>
      <c r="EX92">
        <v>0.1</v>
      </c>
      <c r="EY92">
        <v>0.1</v>
      </c>
      <c r="EZ92">
        <v>0.1</v>
      </c>
      <c r="FA92">
        <v>0.1</v>
      </c>
      <c r="FB92">
        <v>0.1</v>
      </c>
      <c r="FC92">
        <v>0.1</v>
      </c>
      <c r="FD92">
        <v>0.1</v>
      </c>
      <c r="FE92">
        <v>0.1</v>
      </c>
      <c r="FF92">
        <v>0.1</v>
      </c>
      <c r="FG92">
        <v>0.1</v>
      </c>
      <c r="FH92">
        <v>0.1</v>
      </c>
      <c r="FI92">
        <v>0.1</v>
      </c>
      <c r="FJ92">
        <v>0.1</v>
      </c>
      <c r="FK92">
        <v>0.1</v>
      </c>
      <c r="FL92">
        <v>0.1</v>
      </c>
      <c r="FM92">
        <v>0.1</v>
      </c>
      <c r="FN92">
        <v>0.1</v>
      </c>
      <c r="FO92">
        <v>0.1</v>
      </c>
      <c r="FP92">
        <v>0.1</v>
      </c>
      <c r="FQ92">
        <v>0.1</v>
      </c>
      <c r="FU92">
        <v>89</v>
      </c>
      <c r="GB92">
        <v>0.1</v>
      </c>
      <c r="GC92">
        <v>0.1</v>
      </c>
      <c r="GD92">
        <v>0.1</v>
      </c>
      <c r="GE92">
        <v>0.1</v>
      </c>
      <c r="GF92">
        <v>0.1</v>
      </c>
      <c r="GG92">
        <v>0.1</v>
      </c>
      <c r="GH92">
        <v>0.1</v>
      </c>
      <c r="GI92">
        <v>0.1</v>
      </c>
      <c r="GJ92">
        <v>0.1</v>
      </c>
      <c r="GK92">
        <v>0.1</v>
      </c>
      <c r="GL92">
        <v>0.1</v>
      </c>
      <c r="GM92">
        <v>0.1</v>
      </c>
      <c r="GN92">
        <v>0.1</v>
      </c>
      <c r="GO92">
        <v>0.1</v>
      </c>
      <c r="GP92">
        <v>0.1</v>
      </c>
      <c r="GQ92">
        <v>0.1</v>
      </c>
      <c r="GR92">
        <v>0.1</v>
      </c>
      <c r="GS92">
        <v>0.1</v>
      </c>
      <c r="GT92">
        <v>0.1</v>
      </c>
      <c r="GU92">
        <v>0.1</v>
      </c>
      <c r="GV92">
        <v>0.1</v>
      </c>
      <c r="GW92">
        <v>0.1</v>
      </c>
      <c r="GX92">
        <v>0.1</v>
      </c>
      <c r="GY92">
        <v>0.1</v>
      </c>
      <c r="GZ92">
        <v>0.1</v>
      </c>
      <c r="HA92">
        <v>0.1</v>
      </c>
      <c r="HB92">
        <v>0.1</v>
      </c>
      <c r="HC92">
        <v>0.1</v>
      </c>
      <c r="HD92">
        <v>0.1</v>
      </c>
      <c r="HE92">
        <v>0.1</v>
      </c>
      <c r="HF92">
        <v>0.1</v>
      </c>
      <c r="HG92">
        <v>0.1</v>
      </c>
      <c r="HH92">
        <v>0.1</v>
      </c>
      <c r="HI92">
        <v>0.1</v>
      </c>
      <c r="HJ92">
        <v>0.1</v>
      </c>
      <c r="HK92">
        <v>0.1</v>
      </c>
      <c r="HL92">
        <v>0.1</v>
      </c>
      <c r="HM92">
        <v>0.1</v>
      </c>
      <c r="HN92">
        <v>0.1</v>
      </c>
      <c r="HO92">
        <v>0.1</v>
      </c>
    </row>
    <row r="93" spans="1:224" ht="15.75" thickBot="1" x14ac:dyDescent="0.3">
      <c r="A93">
        <v>90</v>
      </c>
      <c r="B93" s="269">
        <v>3.72</v>
      </c>
      <c r="C93" s="269">
        <v>1.66</v>
      </c>
      <c r="D93" s="2"/>
      <c r="E93" s="2"/>
      <c r="F93" s="2"/>
      <c r="G93" s="2"/>
      <c r="H93" s="258">
        <v>0.1</v>
      </c>
      <c r="I93" s="259">
        <v>0.1</v>
      </c>
      <c r="J93" s="259">
        <v>0.1</v>
      </c>
      <c r="K93" s="259">
        <v>0.1</v>
      </c>
      <c r="L93" s="259">
        <v>0.1</v>
      </c>
      <c r="M93" s="259">
        <v>0.1</v>
      </c>
      <c r="N93" s="259">
        <v>0.1</v>
      </c>
      <c r="O93" s="259">
        <v>0.1</v>
      </c>
      <c r="P93" s="259">
        <v>0.1</v>
      </c>
      <c r="Q93" s="259">
        <v>0.1</v>
      </c>
      <c r="R93" s="259">
        <v>0.1</v>
      </c>
      <c r="S93" s="259">
        <v>0.1</v>
      </c>
      <c r="T93" s="259">
        <v>0.1</v>
      </c>
      <c r="U93" s="259">
        <v>0.1</v>
      </c>
      <c r="V93" s="259">
        <v>0.1</v>
      </c>
      <c r="W93" s="259">
        <v>0.1</v>
      </c>
      <c r="X93" s="259">
        <v>0.1</v>
      </c>
      <c r="Y93" s="259">
        <v>0.1</v>
      </c>
      <c r="Z93" s="259">
        <v>0.1</v>
      </c>
      <c r="AA93" s="259">
        <v>0.1</v>
      </c>
      <c r="AB93" s="259">
        <v>0.1</v>
      </c>
      <c r="AC93" s="259">
        <v>0.1</v>
      </c>
      <c r="AD93" s="259">
        <v>0.1</v>
      </c>
      <c r="AE93" s="259">
        <v>0.1</v>
      </c>
      <c r="AF93" s="259">
        <v>0.1</v>
      </c>
      <c r="AG93" s="259">
        <v>0.1</v>
      </c>
      <c r="AH93" s="259">
        <v>0.1</v>
      </c>
      <c r="AI93" s="259">
        <v>0.1</v>
      </c>
      <c r="AJ93" s="259">
        <v>0.1</v>
      </c>
      <c r="AK93" s="259">
        <v>0.1</v>
      </c>
      <c r="AL93" s="259">
        <v>0.1</v>
      </c>
      <c r="AM93" s="259">
        <v>0.1</v>
      </c>
      <c r="AN93" s="259">
        <v>0.1</v>
      </c>
      <c r="AO93" s="259">
        <v>0.1</v>
      </c>
      <c r="AP93" s="259">
        <v>0.1</v>
      </c>
      <c r="AQ93" s="259">
        <v>0.1</v>
      </c>
      <c r="AR93" s="259">
        <v>0.1</v>
      </c>
      <c r="AS93" s="260">
        <v>0.1</v>
      </c>
      <c r="AT93" s="258">
        <v>0.1</v>
      </c>
      <c r="AU93" s="259">
        <v>0.1</v>
      </c>
      <c r="AV93" s="259">
        <v>0.1</v>
      </c>
      <c r="AW93" s="259">
        <v>0.1</v>
      </c>
      <c r="AX93" s="259">
        <v>0.1</v>
      </c>
      <c r="AY93" s="259">
        <v>0.1</v>
      </c>
      <c r="AZ93" s="259">
        <v>0.1</v>
      </c>
      <c r="BA93" s="259">
        <v>0.1</v>
      </c>
      <c r="BB93" s="259">
        <v>0.1</v>
      </c>
      <c r="BC93" s="259">
        <v>0.1</v>
      </c>
      <c r="BD93" s="259">
        <v>0.1</v>
      </c>
      <c r="BE93" s="259">
        <v>0.1</v>
      </c>
      <c r="BF93" s="259">
        <v>0.1</v>
      </c>
      <c r="BG93" s="259">
        <v>0.1</v>
      </c>
      <c r="BH93" s="259">
        <v>0.1</v>
      </c>
      <c r="BI93" s="259">
        <v>0.1</v>
      </c>
      <c r="BJ93" s="260">
        <v>0.1</v>
      </c>
      <c r="BK93">
        <v>0.1</v>
      </c>
      <c r="BL93">
        <v>0.1</v>
      </c>
      <c r="BM93">
        <v>0.1</v>
      </c>
      <c r="BN93">
        <v>0.1</v>
      </c>
      <c r="BO93">
        <v>0.1</v>
      </c>
      <c r="BP93">
        <f t="shared" si="4"/>
        <v>0.5</v>
      </c>
      <c r="BS93">
        <v>90</v>
      </c>
      <c r="BT93" s="270">
        <v>4.38</v>
      </c>
      <c r="BU93" s="271">
        <v>1.4</v>
      </c>
      <c r="BV93" s="2"/>
      <c r="BX93" s="2"/>
      <c r="BY93" s="258">
        <v>0.1</v>
      </c>
      <c r="BZ93" s="259">
        <v>0.1</v>
      </c>
      <c r="CA93" s="259">
        <v>0.1</v>
      </c>
      <c r="CB93" s="259">
        <v>0.1</v>
      </c>
      <c r="CC93" s="259">
        <v>0.1</v>
      </c>
      <c r="CD93" s="259">
        <v>0.1</v>
      </c>
      <c r="CE93" s="259">
        <v>0.1</v>
      </c>
      <c r="CF93" s="259">
        <v>0.1</v>
      </c>
      <c r="CG93" s="259">
        <v>0.1</v>
      </c>
      <c r="CH93" s="259">
        <v>0.1</v>
      </c>
      <c r="CI93" s="259">
        <v>0.1</v>
      </c>
      <c r="CJ93" s="259">
        <v>0.1</v>
      </c>
      <c r="CK93" s="259">
        <v>0.1</v>
      </c>
      <c r="CL93" s="259">
        <v>0.1</v>
      </c>
      <c r="CM93" s="259">
        <v>0.1</v>
      </c>
      <c r="CN93" s="259">
        <v>0.1</v>
      </c>
      <c r="CO93" s="259">
        <v>0.1</v>
      </c>
      <c r="CP93" s="259">
        <v>0.1</v>
      </c>
      <c r="CQ93" s="259">
        <v>0.1</v>
      </c>
      <c r="CR93" s="259">
        <v>0.1</v>
      </c>
      <c r="CS93" s="259">
        <v>0.1</v>
      </c>
      <c r="CT93" s="259">
        <v>0.1</v>
      </c>
      <c r="CU93" s="259">
        <v>0.1</v>
      </c>
      <c r="CV93" s="259">
        <v>0.1</v>
      </c>
      <c r="CW93" s="259">
        <v>0.1</v>
      </c>
      <c r="CX93" s="259">
        <v>0.1</v>
      </c>
      <c r="CY93" s="259">
        <v>0.1</v>
      </c>
      <c r="CZ93" s="259">
        <v>0.1</v>
      </c>
      <c r="DA93" s="259">
        <v>0.1</v>
      </c>
      <c r="DB93" s="259">
        <v>0.1</v>
      </c>
      <c r="DC93" s="259">
        <v>0.1</v>
      </c>
      <c r="DD93" s="259">
        <v>0.1</v>
      </c>
      <c r="DE93" s="259">
        <v>0.1</v>
      </c>
      <c r="DF93" s="259">
        <v>0.1</v>
      </c>
      <c r="DG93" s="259">
        <v>0.1</v>
      </c>
      <c r="DH93" s="259">
        <v>0.1</v>
      </c>
      <c r="DI93" s="259">
        <v>0.1</v>
      </c>
      <c r="DJ93" s="259">
        <v>0.1</v>
      </c>
      <c r="DK93" s="259">
        <v>0.1</v>
      </c>
      <c r="DL93" s="259">
        <v>0.1</v>
      </c>
      <c r="DM93" s="259">
        <v>0.1</v>
      </c>
      <c r="DN93" s="259">
        <v>0.1</v>
      </c>
      <c r="DO93" s="259">
        <v>0.1</v>
      </c>
      <c r="DP93" s="260">
        <v>0.1</v>
      </c>
      <c r="DQ93" s="258">
        <v>0.1</v>
      </c>
      <c r="DR93" s="259">
        <v>0.1</v>
      </c>
      <c r="DS93" s="259">
        <v>0.1</v>
      </c>
      <c r="DT93" s="259">
        <v>0.1</v>
      </c>
      <c r="DU93" s="259">
        <v>0.1</v>
      </c>
      <c r="DV93" s="259">
        <v>0.1</v>
      </c>
      <c r="DW93" s="259">
        <v>0.1</v>
      </c>
      <c r="DX93" s="259">
        <v>0.1</v>
      </c>
      <c r="DY93" s="259">
        <v>0.1</v>
      </c>
      <c r="DZ93" s="259">
        <v>0.1</v>
      </c>
      <c r="EA93" s="259">
        <v>0.1</v>
      </c>
      <c r="EB93" s="259">
        <v>0.1</v>
      </c>
      <c r="EC93" s="259">
        <v>0.1</v>
      </c>
      <c r="ED93" s="260">
        <v>0.1</v>
      </c>
      <c r="EE93">
        <v>0.1</v>
      </c>
      <c r="EF93">
        <v>0.1</v>
      </c>
      <c r="EG93">
        <f t="shared" si="5"/>
        <v>0.2</v>
      </c>
      <c r="EJ93">
        <v>90</v>
      </c>
      <c r="EN93">
        <v>0.1</v>
      </c>
      <c r="EO93">
        <v>0.1</v>
      </c>
      <c r="EP93">
        <v>0.1</v>
      </c>
      <c r="EQ93">
        <v>0.1</v>
      </c>
      <c r="ER93">
        <v>0.1</v>
      </c>
      <c r="ES93">
        <v>0.1</v>
      </c>
      <c r="ET93">
        <v>0.1</v>
      </c>
      <c r="EU93">
        <v>0.1</v>
      </c>
      <c r="EV93">
        <v>0.1</v>
      </c>
      <c r="EW93">
        <v>0.1</v>
      </c>
      <c r="EX93">
        <v>0.1</v>
      </c>
      <c r="EY93">
        <v>0.1</v>
      </c>
      <c r="EZ93">
        <v>0.1</v>
      </c>
      <c r="FA93">
        <v>0.1</v>
      </c>
      <c r="FB93">
        <v>0.1</v>
      </c>
      <c r="FC93">
        <v>0.1</v>
      </c>
      <c r="FD93">
        <v>0.1</v>
      </c>
      <c r="FE93">
        <v>0.1</v>
      </c>
      <c r="FF93">
        <v>0.1</v>
      </c>
      <c r="FG93">
        <v>0.1</v>
      </c>
      <c r="FH93">
        <v>0.1</v>
      </c>
      <c r="FI93">
        <v>0.1</v>
      </c>
      <c r="FJ93">
        <v>0.1</v>
      </c>
      <c r="FK93">
        <v>0.1</v>
      </c>
      <c r="FL93">
        <v>0.1</v>
      </c>
      <c r="FM93">
        <v>0.1</v>
      </c>
      <c r="FN93">
        <v>0.1</v>
      </c>
      <c r="FO93">
        <v>0.1</v>
      </c>
      <c r="FP93">
        <v>0.1</v>
      </c>
      <c r="FQ93">
        <v>0.1</v>
      </c>
      <c r="FU93">
        <v>90</v>
      </c>
      <c r="GB93">
        <v>0.1</v>
      </c>
      <c r="GC93">
        <v>0.1</v>
      </c>
      <c r="GD93">
        <v>0.1</v>
      </c>
      <c r="GE93">
        <v>0.1</v>
      </c>
      <c r="GF93">
        <v>0.1</v>
      </c>
      <c r="GG93">
        <v>0.1</v>
      </c>
      <c r="GH93">
        <v>0.1</v>
      </c>
      <c r="GI93">
        <v>0.1</v>
      </c>
      <c r="GJ93">
        <v>0.1</v>
      </c>
      <c r="GK93">
        <v>0.1</v>
      </c>
      <c r="GL93">
        <v>0.1</v>
      </c>
      <c r="GM93">
        <v>0.1</v>
      </c>
      <c r="GN93">
        <v>0.1</v>
      </c>
      <c r="GO93">
        <v>0.1</v>
      </c>
      <c r="GP93">
        <v>0.1</v>
      </c>
      <c r="GQ93">
        <v>0.1</v>
      </c>
      <c r="GR93">
        <v>0.1</v>
      </c>
      <c r="GS93">
        <v>0.1</v>
      </c>
      <c r="GT93">
        <v>0.1</v>
      </c>
      <c r="GU93">
        <v>0.1</v>
      </c>
      <c r="GV93">
        <v>0.1</v>
      </c>
      <c r="GW93">
        <v>0.1</v>
      </c>
      <c r="GX93">
        <v>0.1</v>
      </c>
      <c r="GY93">
        <v>0.1</v>
      </c>
      <c r="GZ93">
        <v>0.1</v>
      </c>
      <c r="HA93">
        <v>0.1</v>
      </c>
      <c r="HB93">
        <v>0.1</v>
      </c>
      <c r="HC93">
        <v>0.1</v>
      </c>
      <c r="HD93">
        <v>0.1</v>
      </c>
      <c r="HE93">
        <v>0.1</v>
      </c>
      <c r="HF93">
        <v>0.1</v>
      </c>
      <c r="HG93">
        <v>0.1</v>
      </c>
      <c r="HH93">
        <v>0.1</v>
      </c>
      <c r="HI93">
        <v>0.1</v>
      </c>
      <c r="HJ93">
        <v>0.1</v>
      </c>
      <c r="HK93">
        <v>0.1</v>
      </c>
      <c r="HL93">
        <v>0.1</v>
      </c>
      <c r="HM93">
        <v>0.1</v>
      </c>
      <c r="HN93">
        <v>0.1</v>
      </c>
      <c r="HO93">
        <v>0.1</v>
      </c>
    </row>
    <row r="94" spans="1:224" ht="15.75" thickBot="1" x14ac:dyDescent="0.3">
      <c r="A94">
        <v>91</v>
      </c>
      <c r="B94" s="268">
        <v>3.72</v>
      </c>
      <c r="C94" s="268">
        <v>1.66</v>
      </c>
      <c r="D94" s="2"/>
      <c r="E94" s="2"/>
      <c r="F94" s="2"/>
      <c r="G94" s="2"/>
      <c r="H94" s="258">
        <v>0.1</v>
      </c>
      <c r="I94" s="259">
        <v>0.1</v>
      </c>
      <c r="J94" s="259">
        <v>0.1</v>
      </c>
      <c r="K94" s="259">
        <v>0.1</v>
      </c>
      <c r="L94" s="259">
        <v>0.1</v>
      </c>
      <c r="M94" s="259">
        <v>0.1</v>
      </c>
      <c r="N94" s="259">
        <v>0.1</v>
      </c>
      <c r="O94" s="259">
        <v>0.1</v>
      </c>
      <c r="P94" s="259">
        <v>0.1</v>
      </c>
      <c r="Q94" s="259">
        <v>0.1</v>
      </c>
      <c r="R94" s="259">
        <v>0.1</v>
      </c>
      <c r="S94" s="259">
        <v>0.1</v>
      </c>
      <c r="T94" s="259">
        <v>0.1</v>
      </c>
      <c r="U94" s="259">
        <v>0.1</v>
      </c>
      <c r="V94" s="259">
        <v>0.1</v>
      </c>
      <c r="W94" s="259">
        <v>0.1</v>
      </c>
      <c r="X94" s="259">
        <v>0.1</v>
      </c>
      <c r="Y94" s="259">
        <v>0.1</v>
      </c>
      <c r="Z94" s="259">
        <v>0.1</v>
      </c>
      <c r="AA94" s="259">
        <v>0.1</v>
      </c>
      <c r="AB94" s="259">
        <v>0.1</v>
      </c>
      <c r="AC94" s="259">
        <v>0.1</v>
      </c>
      <c r="AD94" s="259">
        <v>0.1</v>
      </c>
      <c r="AE94" s="259">
        <v>0.1</v>
      </c>
      <c r="AF94" s="259">
        <v>0.1</v>
      </c>
      <c r="AG94" s="259">
        <v>0.1</v>
      </c>
      <c r="AH94" s="259">
        <v>0.1</v>
      </c>
      <c r="AI94" s="259">
        <v>0.1</v>
      </c>
      <c r="AJ94" s="259">
        <v>0.1</v>
      </c>
      <c r="AK94" s="259">
        <v>0.1</v>
      </c>
      <c r="AL94" s="259">
        <v>0.1</v>
      </c>
      <c r="AM94" s="259">
        <v>0.1</v>
      </c>
      <c r="AN94" s="259">
        <v>0.1</v>
      </c>
      <c r="AO94" s="259">
        <v>0.1</v>
      </c>
      <c r="AP94" s="259">
        <v>0.1</v>
      </c>
      <c r="AQ94" s="259">
        <v>0.1</v>
      </c>
      <c r="AR94" s="259">
        <v>0.1</v>
      </c>
      <c r="AS94" s="260">
        <v>0.1</v>
      </c>
      <c r="AT94" s="258">
        <v>0.1</v>
      </c>
      <c r="AU94" s="259">
        <v>0.1</v>
      </c>
      <c r="AV94" s="259">
        <v>0.1</v>
      </c>
      <c r="AW94" s="259">
        <v>0.1</v>
      </c>
      <c r="AX94" s="259">
        <v>0.1</v>
      </c>
      <c r="AY94" s="259">
        <v>0.1</v>
      </c>
      <c r="AZ94" s="259">
        <v>0.1</v>
      </c>
      <c r="BA94" s="259">
        <v>0.1</v>
      </c>
      <c r="BB94" s="259">
        <v>0.1</v>
      </c>
      <c r="BC94" s="259">
        <v>0.1</v>
      </c>
      <c r="BD94" s="259">
        <v>0.1</v>
      </c>
      <c r="BE94" s="259">
        <v>0.1</v>
      </c>
      <c r="BF94" s="259">
        <v>0.1</v>
      </c>
      <c r="BG94" s="259">
        <v>0.1</v>
      </c>
      <c r="BH94" s="259">
        <v>0.1</v>
      </c>
      <c r="BI94" s="259">
        <v>0.1</v>
      </c>
      <c r="BJ94" s="260">
        <v>0.1</v>
      </c>
      <c r="BK94">
        <v>0.1</v>
      </c>
      <c r="BL94">
        <v>0.1</v>
      </c>
      <c r="BM94">
        <v>0.1</v>
      </c>
      <c r="BN94">
        <v>0.1</v>
      </c>
      <c r="BO94">
        <v>0.1</v>
      </c>
      <c r="BP94">
        <f t="shared" si="4"/>
        <v>0.5</v>
      </c>
      <c r="BS94">
        <v>91</v>
      </c>
      <c r="BT94" s="271">
        <v>4.38</v>
      </c>
      <c r="BU94" s="270">
        <v>1.4</v>
      </c>
      <c r="BV94" s="2"/>
      <c r="BX94" s="2"/>
      <c r="BY94" s="258">
        <v>0.1</v>
      </c>
      <c r="BZ94" s="259">
        <v>0.1</v>
      </c>
      <c r="CA94" s="259">
        <v>0.1</v>
      </c>
      <c r="CB94" s="259">
        <v>0.1</v>
      </c>
      <c r="CC94" s="259">
        <v>0.1</v>
      </c>
      <c r="CD94" s="259">
        <v>0.1</v>
      </c>
      <c r="CE94" s="259">
        <v>0.1</v>
      </c>
      <c r="CF94" s="259">
        <v>0.1</v>
      </c>
      <c r="CG94" s="259">
        <v>0.1</v>
      </c>
      <c r="CH94" s="259">
        <v>0.1</v>
      </c>
      <c r="CI94" s="259">
        <v>0.1</v>
      </c>
      <c r="CJ94" s="259">
        <v>0.1</v>
      </c>
      <c r="CK94" s="259">
        <v>0.1</v>
      </c>
      <c r="CL94" s="259">
        <v>0.1</v>
      </c>
      <c r="CM94" s="259">
        <v>0.1</v>
      </c>
      <c r="CN94" s="259">
        <v>0.1</v>
      </c>
      <c r="CO94" s="259">
        <v>0.1</v>
      </c>
      <c r="CP94" s="259">
        <v>0.1</v>
      </c>
      <c r="CQ94" s="259">
        <v>0.1</v>
      </c>
      <c r="CR94" s="259">
        <v>0.1</v>
      </c>
      <c r="CS94" s="259">
        <v>0.1</v>
      </c>
      <c r="CT94" s="259">
        <v>0.1</v>
      </c>
      <c r="CU94" s="259">
        <v>0.1</v>
      </c>
      <c r="CV94" s="259">
        <v>0.1</v>
      </c>
      <c r="CW94" s="259">
        <v>0.1</v>
      </c>
      <c r="CX94" s="259">
        <v>0.1</v>
      </c>
      <c r="CY94" s="259">
        <v>0.1</v>
      </c>
      <c r="CZ94" s="259">
        <v>0.1</v>
      </c>
      <c r="DA94" s="259">
        <v>0.1</v>
      </c>
      <c r="DB94" s="259">
        <v>0.1</v>
      </c>
      <c r="DC94" s="259">
        <v>0.1</v>
      </c>
      <c r="DD94" s="259">
        <v>0.1</v>
      </c>
      <c r="DE94" s="259">
        <v>0.1</v>
      </c>
      <c r="DF94" s="259">
        <v>0.1</v>
      </c>
      <c r="DG94" s="259">
        <v>0.1</v>
      </c>
      <c r="DH94" s="259">
        <v>0.1</v>
      </c>
      <c r="DI94" s="259">
        <v>0.1</v>
      </c>
      <c r="DJ94" s="259">
        <v>0.1</v>
      </c>
      <c r="DK94" s="259">
        <v>0.1</v>
      </c>
      <c r="DL94" s="259">
        <v>0.1</v>
      </c>
      <c r="DM94" s="259">
        <v>0.1</v>
      </c>
      <c r="DN94" s="259">
        <v>0.1</v>
      </c>
      <c r="DO94" s="259">
        <v>0.1</v>
      </c>
      <c r="DP94" s="260">
        <v>0.1</v>
      </c>
      <c r="DQ94" s="258">
        <v>0.1</v>
      </c>
      <c r="DR94" s="259">
        <v>0.1</v>
      </c>
      <c r="DS94" s="259">
        <v>0.1</v>
      </c>
      <c r="DT94" s="259">
        <v>0.1</v>
      </c>
      <c r="DU94" s="259">
        <v>0.1</v>
      </c>
      <c r="DV94" s="259">
        <v>0.1</v>
      </c>
      <c r="DW94" s="259">
        <v>0.1</v>
      </c>
      <c r="DX94" s="259">
        <v>0.1</v>
      </c>
      <c r="DY94" s="259">
        <v>0.1</v>
      </c>
      <c r="DZ94" s="259">
        <v>0.1</v>
      </c>
      <c r="EA94" s="259">
        <v>0.1</v>
      </c>
      <c r="EB94" s="259">
        <v>0.1</v>
      </c>
      <c r="EC94" s="259">
        <v>0.1</v>
      </c>
      <c r="ED94" s="260">
        <v>0.1</v>
      </c>
      <c r="EE94">
        <v>0.1</v>
      </c>
      <c r="EF94">
        <v>0.1</v>
      </c>
      <c r="EG94">
        <f t="shared" si="5"/>
        <v>0.2</v>
      </c>
      <c r="EJ94">
        <v>91</v>
      </c>
      <c r="EN94">
        <v>0.1</v>
      </c>
      <c r="EO94">
        <v>0.1</v>
      </c>
      <c r="EP94">
        <v>0.1</v>
      </c>
      <c r="EQ94">
        <v>0.1</v>
      </c>
      <c r="ER94">
        <v>0.1</v>
      </c>
      <c r="ES94">
        <v>0.1</v>
      </c>
      <c r="ET94">
        <v>0.1</v>
      </c>
      <c r="EU94">
        <v>0.1</v>
      </c>
      <c r="EV94">
        <v>0.1</v>
      </c>
      <c r="EW94">
        <v>0.1</v>
      </c>
      <c r="EX94">
        <v>0.1</v>
      </c>
      <c r="EY94">
        <v>0.1</v>
      </c>
      <c r="EZ94">
        <v>0.1</v>
      </c>
      <c r="FA94">
        <v>0.1</v>
      </c>
      <c r="FB94">
        <v>0.1</v>
      </c>
      <c r="FC94">
        <v>0.1</v>
      </c>
      <c r="FD94">
        <v>0.1</v>
      </c>
      <c r="FE94">
        <v>0.1</v>
      </c>
      <c r="FF94">
        <v>0.1</v>
      </c>
      <c r="FG94">
        <v>0.1</v>
      </c>
      <c r="FH94">
        <v>0.1</v>
      </c>
      <c r="FI94">
        <v>0.1</v>
      </c>
      <c r="FJ94">
        <v>0.1</v>
      </c>
      <c r="FK94">
        <v>0.1</v>
      </c>
      <c r="FL94">
        <v>0.1</v>
      </c>
      <c r="FM94">
        <v>0.1</v>
      </c>
      <c r="FN94">
        <v>0.1</v>
      </c>
      <c r="FO94">
        <v>0.1</v>
      </c>
      <c r="FP94">
        <v>0.1</v>
      </c>
      <c r="FQ94">
        <v>0.1</v>
      </c>
      <c r="FU94">
        <v>91</v>
      </c>
      <c r="GB94">
        <v>0.1</v>
      </c>
      <c r="GC94">
        <v>0.1</v>
      </c>
      <c r="GD94">
        <v>0.1</v>
      </c>
      <c r="GE94">
        <v>0.1</v>
      </c>
      <c r="GF94">
        <v>0.1</v>
      </c>
      <c r="GG94">
        <v>0.1</v>
      </c>
      <c r="GH94">
        <v>0.1</v>
      </c>
      <c r="GI94">
        <v>0.1</v>
      </c>
      <c r="GJ94">
        <v>0.1</v>
      </c>
      <c r="GK94">
        <v>0.1</v>
      </c>
      <c r="GL94">
        <v>0.1</v>
      </c>
      <c r="GM94">
        <v>0.1</v>
      </c>
      <c r="GN94">
        <v>0.1</v>
      </c>
      <c r="GO94">
        <v>0.1</v>
      </c>
      <c r="GP94">
        <v>0.1</v>
      </c>
      <c r="GQ94">
        <v>0.1</v>
      </c>
      <c r="GR94">
        <v>0.1</v>
      </c>
      <c r="GS94">
        <v>0.1</v>
      </c>
      <c r="GT94">
        <v>0.1</v>
      </c>
      <c r="GU94">
        <v>0.1</v>
      </c>
      <c r="GV94">
        <v>0.1</v>
      </c>
      <c r="GW94">
        <v>0.1</v>
      </c>
      <c r="GX94">
        <v>0.1</v>
      </c>
      <c r="GY94">
        <v>0.1</v>
      </c>
      <c r="GZ94">
        <v>0.1</v>
      </c>
      <c r="HA94">
        <v>0.1</v>
      </c>
      <c r="HB94">
        <v>0.1</v>
      </c>
      <c r="HC94">
        <v>0.1</v>
      </c>
      <c r="HD94">
        <v>0.1</v>
      </c>
      <c r="HE94">
        <v>0.1</v>
      </c>
      <c r="HF94">
        <v>0.1</v>
      </c>
      <c r="HG94">
        <v>0.1</v>
      </c>
      <c r="HH94">
        <v>0.1</v>
      </c>
      <c r="HI94">
        <v>0.1</v>
      </c>
      <c r="HJ94">
        <v>0.1</v>
      </c>
      <c r="HK94">
        <v>0.1</v>
      </c>
      <c r="HL94">
        <v>0.1</v>
      </c>
      <c r="HM94">
        <v>0.1</v>
      </c>
      <c r="HN94">
        <v>0.1</v>
      </c>
      <c r="HO94">
        <v>0.1</v>
      </c>
    </row>
    <row r="95" spans="1:224" ht="15.75" thickBot="1" x14ac:dyDescent="0.3">
      <c r="A95">
        <v>92</v>
      </c>
      <c r="B95" s="269">
        <v>3.72</v>
      </c>
      <c r="C95" s="269">
        <v>1.66</v>
      </c>
      <c r="D95" s="2"/>
      <c r="E95" s="2"/>
      <c r="F95" s="2"/>
      <c r="G95" s="2"/>
      <c r="H95" s="258">
        <v>0.1</v>
      </c>
      <c r="I95" s="259">
        <v>0.1</v>
      </c>
      <c r="J95" s="259">
        <v>0.1</v>
      </c>
      <c r="K95" s="259">
        <v>0.1</v>
      </c>
      <c r="L95" s="259">
        <v>0.1</v>
      </c>
      <c r="M95" s="259">
        <v>0.1</v>
      </c>
      <c r="N95" s="259">
        <v>0.1</v>
      </c>
      <c r="O95" s="259">
        <v>0.1</v>
      </c>
      <c r="P95" s="259">
        <v>0.1</v>
      </c>
      <c r="Q95" s="259">
        <v>0.1</v>
      </c>
      <c r="R95" s="259">
        <v>0.1</v>
      </c>
      <c r="S95" s="259">
        <v>0.1</v>
      </c>
      <c r="T95" s="259">
        <v>0.1</v>
      </c>
      <c r="U95" s="259">
        <v>0.1</v>
      </c>
      <c r="V95" s="259">
        <v>0.1</v>
      </c>
      <c r="W95" s="259">
        <v>0.1</v>
      </c>
      <c r="X95" s="259">
        <v>0.1</v>
      </c>
      <c r="Y95" s="259">
        <v>0.1</v>
      </c>
      <c r="Z95" s="259">
        <v>0.1</v>
      </c>
      <c r="AA95" s="259">
        <v>0.1</v>
      </c>
      <c r="AB95" s="259">
        <v>0.1</v>
      </c>
      <c r="AC95" s="259">
        <v>0.1</v>
      </c>
      <c r="AD95" s="259">
        <v>0.1</v>
      </c>
      <c r="AE95" s="259">
        <v>0.1</v>
      </c>
      <c r="AF95" s="259">
        <v>0.1</v>
      </c>
      <c r="AG95" s="259">
        <v>0.1</v>
      </c>
      <c r="AH95" s="259">
        <v>0.1</v>
      </c>
      <c r="AI95" s="259">
        <v>0.1</v>
      </c>
      <c r="AJ95" s="259">
        <v>0.1</v>
      </c>
      <c r="AK95" s="259">
        <v>0.1</v>
      </c>
      <c r="AL95" s="259">
        <v>0.1</v>
      </c>
      <c r="AM95" s="259">
        <v>0.1</v>
      </c>
      <c r="AN95" s="259">
        <v>0.1</v>
      </c>
      <c r="AO95" s="259">
        <v>0.1</v>
      </c>
      <c r="AP95" s="259">
        <v>0.1</v>
      </c>
      <c r="AQ95" s="259">
        <v>0.1</v>
      </c>
      <c r="AR95" s="259">
        <v>0.1</v>
      </c>
      <c r="AS95" s="260">
        <v>0.1</v>
      </c>
      <c r="AT95" s="258">
        <v>0.1</v>
      </c>
      <c r="AU95" s="259">
        <v>0.1</v>
      </c>
      <c r="AV95" s="259">
        <v>0.1</v>
      </c>
      <c r="AW95" s="259">
        <v>0.1</v>
      </c>
      <c r="AX95" s="259">
        <v>0.1</v>
      </c>
      <c r="AY95" s="259">
        <v>0.1</v>
      </c>
      <c r="AZ95" s="259">
        <v>0.1</v>
      </c>
      <c r="BA95" s="259">
        <v>0.1</v>
      </c>
      <c r="BB95" s="259">
        <v>0.1</v>
      </c>
      <c r="BC95" s="259">
        <v>0.1</v>
      </c>
      <c r="BD95" s="259">
        <v>0.1</v>
      </c>
      <c r="BE95" s="259">
        <v>0.1</v>
      </c>
      <c r="BF95" s="259">
        <v>0.1</v>
      </c>
      <c r="BG95" s="259">
        <v>0.1</v>
      </c>
      <c r="BH95" s="259">
        <v>0.1</v>
      </c>
      <c r="BI95" s="259">
        <v>0.1</v>
      </c>
      <c r="BJ95" s="260">
        <v>0.1</v>
      </c>
      <c r="BK95">
        <v>0.1</v>
      </c>
      <c r="BL95">
        <v>0.1</v>
      </c>
      <c r="BM95">
        <v>0.1</v>
      </c>
      <c r="BN95">
        <v>0.1</v>
      </c>
      <c r="BO95">
        <v>0.1</v>
      </c>
      <c r="BP95">
        <f t="shared" si="4"/>
        <v>0.5</v>
      </c>
      <c r="BS95">
        <v>92</v>
      </c>
      <c r="BT95" s="270">
        <v>4.38</v>
      </c>
      <c r="BU95" s="271">
        <v>1.4</v>
      </c>
      <c r="BV95" s="2"/>
      <c r="BX95" s="2"/>
      <c r="BY95" s="258">
        <v>0.1</v>
      </c>
      <c r="BZ95" s="259">
        <v>0.1</v>
      </c>
      <c r="CA95" s="259">
        <v>0.1</v>
      </c>
      <c r="CB95" s="259">
        <v>0.1</v>
      </c>
      <c r="CC95" s="259">
        <v>0.1</v>
      </c>
      <c r="CD95" s="259">
        <v>0.1</v>
      </c>
      <c r="CE95" s="259">
        <v>0.1</v>
      </c>
      <c r="CF95" s="259">
        <v>0.1</v>
      </c>
      <c r="CG95" s="259">
        <v>0.1</v>
      </c>
      <c r="CH95" s="259">
        <v>0.1</v>
      </c>
      <c r="CI95" s="259">
        <v>0.1</v>
      </c>
      <c r="CJ95" s="259">
        <v>0.1</v>
      </c>
      <c r="CK95" s="259">
        <v>0.1</v>
      </c>
      <c r="CL95" s="259">
        <v>0.1</v>
      </c>
      <c r="CM95" s="259">
        <v>0.1</v>
      </c>
      <c r="CN95" s="259">
        <v>0.1</v>
      </c>
      <c r="CO95" s="259">
        <v>0.1</v>
      </c>
      <c r="CP95" s="259">
        <v>0.1</v>
      </c>
      <c r="CQ95" s="259">
        <v>0.1</v>
      </c>
      <c r="CR95" s="259">
        <v>0.1</v>
      </c>
      <c r="CS95" s="259">
        <v>0.1</v>
      </c>
      <c r="CT95" s="259">
        <v>0.1</v>
      </c>
      <c r="CU95" s="259">
        <v>0.1</v>
      </c>
      <c r="CV95" s="259">
        <v>0.1</v>
      </c>
      <c r="CW95" s="259">
        <v>0.1</v>
      </c>
      <c r="CX95" s="259">
        <v>0.1</v>
      </c>
      <c r="CY95" s="259">
        <v>0.1</v>
      </c>
      <c r="CZ95" s="259">
        <v>0.1</v>
      </c>
      <c r="DA95" s="259">
        <v>0.1</v>
      </c>
      <c r="DB95" s="259">
        <v>0.1</v>
      </c>
      <c r="DC95" s="259">
        <v>0.1</v>
      </c>
      <c r="DD95" s="259">
        <v>0.1</v>
      </c>
      <c r="DE95" s="259">
        <v>0.1</v>
      </c>
      <c r="DF95" s="259">
        <v>0.1</v>
      </c>
      <c r="DG95" s="259">
        <v>0.1</v>
      </c>
      <c r="DH95" s="259">
        <v>0.1</v>
      </c>
      <c r="DI95" s="259">
        <v>0.1</v>
      </c>
      <c r="DJ95" s="259">
        <v>0.1</v>
      </c>
      <c r="DK95" s="259">
        <v>0.1</v>
      </c>
      <c r="DL95" s="259">
        <v>0.1</v>
      </c>
      <c r="DM95" s="259">
        <v>0.1</v>
      </c>
      <c r="DN95" s="259">
        <v>0.1</v>
      </c>
      <c r="DO95" s="259">
        <v>0.1</v>
      </c>
      <c r="DP95" s="260">
        <v>0.1</v>
      </c>
      <c r="DQ95" s="258">
        <v>0.1</v>
      </c>
      <c r="DR95" s="259">
        <v>0.1</v>
      </c>
      <c r="DS95" s="259">
        <v>0.1</v>
      </c>
      <c r="DT95" s="259">
        <v>0.1</v>
      </c>
      <c r="DU95" s="259">
        <v>0.1</v>
      </c>
      <c r="DV95" s="259">
        <v>0.1</v>
      </c>
      <c r="DW95" s="259">
        <v>0.1</v>
      </c>
      <c r="DX95" s="259">
        <v>0.1</v>
      </c>
      <c r="DY95" s="259">
        <v>0.1</v>
      </c>
      <c r="DZ95" s="259">
        <v>0.1</v>
      </c>
      <c r="EA95" s="259">
        <v>0.1</v>
      </c>
      <c r="EB95" s="259">
        <v>0.1</v>
      </c>
      <c r="EC95" s="259">
        <v>0.1</v>
      </c>
      <c r="ED95" s="260">
        <v>0.1</v>
      </c>
      <c r="EE95">
        <v>0.1</v>
      </c>
      <c r="EF95">
        <v>0.1</v>
      </c>
      <c r="EG95">
        <f t="shared" si="5"/>
        <v>0.2</v>
      </c>
      <c r="EJ95">
        <v>92</v>
      </c>
      <c r="EN95">
        <v>0.1</v>
      </c>
      <c r="EO95">
        <v>0.1</v>
      </c>
      <c r="EP95">
        <v>0.1</v>
      </c>
      <c r="EQ95">
        <v>0.1</v>
      </c>
      <c r="ER95">
        <v>0.1</v>
      </c>
      <c r="ES95">
        <v>0.1</v>
      </c>
      <c r="ET95">
        <v>0.1</v>
      </c>
      <c r="EU95">
        <v>0.1</v>
      </c>
      <c r="EV95">
        <v>0.1</v>
      </c>
      <c r="EW95">
        <v>0.1</v>
      </c>
      <c r="EX95">
        <v>0.1</v>
      </c>
      <c r="EY95">
        <v>0.1</v>
      </c>
      <c r="EZ95">
        <v>0.1</v>
      </c>
      <c r="FA95">
        <v>0.1</v>
      </c>
      <c r="FB95">
        <v>0.1</v>
      </c>
      <c r="FC95">
        <v>0.1</v>
      </c>
      <c r="FD95">
        <v>0.1</v>
      </c>
      <c r="FE95">
        <v>0.1</v>
      </c>
      <c r="FF95">
        <v>0.1</v>
      </c>
      <c r="FG95">
        <v>0.1</v>
      </c>
      <c r="FH95">
        <v>0.1</v>
      </c>
      <c r="FI95">
        <v>0.1</v>
      </c>
      <c r="FJ95">
        <v>0.1</v>
      </c>
      <c r="FK95">
        <v>0.1</v>
      </c>
      <c r="FL95">
        <v>0.1</v>
      </c>
      <c r="FM95">
        <v>0.1</v>
      </c>
      <c r="FN95">
        <v>0.1</v>
      </c>
      <c r="FO95">
        <v>0.1</v>
      </c>
      <c r="FP95">
        <v>0.1</v>
      </c>
      <c r="FQ95">
        <v>0.1</v>
      </c>
      <c r="FU95">
        <v>92</v>
      </c>
      <c r="GB95">
        <v>0.1</v>
      </c>
      <c r="GC95">
        <v>0.1</v>
      </c>
      <c r="GD95">
        <v>0.1</v>
      </c>
      <c r="GE95">
        <v>0.1</v>
      </c>
      <c r="GF95">
        <v>0.1</v>
      </c>
      <c r="GG95">
        <v>0.1</v>
      </c>
      <c r="GH95">
        <v>0.1</v>
      </c>
      <c r="GI95">
        <v>0.1</v>
      </c>
      <c r="GJ95">
        <v>0.1</v>
      </c>
      <c r="GK95">
        <v>0.1</v>
      </c>
      <c r="GL95">
        <v>0.1</v>
      </c>
      <c r="GM95">
        <v>0.1</v>
      </c>
      <c r="GN95">
        <v>0.1</v>
      </c>
      <c r="GO95">
        <v>0.1</v>
      </c>
      <c r="GP95">
        <v>0.1</v>
      </c>
      <c r="GQ95">
        <v>0.1</v>
      </c>
      <c r="GR95">
        <v>0.1</v>
      </c>
      <c r="GS95">
        <v>0.1</v>
      </c>
      <c r="GT95">
        <v>0.1</v>
      </c>
      <c r="GU95">
        <v>0.1</v>
      </c>
      <c r="GV95">
        <v>0.1</v>
      </c>
      <c r="GW95">
        <v>0.1</v>
      </c>
      <c r="GX95">
        <v>0.1</v>
      </c>
      <c r="GY95">
        <v>0.1</v>
      </c>
      <c r="GZ95">
        <v>0.1</v>
      </c>
      <c r="HA95">
        <v>0.1</v>
      </c>
      <c r="HB95">
        <v>0.1</v>
      </c>
      <c r="HC95">
        <v>0.1</v>
      </c>
      <c r="HD95">
        <v>0.1</v>
      </c>
      <c r="HE95">
        <v>0.1</v>
      </c>
      <c r="HF95">
        <v>0.1</v>
      </c>
      <c r="HG95">
        <v>0.1</v>
      </c>
      <c r="HH95">
        <v>0.1</v>
      </c>
      <c r="HI95">
        <v>0.1</v>
      </c>
      <c r="HJ95">
        <v>0.1</v>
      </c>
      <c r="HK95">
        <v>0.1</v>
      </c>
      <c r="HL95">
        <v>0.1</v>
      </c>
      <c r="HM95">
        <v>0.1</v>
      </c>
      <c r="HN95">
        <v>0.1</v>
      </c>
      <c r="HO95">
        <v>0.1</v>
      </c>
    </row>
    <row r="96" spans="1:224" ht="15.75" thickBot="1" x14ac:dyDescent="0.3">
      <c r="A96">
        <v>93</v>
      </c>
      <c r="B96" s="268">
        <v>3.72</v>
      </c>
      <c r="C96" s="268">
        <v>1.66</v>
      </c>
      <c r="D96" s="2"/>
      <c r="E96" s="2"/>
      <c r="F96" s="2"/>
      <c r="G96" s="2"/>
      <c r="H96" s="258">
        <v>0.1</v>
      </c>
      <c r="I96" s="259">
        <v>0.1</v>
      </c>
      <c r="J96" s="259">
        <v>0.1</v>
      </c>
      <c r="K96" s="259">
        <v>0.1</v>
      </c>
      <c r="L96" s="259">
        <v>0.1</v>
      </c>
      <c r="M96" s="259">
        <v>0.1</v>
      </c>
      <c r="N96" s="259">
        <v>0.1</v>
      </c>
      <c r="O96" s="259">
        <v>0.1</v>
      </c>
      <c r="P96" s="259">
        <v>0.1</v>
      </c>
      <c r="Q96" s="259">
        <v>0.1</v>
      </c>
      <c r="R96" s="259">
        <v>0.1</v>
      </c>
      <c r="S96" s="259">
        <v>0.1</v>
      </c>
      <c r="T96" s="259">
        <v>0.1</v>
      </c>
      <c r="U96" s="259">
        <v>0.1</v>
      </c>
      <c r="V96" s="259">
        <v>0.1</v>
      </c>
      <c r="W96" s="259">
        <v>0.1</v>
      </c>
      <c r="X96" s="259">
        <v>0.1</v>
      </c>
      <c r="Y96" s="259">
        <v>0.1</v>
      </c>
      <c r="Z96" s="259">
        <v>0.1</v>
      </c>
      <c r="AA96" s="259">
        <v>0.1</v>
      </c>
      <c r="AB96" s="259">
        <v>0.1</v>
      </c>
      <c r="AC96" s="259">
        <v>0.1</v>
      </c>
      <c r="AD96" s="259">
        <v>0.1</v>
      </c>
      <c r="AE96" s="259">
        <v>0.1</v>
      </c>
      <c r="AF96" s="259">
        <v>0.1</v>
      </c>
      <c r="AG96" s="259">
        <v>0.1</v>
      </c>
      <c r="AH96" s="259">
        <v>0.1</v>
      </c>
      <c r="AI96" s="259">
        <v>0.1</v>
      </c>
      <c r="AJ96" s="259">
        <v>0.1</v>
      </c>
      <c r="AK96" s="259">
        <v>0.1</v>
      </c>
      <c r="AL96" s="259">
        <v>0.1</v>
      </c>
      <c r="AM96" s="259">
        <v>0.1</v>
      </c>
      <c r="AN96" s="259">
        <v>0.1</v>
      </c>
      <c r="AO96" s="259">
        <v>0.1</v>
      </c>
      <c r="AP96" s="259">
        <v>0.1</v>
      </c>
      <c r="AQ96" s="259">
        <v>0.1</v>
      </c>
      <c r="AR96" s="259">
        <v>0.1</v>
      </c>
      <c r="AS96" s="260">
        <v>0.1</v>
      </c>
      <c r="AT96" s="258">
        <v>0.1</v>
      </c>
      <c r="AU96" s="259">
        <v>0.1</v>
      </c>
      <c r="AV96" s="259">
        <v>0.1</v>
      </c>
      <c r="AW96" s="259">
        <v>0.1</v>
      </c>
      <c r="AX96" s="259">
        <v>0.1</v>
      </c>
      <c r="AY96" s="259">
        <v>0.1</v>
      </c>
      <c r="AZ96" s="259">
        <v>0.1</v>
      </c>
      <c r="BA96" s="259">
        <v>0.1</v>
      </c>
      <c r="BB96" s="259">
        <v>0.1</v>
      </c>
      <c r="BC96" s="259">
        <v>0.1</v>
      </c>
      <c r="BD96" s="259">
        <v>0.1</v>
      </c>
      <c r="BE96" s="259">
        <v>0.1</v>
      </c>
      <c r="BF96" s="259">
        <v>0.1</v>
      </c>
      <c r="BG96" s="259">
        <v>0.1</v>
      </c>
      <c r="BH96" s="259">
        <v>0.1</v>
      </c>
      <c r="BI96" s="259">
        <v>0.1</v>
      </c>
      <c r="BJ96" s="260">
        <v>0.1</v>
      </c>
      <c r="BK96">
        <v>0.1</v>
      </c>
      <c r="BL96">
        <v>0.1</v>
      </c>
      <c r="BM96">
        <v>0.1</v>
      </c>
      <c r="BN96">
        <v>0.1</v>
      </c>
      <c r="BO96">
        <v>0.1</v>
      </c>
      <c r="BP96">
        <f t="shared" si="4"/>
        <v>0.5</v>
      </c>
      <c r="BS96">
        <v>93</v>
      </c>
      <c r="BT96" s="271">
        <v>4.37</v>
      </c>
      <c r="BU96" s="270">
        <v>1.52</v>
      </c>
      <c r="BV96" s="2"/>
      <c r="BX96" s="2"/>
      <c r="BY96" s="258">
        <v>0.1</v>
      </c>
      <c r="BZ96" s="259">
        <v>0.1</v>
      </c>
      <c r="CA96" s="259">
        <v>0.1</v>
      </c>
      <c r="CB96" s="259">
        <v>0.1</v>
      </c>
      <c r="CC96" s="259">
        <v>0.1</v>
      </c>
      <c r="CD96" s="259">
        <v>0.1</v>
      </c>
      <c r="CE96" s="259">
        <v>0.1</v>
      </c>
      <c r="CF96" s="259">
        <v>0.1</v>
      </c>
      <c r="CG96" s="259">
        <v>0.1</v>
      </c>
      <c r="CH96" s="259">
        <v>0.1</v>
      </c>
      <c r="CI96" s="259">
        <v>0.1</v>
      </c>
      <c r="CJ96" s="259">
        <v>0.1</v>
      </c>
      <c r="CK96" s="259">
        <v>0.1</v>
      </c>
      <c r="CL96" s="259">
        <v>0.1</v>
      </c>
      <c r="CM96" s="259">
        <v>0.1</v>
      </c>
      <c r="CN96" s="259">
        <v>0.1</v>
      </c>
      <c r="CO96" s="259">
        <v>0.1</v>
      </c>
      <c r="CP96" s="259">
        <v>0.1</v>
      </c>
      <c r="CQ96" s="259">
        <v>0.1</v>
      </c>
      <c r="CR96" s="259">
        <v>0.1</v>
      </c>
      <c r="CS96" s="259">
        <v>0.1</v>
      </c>
      <c r="CT96" s="259">
        <v>0.1</v>
      </c>
      <c r="CU96" s="259">
        <v>0.1</v>
      </c>
      <c r="CV96" s="259">
        <v>0.1</v>
      </c>
      <c r="CW96" s="259">
        <v>0.1</v>
      </c>
      <c r="CX96" s="259">
        <v>0.1</v>
      </c>
      <c r="CY96" s="259">
        <v>0.1</v>
      </c>
      <c r="CZ96" s="259">
        <v>0.1</v>
      </c>
      <c r="DA96" s="259">
        <v>0.1</v>
      </c>
      <c r="DB96" s="259">
        <v>0.1</v>
      </c>
      <c r="DC96" s="259">
        <v>0.1</v>
      </c>
      <c r="DD96" s="259">
        <v>0.1</v>
      </c>
      <c r="DE96" s="259">
        <v>0.1</v>
      </c>
      <c r="DF96" s="259">
        <v>0.1</v>
      </c>
      <c r="DG96" s="259">
        <v>0.1</v>
      </c>
      <c r="DH96" s="259">
        <v>0.1</v>
      </c>
      <c r="DI96" s="259">
        <v>0.1</v>
      </c>
      <c r="DJ96" s="259">
        <v>0.1</v>
      </c>
      <c r="DK96" s="259">
        <v>0.1</v>
      </c>
      <c r="DL96" s="259">
        <v>0.1</v>
      </c>
      <c r="DM96" s="259">
        <v>0.1</v>
      </c>
      <c r="DN96" s="259">
        <v>0.1</v>
      </c>
      <c r="DO96" s="259">
        <v>0.1</v>
      </c>
      <c r="DP96" s="260">
        <v>0.1</v>
      </c>
      <c r="DQ96" s="258">
        <v>0.1</v>
      </c>
      <c r="DR96" s="259">
        <v>0.1</v>
      </c>
      <c r="DS96" s="259">
        <v>0.1</v>
      </c>
      <c r="DT96" s="259">
        <v>0.1</v>
      </c>
      <c r="DU96" s="259">
        <v>0.1</v>
      </c>
      <c r="DV96" s="259">
        <v>0.1</v>
      </c>
      <c r="DW96" s="259">
        <v>0.1</v>
      </c>
      <c r="DX96" s="259">
        <v>0.1</v>
      </c>
      <c r="DY96" s="259">
        <v>0.1</v>
      </c>
      <c r="DZ96" s="259">
        <v>0.1</v>
      </c>
      <c r="EA96" s="259">
        <v>0.1</v>
      </c>
      <c r="EB96" s="259">
        <v>0.1</v>
      </c>
      <c r="EC96" s="259">
        <v>0.1</v>
      </c>
      <c r="ED96" s="259">
        <v>0.1</v>
      </c>
      <c r="EE96" s="259">
        <v>0.1</v>
      </c>
      <c r="EF96" s="260">
        <v>0.1</v>
      </c>
      <c r="EJ96">
        <v>93</v>
      </c>
      <c r="EN96">
        <v>0.1</v>
      </c>
      <c r="EO96">
        <v>0.1</v>
      </c>
      <c r="EP96">
        <v>0.1</v>
      </c>
      <c r="EQ96">
        <v>0.1</v>
      </c>
      <c r="ER96">
        <v>0.1</v>
      </c>
      <c r="ES96">
        <v>0.1</v>
      </c>
      <c r="ET96">
        <v>0.1</v>
      </c>
      <c r="EU96">
        <v>0.1</v>
      </c>
      <c r="EV96">
        <v>0.1</v>
      </c>
      <c r="EW96">
        <v>0.1</v>
      </c>
      <c r="EX96">
        <v>0.1</v>
      </c>
      <c r="EY96">
        <v>0.1</v>
      </c>
      <c r="EZ96">
        <v>0.1</v>
      </c>
      <c r="FA96">
        <v>0.1</v>
      </c>
      <c r="FB96">
        <v>0.1</v>
      </c>
      <c r="FC96">
        <v>0.1</v>
      </c>
      <c r="FD96">
        <v>0.1</v>
      </c>
      <c r="FE96">
        <v>0.1</v>
      </c>
      <c r="FF96">
        <v>0.1</v>
      </c>
      <c r="FG96">
        <v>0.1</v>
      </c>
      <c r="FH96">
        <v>0.1</v>
      </c>
      <c r="FI96">
        <v>0.1</v>
      </c>
      <c r="FJ96">
        <v>0.1</v>
      </c>
      <c r="FK96">
        <v>0.1</v>
      </c>
      <c r="FL96">
        <v>0.1</v>
      </c>
      <c r="FM96">
        <v>0.1</v>
      </c>
      <c r="FN96">
        <v>0.1</v>
      </c>
      <c r="FO96">
        <v>0.1</v>
      </c>
      <c r="FP96">
        <v>0.1</v>
      </c>
      <c r="FQ96">
        <v>0.1</v>
      </c>
      <c r="FU96">
        <v>93</v>
      </c>
      <c r="GB96">
        <v>0.1</v>
      </c>
      <c r="GC96">
        <v>0.1</v>
      </c>
      <c r="GD96">
        <v>0.1</v>
      </c>
      <c r="GE96">
        <v>0.1</v>
      </c>
      <c r="GF96">
        <v>0.1</v>
      </c>
      <c r="GG96">
        <v>0.1</v>
      </c>
      <c r="GH96">
        <v>0.1</v>
      </c>
      <c r="GI96">
        <v>0.1</v>
      </c>
      <c r="GJ96">
        <v>0.1</v>
      </c>
      <c r="GK96">
        <v>0.1</v>
      </c>
      <c r="GL96">
        <v>0.1</v>
      </c>
      <c r="GM96">
        <v>0.1</v>
      </c>
      <c r="GN96">
        <v>0.1</v>
      </c>
      <c r="GO96">
        <v>0.1</v>
      </c>
      <c r="GP96">
        <v>0.1</v>
      </c>
      <c r="GQ96">
        <v>0.1</v>
      </c>
      <c r="GR96">
        <v>0.1</v>
      </c>
      <c r="GS96">
        <v>0.1</v>
      </c>
      <c r="GT96">
        <v>0.1</v>
      </c>
      <c r="GU96">
        <v>0.1</v>
      </c>
      <c r="GV96">
        <v>0.1</v>
      </c>
      <c r="GW96">
        <v>0.1</v>
      </c>
      <c r="GX96">
        <v>0.1</v>
      </c>
      <c r="GY96">
        <v>0.1</v>
      </c>
      <c r="GZ96">
        <v>0.1</v>
      </c>
      <c r="HA96">
        <v>0.1</v>
      </c>
      <c r="HB96">
        <v>0.1</v>
      </c>
      <c r="HC96">
        <v>0.1</v>
      </c>
      <c r="HD96">
        <v>0.1</v>
      </c>
      <c r="HE96">
        <v>0.1</v>
      </c>
      <c r="HF96">
        <v>0.1</v>
      </c>
      <c r="HG96">
        <v>0.1</v>
      </c>
      <c r="HH96">
        <v>0.1</v>
      </c>
      <c r="HI96">
        <v>0.1</v>
      </c>
      <c r="HJ96">
        <v>0.1</v>
      </c>
      <c r="HK96">
        <v>0.1</v>
      </c>
      <c r="HL96">
        <v>0.1</v>
      </c>
      <c r="HM96">
        <v>0.1</v>
      </c>
      <c r="HN96">
        <v>0.1</v>
      </c>
      <c r="HO96">
        <v>0.1</v>
      </c>
    </row>
    <row r="97" spans="1:223" ht="15.75" thickBot="1" x14ac:dyDescent="0.3">
      <c r="A97">
        <v>94</v>
      </c>
      <c r="B97" s="269">
        <v>3.72</v>
      </c>
      <c r="C97" s="269">
        <v>1.65</v>
      </c>
      <c r="D97" s="2"/>
      <c r="E97" s="2"/>
      <c r="F97" s="2"/>
      <c r="G97" s="2"/>
      <c r="H97" s="258">
        <v>0.1</v>
      </c>
      <c r="I97" s="259">
        <v>0.1</v>
      </c>
      <c r="J97" s="259">
        <v>0.1</v>
      </c>
      <c r="K97" s="259">
        <v>0.1</v>
      </c>
      <c r="L97" s="259">
        <v>0.1</v>
      </c>
      <c r="M97" s="259">
        <v>0.1</v>
      </c>
      <c r="N97" s="259">
        <v>0.1</v>
      </c>
      <c r="O97" s="259">
        <v>0.1</v>
      </c>
      <c r="P97" s="259">
        <v>0.1</v>
      </c>
      <c r="Q97" s="259">
        <v>0.1</v>
      </c>
      <c r="R97" s="259">
        <v>0.1</v>
      </c>
      <c r="S97" s="259">
        <v>0.1</v>
      </c>
      <c r="T97" s="259">
        <v>0.1</v>
      </c>
      <c r="U97" s="259">
        <v>0.1</v>
      </c>
      <c r="V97" s="259">
        <v>0.1</v>
      </c>
      <c r="W97" s="259">
        <v>0.1</v>
      </c>
      <c r="X97" s="259">
        <v>0.1</v>
      </c>
      <c r="Y97" s="259">
        <v>0.1</v>
      </c>
      <c r="Z97" s="259">
        <v>0.1</v>
      </c>
      <c r="AA97" s="259">
        <v>0.1</v>
      </c>
      <c r="AB97" s="259">
        <v>0.1</v>
      </c>
      <c r="AC97" s="259">
        <v>0.1</v>
      </c>
      <c r="AD97" s="259">
        <v>0.1</v>
      </c>
      <c r="AE97" s="259">
        <v>0.1</v>
      </c>
      <c r="AF97" s="259">
        <v>0.1</v>
      </c>
      <c r="AG97" s="259">
        <v>0.1</v>
      </c>
      <c r="AH97" s="259">
        <v>0.1</v>
      </c>
      <c r="AI97" s="259">
        <v>0.1</v>
      </c>
      <c r="AJ97" s="259">
        <v>0.1</v>
      </c>
      <c r="AK97" s="259">
        <v>0.1</v>
      </c>
      <c r="AL97" s="259">
        <v>0.1</v>
      </c>
      <c r="AM97" s="259">
        <v>0.1</v>
      </c>
      <c r="AN97" s="259">
        <v>0.1</v>
      </c>
      <c r="AO97" s="259">
        <v>0.1</v>
      </c>
      <c r="AP97" s="259">
        <v>0.1</v>
      </c>
      <c r="AQ97" s="259">
        <v>0.1</v>
      </c>
      <c r="AR97" s="259">
        <v>0.1</v>
      </c>
      <c r="AS97" s="260">
        <v>0.1</v>
      </c>
      <c r="AT97" s="258">
        <v>0.1</v>
      </c>
      <c r="AU97" s="259">
        <v>0.1</v>
      </c>
      <c r="AV97" s="259">
        <v>0.1</v>
      </c>
      <c r="AW97" s="259">
        <v>0.1</v>
      </c>
      <c r="AX97" s="259">
        <v>0.1</v>
      </c>
      <c r="AY97" s="259">
        <v>0.1</v>
      </c>
      <c r="AZ97" s="259">
        <v>0.1</v>
      </c>
      <c r="BA97" s="259">
        <v>0.1</v>
      </c>
      <c r="BB97" s="259">
        <v>0.1</v>
      </c>
      <c r="BC97" s="259">
        <v>0.1</v>
      </c>
      <c r="BD97" s="259">
        <v>0.1</v>
      </c>
      <c r="BE97" s="259">
        <v>0.1</v>
      </c>
      <c r="BF97" s="259">
        <v>0.1</v>
      </c>
      <c r="BG97" s="259">
        <v>0.1</v>
      </c>
      <c r="BH97" s="259">
        <v>0.1</v>
      </c>
      <c r="BI97" s="259">
        <v>0.1</v>
      </c>
      <c r="BJ97" s="260">
        <v>0.1</v>
      </c>
      <c r="BK97">
        <v>0.1</v>
      </c>
      <c r="BL97">
        <v>0.1</v>
      </c>
      <c r="BM97">
        <v>0.1</v>
      </c>
      <c r="BN97">
        <v>0.1</v>
      </c>
      <c r="BO97">
        <v>0.1</v>
      </c>
      <c r="BP97">
        <f t="shared" si="4"/>
        <v>0.5</v>
      </c>
      <c r="BS97">
        <v>94</v>
      </c>
      <c r="BT97" s="270">
        <v>4.37</v>
      </c>
      <c r="BU97" s="271">
        <v>1.55</v>
      </c>
      <c r="BV97" s="2"/>
      <c r="BX97" s="2"/>
      <c r="BY97" s="258">
        <v>0.1</v>
      </c>
      <c r="BZ97" s="259">
        <v>0.1</v>
      </c>
      <c r="CA97" s="259">
        <v>0.1</v>
      </c>
      <c r="CB97" s="259">
        <v>0.1</v>
      </c>
      <c r="CC97" s="259">
        <v>0.1</v>
      </c>
      <c r="CD97" s="259">
        <v>0.1</v>
      </c>
      <c r="CE97" s="259">
        <v>0.1</v>
      </c>
      <c r="CF97" s="259">
        <v>0.1</v>
      </c>
      <c r="CG97" s="259">
        <v>0.1</v>
      </c>
      <c r="CH97" s="259">
        <v>0.1</v>
      </c>
      <c r="CI97" s="259">
        <v>0.1</v>
      </c>
      <c r="CJ97" s="259">
        <v>0.1</v>
      </c>
      <c r="CK97" s="259">
        <v>0.1</v>
      </c>
      <c r="CL97" s="259">
        <v>0.1</v>
      </c>
      <c r="CM97" s="259">
        <v>0.1</v>
      </c>
      <c r="CN97" s="259">
        <v>0.1</v>
      </c>
      <c r="CO97" s="259">
        <v>0.1</v>
      </c>
      <c r="CP97" s="259">
        <v>0.1</v>
      </c>
      <c r="CQ97" s="259">
        <v>0.1</v>
      </c>
      <c r="CR97" s="259">
        <v>0.1</v>
      </c>
      <c r="CS97" s="259">
        <v>0.1</v>
      </c>
      <c r="CT97" s="259">
        <v>0.1</v>
      </c>
      <c r="CU97" s="259">
        <v>0.1</v>
      </c>
      <c r="CV97" s="259">
        <v>0.1</v>
      </c>
      <c r="CW97" s="259">
        <v>0.1</v>
      </c>
      <c r="CX97" s="259">
        <v>0.1</v>
      </c>
      <c r="CY97" s="259">
        <v>0.1</v>
      </c>
      <c r="CZ97" s="259">
        <v>0.1</v>
      </c>
      <c r="DA97" s="259">
        <v>0.1</v>
      </c>
      <c r="DB97" s="259">
        <v>0.1</v>
      </c>
      <c r="DC97" s="259">
        <v>0.1</v>
      </c>
      <c r="DD97" s="259">
        <v>0.1</v>
      </c>
      <c r="DE97" s="259">
        <v>0.1</v>
      </c>
      <c r="DF97" s="259">
        <v>0.1</v>
      </c>
      <c r="DG97" s="259">
        <v>0.1</v>
      </c>
      <c r="DH97" s="259">
        <v>0.1</v>
      </c>
      <c r="DI97" s="259">
        <v>0.1</v>
      </c>
      <c r="DJ97" s="259">
        <v>0.1</v>
      </c>
      <c r="DK97" s="259">
        <v>0.1</v>
      </c>
      <c r="DL97" s="259">
        <v>0.1</v>
      </c>
      <c r="DM97" s="259">
        <v>0.1</v>
      </c>
      <c r="DN97" s="259">
        <v>0.1</v>
      </c>
      <c r="DO97" s="259">
        <v>0.1</v>
      </c>
      <c r="DP97" s="260">
        <v>0.1</v>
      </c>
      <c r="DQ97" s="258">
        <v>0.1</v>
      </c>
      <c r="DR97" s="259">
        <v>0.1</v>
      </c>
      <c r="DS97" s="259">
        <v>0.1</v>
      </c>
      <c r="DT97" s="259">
        <v>0.1</v>
      </c>
      <c r="DU97" s="259">
        <v>0.1</v>
      </c>
      <c r="DV97" s="259">
        <v>0.1</v>
      </c>
      <c r="DW97" s="259">
        <v>0.1</v>
      </c>
      <c r="DX97" s="259">
        <v>0.1</v>
      </c>
      <c r="DY97" s="259">
        <v>0.1</v>
      </c>
      <c r="DZ97" s="259">
        <v>0.1</v>
      </c>
      <c r="EA97" s="259">
        <v>0.1</v>
      </c>
      <c r="EB97" s="259">
        <v>0.1</v>
      </c>
      <c r="EC97" s="259">
        <v>0.1</v>
      </c>
      <c r="ED97" s="259">
        <v>0.1</v>
      </c>
      <c r="EE97" s="259">
        <v>0.1</v>
      </c>
      <c r="EF97" s="260">
        <v>0.1</v>
      </c>
      <c r="EJ97">
        <v>94</v>
      </c>
      <c r="EN97">
        <v>0.1</v>
      </c>
      <c r="EO97">
        <v>0.1</v>
      </c>
      <c r="EP97">
        <v>0.1</v>
      </c>
      <c r="EQ97">
        <v>0.1</v>
      </c>
      <c r="ER97">
        <v>0.1</v>
      </c>
      <c r="ES97">
        <v>0.1</v>
      </c>
      <c r="ET97">
        <v>0.1</v>
      </c>
      <c r="EU97">
        <v>0.1</v>
      </c>
      <c r="EV97">
        <v>0.1</v>
      </c>
      <c r="EW97">
        <v>0.1</v>
      </c>
      <c r="EX97">
        <v>0.1</v>
      </c>
      <c r="EY97">
        <v>0.1</v>
      </c>
      <c r="EZ97">
        <v>0.1</v>
      </c>
      <c r="FA97">
        <v>0.1</v>
      </c>
      <c r="FB97">
        <v>0.1</v>
      </c>
      <c r="FC97">
        <v>0.1</v>
      </c>
      <c r="FD97">
        <v>0.1</v>
      </c>
      <c r="FE97">
        <v>0.1</v>
      </c>
      <c r="FF97">
        <v>0.1</v>
      </c>
      <c r="FG97">
        <v>0.1</v>
      </c>
      <c r="FH97">
        <v>0.1</v>
      </c>
      <c r="FI97">
        <v>0.1</v>
      </c>
      <c r="FJ97">
        <v>0.1</v>
      </c>
      <c r="FK97">
        <v>0.1</v>
      </c>
      <c r="FL97">
        <v>0.1</v>
      </c>
      <c r="FM97">
        <v>0.1</v>
      </c>
      <c r="FN97">
        <v>0.1</v>
      </c>
      <c r="FO97">
        <v>0.1</v>
      </c>
      <c r="FP97">
        <v>0.1</v>
      </c>
      <c r="FQ97">
        <v>0.1</v>
      </c>
      <c r="FU97">
        <v>94</v>
      </c>
      <c r="GB97">
        <v>0.1</v>
      </c>
      <c r="GC97">
        <v>0.1</v>
      </c>
      <c r="GD97">
        <v>0.1</v>
      </c>
      <c r="GE97">
        <v>0.1</v>
      </c>
      <c r="GF97">
        <v>0.1</v>
      </c>
      <c r="GG97">
        <v>0.1</v>
      </c>
      <c r="GH97">
        <v>0.1</v>
      </c>
      <c r="GI97">
        <v>0.1</v>
      </c>
      <c r="GJ97">
        <v>0.1</v>
      </c>
      <c r="GK97">
        <v>0.1</v>
      </c>
      <c r="GL97">
        <v>0.1</v>
      </c>
      <c r="GM97">
        <v>0.1</v>
      </c>
      <c r="GN97">
        <v>0.1</v>
      </c>
      <c r="GO97">
        <v>0.1</v>
      </c>
      <c r="GP97">
        <v>0.1</v>
      </c>
      <c r="GQ97">
        <v>0.1</v>
      </c>
      <c r="GR97">
        <v>0.1</v>
      </c>
      <c r="GS97">
        <v>0.1</v>
      </c>
      <c r="GT97">
        <v>0.1</v>
      </c>
      <c r="GU97">
        <v>0.1</v>
      </c>
      <c r="GV97">
        <v>0.1</v>
      </c>
      <c r="GW97">
        <v>0.1</v>
      </c>
      <c r="GX97">
        <v>0.1</v>
      </c>
      <c r="GY97">
        <v>0.1</v>
      </c>
      <c r="GZ97">
        <v>0.1</v>
      </c>
      <c r="HA97">
        <v>0.1</v>
      </c>
      <c r="HB97">
        <v>0.1</v>
      </c>
      <c r="HC97">
        <v>0.1</v>
      </c>
      <c r="HD97">
        <v>0.1</v>
      </c>
      <c r="HE97">
        <v>0.1</v>
      </c>
      <c r="HF97">
        <v>0.1</v>
      </c>
      <c r="HG97">
        <v>0.1</v>
      </c>
      <c r="HH97">
        <v>0.1</v>
      </c>
      <c r="HI97">
        <v>0.1</v>
      </c>
      <c r="HJ97">
        <v>0.1</v>
      </c>
      <c r="HK97">
        <v>0.1</v>
      </c>
      <c r="HL97">
        <v>0.1</v>
      </c>
      <c r="HM97">
        <v>0.1</v>
      </c>
      <c r="HN97">
        <v>0.1</v>
      </c>
      <c r="HO97">
        <v>0.1</v>
      </c>
    </row>
    <row r="98" spans="1:223" ht="15.75" thickBot="1" x14ac:dyDescent="0.3">
      <c r="A98">
        <v>95</v>
      </c>
      <c r="B98" s="268">
        <v>3.72</v>
      </c>
      <c r="C98" s="268">
        <v>1.65</v>
      </c>
      <c r="D98" s="2"/>
      <c r="E98" s="2"/>
      <c r="F98" s="2"/>
      <c r="G98" s="2"/>
      <c r="H98" s="258">
        <v>0.1</v>
      </c>
      <c r="I98" s="259">
        <v>0.1</v>
      </c>
      <c r="J98" s="259">
        <v>0.1</v>
      </c>
      <c r="K98" s="259">
        <v>0.1</v>
      </c>
      <c r="L98" s="259">
        <v>0.1</v>
      </c>
      <c r="M98" s="259">
        <v>0.1</v>
      </c>
      <c r="N98" s="259">
        <v>0.1</v>
      </c>
      <c r="O98" s="259">
        <v>0.1</v>
      </c>
      <c r="P98" s="259">
        <v>0.1</v>
      </c>
      <c r="Q98" s="259">
        <v>0.1</v>
      </c>
      <c r="R98" s="259">
        <v>0.1</v>
      </c>
      <c r="S98" s="259">
        <v>0.1</v>
      </c>
      <c r="T98" s="259">
        <v>0.1</v>
      </c>
      <c r="U98" s="259">
        <v>0.1</v>
      </c>
      <c r="V98" s="259">
        <v>0.1</v>
      </c>
      <c r="W98" s="259">
        <v>0.1</v>
      </c>
      <c r="X98" s="259">
        <v>0.1</v>
      </c>
      <c r="Y98" s="259">
        <v>0.1</v>
      </c>
      <c r="Z98" s="259">
        <v>0.1</v>
      </c>
      <c r="AA98" s="259">
        <v>0.1</v>
      </c>
      <c r="AB98" s="259">
        <v>0.1</v>
      </c>
      <c r="AC98" s="259">
        <v>0.1</v>
      </c>
      <c r="AD98" s="259">
        <v>0.1</v>
      </c>
      <c r="AE98" s="259">
        <v>0.1</v>
      </c>
      <c r="AF98" s="259">
        <v>0.1</v>
      </c>
      <c r="AG98" s="259">
        <v>0.1</v>
      </c>
      <c r="AH98" s="259">
        <v>0.1</v>
      </c>
      <c r="AI98" s="259">
        <v>0.1</v>
      </c>
      <c r="AJ98" s="259">
        <v>0.1</v>
      </c>
      <c r="AK98" s="259">
        <v>0.1</v>
      </c>
      <c r="AL98" s="259">
        <v>0.1</v>
      </c>
      <c r="AM98" s="259">
        <v>0.1</v>
      </c>
      <c r="AN98" s="259">
        <v>0.1</v>
      </c>
      <c r="AO98" s="259">
        <v>0.1</v>
      </c>
      <c r="AP98" s="259">
        <v>0.1</v>
      </c>
      <c r="AQ98" s="259">
        <v>0.1</v>
      </c>
      <c r="AR98" s="259">
        <v>0.1</v>
      </c>
      <c r="AS98" s="260">
        <v>0.1</v>
      </c>
      <c r="AT98" s="258">
        <v>0.1</v>
      </c>
      <c r="AU98" s="259">
        <v>0.1</v>
      </c>
      <c r="AV98" s="259">
        <v>0.1</v>
      </c>
      <c r="AW98" s="259">
        <v>0.1</v>
      </c>
      <c r="AX98" s="259">
        <v>0.1</v>
      </c>
      <c r="AY98" s="259">
        <v>0.1</v>
      </c>
      <c r="AZ98" s="259">
        <v>0.1</v>
      </c>
      <c r="BA98" s="259">
        <v>0.1</v>
      </c>
      <c r="BB98" s="259">
        <v>0.1</v>
      </c>
      <c r="BC98" s="259">
        <v>0.1</v>
      </c>
      <c r="BD98" s="259">
        <v>0.1</v>
      </c>
      <c r="BE98" s="259">
        <v>0.1</v>
      </c>
      <c r="BF98" s="259">
        <v>0.1</v>
      </c>
      <c r="BG98" s="259">
        <v>0.1</v>
      </c>
      <c r="BH98" s="259">
        <v>0.1</v>
      </c>
      <c r="BI98" s="259">
        <v>0.1</v>
      </c>
      <c r="BJ98" s="260">
        <v>0.1</v>
      </c>
      <c r="BK98">
        <v>0.1</v>
      </c>
      <c r="BL98">
        <v>0.1</v>
      </c>
      <c r="BM98">
        <v>0.1</v>
      </c>
      <c r="BN98">
        <v>0.1</v>
      </c>
      <c r="BO98">
        <v>0.1</v>
      </c>
      <c r="BP98">
        <f t="shared" si="4"/>
        <v>0.5</v>
      </c>
      <c r="BS98">
        <v>95</v>
      </c>
      <c r="BT98" s="271">
        <v>4.3499999999999996</v>
      </c>
      <c r="BU98" s="270">
        <v>1.55</v>
      </c>
      <c r="BV98" s="2"/>
      <c r="BX98" s="2"/>
      <c r="BY98" s="258">
        <v>0.1</v>
      </c>
      <c r="BZ98" s="259">
        <v>0.1</v>
      </c>
      <c r="CA98" s="259">
        <v>0.1</v>
      </c>
      <c r="CB98" s="259">
        <v>0.1</v>
      </c>
      <c r="CC98" s="259">
        <v>0.1</v>
      </c>
      <c r="CD98" s="259">
        <v>0.1</v>
      </c>
      <c r="CE98" s="259">
        <v>0.1</v>
      </c>
      <c r="CF98" s="259">
        <v>0.1</v>
      </c>
      <c r="CG98" s="259">
        <v>0.1</v>
      </c>
      <c r="CH98" s="259">
        <v>0.1</v>
      </c>
      <c r="CI98" s="259">
        <v>0.1</v>
      </c>
      <c r="CJ98" s="259">
        <v>0.1</v>
      </c>
      <c r="CK98" s="259">
        <v>0.1</v>
      </c>
      <c r="CL98" s="259">
        <v>0.1</v>
      </c>
      <c r="CM98" s="259">
        <v>0.1</v>
      </c>
      <c r="CN98" s="259">
        <v>0.1</v>
      </c>
      <c r="CO98" s="259">
        <v>0.1</v>
      </c>
      <c r="CP98" s="259">
        <v>0.1</v>
      </c>
      <c r="CQ98" s="259">
        <v>0.1</v>
      </c>
      <c r="CR98" s="259">
        <v>0.1</v>
      </c>
      <c r="CS98" s="259">
        <v>0.1</v>
      </c>
      <c r="CT98" s="259">
        <v>0.1</v>
      </c>
      <c r="CU98" s="259">
        <v>0.1</v>
      </c>
      <c r="CV98" s="259">
        <v>0.1</v>
      </c>
      <c r="CW98" s="259">
        <v>0.1</v>
      </c>
      <c r="CX98" s="259">
        <v>0.1</v>
      </c>
      <c r="CY98" s="259">
        <v>0.1</v>
      </c>
      <c r="CZ98" s="259">
        <v>0.1</v>
      </c>
      <c r="DA98" s="259">
        <v>0.1</v>
      </c>
      <c r="DB98" s="259">
        <v>0.1</v>
      </c>
      <c r="DC98" s="259">
        <v>0.1</v>
      </c>
      <c r="DD98" s="259">
        <v>0.1</v>
      </c>
      <c r="DE98" s="259">
        <v>0.1</v>
      </c>
      <c r="DF98" s="259">
        <v>0.1</v>
      </c>
      <c r="DG98" s="259">
        <v>0.1</v>
      </c>
      <c r="DH98" s="259">
        <v>0.1</v>
      </c>
      <c r="DI98" s="259">
        <v>0.1</v>
      </c>
      <c r="DJ98" s="259">
        <v>0.1</v>
      </c>
      <c r="DK98" s="259">
        <v>0.1</v>
      </c>
      <c r="DL98" s="259">
        <v>0.1</v>
      </c>
      <c r="DM98" s="259">
        <v>0.1</v>
      </c>
      <c r="DN98" s="259">
        <v>0.1</v>
      </c>
      <c r="DO98" s="259">
        <v>0.1</v>
      </c>
      <c r="DP98" s="260">
        <v>0.1</v>
      </c>
      <c r="DQ98" s="258">
        <v>0.1</v>
      </c>
      <c r="DR98" s="259">
        <v>0.1</v>
      </c>
      <c r="DS98" s="259">
        <v>0.1</v>
      </c>
      <c r="DT98" s="259">
        <v>0.1</v>
      </c>
      <c r="DU98" s="259">
        <v>0.1</v>
      </c>
      <c r="DV98" s="259">
        <v>0.1</v>
      </c>
      <c r="DW98" s="259">
        <v>0.1</v>
      </c>
      <c r="DX98" s="259">
        <v>0.1</v>
      </c>
      <c r="DY98" s="259">
        <v>0.1</v>
      </c>
      <c r="DZ98" s="259">
        <v>0.1</v>
      </c>
      <c r="EA98" s="259">
        <v>0.1</v>
      </c>
      <c r="EB98" s="259">
        <v>0.1</v>
      </c>
      <c r="EC98" s="259">
        <v>0.1</v>
      </c>
      <c r="ED98" s="259">
        <v>0.1</v>
      </c>
      <c r="EE98" s="259">
        <v>0.1</v>
      </c>
      <c r="EF98" s="260">
        <v>0.1</v>
      </c>
      <c r="EJ98">
        <v>95</v>
      </c>
      <c r="EN98">
        <v>0.1</v>
      </c>
      <c r="EO98">
        <v>0.1</v>
      </c>
      <c r="EP98">
        <v>0.1</v>
      </c>
      <c r="EQ98">
        <v>0.1</v>
      </c>
      <c r="ER98">
        <v>0.1</v>
      </c>
      <c r="ES98">
        <v>0.1</v>
      </c>
      <c r="ET98">
        <v>0.1</v>
      </c>
      <c r="EU98">
        <v>0.1</v>
      </c>
      <c r="EV98">
        <v>0.1</v>
      </c>
      <c r="EW98">
        <v>0.1</v>
      </c>
      <c r="EX98">
        <v>0.1</v>
      </c>
      <c r="EY98">
        <v>0.1</v>
      </c>
      <c r="EZ98">
        <v>0.1</v>
      </c>
      <c r="FA98">
        <v>0.1</v>
      </c>
      <c r="FB98">
        <v>0.1</v>
      </c>
      <c r="FC98">
        <v>0.1</v>
      </c>
      <c r="FD98">
        <v>0.1</v>
      </c>
      <c r="FE98">
        <v>0.1</v>
      </c>
      <c r="FF98">
        <v>0.1</v>
      </c>
      <c r="FG98">
        <v>0.1</v>
      </c>
      <c r="FH98">
        <v>0.1</v>
      </c>
      <c r="FI98">
        <v>0.1</v>
      </c>
      <c r="FJ98">
        <v>0.1</v>
      </c>
      <c r="FK98">
        <v>0.1</v>
      </c>
      <c r="FL98">
        <v>0.1</v>
      </c>
      <c r="FM98">
        <v>0.1</v>
      </c>
      <c r="FN98">
        <v>0.1</v>
      </c>
      <c r="FO98">
        <v>0.1</v>
      </c>
      <c r="FP98">
        <v>0.1</v>
      </c>
      <c r="FQ98">
        <v>0.1</v>
      </c>
      <c r="FU98">
        <v>95</v>
      </c>
      <c r="GB98">
        <v>0.1</v>
      </c>
      <c r="GC98">
        <v>0.1</v>
      </c>
      <c r="GD98">
        <v>0.1</v>
      </c>
      <c r="GE98">
        <v>0.1</v>
      </c>
      <c r="GF98">
        <v>0.1</v>
      </c>
      <c r="GG98">
        <v>0.1</v>
      </c>
      <c r="GH98">
        <v>0.1</v>
      </c>
      <c r="GI98">
        <v>0.1</v>
      </c>
      <c r="GJ98">
        <v>0.1</v>
      </c>
      <c r="GK98">
        <v>0.1</v>
      </c>
      <c r="GL98">
        <v>0.1</v>
      </c>
      <c r="GM98">
        <v>0.1</v>
      </c>
      <c r="GN98">
        <v>0.1</v>
      </c>
      <c r="GO98">
        <v>0.1</v>
      </c>
      <c r="GP98">
        <v>0.1</v>
      </c>
      <c r="GQ98">
        <v>0.1</v>
      </c>
      <c r="GR98">
        <v>0.1</v>
      </c>
      <c r="GS98">
        <v>0.1</v>
      </c>
      <c r="GT98">
        <v>0.1</v>
      </c>
      <c r="GU98">
        <v>0.1</v>
      </c>
      <c r="GV98">
        <v>0.1</v>
      </c>
      <c r="GW98">
        <v>0.1</v>
      </c>
      <c r="GX98">
        <v>0.1</v>
      </c>
      <c r="GY98">
        <v>0.1</v>
      </c>
      <c r="GZ98">
        <v>0.1</v>
      </c>
      <c r="HA98">
        <v>0.1</v>
      </c>
      <c r="HB98">
        <v>0.1</v>
      </c>
      <c r="HC98">
        <v>0.1</v>
      </c>
      <c r="HD98">
        <v>0.1</v>
      </c>
      <c r="HE98">
        <v>0.1</v>
      </c>
      <c r="HF98">
        <v>0.1</v>
      </c>
      <c r="HG98">
        <v>0.1</v>
      </c>
      <c r="HH98">
        <v>0.1</v>
      </c>
      <c r="HI98">
        <v>0.1</v>
      </c>
      <c r="HJ98">
        <v>0.1</v>
      </c>
      <c r="HK98">
        <v>0.1</v>
      </c>
      <c r="HL98">
        <v>0.1</v>
      </c>
      <c r="HM98">
        <v>0.1</v>
      </c>
      <c r="HN98">
        <v>0.1</v>
      </c>
      <c r="HO98">
        <v>0.1</v>
      </c>
    </row>
    <row r="99" spans="1:223" ht="15.75" thickBot="1" x14ac:dyDescent="0.3">
      <c r="A99">
        <v>96</v>
      </c>
      <c r="B99" s="269">
        <v>3.72</v>
      </c>
      <c r="C99" s="269">
        <v>1.65</v>
      </c>
      <c r="D99" s="2"/>
      <c r="E99" s="2"/>
      <c r="F99" s="2"/>
      <c r="G99" s="2"/>
      <c r="H99" s="258">
        <v>0.1</v>
      </c>
      <c r="I99" s="259">
        <v>0.1</v>
      </c>
      <c r="J99" s="259">
        <v>0.1</v>
      </c>
      <c r="K99" s="259">
        <v>0.1</v>
      </c>
      <c r="L99" s="259">
        <v>0.1</v>
      </c>
      <c r="M99" s="259">
        <v>0.1</v>
      </c>
      <c r="N99" s="259">
        <v>0.1</v>
      </c>
      <c r="O99" s="259">
        <v>0.1</v>
      </c>
      <c r="P99" s="259">
        <v>0.1</v>
      </c>
      <c r="Q99" s="259">
        <v>0.1</v>
      </c>
      <c r="R99" s="259">
        <v>0.1</v>
      </c>
      <c r="S99" s="259">
        <v>0.1</v>
      </c>
      <c r="T99" s="259">
        <v>0.1</v>
      </c>
      <c r="U99" s="259">
        <v>0.1</v>
      </c>
      <c r="V99" s="259">
        <v>0.1</v>
      </c>
      <c r="W99" s="259">
        <v>0.1</v>
      </c>
      <c r="X99" s="259">
        <v>0.1</v>
      </c>
      <c r="Y99" s="259">
        <v>0.1</v>
      </c>
      <c r="Z99" s="259">
        <v>0.1</v>
      </c>
      <c r="AA99" s="259">
        <v>0.1</v>
      </c>
      <c r="AB99" s="259">
        <v>0.1</v>
      </c>
      <c r="AC99" s="259">
        <v>0.1</v>
      </c>
      <c r="AD99" s="259">
        <v>0.1</v>
      </c>
      <c r="AE99" s="259">
        <v>0.1</v>
      </c>
      <c r="AF99" s="259">
        <v>0.1</v>
      </c>
      <c r="AG99" s="259">
        <v>0.1</v>
      </c>
      <c r="AH99" s="259">
        <v>0.1</v>
      </c>
      <c r="AI99" s="259">
        <v>0.1</v>
      </c>
      <c r="AJ99" s="259">
        <v>0.1</v>
      </c>
      <c r="AK99" s="259">
        <v>0.1</v>
      </c>
      <c r="AL99" s="259">
        <v>0.1</v>
      </c>
      <c r="AM99" s="259">
        <v>0.1</v>
      </c>
      <c r="AN99" s="259">
        <v>0.1</v>
      </c>
      <c r="AO99" s="259">
        <v>0.1</v>
      </c>
      <c r="AP99" s="259">
        <v>0.1</v>
      </c>
      <c r="AQ99" s="259">
        <v>0.1</v>
      </c>
      <c r="AR99" s="259">
        <v>0.1</v>
      </c>
      <c r="AS99" s="260">
        <v>0.1</v>
      </c>
      <c r="AT99" s="258">
        <v>0.1</v>
      </c>
      <c r="AU99" s="259">
        <v>0.1</v>
      </c>
      <c r="AV99" s="259">
        <v>0.1</v>
      </c>
      <c r="AW99" s="259">
        <v>0.1</v>
      </c>
      <c r="AX99" s="259">
        <v>0.1</v>
      </c>
      <c r="AY99" s="259">
        <v>0.1</v>
      </c>
      <c r="AZ99" s="259">
        <v>0.1</v>
      </c>
      <c r="BA99" s="259">
        <v>0.1</v>
      </c>
      <c r="BB99" s="259">
        <v>0.1</v>
      </c>
      <c r="BC99" s="259">
        <v>0.1</v>
      </c>
      <c r="BD99" s="259">
        <v>0.1</v>
      </c>
      <c r="BE99" s="259">
        <v>0.1</v>
      </c>
      <c r="BF99" s="259">
        <v>0.1</v>
      </c>
      <c r="BG99" s="259">
        <v>0.1</v>
      </c>
      <c r="BH99" s="259">
        <v>0.1</v>
      </c>
      <c r="BI99" s="259">
        <v>0.1</v>
      </c>
      <c r="BJ99" s="260">
        <v>0.1</v>
      </c>
      <c r="BK99">
        <v>0.1</v>
      </c>
      <c r="BL99">
        <v>0.1</v>
      </c>
      <c r="BM99">
        <v>0.1</v>
      </c>
      <c r="BN99">
        <v>0.1</v>
      </c>
      <c r="BO99">
        <v>0.1</v>
      </c>
      <c r="BP99">
        <f t="shared" si="4"/>
        <v>0.5</v>
      </c>
      <c r="BS99">
        <v>96</v>
      </c>
      <c r="BT99" s="270">
        <v>4.32</v>
      </c>
      <c r="BU99" s="271">
        <v>1.55</v>
      </c>
      <c r="BV99" s="2"/>
      <c r="BX99" s="2"/>
      <c r="BY99" s="258">
        <v>0.1</v>
      </c>
      <c r="BZ99" s="259">
        <v>0.1</v>
      </c>
      <c r="CA99" s="259">
        <v>0.1</v>
      </c>
      <c r="CB99" s="259">
        <v>0.1</v>
      </c>
      <c r="CC99" s="259">
        <v>0.1</v>
      </c>
      <c r="CD99" s="259">
        <v>0.1</v>
      </c>
      <c r="CE99" s="259">
        <v>0.1</v>
      </c>
      <c r="CF99" s="259">
        <v>0.1</v>
      </c>
      <c r="CG99" s="259">
        <v>0.1</v>
      </c>
      <c r="CH99" s="259">
        <v>0.1</v>
      </c>
      <c r="CI99" s="259">
        <v>0.1</v>
      </c>
      <c r="CJ99" s="259">
        <v>0.1</v>
      </c>
      <c r="CK99" s="259">
        <v>0.1</v>
      </c>
      <c r="CL99" s="259">
        <v>0.1</v>
      </c>
      <c r="CM99" s="259">
        <v>0.1</v>
      </c>
      <c r="CN99" s="259">
        <v>0.1</v>
      </c>
      <c r="CO99" s="259">
        <v>0.1</v>
      </c>
      <c r="CP99" s="259">
        <v>0.1</v>
      </c>
      <c r="CQ99" s="259">
        <v>0.1</v>
      </c>
      <c r="CR99" s="259">
        <v>0.1</v>
      </c>
      <c r="CS99" s="259">
        <v>0.1</v>
      </c>
      <c r="CT99" s="259">
        <v>0.1</v>
      </c>
      <c r="CU99" s="259">
        <v>0.1</v>
      </c>
      <c r="CV99" s="259">
        <v>0.1</v>
      </c>
      <c r="CW99" s="259">
        <v>0.1</v>
      </c>
      <c r="CX99" s="259">
        <v>0.1</v>
      </c>
      <c r="CY99" s="259">
        <v>0.1</v>
      </c>
      <c r="CZ99" s="259">
        <v>0.1</v>
      </c>
      <c r="DA99" s="259">
        <v>0.1</v>
      </c>
      <c r="DB99" s="259">
        <v>0.1</v>
      </c>
      <c r="DC99" s="259">
        <v>0.1</v>
      </c>
      <c r="DD99" s="259">
        <v>0.1</v>
      </c>
      <c r="DE99" s="259">
        <v>0.1</v>
      </c>
      <c r="DF99" s="259">
        <v>0.1</v>
      </c>
      <c r="DG99" s="259">
        <v>0.1</v>
      </c>
      <c r="DH99" s="259">
        <v>0.1</v>
      </c>
      <c r="DI99" s="259">
        <v>0.1</v>
      </c>
      <c r="DJ99" s="259">
        <v>0.1</v>
      </c>
      <c r="DK99" s="259">
        <v>0.1</v>
      </c>
      <c r="DL99" s="259">
        <v>0.1</v>
      </c>
      <c r="DM99" s="259">
        <v>0.1</v>
      </c>
      <c r="DN99" s="259">
        <v>0.1</v>
      </c>
      <c r="DO99" s="259">
        <v>0.1</v>
      </c>
      <c r="DP99" s="260">
        <v>0.1</v>
      </c>
      <c r="DQ99" s="258">
        <v>0.1</v>
      </c>
      <c r="DR99" s="259">
        <v>0.1</v>
      </c>
      <c r="DS99" s="259">
        <v>0.1</v>
      </c>
      <c r="DT99" s="259">
        <v>0.1</v>
      </c>
      <c r="DU99" s="259">
        <v>0.1</v>
      </c>
      <c r="DV99" s="259">
        <v>0.1</v>
      </c>
      <c r="DW99" s="259">
        <v>0.1</v>
      </c>
      <c r="DX99" s="259">
        <v>0.1</v>
      </c>
      <c r="DY99" s="259">
        <v>0.1</v>
      </c>
      <c r="DZ99" s="259">
        <v>0.1</v>
      </c>
      <c r="EA99" s="259">
        <v>0.1</v>
      </c>
      <c r="EB99" s="259">
        <v>0.1</v>
      </c>
      <c r="EC99" s="259">
        <v>0.1</v>
      </c>
      <c r="ED99" s="259">
        <v>0.1</v>
      </c>
      <c r="EE99" s="259">
        <v>0.1</v>
      </c>
      <c r="EF99" s="260">
        <v>0.1</v>
      </c>
      <c r="EJ99">
        <v>96</v>
      </c>
      <c r="EN99">
        <v>0.1</v>
      </c>
      <c r="EO99">
        <v>0.1</v>
      </c>
      <c r="EP99">
        <v>0.1</v>
      </c>
      <c r="EQ99">
        <v>0.1</v>
      </c>
      <c r="ER99">
        <v>0.1</v>
      </c>
      <c r="ES99">
        <v>0.1</v>
      </c>
      <c r="ET99">
        <v>0.1</v>
      </c>
      <c r="EU99">
        <v>0.1</v>
      </c>
      <c r="EV99">
        <v>0.1</v>
      </c>
      <c r="EW99">
        <v>0.1</v>
      </c>
      <c r="EX99">
        <v>0.1</v>
      </c>
      <c r="EY99">
        <v>0.1</v>
      </c>
      <c r="EZ99">
        <v>0.1</v>
      </c>
      <c r="FA99">
        <v>0.1</v>
      </c>
      <c r="FB99">
        <v>0.1</v>
      </c>
      <c r="FC99">
        <v>0.1</v>
      </c>
      <c r="FD99">
        <v>0.1</v>
      </c>
      <c r="FE99">
        <v>0.1</v>
      </c>
      <c r="FF99">
        <v>0.1</v>
      </c>
      <c r="FG99">
        <v>0.1</v>
      </c>
      <c r="FH99">
        <v>0.1</v>
      </c>
      <c r="FI99">
        <v>0.1</v>
      </c>
      <c r="FJ99">
        <v>0.1</v>
      </c>
      <c r="FK99">
        <v>0.1</v>
      </c>
      <c r="FL99">
        <v>0.1</v>
      </c>
      <c r="FM99">
        <v>0.1</v>
      </c>
      <c r="FN99">
        <v>0.1</v>
      </c>
      <c r="FO99">
        <v>0.1</v>
      </c>
      <c r="FP99">
        <v>0.1</v>
      </c>
      <c r="FQ99">
        <v>0.1</v>
      </c>
      <c r="FU99">
        <v>96</v>
      </c>
      <c r="GB99">
        <v>0.1</v>
      </c>
      <c r="GC99">
        <v>0.1</v>
      </c>
      <c r="GD99">
        <v>0.1</v>
      </c>
      <c r="GE99">
        <v>0.1</v>
      </c>
      <c r="GF99">
        <v>0.1</v>
      </c>
      <c r="GG99">
        <v>0.1</v>
      </c>
      <c r="GH99">
        <v>0.1</v>
      </c>
      <c r="GI99">
        <v>0.1</v>
      </c>
      <c r="GJ99">
        <v>0.1</v>
      </c>
      <c r="GK99">
        <v>0.1</v>
      </c>
      <c r="GL99">
        <v>0.1</v>
      </c>
      <c r="GM99">
        <v>0.1</v>
      </c>
      <c r="GN99">
        <v>0.1</v>
      </c>
      <c r="GO99">
        <v>0.1</v>
      </c>
      <c r="GP99">
        <v>0.1</v>
      </c>
      <c r="GQ99">
        <v>0.1</v>
      </c>
      <c r="GR99">
        <v>0.1</v>
      </c>
      <c r="GS99">
        <v>0.1</v>
      </c>
      <c r="GT99">
        <v>0.1</v>
      </c>
      <c r="GU99">
        <v>0.1</v>
      </c>
      <c r="GV99">
        <v>0.1</v>
      </c>
      <c r="GW99">
        <v>0.1</v>
      </c>
      <c r="GX99">
        <v>0.1</v>
      </c>
      <c r="GY99">
        <v>0.1</v>
      </c>
      <c r="GZ99">
        <v>0.1</v>
      </c>
      <c r="HA99">
        <v>0.1</v>
      </c>
      <c r="HB99">
        <v>0.1</v>
      </c>
      <c r="HC99">
        <v>0.1</v>
      </c>
      <c r="HD99">
        <v>0.1</v>
      </c>
      <c r="HE99">
        <v>0.1</v>
      </c>
      <c r="HF99">
        <v>0.1</v>
      </c>
      <c r="HG99">
        <v>0.1</v>
      </c>
      <c r="HH99">
        <v>0.1</v>
      </c>
      <c r="HI99">
        <v>0.1</v>
      </c>
      <c r="HJ99">
        <v>0.1</v>
      </c>
      <c r="HK99">
        <v>0.1</v>
      </c>
      <c r="HL99">
        <v>0.1</v>
      </c>
      <c r="HM99">
        <v>0.1</v>
      </c>
      <c r="HN99">
        <v>0.1</v>
      </c>
      <c r="HO99">
        <v>0.1</v>
      </c>
    </row>
    <row r="100" spans="1:223" ht="15.75" thickBot="1" x14ac:dyDescent="0.3">
      <c r="A100">
        <v>97</v>
      </c>
      <c r="B100" s="268">
        <v>3.72</v>
      </c>
      <c r="C100" s="268">
        <v>1.65</v>
      </c>
      <c r="D100" s="2"/>
      <c r="E100" s="2"/>
      <c r="F100" s="2"/>
      <c r="G100" s="2"/>
      <c r="H100" s="258">
        <v>0.1</v>
      </c>
      <c r="I100" s="259">
        <v>0.1</v>
      </c>
      <c r="J100" s="259">
        <v>0.1</v>
      </c>
      <c r="K100" s="259">
        <v>0.1</v>
      </c>
      <c r="L100" s="259">
        <v>0.1</v>
      </c>
      <c r="M100" s="259">
        <v>0.1</v>
      </c>
      <c r="N100" s="259">
        <v>0.1</v>
      </c>
      <c r="O100" s="259">
        <v>0.1</v>
      </c>
      <c r="P100" s="259">
        <v>0.1</v>
      </c>
      <c r="Q100" s="259">
        <v>0.1</v>
      </c>
      <c r="R100" s="259">
        <v>0.1</v>
      </c>
      <c r="S100" s="259">
        <v>0.1</v>
      </c>
      <c r="T100" s="259">
        <v>0.1</v>
      </c>
      <c r="U100" s="259">
        <v>0.1</v>
      </c>
      <c r="V100" s="259">
        <v>0.1</v>
      </c>
      <c r="W100" s="259">
        <v>0.1</v>
      </c>
      <c r="X100" s="259">
        <v>0.1</v>
      </c>
      <c r="Y100" s="259">
        <v>0.1</v>
      </c>
      <c r="Z100" s="259">
        <v>0.1</v>
      </c>
      <c r="AA100" s="259">
        <v>0.1</v>
      </c>
      <c r="AB100" s="259">
        <v>0.1</v>
      </c>
      <c r="AC100" s="259">
        <v>0.1</v>
      </c>
      <c r="AD100" s="259">
        <v>0.1</v>
      </c>
      <c r="AE100" s="259">
        <v>0.1</v>
      </c>
      <c r="AF100" s="259">
        <v>0.1</v>
      </c>
      <c r="AG100" s="259">
        <v>0.1</v>
      </c>
      <c r="AH100" s="259">
        <v>0.1</v>
      </c>
      <c r="AI100" s="259">
        <v>0.1</v>
      </c>
      <c r="AJ100" s="259">
        <v>0.1</v>
      </c>
      <c r="AK100" s="259">
        <v>0.1</v>
      </c>
      <c r="AL100" s="259">
        <v>0.1</v>
      </c>
      <c r="AM100" s="259">
        <v>0.1</v>
      </c>
      <c r="AN100" s="259">
        <v>0.1</v>
      </c>
      <c r="AO100" s="259">
        <v>0.1</v>
      </c>
      <c r="AP100" s="259">
        <v>0.1</v>
      </c>
      <c r="AQ100" s="259">
        <v>0.1</v>
      </c>
      <c r="AR100" s="259">
        <v>0.1</v>
      </c>
      <c r="AS100" s="260">
        <v>0.1</v>
      </c>
      <c r="AT100" s="258">
        <v>0.1</v>
      </c>
      <c r="AU100" s="259">
        <v>0.1</v>
      </c>
      <c r="AV100" s="259">
        <v>0.1</v>
      </c>
      <c r="AW100" s="259">
        <v>0.1</v>
      </c>
      <c r="AX100" s="259">
        <v>0.1</v>
      </c>
      <c r="AY100" s="259">
        <v>0.1</v>
      </c>
      <c r="AZ100" s="259">
        <v>0.1</v>
      </c>
      <c r="BA100" s="259">
        <v>0.1</v>
      </c>
      <c r="BB100" s="259">
        <v>0.1</v>
      </c>
      <c r="BC100" s="259">
        <v>0.1</v>
      </c>
      <c r="BD100" s="259">
        <v>0.1</v>
      </c>
      <c r="BE100" s="259">
        <v>0.1</v>
      </c>
      <c r="BF100" s="259">
        <v>0.1</v>
      </c>
      <c r="BG100" s="259">
        <v>0.1</v>
      </c>
      <c r="BH100" s="259">
        <v>0.1</v>
      </c>
      <c r="BI100" s="259">
        <v>0.1</v>
      </c>
      <c r="BJ100" s="260">
        <v>0.1</v>
      </c>
      <c r="BK100">
        <v>0.1</v>
      </c>
      <c r="BL100">
        <v>0.1</v>
      </c>
      <c r="BM100">
        <v>0.1</v>
      </c>
      <c r="BN100">
        <v>0.1</v>
      </c>
      <c r="BO100">
        <v>0.1</v>
      </c>
      <c r="BP100">
        <f t="shared" si="4"/>
        <v>0.5</v>
      </c>
      <c r="BS100">
        <v>97</v>
      </c>
      <c r="BT100" s="271">
        <v>4.32</v>
      </c>
      <c r="BU100" s="270">
        <v>1.57</v>
      </c>
      <c r="BV100" s="2"/>
      <c r="BX100" s="2"/>
      <c r="BY100" s="258">
        <v>0.1</v>
      </c>
      <c r="BZ100" s="259">
        <v>0.1</v>
      </c>
      <c r="CA100" s="259">
        <v>0.1</v>
      </c>
      <c r="CB100" s="259">
        <v>0.1</v>
      </c>
      <c r="CC100" s="259">
        <v>0.1</v>
      </c>
      <c r="CD100" s="259">
        <v>0.1</v>
      </c>
      <c r="CE100" s="259">
        <v>0.1</v>
      </c>
      <c r="CF100" s="259">
        <v>0.1</v>
      </c>
      <c r="CG100" s="259">
        <v>0.1</v>
      </c>
      <c r="CH100" s="259">
        <v>0.1</v>
      </c>
      <c r="CI100" s="259">
        <v>0.1</v>
      </c>
      <c r="CJ100" s="259">
        <v>0.1</v>
      </c>
      <c r="CK100" s="259">
        <v>0.1</v>
      </c>
      <c r="CL100" s="259">
        <v>0.1</v>
      </c>
      <c r="CM100" s="259">
        <v>0.1</v>
      </c>
      <c r="CN100" s="259">
        <v>0.1</v>
      </c>
      <c r="CO100" s="259">
        <v>0.1</v>
      </c>
      <c r="CP100" s="259">
        <v>0.1</v>
      </c>
      <c r="CQ100" s="259">
        <v>0.1</v>
      </c>
      <c r="CR100" s="259">
        <v>0.1</v>
      </c>
      <c r="CS100" s="259">
        <v>0.1</v>
      </c>
      <c r="CT100" s="259">
        <v>0.1</v>
      </c>
      <c r="CU100" s="259">
        <v>0.1</v>
      </c>
      <c r="CV100" s="259">
        <v>0.1</v>
      </c>
      <c r="CW100" s="259">
        <v>0.1</v>
      </c>
      <c r="CX100" s="259">
        <v>0.1</v>
      </c>
      <c r="CY100" s="259">
        <v>0.1</v>
      </c>
      <c r="CZ100" s="259">
        <v>0.1</v>
      </c>
      <c r="DA100" s="259">
        <v>0.1</v>
      </c>
      <c r="DB100" s="259">
        <v>0.1</v>
      </c>
      <c r="DC100" s="259">
        <v>0.1</v>
      </c>
      <c r="DD100" s="259">
        <v>0.1</v>
      </c>
      <c r="DE100" s="259">
        <v>0.1</v>
      </c>
      <c r="DF100" s="259">
        <v>0.1</v>
      </c>
      <c r="DG100" s="259">
        <v>0.1</v>
      </c>
      <c r="DH100" s="259">
        <v>0.1</v>
      </c>
      <c r="DI100" s="259">
        <v>0.1</v>
      </c>
      <c r="DJ100" s="259">
        <v>0.1</v>
      </c>
      <c r="DK100" s="259">
        <v>0.1</v>
      </c>
      <c r="DL100" s="259">
        <v>0.1</v>
      </c>
      <c r="DM100" s="259">
        <v>0.1</v>
      </c>
      <c r="DN100" s="259">
        <v>0.1</v>
      </c>
      <c r="DO100" s="259">
        <v>0.1</v>
      </c>
      <c r="DP100" s="260">
        <v>0.1</v>
      </c>
      <c r="DQ100" s="258">
        <v>0.1</v>
      </c>
      <c r="DR100" s="259">
        <v>0.1</v>
      </c>
      <c r="DS100" s="259">
        <v>0.1</v>
      </c>
      <c r="DT100" s="259">
        <v>0.1</v>
      </c>
      <c r="DU100" s="259">
        <v>0.1</v>
      </c>
      <c r="DV100" s="259">
        <v>0.1</v>
      </c>
      <c r="DW100" s="259">
        <v>0.1</v>
      </c>
      <c r="DX100" s="259">
        <v>0.1</v>
      </c>
      <c r="DY100" s="259">
        <v>0.1</v>
      </c>
      <c r="DZ100" s="259">
        <v>0.1</v>
      </c>
      <c r="EA100" s="259">
        <v>0.1</v>
      </c>
      <c r="EB100" s="259">
        <v>0.1</v>
      </c>
      <c r="EC100" s="259">
        <v>0.1</v>
      </c>
      <c r="ED100" s="259">
        <v>0.1</v>
      </c>
      <c r="EE100" s="259">
        <v>0.1</v>
      </c>
      <c r="EF100" s="260">
        <v>0.1</v>
      </c>
      <c r="EJ100">
        <v>97</v>
      </c>
      <c r="EN100">
        <v>0.1</v>
      </c>
      <c r="EO100">
        <v>0.1</v>
      </c>
      <c r="EP100">
        <v>0.1</v>
      </c>
      <c r="EQ100">
        <v>0.1</v>
      </c>
      <c r="ER100">
        <v>0.1</v>
      </c>
      <c r="ES100">
        <v>0.1</v>
      </c>
      <c r="ET100">
        <v>0.1</v>
      </c>
      <c r="EU100">
        <v>0.1</v>
      </c>
      <c r="EV100">
        <v>0.1</v>
      </c>
      <c r="EW100">
        <v>0.1</v>
      </c>
      <c r="EX100">
        <v>0.1</v>
      </c>
      <c r="EY100">
        <v>0.1</v>
      </c>
      <c r="EZ100">
        <v>0.1</v>
      </c>
      <c r="FA100">
        <v>0.1</v>
      </c>
      <c r="FB100">
        <v>0.1</v>
      </c>
      <c r="FC100">
        <v>0.1</v>
      </c>
      <c r="FD100">
        <v>0.1</v>
      </c>
      <c r="FE100">
        <v>0.1</v>
      </c>
      <c r="FF100">
        <v>0.1</v>
      </c>
      <c r="FG100">
        <v>0.1</v>
      </c>
      <c r="FH100">
        <v>0.1</v>
      </c>
      <c r="FI100">
        <v>0.1</v>
      </c>
      <c r="FJ100">
        <v>0.1</v>
      </c>
      <c r="FK100">
        <v>0.1</v>
      </c>
      <c r="FL100">
        <v>0.1</v>
      </c>
      <c r="FM100">
        <v>0.1</v>
      </c>
      <c r="FN100">
        <v>0.1</v>
      </c>
      <c r="FO100">
        <v>0.1</v>
      </c>
      <c r="FP100">
        <v>0.1</v>
      </c>
      <c r="FQ100">
        <v>0.1</v>
      </c>
      <c r="FU100">
        <v>97</v>
      </c>
      <c r="GB100">
        <v>0.1</v>
      </c>
      <c r="GC100">
        <v>0.1</v>
      </c>
      <c r="GD100">
        <v>0.1</v>
      </c>
      <c r="GE100">
        <v>0.1</v>
      </c>
      <c r="GF100">
        <v>0.1</v>
      </c>
      <c r="GG100">
        <v>0.1</v>
      </c>
      <c r="GH100">
        <v>0.1</v>
      </c>
      <c r="GI100">
        <v>0.1</v>
      </c>
      <c r="GJ100">
        <v>0.1</v>
      </c>
      <c r="GK100">
        <v>0.1</v>
      </c>
      <c r="GL100">
        <v>0.1</v>
      </c>
      <c r="GM100">
        <v>0.1</v>
      </c>
      <c r="GN100">
        <v>0.1</v>
      </c>
      <c r="GO100">
        <v>0.1</v>
      </c>
      <c r="GP100">
        <v>0.1</v>
      </c>
      <c r="GQ100">
        <v>0.1</v>
      </c>
      <c r="GR100">
        <v>0.1</v>
      </c>
      <c r="GS100">
        <v>0.1</v>
      </c>
      <c r="GT100">
        <v>0.1</v>
      </c>
      <c r="GU100">
        <v>0.1</v>
      </c>
      <c r="GV100">
        <v>0.1</v>
      </c>
      <c r="GW100">
        <v>0.1</v>
      </c>
      <c r="GX100">
        <v>0.1</v>
      </c>
      <c r="GY100">
        <v>0.1</v>
      </c>
      <c r="GZ100">
        <v>0.1</v>
      </c>
      <c r="HA100">
        <v>0.1</v>
      </c>
      <c r="HB100">
        <v>0.1</v>
      </c>
      <c r="HC100">
        <v>0.1</v>
      </c>
      <c r="HD100">
        <v>0.1</v>
      </c>
      <c r="HE100">
        <v>0.1</v>
      </c>
      <c r="HF100">
        <v>0.1</v>
      </c>
      <c r="HG100">
        <v>0.1</v>
      </c>
      <c r="HH100">
        <v>0.1</v>
      </c>
      <c r="HI100">
        <v>0.1</v>
      </c>
      <c r="HJ100">
        <v>0.1</v>
      </c>
      <c r="HK100">
        <v>0.1</v>
      </c>
      <c r="HL100">
        <v>0.1</v>
      </c>
      <c r="HM100">
        <v>0.1</v>
      </c>
      <c r="HN100">
        <v>0.1</v>
      </c>
      <c r="HO100">
        <v>0.1</v>
      </c>
    </row>
    <row r="101" spans="1:223" ht="15.75" thickBot="1" x14ac:dyDescent="0.3">
      <c r="A101">
        <v>98</v>
      </c>
      <c r="B101" s="269">
        <v>3.72</v>
      </c>
      <c r="C101" s="269">
        <v>1.65</v>
      </c>
      <c r="D101" s="2"/>
      <c r="E101" s="2"/>
      <c r="F101" s="2"/>
      <c r="G101" s="2"/>
      <c r="H101" s="258">
        <v>0.1</v>
      </c>
      <c r="I101" s="259">
        <v>0.1</v>
      </c>
      <c r="J101" s="259">
        <v>0.1</v>
      </c>
      <c r="K101" s="259">
        <v>0.1</v>
      </c>
      <c r="L101" s="259">
        <v>0.1</v>
      </c>
      <c r="M101" s="259">
        <v>0.1</v>
      </c>
      <c r="N101" s="259">
        <v>0.1</v>
      </c>
      <c r="O101" s="259">
        <v>0.1</v>
      </c>
      <c r="P101" s="259">
        <v>0.1</v>
      </c>
      <c r="Q101" s="259">
        <v>0.1</v>
      </c>
      <c r="R101" s="259">
        <v>0.1</v>
      </c>
      <c r="S101" s="259">
        <v>0.1</v>
      </c>
      <c r="T101" s="259">
        <v>0.1</v>
      </c>
      <c r="U101" s="259">
        <v>0.1</v>
      </c>
      <c r="V101" s="259">
        <v>0.1</v>
      </c>
      <c r="W101" s="259">
        <v>0.1</v>
      </c>
      <c r="X101" s="259">
        <v>0.1</v>
      </c>
      <c r="Y101" s="259">
        <v>0.1</v>
      </c>
      <c r="Z101" s="259">
        <v>0.1</v>
      </c>
      <c r="AA101" s="259">
        <v>0.1</v>
      </c>
      <c r="AB101" s="259">
        <v>0.1</v>
      </c>
      <c r="AC101" s="259">
        <v>0.1</v>
      </c>
      <c r="AD101" s="259">
        <v>0.1</v>
      </c>
      <c r="AE101" s="259">
        <v>0.1</v>
      </c>
      <c r="AF101" s="259">
        <v>0.1</v>
      </c>
      <c r="AG101" s="259">
        <v>0.1</v>
      </c>
      <c r="AH101" s="259">
        <v>0.1</v>
      </c>
      <c r="AI101" s="259">
        <v>0.1</v>
      </c>
      <c r="AJ101" s="259">
        <v>0.1</v>
      </c>
      <c r="AK101" s="259">
        <v>0.1</v>
      </c>
      <c r="AL101" s="259">
        <v>0.1</v>
      </c>
      <c r="AM101" s="259">
        <v>0.1</v>
      </c>
      <c r="AN101" s="259">
        <v>0.1</v>
      </c>
      <c r="AO101" s="259">
        <v>0.1</v>
      </c>
      <c r="AP101" s="259">
        <v>0.1</v>
      </c>
      <c r="AQ101" s="259">
        <v>0.1</v>
      </c>
      <c r="AR101" s="259">
        <v>0.1</v>
      </c>
      <c r="AS101" s="260">
        <v>0.1</v>
      </c>
      <c r="AT101" s="258">
        <v>0.1</v>
      </c>
      <c r="AU101" s="259">
        <v>0.1</v>
      </c>
      <c r="AV101" s="259">
        <v>0.1</v>
      </c>
      <c r="AW101" s="259">
        <v>0.1</v>
      </c>
      <c r="AX101" s="259">
        <v>0.1</v>
      </c>
      <c r="AY101" s="259">
        <v>0.1</v>
      </c>
      <c r="AZ101" s="259">
        <v>0.1</v>
      </c>
      <c r="BA101" s="259">
        <v>0.1</v>
      </c>
      <c r="BB101" s="259">
        <v>0.1</v>
      </c>
      <c r="BC101" s="259">
        <v>0.1</v>
      </c>
      <c r="BD101" s="259">
        <v>0.1</v>
      </c>
      <c r="BE101" s="259">
        <v>0.1</v>
      </c>
      <c r="BF101" s="259">
        <v>0.1</v>
      </c>
      <c r="BG101" s="259">
        <v>0.1</v>
      </c>
      <c r="BH101" s="259">
        <v>0.1</v>
      </c>
      <c r="BI101" s="259">
        <v>0.1</v>
      </c>
      <c r="BJ101" s="260">
        <v>0.1</v>
      </c>
      <c r="BK101">
        <v>0.1</v>
      </c>
      <c r="BL101">
        <v>0.1</v>
      </c>
      <c r="BM101">
        <v>0.1</v>
      </c>
      <c r="BN101">
        <v>0.1</v>
      </c>
      <c r="BO101">
        <v>0.1</v>
      </c>
      <c r="BP101">
        <f t="shared" si="4"/>
        <v>0.5</v>
      </c>
      <c r="BS101">
        <v>98</v>
      </c>
      <c r="BT101" s="270">
        <v>4.32</v>
      </c>
      <c r="BU101" s="271">
        <v>1.58</v>
      </c>
      <c r="BV101" s="2"/>
      <c r="BX101" s="2"/>
      <c r="BY101" s="258">
        <v>0.1</v>
      </c>
      <c r="BZ101" s="259">
        <v>0.1</v>
      </c>
      <c r="CA101" s="259">
        <v>0.1</v>
      </c>
      <c r="CB101" s="259">
        <v>0.1</v>
      </c>
      <c r="CC101" s="259">
        <v>0.1</v>
      </c>
      <c r="CD101" s="259">
        <v>0.1</v>
      </c>
      <c r="CE101" s="259">
        <v>0.1</v>
      </c>
      <c r="CF101" s="259">
        <v>0.1</v>
      </c>
      <c r="CG101" s="259">
        <v>0.1</v>
      </c>
      <c r="CH101" s="259">
        <v>0.1</v>
      </c>
      <c r="CI101" s="259">
        <v>0.1</v>
      </c>
      <c r="CJ101" s="259">
        <v>0.1</v>
      </c>
      <c r="CK101" s="259">
        <v>0.1</v>
      </c>
      <c r="CL101" s="259">
        <v>0.1</v>
      </c>
      <c r="CM101" s="259">
        <v>0.1</v>
      </c>
      <c r="CN101" s="259">
        <v>0.1</v>
      </c>
      <c r="CO101" s="259">
        <v>0.1</v>
      </c>
      <c r="CP101" s="259">
        <v>0.1</v>
      </c>
      <c r="CQ101" s="259">
        <v>0.1</v>
      </c>
      <c r="CR101" s="259">
        <v>0.1</v>
      </c>
      <c r="CS101" s="259">
        <v>0.1</v>
      </c>
      <c r="CT101" s="259">
        <v>0.1</v>
      </c>
      <c r="CU101" s="259">
        <v>0.1</v>
      </c>
      <c r="CV101" s="259">
        <v>0.1</v>
      </c>
      <c r="CW101" s="259">
        <v>0.1</v>
      </c>
      <c r="CX101" s="259">
        <v>0.1</v>
      </c>
      <c r="CY101" s="259">
        <v>0.1</v>
      </c>
      <c r="CZ101" s="259">
        <v>0.1</v>
      </c>
      <c r="DA101" s="259">
        <v>0.1</v>
      </c>
      <c r="DB101" s="259">
        <v>0.1</v>
      </c>
      <c r="DC101" s="259">
        <v>0.1</v>
      </c>
      <c r="DD101" s="259">
        <v>0.1</v>
      </c>
      <c r="DE101" s="259">
        <v>0.1</v>
      </c>
      <c r="DF101" s="259">
        <v>0.1</v>
      </c>
      <c r="DG101" s="259">
        <v>0.1</v>
      </c>
      <c r="DH101" s="259">
        <v>0.1</v>
      </c>
      <c r="DI101" s="259">
        <v>0.1</v>
      </c>
      <c r="DJ101" s="259">
        <v>0.1</v>
      </c>
      <c r="DK101" s="259">
        <v>0.1</v>
      </c>
      <c r="DL101" s="259">
        <v>0.1</v>
      </c>
      <c r="DM101" s="259">
        <v>0.1</v>
      </c>
      <c r="DN101" s="259">
        <v>0.1</v>
      </c>
      <c r="DO101" s="259">
        <v>0.1</v>
      </c>
      <c r="DP101" s="260">
        <v>0.1</v>
      </c>
      <c r="DQ101" s="258">
        <v>0.1</v>
      </c>
      <c r="DR101" s="259">
        <v>0.1</v>
      </c>
      <c r="DS101" s="259">
        <v>0.1</v>
      </c>
      <c r="DT101" s="259">
        <v>0.1</v>
      </c>
      <c r="DU101" s="259">
        <v>0.1</v>
      </c>
      <c r="DV101" s="259">
        <v>0.1</v>
      </c>
      <c r="DW101" s="259">
        <v>0.1</v>
      </c>
      <c r="DX101" s="259">
        <v>0.1</v>
      </c>
      <c r="DY101" s="259">
        <v>0.1</v>
      </c>
      <c r="DZ101" s="259">
        <v>0.1</v>
      </c>
      <c r="EA101" s="259">
        <v>0.1</v>
      </c>
      <c r="EB101" s="259">
        <v>0.1</v>
      </c>
      <c r="EC101" s="259">
        <v>0.1</v>
      </c>
      <c r="ED101" s="259">
        <v>0.1</v>
      </c>
      <c r="EE101" s="259">
        <v>0.1</v>
      </c>
      <c r="EF101" s="260">
        <v>0.1</v>
      </c>
      <c r="EJ101">
        <v>98</v>
      </c>
      <c r="EN101">
        <v>0.1</v>
      </c>
      <c r="EO101">
        <v>0.1</v>
      </c>
      <c r="EP101">
        <v>0.1</v>
      </c>
      <c r="EQ101">
        <v>0.1</v>
      </c>
      <c r="ER101">
        <v>0.1</v>
      </c>
      <c r="ES101">
        <v>0.1</v>
      </c>
      <c r="ET101">
        <v>0.1</v>
      </c>
      <c r="EU101">
        <v>0.1</v>
      </c>
      <c r="EV101">
        <v>0.1</v>
      </c>
      <c r="EW101">
        <v>0.1</v>
      </c>
      <c r="EX101">
        <v>0.1</v>
      </c>
      <c r="EY101">
        <v>0.1</v>
      </c>
      <c r="EZ101">
        <v>0.1</v>
      </c>
      <c r="FA101">
        <v>0.1</v>
      </c>
      <c r="FB101">
        <v>0.1</v>
      </c>
      <c r="FC101">
        <v>0.1</v>
      </c>
      <c r="FD101">
        <v>0.1</v>
      </c>
      <c r="FE101">
        <v>0.1</v>
      </c>
      <c r="FF101">
        <v>0.1</v>
      </c>
      <c r="FG101">
        <v>0.1</v>
      </c>
      <c r="FH101">
        <v>0.1</v>
      </c>
      <c r="FI101">
        <v>0.1</v>
      </c>
      <c r="FJ101">
        <v>0.1</v>
      </c>
      <c r="FK101">
        <v>0.1</v>
      </c>
      <c r="FL101">
        <v>0.1</v>
      </c>
      <c r="FM101">
        <v>0.1</v>
      </c>
      <c r="FN101">
        <v>0.1</v>
      </c>
      <c r="FO101">
        <v>0.1</v>
      </c>
      <c r="FP101">
        <v>0.1</v>
      </c>
      <c r="FQ101">
        <v>0.1</v>
      </c>
      <c r="FU101">
        <v>98</v>
      </c>
      <c r="GB101">
        <v>0.1</v>
      </c>
      <c r="GC101">
        <v>0.1</v>
      </c>
      <c r="GD101">
        <v>0.1</v>
      </c>
      <c r="GE101">
        <v>0.1</v>
      </c>
      <c r="GF101">
        <v>0.1</v>
      </c>
      <c r="GG101">
        <v>0.1</v>
      </c>
      <c r="GH101">
        <v>0.1</v>
      </c>
      <c r="GI101">
        <v>0.1</v>
      </c>
      <c r="GJ101">
        <v>0.1</v>
      </c>
      <c r="GK101">
        <v>0.1</v>
      </c>
      <c r="GL101">
        <v>0.1</v>
      </c>
      <c r="GM101">
        <v>0.1</v>
      </c>
      <c r="GN101">
        <v>0.1</v>
      </c>
      <c r="GO101">
        <v>0.1</v>
      </c>
      <c r="GP101">
        <v>0.1</v>
      </c>
      <c r="GQ101">
        <v>0.1</v>
      </c>
      <c r="GR101">
        <v>0.1</v>
      </c>
      <c r="GS101">
        <v>0.1</v>
      </c>
      <c r="GT101">
        <v>0.1</v>
      </c>
      <c r="GU101">
        <v>0.1</v>
      </c>
      <c r="GV101">
        <v>0.1</v>
      </c>
      <c r="GW101">
        <v>0.1</v>
      </c>
      <c r="GX101">
        <v>0.1</v>
      </c>
      <c r="GY101">
        <v>0.1</v>
      </c>
      <c r="GZ101">
        <v>0.1</v>
      </c>
      <c r="HA101">
        <v>0.1</v>
      </c>
      <c r="HB101">
        <v>0.1</v>
      </c>
      <c r="HC101">
        <v>0.1</v>
      </c>
      <c r="HD101">
        <v>0.1</v>
      </c>
      <c r="HE101">
        <v>0.1</v>
      </c>
      <c r="HF101">
        <v>0.1</v>
      </c>
      <c r="HG101">
        <v>0.1</v>
      </c>
      <c r="HH101">
        <v>0.1</v>
      </c>
      <c r="HI101">
        <v>0.1</v>
      </c>
      <c r="HJ101">
        <v>0.1</v>
      </c>
      <c r="HK101">
        <v>0.1</v>
      </c>
      <c r="HL101">
        <v>0.1</v>
      </c>
      <c r="HM101">
        <v>0.1</v>
      </c>
      <c r="HN101">
        <v>0.1</v>
      </c>
      <c r="HO101">
        <v>0.1</v>
      </c>
    </row>
    <row r="102" spans="1:223" ht="15.75" thickBot="1" x14ac:dyDescent="0.3">
      <c r="A102">
        <v>99</v>
      </c>
      <c r="B102" s="268">
        <v>3.72</v>
      </c>
      <c r="C102" s="268">
        <v>1.65</v>
      </c>
      <c r="D102" s="2"/>
      <c r="E102" s="2"/>
      <c r="F102" s="2"/>
      <c r="G102" s="2"/>
      <c r="H102" s="258">
        <v>0.1</v>
      </c>
      <c r="I102" s="259">
        <v>0.1</v>
      </c>
      <c r="J102" s="259">
        <v>0.1</v>
      </c>
      <c r="K102" s="259">
        <v>0.1</v>
      </c>
      <c r="L102" s="259">
        <v>0.1</v>
      </c>
      <c r="M102" s="259">
        <v>0.1</v>
      </c>
      <c r="N102" s="259">
        <v>0.1</v>
      </c>
      <c r="O102" s="259">
        <v>0.1</v>
      </c>
      <c r="P102" s="259">
        <v>0.1</v>
      </c>
      <c r="Q102" s="259">
        <v>0.1</v>
      </c>
      <c r="R102" s="259">
        <v>0.1</v>
      </c>
      <c r="S102" s="259">
        <v>0.1</v>
      </c>
      <c r="T102" s="259">
        <v>0.1</v>
      </c>
      <c r="U102" s="259">
        <v>0.1</v>
      </c>
      <c r="V102" s="259">
        <v>0.1</v>
      </c>
      <c r="W102" s="259">
        <v>0.1</v>
      </c>
      <c r="X102" s="259">
        <v>0.1</v>
      </c>
      <c r="Y102" s="259">
        <v>0.1</v>
      </c>
      <c r="Z102" s="259">
        <v>0.1</v>
      </c>
      <c r="AA102" s="259">
        <v>0.1</v>
      </c>
      <c r="AB102" s="259">
        <v>0.1</v>
      </c>
      <c r="AC102" s="259">
        <v>0.1</v>
      </c>
      <c r="AD102" s="259">
        <v>0.1</v>
      </c>
      <c r="AE102" s="259">
        <v>0.1</v>
      </c>
      <c r="AF102" s="259">
        <v>0.1</v>
      </c>
      <c r="AG102" s="259">
        <v>0.1</v>
      </c>
      <c r="AH102" s="259">
        <v>0.1</v>
      </c>
      <c r="AI102" s="259">
        <v>0.1</v>
      </c>
      <c r="AJ102" s="259">
        <v>0.1</v>
      </c>
      <c r="AK102" s="259">
        <v>0.1</v>
      </c>
      <c r="AL102" s="259">
        <v>0.1</v>
      </c>
      <c r="AM102" s="259">
        <v>0.1</v>
      </c>
      <c r="AN102" s="259">
        <v>0.1</v>
      </c>
      <c r="AO102" s="259">
        <v>0.1</v>
      </c>
      <c r="AP102" s="259">
        <v>0.1</v>
      </c>
      <c r="AQ102" s="259">
        <v>0.1</v>
      </c>
      <c r="AR102" s="259">
        <v>0.1</v>
      </c>
      <c r="AS102" s="260">
        <v>0.1</v>
      </c>
      <c r="AT102" s="258">
        <v>0.1</v>
      </c>
      <c r="AU102" s="259">
        <v>0.1</v>
      </c>
      <c r="AV102" s="259">
        <v>0.1</v>
      </c>
      <c r="AW102" s="259">
        <v>0.1</v>
      </c>
      <c r="AX102" s="259">
        <v>0.1</v>
      </c>
      <c r="AY102" s="259">
        <v>0.1</v>
      </c>
      <c r="AZ102" s="259">
        <v>0.1</v>
      </c>
      <c r="BA102" s="259">
        <v>0.1</v>
      </c>
      <c r="BB102" s="259">
        <v>0.1</v>
      </c>
      <c r="BC102" s="259">
        <v>0.1</v>
      </c>
      <c r="BD102" s="259">
        <v>0.1</v>
      </c>
      <c r="BE102" s="259">
        <v>0.1</v>
      </c>
      <c r="BF102" s="259">
        <v>0.1</v>
      </c>
      <c r="BG102" s="259">
        <v>0.1</v>
      </c>
      <c r="BH102" s="259">
        <v>0.1</v>
      </c>
      <c r="BI102" s="259">
        <v>0.1</v>
      </c>
      <c r="BJ102" s="260">
        <v>0.1</v>
      </c>
      <c r="BK102">
        <v>0.1</v>
      </c>
      <c r="BL102">
        <v>0.1</v>
      </c>
      <c r="BM102">
        <v>0.1</v>
      </c>
      <c r="BN102">
        <v>0.1</v>
      </c>
      <c r="BO102">
        <v>0.1</v>
      </c>
      <c r="BP102">
        <f t="shared" si="4"/>
        <v>0.5</v>
      </c>
      <c r="BS102">
        <v>99</v>
      </c>
      <c r="BT102" s="271">
        <v>4.18</v>
      </c>
      <c r="BU102" s="270">
        <v>1.77</v>
      </c>
      <c r="BV102" s="2"/>
      <c r="BX102" s="2"/>
      <c r="BY102" s="258">
        <v>0.1</v>
      </c>
      <c r="BZ102" s="259">
        <v>0.1</v>
      </c>
      <c r="CA102" s="259">
        <v>0.1</v>
      </c>
      <c r="CB102" s="259">
        <v>0.1</v>
      </c>
      <c r="CC102" s="259">
        <v>0.1</v>
      </c>
      <c r="CD102" s="259">
        <v>0.1</v>
      </c>
      <c r="CE102" s="259">
        <v>0.1</v>
      </c>
      <c r="CF102" s="259">
        <v>0.1</v>
      </c>
      <c r="CG102" s="259">
        <v>0.1</v>
      </c>
      <c r="CH102" s="259">
        <v>0.1</v>
      </c>
      <c r="CI102" s="259">
        <v>0.1</v>
      </c>
      <c r="CJ102" s="259">
        <v>0.1</v>
      </c>
      <c r="CK102" s="259">
        <v>0.1</v>
      </c>
      <c r="CL102" s="259">
        <v>0.1</v>
      </c>
      <c r="CM102" s="259">
        <v>0.1</v>
      </c>
      <c r="CN102" s="259">
        <v>0.1</v>
      </c>
      <c r="CO102" s="259">
        <v>0.1</v>
      </c>
      <c r="CP102" s="259">
        <v>0.1</v>
      </c>
      <c r="CQ102" s="259">
        <v>0.1</v>
      </c>
      <c r="CR102" s="259">
        <v>0.1</v>
      </c>
      <c r="CS102" s="259">
        <v>0.1</v>
      </c>
      <c r="CT102" s="259">
        <v>0.1</v>
      </c>
      <c r="CU102" s="259">
        <v>0.1</v>
      </c>
      <c r="CV102" s="259">
        <v>0.1</v>
      </c>
      <c r="CW102" s="259">
        <v>0.1</v>
      </c>
      <c r="CX102" s="259">
        <v>0.1</v>
      </c>
      <c r="CY102" s="259">
        <v>0.1</v>
      </c>
      <c r="CZ102" s="259">
        <v>0.1</v>
      </c>
      <c r="DA102" s="259">
        <v>0.1</v>
      </c>
      <c r="DB102" s="259">
        <v>0.1</v>
      </c>
      <c r="DC102" s="259">
        <v>0.1</v>
      </c>
      <c r="DD102" s="259">
        <v>0.1</v>
      </c>
      <c r="DE102" s="259">
        <v>0.1</v>
      </c>
      <c r="DF102" s="259">
        <v>0.1</v>
      </c>
      <c r="DG102" s="259">
        <v>0.1</v>
      </c>
      <c r="DH102" s="259">
        <v>0.1</v>
      </c>
      <c r="DI102" s="259">
        <v>0.1</v>
      </c>
      <c r="DJ102" s="259">
        <v>0.1</v>
      </c>
      <c r="DK102" s="259">
        <v>0.1</v>
      </c>
      <c r="DL102" s="259">
        <v>0.1</v>
      </c>
      <c r="DM102" s="259">
        <v>0.1</v>
      </c>
      <c r="DN102" s="260">
        <v>0.1</v>
      </c>
      <c r="DO102" s="258">
        <v>0.1</v>
      </c>
      <c r="DP102" s="259">
        <v>0.1</v>
      </c>
      <c r="DQ102" s="259">
        <v>0.1</v>
      </c>
      <c r="DR102" s="259">
        <v>0.1</v>
      </c>
      <c r="DS102" s="259">
        <v>0.1</v>
      </c>
      <c r="DT102" s="259">
        <v>0.1</v>
      </c>
      <c r="DU102" s="259">
        <v>0.1</v>
      </c>
      <c r="DV102" s="259">
        <v>0.1</v>
      </c>
      <c r="DW102" s="259">
        <v>0.1</v>
      </c>
      <c r="DX102" s="259">
        <v>0.1</v>
      </c>
      <c r="DY102" s="259">
        <v>0.1</v>
      </c>
      <c r="DZ102" s="259">
        <v>0.1</v>
      </c>
      <c r="EA102" s="259">
        <v>0.1</v>
      </c>
      <c r="EB102" s="259">
        <v>0.1</v>
      </c>
      <c r="EC102" s="259">
        <v>0.1</v>
      </c>
      <c r="ED102" s="259">
        <v>0.1</v>
      </c>
      <c r="EE102" s="259">
        <v>0.1</v>
      </c>
      <c r="EF102" s="260">
        <v>0.1</v>
      </c>
      <c r="EJ102">
        <v>99</v>
      </c>
      <c r="EN102">
        <v>0.1</v>
      </c>
      <c r="EO102">
        <v>0.1</v>
      </c>
      <c r="EP102">
        <v>0.1</v>
      </c>
      <c r="EQ102">
        <v>0.1</v>
      </c>
      <c r="ER102">
        <v>0.1</v>
      </c>
      <c r="ES102">
        <v>0.1</v>
      </c>
      <c r="ET102">
        <v>0.1</v>
      </c>
      <c r="EU102">
        <v>0.1</v>
      </c>
      <c r="EV102">
        <v>0.1</v>
      </c>
      <c r="EW102">
        <v>0.1</v>
      </c>
      <c r="EX102">
        <v>0.1</v>
      </c>
      <c r="EY102">
        <v>0.1</v>
      </c>
      <c r="EZ102">
        <v>0.1</v>
      </c>
      <c r="FA102">
        <v>0.1</v>
      </c>
      <c r="FB102">
        <v>0.1</v>
      </c>
      <c r="FC102">
        <v>0.1</v>
      </c>
      <c r="FD102">
        <v>0.1</v>
      </c>
      <c r="FE102">
        <v>0.1</v>
      </c>
      <c r="FF102">
        <v>0.1</v>
      </c>
      <c r="FG102">
        <v>0.1</v>
      </c>
      <c r="FH102">
        <v>0.1</v>
      </c>
      <c r="FI102">
        <v>0.1</v>
      </c>
      <c r="FJ102">
        <v>0.1</v>
      </c>
      <c r="FK102">
        <v>0.1</v>
      </c>
      <c r="FL102">
        <v>0.1</v>
      </c>
      <c r="FM102">
        <v>0.1</v>
      </c>
      <c r="FN102">
        <v>0.1</v>
      </c>
      <c r="FO102">
        <v>0.1</v>
      </c>
      <c r="FP102">
        <v>0.1</v>
      </c>
      <c r="FQ102">
        <v>0.1</v>
      </c>
      <c r="FU102">
        <v>99</v>
      </c>
      <c r="GB102">
        <v>0.1</v>
      </c>
      <c r="GC102">
        <v>0.1</v>
      </c>
      <c r="GD102">
        <v>0.1</v>
      </c>
      <c r="GE102">
        <v>0.1</v>
      </c>
      <c r="GF102">
        <v>0.1</v>
      </c>
      <c r="GG102">
        <v>0.1</v>
      </c>
      <c r="GH102">
        <v>0.1</v>
      </c>
      <c r="GI102">
        <v>0.1</v>
      </c>
      <c r="GJ102">
        <v>0.1</v>
      </c>
      <c r="GK102">
        <v>0.1</v>
      </c>
      <c r="GL102">
        <v>0.1</v>
      </c>
      <c r="GM102">
        <v>0.1</v>
      </c>
      <c r="GN102">
        <v>0.1</v>
      </c>
      <c r="GO102">
        <v>0.1</v>
      </c>
      <c r="GP102">
        <v>0.1</v>
      </c>
      <c r="GQ102">
        <v>0.1</v>
      </c>
      <c r="GR102">
        <v>0.1</v>
      </c>
      <c r="GS102">
        <v>0.1</v>
      </c>
      <c r="GT102">
        <v>0.1</v>
      </c>
      <c r="GU102">
        <v>0.1</v>
      </c>
      <c r="GV102">
        <v>0.1</v>
      </c>
      <c r="GW102">
        <v>0.1</v>
      </c>
      <c r="GX102">
        <v>0.1</v>
      </c>
      <c r="GY102">
        <v>0.1</v>
      </c>
      <c r="GZ102">
        <v>0.1</v>
      </c>
      <c r="HA102">
        <v>0.1</v>
      </c>
      <c r="HB102">
        <v>0.1</v>
      </c>
      <c r="HC102">
        <v>0.1</v>
      </c>
      <c r="HD102">
        <v>0.1</v>
      </c>
      <c r="HE102">
        <v>0.1</v>
      </c>
      <c r="HF102">
        <v>0.1</v>
      </c>
      <c r="HG102">
        <v>0.1</v>
      </c>
      <c r="HH102">
        <v>0.1</v>
      </c>
      <c r="HI102">
        <v>0.1</v>
      </c>
      <c r="HJ102">
        <v>0.1</v>
      </c>
      <c r="HK102">
        <v>0.1</v>
      </c>
      <c r="HL102">
        <v>0.1</v>
      </c>
      <c r="HM102">
        <v>0.1</v>
      </c>
      <c r="HN102">
        <v>0.1</v>
      </c>
      <c r="HO102">
        <v>0.1</v>
      </c>
    </row>
    <row r="103" spans="1:223" ht="15.75" thickBot="1" x14ac:dyDescent="0.3">
      <c r="A103">
        <v>100</v>
      </c>
      <c r="B103" s="269">
        <v>3.72</v>
      </c>
      <c r="C103" s="269">
        <v>1.63</v>
      </c>
      <c r="D103" s="2"/>
      <c r="E103" s="2"/>
      <c r="F103" s="2"/>
      <c r="G103" s="2"/>
      <c r="H103" s="258">
        <v>0.1</v>
      </c>
      <c r="I103" s="259">
        <v>0.1</v>
      </c>
      <c r="J103" s="259">
        <v>0.1</v>
      </c>
      <c r="K103" s="259">
        <v>0.1</v>
      </c>
      <c r="L103" s="259">
        <v>0.1</v>
      </c>
      <c r="M103" s="259">
        <v>0.1</v>
      </c>
      <c r="N103" s="259">
        <v>0.1</v>
      </c>
      <c r="O103" s="259">
        <v>0.1</v>
      </c>
      <c r="P103" s="259">
        <v>0.1</v>
      </c>
      <c r="Q103" s="259">
        <v>0.1</v>
      </c>
      <c r="R103" s="259">
        <v>0.1</v>
      </c>
      <c r="S103" s="259">
        <v>0.1</v>
      </c>
      <c r="T103" s="259">
        <v>0.1</v>
      </c>
      <c r="U103" s="259">
        <v>0.1</v>
      </c>
      <c r="V103" s="259">
        <v>0.1</v>
      </c>
      <c r="W103" s="259">
        <v>0.1</v>
      </c>
      <c r="X103" s="259">
        <v>0.1</v>
      </c>
      <c r="Y103" s="259">
        <v>0.1</v>
      </c>
      <c r="Z103" s="259">
        <v>0.1</v>
      </c>
      <c r="AA103" s="259">
        <v>0.1</v>
      </c>
      <c r="AB103" s="259">
        <v>0.1</v>
      </c>
      <c r="AC103" s="259">
        <v>0.1</v>
      </c>
      <c r="AD103" s="259">
        <v>0.1</v>
      </c>
      <c r="AE103" s="259">
        <v>0.1</v>
      </c>
      <c r="AF103" s="259">
        <v>0.1</v>
      </c>
      <c r="AG103" s="259">
        <v>0.1</v>
      </c>
      <c r="AH103" s="259">
        <v>0.1</v>
      </c>
      <c r="AI103" s="259">
        <v>0.1</v>
      </c>
      <c r="AJ103" s="259">
        <v>0.1</v>
      </c>
      <c r="AK103" s="259">
        <v>0.1</v>
      </c>
      <c r="AL103" s="259">
        <v>0.1</v>
      </c>
      <c r="AM103" s="259">
        <v>0.1</v>
      </c>
      <c r="AN103" s="259">
        <v>0.1</v>
      </c>
      <c r="AO103" s="259">
        <v>0.1</v>
      </c>
      <c r="AP103" s="259">
        <v>0.1</v>
      </c>
      <c r="AQ103" s="259">
        <v>0.1</v>
      </c>
      <c r="AR103" s="259">
        <v>0.1</v>
      </c>
      <c r="AS103" s="260">
        <v>0.1</v>
      </c>
      <c r="AT103" s="258">
        <v>0.1</v>
      </c>
      <c r="AU103" s="259">
        <v>0.1</v>
      </c>
      <c r="AV103" s="259">
        <v>0.1</v>
      </c>
      <c r="AW103" s="259">
        <v>0.1</v>
      </c>
      <c r="AX103" s="259">
        <v>0.1</v>
      </c>
      <c r="AY103" s="259">
        <v>0.1</v>
      </c>
      <c r="AZ103" s="259">
        <v>0.1</v>
      </c>
      <c r="BA103" s="259">
        <v>0.1</v>
      </c>
      <c r="BB103" s="259">
        <v>0.1</v>
      </c>
      <c r="BC103" s="259">
        <v>0.1</v>
      </c>
      <c r="BD103" s="259">
        <v>0.1</v>
      </c>
      <c r="BE103" s="259">
        <v>0.1</v>
      </c>
      <c r="BF103" s="259">
        <v>0.1</v>
      </c>
      <c r="BG103" s="259">
        <v>0.1</v>
      </c>
      <c r="BH103" s="259">
        <v>0.1</v>
      </c>
      <c r="BI103" s="259">
        <v>0.1</v>
      </c>
      <c r="BJ103" s="260">
        <v>0.1</v>
      </c>
      <c r="BK103">
        <v>0.1</v>
      </c>
      <c r="BL103">
        <v>0.1</v>
      </c>
      <c r="BM103">
        <v>0.1</v>
      </c>
      <c r="BN103">
        <v>0.1</v>
      </c>
      <c r="BO103">
        <v>0.1</v>
      </c>
      <c r="BP103">
        <f t="shared" si="4"/>
        <v>0.5</v>
      </c>
      <c r="BS103">
        <v>100</v>
      </c>
      <c r="BT103" s="270">
        <v>4.18</v>
      </c>
      <c r="BU103" s="271">
        <v>1.77</v>
      </c>
      <c r="BV103" s="2"/>
      <c r="BX103" s="2"/>
      <c r="BY103" s="258">
        <v>0.1</v>
      </c>
      <c r="BZ103" s="259">
        <v>0.1</v>
      </c>
      <c r="CA103" s="259">
        <v>0.1</v>
      </c>
      <c r="CB103" s="259">
        <v>0.1</v>
      </c>
      <c r="CC103" s="259">
        <v>0.1</v>
      </c>
      <c r="CD103" s="259">
        <v>0.1</v>
      </c>
      <c r="CE103" s="259">
        <v>0.1</v>
      </c>
      <c r="CF103" s="259">
        <v>0.1</v>
      </c>
      <c r="CG103" s="259">
        <v>0.1</v>
      </c>
      <c r="CH103" s="259">
        <v>0.1</v>
      </c>
      <c r="CI103" s="259">
        <v>0.1</v>
      </c>
      <c r="CJ103" s="259">
        <v>0.1</v>
      </c>
      <c r="CK103" s="259">
        <v>0.1</v>
      </c>
      <c r="CL103" s="259">
        <v>0.1</v>
      </c>
      <c r="CM103" s="259">
        <v>0.1</v>
      </c>
      <c r="CN103" s="259">
        <v>0.1</v>
      </c>
      <c r="CO103" s="259">
        <v>0.1</v>
      </c>
      <c r="CP103" s="259">
        <v>0.1</v>
      </c>
      <c r="CQ103" s="259">
        <v>0.1</v>
      </c>
      <c r="CR103" s="259">
        <v>0.1</v>
      </c>
      <c r="CS103" s="259">
        <v>0.1</v>
      </c>
      <c r="CT103" s="259">
        <v>0.1</v>
      </c>
      <c r="CU103" s="259">
        <v>0.1</v>
      </c>
      <c r="CV103" s="259">
        <v>0.1</v>
      </c>
      <c r="CW103" s="259">
        <v>0.1</v>
      </c>
      <c r="CX103" s="259">
        <v>0.1</v>
      </c>
      <c r="CY103" s="259">
        <v>0.1</v>
      </c>
      <c r="CZ103" s="259">
        <v>0.1</v>
      </c>
      <c r="DA103" s="259">
        <v>0.1</v>
      </c>
      <c r="DB103" s="259">
        <v>0.1</v>
      </c>
      <c r="DC103" s="259">
        <v>0.1</v>
      </c>
      <c r="DD103" s="259">
        <v>0.1</v>
      </c>
      <c r="DE103" s="259">
        <v>0.1</v>
      </c>
      <c r="DF103" s="259">
        <v>0.1</v>
      </c>
      <c r="DG103" s="259">
        <v>0.1</v>
      </c>
      <c r="DH103" s="259">
        <v>0.1</v>
      </c>
      <c r="DI103" s="259">
        <v>0.1</v>
      </c>
      <c r="DJ103" s="259">
        <v>0.1</v>
      </c>
      <c r="DK103" s="259">
        <v>0.1</v>
      </c>
      <c r="DL103" s="259">
        <v>0.1</v>
      </c>
      <c r="DM103" s="259">
        <v>0.1</v>
      </c>
      <c r="DN103" s="260">
        <v>0.1</v>
      </c>
      <c r="DO103" s="258">
        <v>0.1</v>
      </c>
      <c r="DP103" s="259">
        <v>0.1</v>
      </c>
      <c r="DQ103" s="259">
        <v>0.1</v>
      </c>
      <c r="DR103" s="259">
        <v>0.1</v>
      </c>
      <c r="DS103" s="259">
        <v>0.1</v>
      </c>
      <c r="DT103" s="259">
        <v>0.1</v>
      </c>
      <c r="DU103" s="259">
        <v>0.1</v>
      </c>
      <c r="DV103" s="259">
        <v>0.1</v>
      </c>
      <c r="DW103" s="259">
        <v>0.1</v>
      </c>
      <c r="DX103" s="259">
        <v>0.1</v>
      </c>
      <c r="DY103" s="259">
        <v>0.1</v>
      </c>
      <c r="DZ103" s="259">
        <v>0.1</v>
      </c>
      <c r="EA103" s="259">
        <v>0.1</v>
      </c>
      <c r="EB103" s="259">
        <v>0.1</v>
      </c>
      <c r="EC103" s="259">
        <v>0.1</v>
      </c>
      <c r="ED103" s="259">
        <v>0.1</v>
      </c>
      <c r="EE103" s="259">
        <v>0.1</v>
      </c>
      <c r="EF103" s="260">
        <v>0.1</v>
      </c>
      <c r="EJ103">
        <v>100</v>
      </c>
      <c r="EN103">
        <v>0.1</v>
      </c>
      <c r="EO103">
        <v>0.1</v>
      </c>
      <c r="EP103">
        <v>0.1</v>
      </c>
      <c r="EQ103">
        <v>0.1</v>
      </c>
      <c r="ER103">
        <v>0.1</v>
      </c>
      <c r="ES103">
        <v>0.1</v>
      </c>
      <c r="ET103">
        <v>0.1</v>
      </c>
      <c r="EU103">
        <v>0.1</v>
      </c>
      <c r="EV103">
        <v>0.1</v>
      </c>
      <c r="EW103">
        <v>0.1</v>
      </c>
      <c r="EX103">
        <v>0.1</v>
      </c>
      <c r="EY103">
        <v>0.1</v>
      </c>
      <c r="EZ103">
        <v>0.1</v>
      </c>
      <c r="FA103">
        <v>0.1</v>
      </c>
      <c r="FB103">
        <v>0.1</v>
      </c>
      <c r="FC103">
        <v>0.1</v>
      </c>
      <c r="FD103">
        <v>0.1</v>
      </c>
      <c r="FE103">
        <v>0.1</v>
      </c>
      <c r="FF103">
        <v>0.1</v>
      </c>
      <c r="FG103">
        <v>0.1</v>
      </c>
      <c r="FH103">
        <v>0.1</v>
      </c>
      <c r="FI103">
        <v>0.1</v>
      </c>
      <c r="FJ103">
        <v>0.1</v>
      </c>
      <c r="FK103">
        <v>0.1</v>
      </c>
      <c r="FL103">
        <v>0.1</v>
      </c>
      <c r="FM103">
        <v>0.1</v>
      </c>
      <c r="FN103">
        <v>0.1</v>
      </c>
      <c r="FO103">
        <v>0.1</v>
      </c>
      <c r="FP103">
        <v>0.1</v>
      </c>
      <c r="FQ103">
        <v>0.1</v>
      </c>
      <c r="FU103">
        <v>100</v>
      </c>
      <c r="GB103">
        <v>0.1</v>
      </c>
      <c r="GC103">
        <v>0.1</v>
      </c>
      <c r="GD103">
        <v>0.1</v>
      </c>
      <c r="GE103">
        <v>0.1</v>
      </c>
      <c r="GF103">
        <v>0.1</v>
      </c>
      <c r="GG103">
        <v>0.1</v>
      </c>
      <c r="GH103">
        <v>0.1</v>
      </c>
      <c r="GI103">
        <v>0.1</v>
      </c>
      <c r="GJ103">
        <v>0.1</v>
      </c>
      <c r="GK103">
        <v>0.1</v>
      </c>
      <c r="GL103">
        <v>0.1</v>
      </c>
      <c r="GM103">
        <v>0.1</v>
      </c>
      <c r="GN103">
        <v>0.1</v>
      </c>
      <c r="GO103">
        <v>0.1</v>
      </c>
      <c r="GP103">
        <v>0.1</v>
      </c>
      <c r="GQ103">
        <v>0.1</v>
      </c>
      <c r="GR103">
        <v>0.1</v>
      </c>
      <c r="GS103">
        <v>0.1</v>
      </c>
      <c r="GT103">
        <v>0.1</v>
      </c>
      <c r="GU103">
        <v>0.1</v>
      </c>
      <c r="GV103">
        <v>0.1</v>
      </c>
      <c r="GW103">
        <v>0.1</v>
      </c>
      <c r="GX103">
        <v>0.1</v>
      </c>
      <c r="GY103">
        <v>0.1</v>
      </c>
      <c r="GZ103">
        <v>0.1</v>
      </c>
      <c r="HA103">
        <v>0.1</v>
      </c>
      <c r="HB103">
        <v>0.1</v>
      </c>
      <c r="HC103">
        <v>0.1</v>
      </c>
      <c r="HD103">
        <v>0.1</v>
      </c>
      <c r="HE103">
        <v>0.1</v>
      </c>
      <c r="HF103">
        <v>0.1</v>
      </c>
      <c r="HG103">
        <v>0.1</v>
      </c>
      <c r="HH103">
        <v>0.1</v>
      </c>
      <c r="HI103">
        <v>0.1</v>
      </c>
      <c r="HJ103">
        <v>0.1</v>
      </c>
      <c r="HK103">
        <v>0.1</v>
      </c>
      <c r="HL103">
        <v>0.1</v>
      </c>
      <c r="HM103">
        <v>0.1</v>
      </c>
      <c r="HN103">
        <v>0.1</v>
      </c>
      <c r="HO103">
        <v>0.1</v>
      </c>
    </row>
    <row r="104" spans="1:223" ht="15.75" thickBot="1" x14ac:dyDescent="0.3">
      <c r="A104">
        <v>101</v>
      </c>
      <c r="B104" s="268">
        <v>3.72</v>
      </c>
      <c r="C104" s="268">
        <v>1.98</v>
      </c>
      <c r="D104" s="2"/>
      <c r="E104" s="2"/>
      <c r="F104" s="2"/>
      <c r="G104" s="2"/>
      <c r="H104" s="258">
        <v>0.1</v>
      </c>
      <c r="I104" s="259">
        <v>0.1</v>
      </c>
      <c r="J104" s="259">
        <v>0.1</v>
      </c>
      <c r="K104" s="259">
        <v>0.1</v>
      </c>
      <c r="L104" s="259">
        <v>0.1</v>
      </c>
      <c r="M104" s="259">
        <v>0.1</v>
      </c>
      <c r="N104" s="259">
        <v>0.1</v>
      </c>
      <c r="O104" s="259">
        <v>0.1</v>
      </c>
      <c r="P104" s="259">
        <v>0.1</v>
      </c>
      <c r="Q104" s="259">
        <v>0.1</v>
      </c>
      <c r="R104" s="259">
        <v>0.1</v>
      </c>
      <c r="S104" s="259">
        <v>0.1</v>
      </c>
      <c r="T104" s="259">
        <v>0.1</v>
      </c>
      <c r="U104" s="259">
        <v>0.1</v>
      </c>
      <c r="V104" s="259">
        <v>0.1</v>
      </c>
      <c r="W104" s="259">
        <v>0.1</v>
      </c>
      <c r="X104" s="259">
        <v>0.1</v>
      </c>
      <c r="Y104" s="259">
        <v>0.1</v>
      </c>
      <c r="Z104" s="259">
        <v>0.1</v>
      </c>
      <c r="AA104" s="259">
        <v>0.1</v>
      </c>
      <c r="AB104" s="259">
        <v>0.1</v>
      </c>
      <c r="AC104" s="259">
        <v>0.1</v>
      </c>
      <c r="AD104" s="259">
        <v>0.1</v>
      </c>
      <c r="AE104" s="259">
        <v>0.1</v>
      </c>
      <c r="AF104" s="259">
        <v>0.1</v>
      </c>
      <c r="AG104" s="259">
        <v>0.1</v>
      </c>
      <c r="AH104" s="259">
        <v>0.1</v>
      </c>
      <c r="AI104" s="259">
        <v>0.1</v>
      </c>
      <c r="AJ104" s="259">
        <v>0.1</v>
      </c>
      <c r="AK104" s="259">
        <v>0.1</v>
      </c>
      <c r="AL104" s="259">
        <v>0.1</v>
      </c>
      <c r="AM104" s="259">
        <v>0.1</v>
      </c>
      <c r="AN104" s="259">
        <v>0.1</v>
      </c>
      <c r="AO104" s="259">
        <v>0.1</v>
      </c>
      <c r="AP104" s="259">
        <v>0.1</v>
      </c>
      <c r="AQ104" s="259">
        <v>0.1</v>
      </c>
      <c r="AR104" s="259">
        <v>0.1</v>
      </c>
      <c r="AS104" s="260">
        <v>0.1</v>
      </c>
      <c r="AT104" s="258">
        <v>0.1</v>
      </c>
      <c r="AU104" s="259">
        <v>0.1</v>
      </c>
      <c r="AV104" s="259">
        <v>0.1</v>
      </c>
      <c r="AW104" s="259">
        <v>0.1</v>
      </c>
      <c r="AX104" s="259">
        <v>0.1</v>
      </c>
      <c r="AY104" s="259">
        <v>0.1</v>
      </c>
      <c r="AZ104" s="259">
        <v>0.1</v>
      </c>
      <c r="BA104" s="259">
        <v>0.1</v>
      </c>
      <c r="BB104" s="259">
        <v>0.1</v>
      </c>
      <c r="BC104" s="259">
        <v>0.1</v>
      </c>
      <c r="BD104" s="259">
        <v>0.1</v>
      </c>
      <c r="BE104" s="259">
        <v>0.1</v>
      </c>
      <c r="BF104" s="259">
        <v>0.1</v>
      </c>
      <c r="BG104" s="259">
        <v>0.1</v>
      </c>
      <c r="BH104" s="259">
        <v>0.1</v>
      </c>
      <c r="BI104" s="259">
        <v>0.1</v>
      </c>
      <c r="BJ104" s="259">
        <v>0.1</v>
      </c>
      <c r="BK104" s="259">
        <v>0.1</v>
      </c>
      <c r="BL104" s="259">
        <v>0.1</v>
      </c>
      <c r="BM104" s="260">
        <v>0.1</v>
      </c>
      <c r="BN104">
        <v>0.1</v>
      </c>
      <c r="BO104">
        <v>0.1</v>
      </c>
      <c r="BP104">
        <f>SUM(BN104:BO104)</f>
        <v>0.2</v>
      </c>
      <c r="BS104">
        <v>101</v>
      </c>
      <c r="BT104" s="271">
        <v>4.18</v>
      </c>
      <c r="BU104" s="270">
        <v>1.77</v>
      </c>
      <c r="BV104" s="2"/>
      <c r="BX104" s="2"/>
      <c r="BY104" s="258">
        <v>0.1</v>
      </c>
      <c r="BZ104" s="259">
        <v>0.1</v>
      </c>
      <c r="CA104" s="259">
        <v>0.1</v>
      </c>
      <c r="CB104" s="259">
        <v>0.1</v>
      </c>
      <c r="CC104" s="259">
        <v>0.1</v>
      </c>
      <c r="CD104" s="259">
        <v>0.1</v>
      </c>
      <c r="CE104" s="259">
        <v>0.1</v>
      </c>
      <c r="CF104" s="259">
        <v>0.1</v>
      </c>
      <c r="CG104" s="259">
        <v>0.1</v>
      </c>
      <c r="CH104" s="259">
        <v>0.1</v>
      </c>
      <c r="CI104" s="259">
        <v>0.1</v>
      </c>
      <c r="CJ104" s="259">
        <v>0.1</v>
      </c>
      <c r="CK104" s="259">
        <v>0.1</v>
      </c>
      <c r="CL104" s="259">
        <v>0.1</v>
      </c>
      <c r="CM104" s="259">
        <v>0.1</v>
      </c>
      <c r="CN104" s="259">
        <v>0.1</v>
      </c>
      <c r="CO104" s="259">
        <v>0.1</v>
      </c>
      <c r="CP104" s="259">
        <v>0.1</v>
      </c>
      <c r="CQ104" s="259">
        <v>0.1</v>
      </c>
      <c r="CR104" s="259">
        <v>0.1</v>
      </c>
      <c r="CS104" s="259">
        <v>0.1</v>
      </c>
      <c r="CT104" s="259">
        <v>0.1</v>
      </c>
      <c r="CU104" s="259">
        <v>0.1</v>
      </c>
      <c r="CV104" s="259">
        <v>0.1</v>
      </c>
      <c r="CW104" s="259">
        <v>0.1</v>
      </c>
      <c r="CX104" s="259">
        <v>0.1</v>
      </c>
      <c r="CY104" s="259">
        <v>0.1</v>
      </c>
      <c r="CZ104" s="259">
        <v>0.1</v>
      </c>
      <c r="DA104" s="259">
        <v>0.1</v>
      </c>
      <c r="DB104" s="259">
        <v>0.1</v>
      </c>
      <c r="DC104" s="259">
        <v>0.1</v>
      </c>
      <c r="DD104" s="259">
        <v>0.1</v>
      </c>
      <c r="DE104" s="259">
        <v>0.1</v>
      </c>
      <c r="DF104" s="259">
        <v>0.1</v>
      </c>
      <c r="DG104" s="259">
        <v>0.1</v>
      </c>
      <c r="DH104" s="259">
        <v>0.1</v>
      </c>
      <c r="DI104" s="259">
        <v>0.1</v>
      </c>
      <c r="DJ104" s="259">
        <v>0.1</v>
      </c>
      <c r="DK104" s="259">
        <v>0.1</v>
      </c>
      <c r="DL104" s="259">
        <v>0.1</v>
      </c>
      <c r="DM104" s="259">
        <v>0.1</v>
      </c>
      <c r="DN104" s="260">
        <v>0.1</v>
      </c>
      <c r="DO104" s="258">
        <v>0.1</v>
      </c>
      <c r="DP104" s="259">
        <v>0.1</v>
      </c>
      <c r="DQ104" s="259">
        <v>0.1</v>
      </c>
      <c r="DR104" s="259">
        <v>0.1</v>
      </c>
      <c r="DS104" s="259">
        <v>0.1</v>
      </c>
      <c r="DT104" s="259">
        <v>0.1</v>
      </c>
      <c r="DU104" s="259">
        <v>0.1</v>
      </c>
      <c r="DV104" s="259">
        <v>0.1</v>
      </c>
      <c r="DW104" s="259">
        <v>0.1</v>
      </c>
      <c r="DX104" s="259">
        <v>0.1</v>
      </c>
      <c r="DY104" s="259">
        <v>0.1</v>
      </c>
      <c r="DZ104" s="259">
        <v>0.1</v>
      </c>
      <c r="EA104" s="259">
        <v>0.1</v>
      </c>
      <c r="EB104" s="259">
        <v>0.1</v>
      </c>
      <c r="EC104" s="259">
        <v>0.1</v>
      </c>
      <c r="ED104" s="259">
        <v>0.1</v>
      </c>
      <c r="EE104" s="259">
        <v>0.1</v>
      </c>
      <c r="EF104" s="260">
        <v>0.1</v>
      </c>
      <c r="EJ104">
        <v>101</v>
      </c>
      <c r="EN104">
        <v>0.1</v>
      </c>
      <c r="EO104">
        <v>0.1</v>
      </c>
      <c r="EP104">
        <v>0.1</v>
      </c>
      <c r="EQ104">
        <v>0.1</v>
      </c>
      <c r="ER104">
        <v>0.1</v>
      </c>
      <c r="ES104">
        <v>0.1</v>
      </c>
      <c r="ET104">
        <v>0.1</v>
      </c>
      <c r="EU104">
        <v>0.1</v>
      </c>
      <c r="EV104">
        <v>0.1</v>
      </c>
      <c r="EW104">
        <v>0.1</v>
      </c>
      <c r="EX104">
        <v>0.1</v>
      </c>
      <c r="EY104">
        <v>0.1</v>
      </c>
      <c r="EZ104">
        <v>0.1</v>
      </c>
      <c r="FA104">
        <v>0.1</v>
      </c>
      <c r="FB104">
        <v>0.1</v>
      </c>
      <c r="FC104">
        <v>0.1</v>
      </c>
      <c r="FD104">
        <v>0.1</v>
      </c>
      <c r="FE104">
        <v>0.1</v>
      </c>
      <c r="FF104">
        <v>0.1</v>
      </c>
      <c r="FG104">
        <v>0.1</v>
      </c>
      <c r="FH104">
        <v>0.1</v>
      </c>
      <c r="FI104">
        <v>0.1</v>
      </c>
      <c r="FJ104">
        <v>0.1</v>
      </c>
      <c r="FK104">
        <v>0.1</v>
      </c>
      <c r="FL104">
        <v>0.1</v>
      </c>
      <c r="FM104">
        <v>0.1</v>
      </c>
      <c r="FN104">
        <v>0.1</v>
      </c>
      <c r="FO104">
        <v>0.1</v>
      </c>
      <c r="FP104">
        <v>0.1</v>
      </c>
      <c r="FQ104">
        <v>0.1</v>
      </c>
      <c r="FU104">
        <v>101</v>
      </c>
      <c r="GB104">
        <v>0.1</v>
      </c>
      <c r="GC104">
        <v>0.1</v>
      </c>
      <c r="GD104">
        <v>0.1</v>
      </c>
      <c r="GE104">
        <v>0.1</v>
      </c>
      <c r="GF104">
        <v>0.1</v>
      </c>
      <c r="GG104">
        <v>0.1</v>
      </c>
      <c r="GH104">
        <v>0.1</v>
      </c>
      <c r="GI104">
        <v>0.1</v>
      </c>
      <c r="GJ104">
        <v>0.1</v>
      </c>
      <c r="GK104">
        <v>0.1</v>
      </c>
      <c r="GL104">
        <v>0.1</v>
      </c>
      <c r="GM104">
        <v>0.1</v>
      </c>
      <c r="GN104">
        <v>0.1</v>
      </c>
      <c r="GO104">
        <v>0.1</v>
      </c>
      <c r="GP104">
        <v>0.1</v>
      </c>
      <c r="GQ104">
        <v>0.1</v>
      </c>
      <c r="GR104">
        <v>0.1</v>
      </c>
      <c r="GS104">
        <v>0.1</v>
      </c>
      <c r="GT104">
        <v>0.1</v>
      </c>
      <c r="GU104">
        <v>0.1</v>
      </c>
      <c r="GV104">
        <v>0.1</v>
      </c>
      <c r="GW104">
        <v>0.1</v>
      </c>
      <c r="GX104">
        <v>0.1</v>
      </c>
      <c r="GY104">
        <v>0.1</v>
      </c>
      <c r="GZ104">
        <v>0.1</v>
      </c>
      <c r="HA104">
        <v>0.1</v>
      </c>
      <c r="HB104">
        <v>0.1</v>
      </c>
      <c r="HC104">
        <v>0.1</v>
      </c>
      <c r="HD104">
        <v>0.1</v>
      </c>
      <c r="HE104">
        <v>0.1</v>
      </c>
      <c r="HF104">
        <v>0.1</v>
      </c>
      <c r="HG104">
        <v>0.1</v>
      </c>
      <c r="HH104">
        <v>0.1</v>
      </c>
      <c r="HI104">
        <v>0.1</v>
      </c>
      <c r="HJ104">
        <v>0.1</v>
      </c>
      <c r="HK104">
        <v>0.1</v>
      </c>
      <c r="HL104">
        <v>0.1</v>
      </c>
      <c r="HM104">
        <v>0.1</v>
      </c>
      <c r="HN104">
        <v>0.1</v>
      </c>
      <c r="HO104">
        <v>0.1</v>
      </c>
    </row>
    <row r="105" spans="1:223" ht="15.75" thickBot="1" x14ac:dyDescent="0.3">
      <c r="A105">
        <v>102</v>
      </c>
      <c r="B105" s="269">
        <v>3.65</v>
      </c>
      <c r="C105" s="269">
        <v>1.98</v>
      </c>
      <c r="D105" s="2"/>
      <c r="E105" s="2"/>
      <c r="F105" s="2"/>
      <c r="G105" s="2"/>
      <c r="H105" s="258">
        <v>0.1</v>
      </c>
      <c r="I105" s="259">
        <v>0.1</v>
      </c>
      <c r="J105" s="259">
        <v>0.1</v>
      </c>
      <c r="K105" s="259">
        <v>0.1</v>
      </c>
      <c r="L105" s="259">
        <v>0.1</v>
      </c>
      <c r="M105" s="259">
        <v>0.1</v>
      </c>
      <c r="N105" s="259">
        <v>0.1</v>
      </c>
      <c r="O105" s="259">
        <v>0.1</v>
      </c>
      <c r="P105" s="259">
        <v>0.1</v>
      </c>
      <c r="Q105" s="259">
        <v>0.1</v>
      </c>
      <c r="R105" s="259">
        <v>0.1</v>
      </c>
      <c r="S105" s="259">
        <v>0.1</v>
      </c>
      <c r="T105" s="259">
        <v>0.1</v>
      </c>
      <c r="U105" s="259">
        <v>0.1</v>
      </c>
      <c r="V105" s="259">
        <v>0.1</v>
      </c>
      <c r="W105" s="259">
        <v>0.1</v>
      </c>
      <c r="X105" s="259">
        <v>0.1</v>
      </c>
      <c r="Y105" s="259">
        <v>0.1</v>
      </c>
      <c r="Z105" s="259">
        <v>0.1</v>
      </c>
      <c r="AA105" s="259">
        <v>0.1</v>
      </c>
      <c r="AB105" s="259">
        <v>0.1</v>
      </c>
      <c r="AC105" s="259">
        <v>0.1</v>
      </c>
      <c r="AD105" s="259">
        <v>0.1</v>
      </c>
      <c r="AE105" s="259">
        <v>0.1</v>
      </c>
      <c r="AF105" s="259">
        <v>0.1</v>
      </c>
      <c r="AG105" s="259">
        <v>0.1</v>
      </c>
      <c r="AH105" s="259">
        <v>0.1</v>
      </c>
      <c r="AI105" s="259">
        <v>0.1</v>
      </c>
      <c r="AJ105" s="259">
        <v>0.1</v>
      </c>
      <c r="AK105" s="259">
        <v>0.1</v>
      </c>
      <c r="AL105" s="259">
        <v>0.1</v>
      </c>
      <c r="AM105" s="259">
        <v>0.1</v>
      </c>
      <c r="AN105" s="259">
        <v>0.1</v>
      </c>
      <c r="AO105" s="259">
        <v>0.1</v>
      </c>
      <c r="AP105" s="259">
        <v>0.1</v>
      </c>
      <c r="AQ105" s="259">
        <v>0.1</v>
      </c>
      <c r="AR105" s="260">
        <v>0.1</v>
      </c>
      <c r="AS105" s="258">
        <v>0.1</v>
      </c>
      <c r="AT105" s="259">
        <v>0.1</v>
      </c>
      <c r="AU105" s="259">
        <v>0.1</v>
      </c>
      <c r="AV105" s="259">
        <v>0.1</v>
      </c>
      <c r="AW105" s="259">
        <v>0.1</v>
      </c>
      <c r="AX105" s="259">
        <v>0.1</v>
      </c>
      <c r="AY105" s="259">
        <v>0.1</v>
      </c>
      <c r="AZ105" s="259">
        <v>0.1</v>
      </c>
      <c r="BA105" s="259">
        <v>0.1</v>
      </c>
      <c r="BB105" s="259">
        <v>0.1</v>
      </c>
      <c r="BC105" s="259">
        <v>0.1</v>
      </c>
      <c r="BD105" s="259">
        <v>0.1</v>
      </c>
      <c r="BE105" s="259">
        <v>0.1</v>
      </c>
      <c r="BF105" s="259">
        <v>0.1</v>
      </c>
      <c r="BG105" s="259">
        <v>0.1</v>
      </c>
      <c r="BH105" s="259">
        <v>0.1</v>
      </c>
      <c r="BI105" s="259">
        <v>0.1</v>
      </c>
      <c r="BJ105" s="259">
        <v>0.1</v>
      </c>
      <c r="BK105" s="259">
        <v>0.1</v>
      </c>
      <c r="BL105" s="260">
        <v>0.1</v>
      </c>
      <c r="BM105">
        <v>0.1</v>
      </c>
      <c r="BN105">
        <v>0.1</v>
      </c>
      <c r="BO105">
        <v>0.1</v>
      </c>
      <c r="BP105">
        <f>SUM(BM105:BO105)</f>
        <v>0.30000000000000004</v>
      </c>
      <c r="BS105">
        <v>102</v>
      </c>
      <c r="BT105" s="270">
        <v>4.1500000000000004</v>
      </c>
      <c r="BU105" s="271">
        <v>1.77</v>
      </c>
      <c r="BV105" s="2"/>
      <c r="BX105" s="2"/>
      <c r="BY105" s="258">
        <v>0.1</v>
      </c>
      <c r="BZ105" s="259">
        <v>0.1</v>
      </c>
      <c r="CA105" s="259">
        <v>0.1</v>
      </c>
      <c r="CB105" s="259">
        <v>0.1</v>
      </c>
      <c r="CC105" s="259">
        <v>0.1</v>
      </c>
      <c r="CD105" s="259">
        <v>0.1</v>
      </c>
      <c r="CE105" s="259">
        <v>0.1</v>
      </c>
      <c r="CF105" s="259">
        <v>0.1</v>
      </c>
      <c r="CG105" s="259">
        <v>0.1</v>
      </c>
      <c r="CH105" s="259">
        <v>0.1</v>
      </c>
      <c r="CI105" s="259">
        <v>0.1</v>
      </c>
      <c r="CJ105" s="259">
        <v>0.1</v>
      </c>
      <c r="CK105" s="259">
        <v>0.1</v>
      </c>
      <c r="CL105" s="259">
        <v>0.1</v>
      </c>
      <c r="CM105" s="259">
        <v>0.1</v>
      </c>
      <c r="CN105" s="259">
        <v>0.1</v>
      </c>
      <c r="CO105" s="259">
        <v>0.1</v>
      </c>
      <c r="CP105" s="259">
        <v>0.1</v>
      </c>
      <c r="CQ105" s="259">
        <v>0.1</v>
      </c>
      <c r="CR105" s="259">
        <v>0.1</v>
      </c>
      <c r="CS105" s="259">
        <v>0.1</v>
      </c>
      <c r="CT105" s="259">
        <v>0.1</v>
      </c>
      <c r="CU105" s="259">
        <v>0.1</v>
      </c>
      <c r="CV105" s="259">
        <v>0.1</v>
      </c>
      <c r="CW105" s="259">
        <v>0.1</v>
      </c>
      <c r="CX105" s="259">
        <v>0.1</v>
      </c>
      <c r="CY105" s="259">
        <v>0.1</v>
      </c>
      <c r="CZ105" s="259">
        <v>0.1</v>
      </c>
      <c r="DA105" s="259">
        <v>0.1</v>
      </c>
      <c r="DB105" s="259">
        <v>0.1</v>
      </c>
      <c r="DC105" s="259">
        <v>0.1</v>
      </c>
      <c r="DD105" s="259">
        <v>0.1</v>
      </c>
      <c r="DE105" s="259">
        <v>0.1</v>
      </c>
      <c r="DF105" s="259">
        <v>0.1</v>
      </c>
      <c r="DG105" s="259">
        <v>0.1</v>
      </c>
      <c r="DH105" s="259">
        <v>0.1</v>
      </c>
      <c r="DI105" s="259">
        <v>0.1</v>
      </c>
      <c r="DJ105" s="259">
        <v>0.1</v>
      </c>
      <c r="DK105" s="259">
        <v>0.1</v>
      </c>
      <c r="DL105" s="259">
        <v>0.1</v>
      </c>
      <c r="DM105" s="259">
        <v>0.1</v>
      </c>
      <c r="DN105" s="260">
        <v>0.1</v>
      </c>
      <c r="DO105" s="258">
        <v>0.1</v>
      </c>
      <c r="DP105" s="259">
        <v>0.1</v>
      </c>
      <c r="DQ105" s="259">
        <v>0.1</v>
      </c>
      <c r="DR105" s="259">
        <v>0.1</v>
      </c>
      <c r="DS105" s="259">
        <v>0.1</v>
      </c>
      <c r="DT105" s="259">
        <v>0.1</v>
      </c>
      <c r="DU105" s="259">
        <v>0.1</v>
      </c>
      <c r="DV105" s="259">
        <v>0.1</v>
      </c>
      <c r="DW105" s="259">
        <v>0.1</v>
      </c>
      <c r="DX105" s="259">
        <v>0.1</v>
      </c>
      <c r="DY105" s="259">
        <v>0.1</v>
      </c>
      <c r="DZ105" s="259">
        <v>0.1</v>
      </c>
      <c r="EA105" s="259">
        <v>0.1</v>
      </c>
      <c r="EB105" s="259">
        <v>0.1</v>
      </c>
      <c r="EC105" s="259">
        <v>0.1</v>
      </c>
      <c r="ED105" s="259">
        <v>0.1</v>
      </c>
      <c r="EE105" s="259">
        <v>0.1</v>
      </c>
      <c r="EF105" s="260">
        <v>0.1</v>
      </c>
      <c r="EJ105">
        <v>102</v>
      </c>
      <c r="EN105">
        <v>0.1</v>
      </c>
      <c r="EO105">
        <v>0.1</v>
      </c>
      <c r="EP105">
        <v>0.1</v>
      </c>
      <c r="EQ105">
        <v>0.1</v>
      </c>
      <c r="ER105">
        <v>0.1</v>
      </c>
      <c r="ES105">
        <v>0.1</v>
      </c>
      <c r="ET105">
        <v>0.1</v>
      </c>
      <c r="EU105">
        <v>0.1</v>
      </c>
      <c r="EV105">
        <v>0.1</v>
      </c>
      <c r="EW105">
        <v>0.1</v>
      </c>
      <c r="EX105">
        <v>0.1</v>
      </c>
      <c r="EY105">
        <v>0.1</v>
      </c>
      <c r="EZ105">
        <v>0.1</v>
      </c>
      <c r="FA105">
        <v>0.1</v>
      </c>
      <c r="FB105">
        <v>0.1</v>
      </c>
      <c r="FC105">
        <v>0.1</v>
      </c>
      <c r="FD105">
        <v>0.1</v>
      </c>
      <c r="FE105">
        <v>0.1</v>
      </c>
      <c r="FF105">
        <v>0.1</v>
      </c>
      <c r="FG105">
        <v>0.1</v>
      </c>
      <c r="FH105">
        <v>0.1</v>
      </c>
      <c r="FI105">
        <v>0.1</v>
      </c>
      <c r="FJ105">
        <v>0.1</v>
      </c>
      <c r="FK105">
        <v>0.1</v>
      </c>
      <c r="FL105">
        <v>0.1</v>
      </c>
      <c r="FM105">
        <v>0.1</v>
      </c>
      <c r="FN105">
        <v>0.1</v>
      </c>
      <c r="FO105">
        <v>0.1</v>
      </c>
      <c r="FP105">
        <v>0.1</v>
      </c>
      <c r="FQ105">
        <v>0.1</v>
      </c>
      <c r="FU105">
        <v>102</v>
      </c>
      <c r="GB105">
        <v>0.1</v>
      </c>
      <c r="GC105">
        <v>0.1</v>
      </c>
      <c r="GD105">
        <v>0.1</v>
      </c>
      <c r="GE105">
        <v>0.1</v>
      </c>
      <c r="GF105">
        <v>0.1</v>
      </c>
      <c r="GG105">
        <v>0.1</v>
      </c>
      <c r="GH105">
        <v>0.1</v>
      </c>
      <c r="GI105">
        <v>0.1</v>
      </c>
      <c r="GJ105">
        <v>0.1</v>
      </c>
      <c r="GK105">
        <v>0.1</v>
      </c>
      <c r="GL105">
        <v>0.1</v>
      </c>
      <c r="GM105">
        <v>0.1</v>
      </c>
      <c r="GN105">
        <v>0.1</v>
      </c>
      <c r="GO105">
        <v>0.1</v>
      </c>
      <c r="GP105">
        <v>0.1</v>
      </c>
      <c r="GQ105">
        <v>0.1</v>
      </c>
      <c r="GR105">
        <v>0.1</v>
      </c>
      <c r="GS105">
        <v>0.1</v>
      </c>
      <c r="GT105">
        <v>0.1</v>
      </c>
      <c r="GU105">
        <v>0.1</v>
      </c>
      <c r="GV105">
        <v>0.1</v>
      </c>
      <c r="GW105">
        <v>0.1</v>
      </c>
      <c r="GX105">
        <v>0.1</v>
      </c>
      <c r="GY105">
        <v>0.1</v>
      </c>
      <c r="GZ105">
        <v>0.1</v>
      </c>
      <c r="HA105">
        <v>0.1</v>
      </c>
      <c r="HB105">
        <v>0.1</v>
      </c>
      <c r="HC105">
        <v>0.1</v>
      </c>
      <c r="HD105">
        <v>0.1</v>
      </c>
      <c r="HE105">
        <v>0.1</v>
      </c>
      <c r="HF105">
        <v>0.1</v>
      </c>
      <c r="HG105">
        <v>0.1</v>
      </c>
      <c r="HH105">
        <v>0.1</v>
      </c>
      <c r="HI105">
        <v>0.1</v>
      </c>
      <c r="HJ105">
        <v>0.1</v>
      </c>
      <c r="HK105">
        <v>0.1</v>
      </c>
      <c r="HL105">
        <v>0.1</v>
      </c>
      <c r="HM105">
        <v>0.1</v>
      </c>
      <c r="HN105">
        <v>0.1</v>
      </c>
      <c r="HO105">
        <v>0.1</v>
      </c>
    </row>
    <row r="106" spans="1:223" ht="15.75" thickBot="1" x14ac:dyDescent="0.3">
      <c r="A106">
        <v>103</v>
      </c>
      <c r="B106" s="268">
        <v>3.6</v>
      </c>
      <c r="C106" s="268">
        <v>1.98</v>
      </c>
      <c r="D106" s="2"/>
      <c r="E106" s="2"/>
      <c r="F106" s="2"/>
      <c r="G106" s="2"/>
      <c r="H106" s="258">
        <v>0.1</v>
      </c>
      <c r="I106" s="259">
        <v>0.1</v>
      </c>
      <c r="J106" s="259">
        <v>0.1</v>
      </c>
      <c r="K106" s="259">
        <v>0.1</v>
      </c>
      <c r="L106" s="259">
        <v>0.1</v>
      </c>
      <c r="M106" s="259">
        <v>0.1</v>
      </c>
      <c r="N106" s="259">
        <v>0.1</v>
      </c>
      <c r="O106" s="259">
        <v>0.1</v>
      </c>
      <c r="P106" s="259">
        <v>0.1</v>
      </c>
      <c r="Q106" s="259">
        <v>0.1</v>
      </c>
      <c r="R106" s="259">
        <v>0.1</v>
      </c>
      <c r="S106" s="259">
        <v>0.1</v>
      </c>
      <c r="T106" s="259">
        <v>0.1</v>
      </c>
      <c r="U106" s="259">
        <v>0.1</v>
      </c>
      <c r="V106" s="259">
        <v>0.1</v>
      </c>
      <c r="W106" s="259">
        <v>0.1</v>
      </c>
      <c r="X106" s="259">
        <v>0.1</v>
      </c>
      <c r="Y106" s="259">
        <v>0.1</v>
      </c>
      <c r="Z106" s="259">
        <v>0.1</v>
      </c>
      <c r="AA106" s="259">
        <v>0.1</v>
      </c>
      <c r="AB106" s="259">
        <v>0.1</v>
      </c>
      <c r="AC106" s="259">
        <v>0.1</v>
      </c>
      <c r="AD106" s="259">
        <v>0.1</v>
      </c>
      <c r="AE106" s="259">
        <v>0.1</v>
      </c>
      <c r="AF106" s="259">
        <v>0.1</v>
      </c>
      <c r="AG106" s="259">
        <v>0.1</v>
      </c>
      <c r="AH106" s="259">
        <v>0.1</v>
      </c>
      <c r="AI106" s="259">
        <v>0.1</v>
      </c>
      <c r="AJ106" s="259">
        <v>0.1</v>
      </c>
      <c r="AK106" s="259">
        <v>0.1</v>
      </c>
      <c r="AL106" s="259">
        <v>0.1</v>
      </c>
      <c r="AM106" s="259">
        <v>0.1</v>
      </c>
      <c r="AN106" s="259">
        <v>0.1</v>
      </c>
      <c r="AO106" s="259">
        <v>0.1</v>
      </c>
      <c r="AP106" s="259">
        <v>0.1</v>
      </c>
      <c r="AQ106" s="260">
        <v>0.1</v>
      </c>
      <c r="AR106" s="258">
        <v>0.1</v>
      </c>
      <c r="AS106" s="259">
        <v>0.1</v>
      </c>
      <c r="AT106" s="259">
        <v>0.1</v>
      </c>
      <c r="AU106" s="259">
        <v>0.1</v>
      </c>
      <c r="AV106" s="259">
        <v>0.1</v>
      </c>
      <c r="AW106" s="259">
        <v>0.1</v>
      </c>
      <c r="AX106" s="259">
        <v>0.1</v>
      </c>
      <c r="AY106" s="259">
        <v>0.1</v>
      </c>
      <c r="AZ106" s="259">
        <v>0.1</v>
      </c>
      <c r="BA106" s="259">
        <v>0.1</v>
      </c>
      <c r="BB106" s="259">
        <v>0.1</v>
      </c>
      <c r="BC106" s="259">
        <v>0.1</v>
      </c>
      <c r="BD106" s="259">
        <v>0.1</v>
      </c>
      <c r="BE106" s="259">
        <v>0.1</v>
      </c>
      <c r="BF106" s="259">
        <v>0.1</v>
      </c>
      <c r="BG106" s="259">
        <v>0.1</v>
      </c>
      <c r="BH106" s="259">
        <v>0.1</v>
      </c>
      <c r="BI106" s="259">
        <v>0.1</v>
      </c>
      <c r="BJ106" s="259">
        <v>0.1</v>
      </c>
      <c r="BK106" s="260">
        <v>0.1</v>
      </c>
      <c r="BL106">
        <v>0.1</v>
      </c>
      <c r="BM106">
        <v>0.1</v>
      </c>
      <c r="BN106">
        <v>0.1</v>
      </c>
      <c r="BO106">
        <v>0.1</v>
      </c>
      <c r="BP106">
        <f t="shared" ref="BP106:BP115" si="6">SUM(BL106:BO106)</f>
        <v>0.4</v>
      </c>
      <c r="BS106">
        <v>103</v>
      </c>
      <c r="BT106" s="271">
        <v>4.1100000000000003</v>
      </c>
      <c r="BU106" s="270">
        <v>1.77</v>
      </c>
      <c r="BV106" s="2"/>
      <c r="BX106" s="2"/>
      <c r="BY106" s="258">
        <v>0.1</v>
      </c>
      <c r="BZ106" s="259">
        <v>0.1</v>
      </c>
      <c r="CA106" s="259">
        <v>0.1</v>
      </c>
      <c r="CB106" s="259">
        <v>0.1</v>
      </c>
      <c r="CC106" s="259">
        <v>0.1</v>
      </c>
      <c r="CD106" s="259">
        <v>0.1</v>
      </c>
      <c r="CE106" s="259">
        <v>0.1</v>
      </c>
      <c r="CF106" s="259">
        <v>0.1</v>
      </c>
      <c r="CG106" s="259">
        <v>0.1</v>
      </c>
      <c r="CH106" s="259">
        <v>0.1</v>
      </c>
      <c r="CI106" s="259">
        <v>0.1</v>
      </c>
      <c r="CJ106" s="259">
        <v>0.1</v>
      </c>
      <c r="CK106" s="259">
        <v>0.1</v>
      </c>
      <c r="CL106" s="259">
        <v>0.1</v>
      </c>
      <c r="CM106" s="259">
        <v>0.1</v>
      </c>
      <c r="CN106" s="259">
        <v>0.1</v>
      </c>
      <c r="CO106" s="259">
        <v>0.1</v>
      </c>
      <c r="CP106" s="259">
        <v>0.1</v>
      </c>
      <c r="CQ106" s="259">
        <v>0.1</v>
      </c>
      <c r="CR106" s="259">
        <v>0.1</v>
      </c>
      <c r="CS106" s="259">
        <v>0.1</v>
      </c>
      <c r="CT106" s="259">
        <v>0.1</v>
      </c>
      <c r="CU106" s="259">
        <v>0.1</v>
      </c>
      <c r="CV106" s="259">
        <v>0.1</v>
      </c>
      <c r="CW106" s="259">
        <v>0.1</v>
      </c>
      <c r="CX106" s="259">
        <v>0.1</v>
      </c>
      <c r="CY106" s="259">
        <v>0.1</v>
      </c>
      <c r="CZ106" s="259">
        <v>0.1</v>
      </c>
      <c r="DA106" s="259">
        <v>0.1</v>
      </c>
      <c r="DB106" s="259">
        <v>0.1</v>
      </c>
      <c r="DC106" s="259">
        <v>0.1</v>
      </c>
      <c r="DD106" s="259">
        <v>0.1</v>
      </c>
      <c r="DE106" s="259">
        <v>0.1</v>
      </c>
      <c r="DF106" s="259">
        <v>0.1</v>
      </c>
      <c r="DG106" s="259">
        <v>0.1</v>
      </c>
      <c r="DH106" s="259">
        <v>0.1</v>
      </c>
      <c r="DI106" s="259">
        <v>0.1</v>
      </c>
      <c r="DJ106" s="259">
        <v>0.1</v>
      </c>
      <c r="DK106" s="259">
        <v>0.1</v>
      </c>
      <c r="DL106" s="259">
        <v>0.1</v>
      </c>
      <c r="DM106" s="259">
        <v>0.1</v>
      </c>
      <c r="DN106" s="260">
        <v>0.1</v>
      </c>
      <c r="DO106" s="258">
        <v>0.1</v>
      </c>
      <c r="DP106" s="259">
        <v>0.1</v>
      </c>
      <c r="DQ106" s="259">
        <v>0.1</v>
      </c>
      <c r="DR106" s="259">
        <v>0.1</v>
      </c>
      <c r="DS106" s="259">
        <v>0.1</v>
      </c>
      <c r="DT106" s="259">
        <v>0.1</v>
      </c>
      <c r="DU106" s="259">
        <v>0.1</v>
      </c>
      <c r="DV106" s="259">
        <v>0.1</v>
      </c>
      <c r="DW106" s="259">
        <v>0.1</v>
      </c>
      <c r="DX106" s="259">
        <v>0.1</v>
      </c>
      <c r="DY106" s="259">
        <v>0.1</v>
      </c>
      <c r="DZ106" s="259">
        <v>0.1</v>
      </c>
      <c r="EA106" s="259">
        <v>0.1</v>
      </c>
      <c r="EB106" s="259">
        <v>0.1</v>
      </c>
      <c r="EC106" s="259">
        <v>0.1</v>
      </c>
      <c r="ED106" s="259">
        <v>0.1</v>
      </c>
      <c r="EE106" s="259">
        <v>0.1</v>
      </c>
      <c r="EF106" s="260">
        <v>0.1</v>
      </c>
      <c r="EJ106">
        <v>103</v>
      </c>
      <c r="EN106">
        <v>0.1</v>
      </c>
      <c r="EO106">
        <v>0.1</v>
      </c>
      <c r="EP106">
        <v>0.1</v>
      </c>
      <c r="EQ106">
        <v>0.1</v>
      </c>
      <c r="ER106">
        <v>0.1</v>
      </c>
      <c r="ES106">
        <v>0.1</v>
      </c>
      <c r="ET106">
        <v>0.1</v>
      </c>
      <c r="EU106">
        <v>0.1</v>
      </c>
      <c r="EV106">
        <v>0.1</v>
      </c>
      <c r="EW106">
        <v>0.1</v>
      </c>
      <c r="EX106">
        <v>0.1</v>
      </c>
      <c r="EY106">
        <v>0.1</v>
      </c>
      <c r="EZ106">
        <v>0.1</v>
      </c>
      <c r="FA106">
        <v>0.1</v>
      </c>
      <c r="FB106">
        <v>0.1</v>
      </c>
      <c r="FC106">
        <v>0.1</v>
      </c>
      <c r="FD106">
        <v>0.1</v>
      </c>
      <c r="FE106">
        <v>0.1</v>
      </c>
      <c r="FF106">
        <v>0.1</v>
      </c>
      <c r="FG106">
        <v>0.1</v>
      </c>
      <c r="FH106">
        <v>0.1</v>
      </c>
      <c r="FI106">
        <v>0.1</v>
      </c>
      <c r="FJ106">
        <v>0.1</v>
      </c>
      <c r="FK106">
        <v>0.1</v>
      </c>
      <c r="FL106">
        <v>0.1</v>
      </c>
      <c r="FM106">
        <v>0.1</v>
      </c>
      <c r="FN106">
        <v>0.1</v>
      </c>
      <c r="FO106">
        <v>0.1</v>
      </c>
      <c r="FP106">
        <v>0.1</v>
      </c>
      <c r="FQ106">
        <v>0.1</v>
      </c>
      <c r="FU106">
        <v>103</v>
      </c>
      <c r="GB106">
        <v>0.1</v>
      </c>
      <c r="GC106">
        <v>0.1</v>
      </c>
      <c r="GD106">
        <v>0.1</v>
      </c>
      <c r="GE106">
        <v>0.1</v>
      </c>
      <c r="GF106">
        <v>0.1</v>
      </c>
      <c r="GG106">
        <v>0.1</v>
      </c>
      <c r="GH106">
        <v>0.1</v>
      </c>
      <c r="GI106">
        <v>0.1</v>
      </c>
      <c r="GJ106">
        <v>0.1</v>
      </c>
      <c r="GK106">
        <v>0.1</v>
      </c>
      <c r="GL106">
        <v>0.1</v>
      </c>
      <c r="GM106">
        <v>0.1</v>
      </c>
      <c r="GN106">
        <v>0.1</v>
      </c>
      <c r="GO106">
        <v>0.1</v>
      </c>
      <c r="GP106">
        <v>0.1</v>
      </c>
      <c r="GQ106">
        <v>0.1</v>
      </c>
      <c r="GR106">
        <v>0.1</v>
      </c>
      <c r="GS106">
        <v>0.1</v>
      </c>
      <c r="GT106">
        <v>0.1</v>
      </c>
      <c r="GU106">
        <v>0.1</v>
      </c>
      <c r="GV106">
        <v>0.1</v>
      </c>
      <c r="GW106">
        <v>0.1</v>
      </c>
      <c r="GX106">
        <v>0.1</v>
      </c>
      <c r="GY106">
        <v>0.1</v>
      </c>
      <c r="GZ106">
        <v>0.1</v>
      </c>
      <c r="HA106">
        <v>0.1</v>
      </c>
      <c r="HB106">
        <v>0.1</v>
      </c>
      <c r="HC106">
        <v>0.1</v>
      </c>
      <c r="HD106">
        <v>0.1</v>
      </c>
      <c r="HE106">
        <v>0.1</v>
      </c>
      <c r="HF106">
        <v>0.1</v>
      </c>
      <c r="HG106">
        <v>0.1</v>
      </c>
      <c r="HH106">
        <v>0.1</v>
      </c>
      <c r="HI106">
        <v>0.1</v>
      </c>
      <c r="HJ106">
        <v>0.1</v>
      </c>
      <c r="HK106">
        <v>0.1</v>
      </c>
      <c r="HL106">
        <v>0.1</v>
      </c>
      <c r="HM106">
        <v>0.1</v>
      </c>
      <c r="HN106">
        <v>0.1</v>
      </c>
      <c r="HO106">
        <v>0.1</v>
      </c>
    </row>
    <row r="107" spans="1:223" ht="15.75" thickBot="1" x14ac:dyDescent="0.3">
      <c r="A107">
        <v>104</v>
      </c>
      <c r="B107" s="269">
        <v>3.6</v>
      </c>
      <c r="C107" s="269">
        <v>1.98</v>
      </c>
      <c r="D107" s="2"/>
      <c r="E107" s="2"/>
      <c r="F107" s="2"/>
      <c r="G107" s="2"/>
      <c r="H107" s="258">
        <v>0.1</v>
      </c>
      <c r="I107" s="259">
        <v>0.1</v>
      </c>
      <c r="J107" s="259">
        <v>0.1</v>
      </c>
      <c r="K107" s="259">
        <v>0.1</v>
      </c>
      <c r="L107" s="259">
        <v>0.1</v>
      </c>
      <c r="M107" s="259">
        <v>0.1</v>
      </c>
      <c r="N107" s="259">
        <v>0.1</v>
      </c>
      <c r="O107" s="259">
        <v>0.1</v>
      </c>
      <c r="P107" s="259">
        <v>0.1</v>
      </c>
      <c r="Q107" s="259">
        <v>0.1</v>
      </c>
      <c r="R107" s="259">
        <v>0.1</v>
      </c>
      <c r="S107" s="259">
        <v>0.1</v>
      </c>
      <c r="T107" s="259">
        <v>0.1</v>
      </c>
      <c r="U107" s="259">
        <v>0.1</v>
      </c>
      <c r="V107" s="259">
        <v>0.1</v>
      </c>
      <c r="W107" s="259">
        <v>0.1</v>
      </c>
      <c r="X107" s="259">
        <v>0.1</v>
      </c>
      <c r="Y107" s="259">
        <v>0.1</v>
      </c>
      <c r="Z107" s="259">
        <v>0.1</v>
      </c>
      <c r="AA107" s="259">
        <v>0.1</v>
      </c>
      <c r="AB107" s="259">
        <v>0.1</v>
      </c>
      <c r="AC107" s="259">
        <v>0.1</v>
      </c>
      <c r="AD107" s="259">
        <v>0.1</v>
      </c>
      <c r="AE107" s="259">
        <v>0.1</v>
      </c>
      <c r="AF107" s="259">
        <v>0.1</v>
      </c>
      <c r="AG107" s="259">
        <v>0.1</v>
      </c>
      <c r="AH107" s="259">
        <v>0.1</v>
      </c>
      <c r="AI107" s="259">
        <v>0.1</v>
      </c>
      <c r="AJ107" s="259">
        <v>0.1</v>
      </c>
      <c r="AK107" s="259">
        <v>0.1</v>
      </c>
      <c r="AL107" s="259">
        <v>0.1</v>
      </c>
      <c r="AM107" s="259">
        <v>0.1</v>
      </c>
      <c r="AN107" s="259">
        <v>0.1</v>
      </c>
      <c r="AO107" s="259">
        <v>0.1</v>
      </c>
      <c r="AP107" s="259">
        <v>0.1</v>
      </c>
      <c r="AQ107" s="260">
        <v>0.1</v>
      </c>
      <c r="AR107" s="258">
        <v>0.1</v>
      </c>
      <c r="AS107" s="259">
        <v>0.1</v>
      </c>
      <c r="AT107" s="259">
        <v>0.1</v>
      </c>
      <c r="AU107" s="259">
        <v>0.1</v>
      </c>
      <c r="AV107" s="259">
        <v>0.1</v>
      </c>
      <c r="AW107" s="259">
        <v>0.1</v>
      </c>
      <c r="AX107" s="259">
        <v>0.1</v>
      </c>
      <c r="AY107" s="259">
        <v>0.1</v>
      </c>
      <c r="AZ107" s="259">
        <v>0.1</v>
      </c>
      <c r="BA107" s="259">
        <v>0.1</v>
      </c>
      <c r="BB107" s="259">
        <v>0.1</v>
      </c>
      <c r="BC107" s="259">
        <v>0.1</v>
      </c>
      <c r="BD107" s="259">
        <v>0.1</v>
      </c>
      <c r="BE107" s="259">
        <v>0.1</v>
      </c>
      <c r="BF107" s="259">
        <v>0.1</v>
      </c>
      <c r="BG107" s="259">
        <v>0.1</v>
      </c>
      <c r="BH107" s="259">
        <v>0.1</v>
      </c>
      <c r="BI107" s="259">
        <v>0.1</v>
      </c>
      <c r="BJ107" s="259">
        <v>0.1</v>
      </c>
      <c r="BK107" s="260">
        <v>0.1</v>
      </c>
      <c r="BL107">
        <v>0.1</v>
      </c>
      <c r="BM107">
        <v>0.1</v>
      </c>
      <c r="BN107">
        <v>0.1</v>
      </c>
      <c r="BO107">
        <v>0.1</v>
      </c>
      <c r="BP107">
        <f t="shared" si="6"/>
        <v>0.4</v>
      </c>
      <c r="BS107">
        <v>104</v>
      </c>
      <c r="BT107" s="270">
        <v>4.1100000000000003</v>
      </c>
      <c r="BU107" s="271">
        <v>1.77</v>
      </c>
      <c r="BV107" s="2"/>
      <c r="BX107" s="2"/>
      <c r="BY107" s="258">
        <v>0.1</v>
      </c>
      <c r="BZ107" s="259">
        <v>0.1</v>
      </c>
      <c r="CA107" s="259">
        <v>0.1</v>
      </c>
      <c r="CB107" s="259">
        <v>0.1</v>
      </c>
      <c r="CC107" s="259">
        <v>0.1</v>
      </c>
      <c r="CD107" s="259">
        <v>0.1</v>
      </c>
      <c r="CE107" s="259">
        <v>0.1</v>
      </c>
      <c r="CF107" s="259">
        <v>0.1</v>
      </c>
      <c r="CG107" s="259">
        <v>0.1</v>
      </c>
      <c r="CH107" s="259">
        <v>0.1</v>
      </c>
      <c r="CI107" s="259">
        <v>0.1</v>
      </c>
      <c r="CJ107" s="259">
        <v>0.1</v>
      </c>
      <c r="CK107" s="259">
        <v>0.1</v>
      </c>
      <c r="CL107" s="259">
        <v>0.1</v>
      </c>
      <c r="CM107" s="259">
        <v>0.1</v>
      </c>
      <c r="CN107" s="259">
        <v>0.1</v>
      </c>
      <c r="CO107" s="259">
        <v>0.1</v>
      </c>
      <c r="CP107" s="259">
        <v>0.1</v>
      </c>
      <c r="CQ107" s="259">
        <v>0.1</v>
      </c>
      <c r="CR107" s="259">
        <v>0.1</v>
      </c>
      <c r="CS107" s="259">
        <v>0.1</v>
      </c>
      <c r="CT107" s="259">
        <v>0.1</v>
      </c>
      <c r="CU107" s="259">
        <v>0.1</v>
      </c>
      <c r="CV107" s="259">
        <v>0.1</v>
      </c>
      <c r="CW107" s="259">
        <v>0.1</v>
      </c>
      <c r="CX107" s="259">
        <v>0.1</v>
      </c>
      <c r="CY107" s="259">
        <v>0.1</v>
      </c>
      <c r="CZ107" s="259">
        <v>0.1</v>
      </c>
      <c r="DA107" s="259">
        <v>0.1</v>
      </c>
      <c r="DB107" s="259">
        <v>0.1</v>
      </c>
      <c r="DC107" s="259">
        <v>0.1</v>
      </c>
      <c r="DD107" s="259">
        <v>0.1</v>
      </c>
      <c r="DE107" s="259">
        <v>0.1</v>
      </c>
      <c r="DF107" s="259">
        <v>0.1</v>
      </c>
      <c r="DG107" s="259">
        <v>0.1</v>
      </c>
      <c r="DH107" s="259">
        <v>0.1</v>
      </c>
      <c r="DI107" s="259">
        <v>0.1</v>
      </c>
      <c r="DJ107" s="259">
        <v>0.1</v>
      </c>
      <c r="DK107" s="259">
        <v>0.1</v>
      </c>
      <c r="DL107" s="259">
        <v>0.1</v>
      </c>
      <c r="DM107" s="259">
        <v>0.1</v>
      </c>
      <c r="DN107" s="260">
        <v>0.1</v>
      </c>
      <c r="DO107" s="258">
        <v>0.1</v>
      </c>
      <c r="DP107" s="259">
        <v>0.1</v>
      </c>
      <c r="DQ107" s="259">
        <v>0.1</v>
      </c>
      <c r="DR107" s="259">
        <v>0.1</v>
      </c>
      <c r="DS107" s="259">
        <v>0.1</v>
      </c>
      <c r="DT107" s="259">
        <v>0.1</v>
      </c>
      <c r="DU107" s="259">
        <v>0.1</v>
      </c>
      <c r="DV107" s="259">
        <v>0.1</v>
      </c>
      <c r="DW107" s="259">
        <v>0.1</v>
      </c>
      <c r="DX107" s="259">
        <v>0.1</v>
      </c>
      <c r="DY107" s="259">
        <v>0.1</v>
      </c>
      <c r="DZ107" s="259">
        <v>0.1</v>
      </c>
      <c r="EA107" s="259">
        <v>0.1</v>
      </c>
      <c r="EB107" s="259">
        <v>0.1</v>
      </c>
      <c r="EC107" s="259">
        <v>0.1</v>
      </c>
      <c r="ED107" s="259">
        <v>0.1</v>
      </c>
      <c r="EE107" s="259">
        <v>0.1</v>
      </c>
      <c r="EF107" s="260">
        <v>0.1</v>
      </c>
      <c r="EJ107">
        <v>104</v>
      </c>
      <c r="EN107">
        <v>0.1</v>
      </c>
      <c r="EO107">
        <v>0.1</v>
      </c>
      <c r="EP107">
        <v>0.1</v>
      </c>
      <c r="EQ107">
        <v>0.1</v>
      </c>
      <c r="ER107">
        <v>0.1</v>
      </c>
      <c r="ES107">
        <v>0.1</v>
      </c>
      <c r="ET107">
        <v>0.1</v>
      </c>
      <c r="EU107">
        <v>0.1</v>
      </c>
      <c r="EV107">
        <v>0.1</v>
      </c>
      <c r="EW107">
        <v>0.1</v>
      </c>
      <c r="EX107">
        <v>0.1</v>
      </c>
      <c r="EY107">
        <v>0.1</v>
      </c>
      <c r="EZ107">
        <v>0.1</v>
      </c>
      <c r="FA107">
        <v>0.1</v>
      </c>
      <c r="FB107">
        <v>0.1</v>
      </c>
      <c r="FC107">
        <v>0.1</v>
      </c>
      <c r="FD107">
        <v>0.1</v>
      </c>
      <c r="FE107">
        <v>0.1</v>
      </c>
      <c r="FF107">
        <v>0.1</v>
      </c>
      <c r="FG107">
        <v>0.1</v>
      </c>
      <c r="FH107">
        <v>0.1</v>
      </c>
      <c r="FI107">
        <v>0.1</v>
      </c>
      <c r="FJ107">
        <v>0.1</v>
      </c>
      <c r="FK107">
        <v>0.1</v>
      </c>
      <c r="FL107">
        <v>0.1</v>
      </c>
      <c r="FM107">
        <v>0.1</v>
      </c>
      <c r="FN107">
        <v>0.1</v>
      </c>
      <c r="FO107">
        <v>0.1</v>
      </c>
      <c r="FP107">
        <v>0.1</v>
      </c>
      <c r="FQ107">
        <v>0.1</v>
      </c>
      <c r="FU107">
        <v>104</v>
      </c>
      <c r="GB107">
        <v>0.1</v>
      </c>
      <c r="GC107">
        <v>0.1</v>
      </c>
      <c r="GD107">
        <v>0.1</v>
      </c>
      <c r="GE107">
        <v>0.1</v>
      </c>
      <c r="GF107">
        <v>0.1</v>
      </c>
      <c r="GG107">
        <v>0.1</v>
      </c>
      <c r="GH107">
        <v>0.1</v>
      </c>
      <c r="GI107">
        <v>0.1</v>
      </c>
      <c r="GJ107">
        <v>0.1</v>
      </c>
      <c r="GK107">
        <v>0.1</v>
      </c>
      <c r="GL107">
        <v>0.1</v>
      </c>
      <c r="GM107">
        <v>0.1</v>
      </c>
      <c r="GN107">
        <v>0.1</v>
      </c>
      <c r="GO107">
        <v>0.1</v>
      </c>
      <c r="GP107">
        <v>0.1</v>
      </c>
      <c r="GQ107">
        <v>0.1</v>
      </c>
      <c r="GR107">
        <v>0.1</v>
      </c>
      <c r="GS107">
        <v>0.1</v>
      </c>
      <c r="GT107">
        <v>0.1</v>
      </c>
      <c r="GU107">
        <v>0.1</v>
      </c>
      <c r="GV107">
        <v>0.1</v>
      </c>
      <c r="GW107">
        <v>0.1</v>
      </c>
      <c r="GX107">
        <v>0.1</v>
      </c>
      <c r="GY107">
        <v>0.1</v>
      </c>
      <c r="GZ107">
        <v>0.1</v>
      </c>
      <c r="HA107">
        <v>0.1</v>
      </c>
      <c r="HB107">
        <v>0.1</v>
      </c>
      <c r="HC107">
        <v>0.1</v>
      </c>
      <c r="HD107">
        <v>0.1</v>
      </c>
      <c r="HE107">
        <v>0.1</v>
      </c>
      <c r="HF107">
        <v>0.1</v>
      </c>
      <c r="HG107">
        <v>0.1</v>
      </c>
      <c r="HH107">
        <v>0.1</v>
      </c>
      <c r="HI107">
        <v>0.1</v>
      </c>
      <c r="HJ107">
        <v>0.1</v>
      </c>
      <c r="HK107">
        <v>0.1</v>
      </c>
      <c r="HL107">
        <v>0.1</v>
      </c>
      <c r="HM107">
        <v>0.1</v>
      </c>
      <c r="HN107">
        <v>0.1</v>
      </c>
      <c r="HO107">
        <v>0.1</v>
      </c>
    </row>
    <row r="108" spans="1:223" ht="15.75" thickBot="1" x14ac:dyDescent="0.3">
      <c r="A108">
        <v>105</v>
      </c>
      <c r="B108" s="268">
        <v>3.6</v>
      </c>
      <c r="C108" s="268">
        <v>1.98</v>
      </c>
      <c r="D108" s="2"/>
      <c r="E108" s="2"/>
      <c r="F108" s="2"/>
      <c r="G108" s="2"/>
      <c r="H108" s="258">
        <v>0.1</v>
      </c>
      <c r="I108" s="259">
        <v>0.1</v>
      </c>
      <c r="J108" s="259">
        <v>0.1</v>
      </c>
      <c r="K108" s="259">
        <v>0.1</v>
      </c>
      <c r="L108" s="259">
        <v>0.1</v>
      </c>
      <c r="M108" s="259">
        <v>0.1</v>
      </c>
      <c r="N108" s="259">
        <v>0.1</v>
      </c>
      <c r="O108" s="259">
        <v>0.1</v>
      </c>
      <c r="P108" s="259">
        <v>0.1</v>
      </c>
      <c r="Q108" s="259">
        <v>0.1</v>
      </c>
      <c r="R108" s="259">
        <v>0.1</v>
      </c>
      <c r="S108" s="259">
        <v>0.1</v>
      </c>
      <c r="T108" s="259">
        <v>0.1</v>
      </c>
      <c r="U108" s="259">
        <v>0.1</v>
      </c>
      <c r="V108" s="259">
        <v>0.1</v>
      </c>
      <c r="W108" s="259">
        <v>0.1</v>
      </c>
      <c r="X108" s="259">
        <v>0.1</v>
      </c>
      <c r="Y108" s="259">
        <v>0.1</v>
      </c>
      <c r="Z108" s="259">
        <v>0.1</v>
      </c>
      <c r="AA108" s="259">
        <v>0.1</v>
      </c>
      <c r="AB108" s="259">
        <v>0.1</v>
      </c>
      <c r="AC108" s="259">
        <v>0.1</v>
      </c>
      <c r="AD108" s="259">
        <v>0.1</v>
      </c>
      <c r="AE108" s="259">
        <v>0.1</v>
      </c>
      <c r="AF108" s="259">
        <v>0.1</v>
      </c>
      <c r="AG108" s="259">
        <v>0.1</v>
      </c>
      <c r="AH108" s="259">
        <v>0.1</v>
      </c>
      <c r="AI108" s="259">
        <v>0.1</v>
      </c>
      <c r="AJ108" s="259">
        <v>0.1</v>
      </c>
      <c r="AK108" s="259">
        <v>0.1</v>
      </c>
      <c r="AL108" s="259">
        <v>0.1</v>
      </c>
      <c r="AM108" s="259">
        <v>0.1</v>
      </c>
      <c r="AN108" s="259">
        <v>0.1</v>
      </c>
      <c r="AO108" s="259">
        <v>0.1</v>
      </c>
      <c r="AP108" s="259">
        <v>0.1</v>
      </c>
      <c r="AQ108" s="260">
        <v>0.1</v>
      </c>
      <c r="AR108" s="258">
        <v>0.1</v>
      </c>
      <c r="AS108" s="259">
        <v>0.1</v>
      </c>
      <c r="AT108" s="259">
        <v>0.1</v>
      </c>
      <c r="AU108" s="259">
        <v>0.1</v>
      </c>
      <c r="AV108" s="259">
        <v>0.1</v>
      </c>
      <c r="AW108" s="259">
        <v>0.1</v>
      </c>
      <c r="AX108" s="259">
        <v>0.1</v>
      </c>
      <c r="AY108" s="259">
        <v>0.1</v>
      </c>
      <c r="AZ108" s="259">
        <v>0.1</v>
      </c>
      <c r="BA108" s="259">
        <v>0.1</v>
      </c>
      <c r="BB108" s="259">
        <v>0.1</v>
      </c>
      <c r="BC108" s="259">
        <v>0.1</v>
      </c>
      <c r="BD108" s="259">
        <v>0.1</v>
      </c>
      <c r="BE108" s="259">
        <v>0.1</v>
      </c>
      <c r="BF108" s="259">
        <v>0.1</v>
      </c>
      <c r="BG108" s="259">
        <v>0.1</v>
      </c>
      <c r="BH108" s="259">
        <v>0.1</v>
      </c>
      <c r="BI108" s="259">
        <v>0.1</v>
      </c>
      <c r="BJ108" s="259">
        <v>0.1</v>
      </c>
      <c r="BK108" s="260">
        <v>0.1</v>
      </c>
      <c r="BL108">
        <v>0.1</v>
      </c>
      <c r="BM108">
        <v>0.1</v>
      </c>
      <c r="BN108">
        <v>0.1</v>
      </c>
      <c r="BO108">
        <v>0.1</v>
      </c>
      <c r="BP108">
        <f t="shared" si="6"/>
        <v>0.4</v>
      </c>
      <c r="BS108">
        <v>105</v>
      </c>
      <c r="BT108" s="271">
        <v>4.1100000000000003</v>
      </c>
      <c r="BU108" s="270">
        <v>1.77</v>
      </c>
      <c r="BV108" s="2"/>
      <c r="BX108" s="2"/>
      <c r="BY108" s="258">
        <v>0.1</v>
      </c>
      <c r="BZ108" s="259">
        <v>0.1</v>
      </c>
      <c r="CA108" s="259">
        <v>0.1</v>
      </c>
      <c r="CB108" s="259">
        <v>0.1</v>
      </c>
      <c r="CC108" s="259">
        <v>0.1</v>
      </c>
      <c r="CD108" s="259">
        <v>0.1</v>
      </c>
      <c r="CE108" s="259">
        <v>0.1</v>
      </c>
      <c r="CF108" s="259">
        <v>0.1</v>
      </c>
      <c r="CG108" s="259">
        <v>0.1</v>
      </c>
      <c r="CH108" s="259">
        <v>0.1</v>
      </c>
      <c r="CI108" s="259">
        <v>0.1</v>
      </c>
      <c r="CJ108" s="259">
        <v>0.1</v>
      </c>
      <c r="CK108" s="259">
        <v>0.1</v>
      </c>
      <c r="CL108" s="259">
        <v>0.1</v>
      </c>
      <c r="CM108" s="259">
        <v>0.1</v>
      </c>
      <c r="CN108" s="259">
        <v>0.1</v>
      </c>
      <c r="CO108" s="259">
        <v>0.1</v>
      </c>
      <c r="CP108" s="259">
        <v>0.1</v>
      </c>
      <c r="CQ108" s="259">
        <v>0.1</v>
      </c>
      <c r="CR108" s="259">
        <v>0.1</v>
      </c>
      <c r="CS108" s="259">
        <v>0.1</v>
      </c>
      <c r="CT108" s="259">
        <v>0.1</v>
      </c>
      <c r="CU108" s="259">
        <v>0.1</v>
      </c>
      <c r="CV108" s="259">
        <v>0.1</v>
      </c>
      <c r="CW108" s="259">
        <v>0.1</v>
      </c>
      <c r="CX108" s="259">
        <v>0.1</v>
      </c>
      <c r="CY108" s="259">
        <v>0.1</v>
      </c>
      <c r="CZ108" s="259">
        <v>0.1</v>
      </c>
      <c r="DA108" s="259">
        <v>0.1</v>
      </c>
      <c r="DB108" s="259">
        <v>0.1</v>
      </c>
      <c r="DC108" s="259">
        <v>0.1</v>
      </c>
      <c r="DD108" s="259">
        <v>0.1</v>
      </c>
      <c r="DE108" s="259">
        <v>0.1</v>
      </c>
      <c r="DF108" s="259">
        <v>0.1</v>
      </c>
      <c r="DG108" s="259">
        <v>0.1</v>
      </c>
      <c r="DH108" s="259">
        <v>0.1</v>
      </c>
      <c r="DI108" s="259">
        <v>0.1</v>
      </c>
      <c r="DJ108" s="259">
        <v>0.1</v>
      </c>
      <c r="DK108" s="259">
        <v>0.1</v>
      </c>
      <c r="DL108" s="259">
        <v>0.1</v>
      </c>
      <c r="DM108" s="259">
        <v>0.1</v>
      </c>
      <c r="DN108" s="260">
        <v>0.1</v>
      </c>
      <c r="DO108" s="258">
        <v>0.1</v>
      </c>
      <c r="DP108" s="259">
        <v>0.1</v>
      </c>
      <c r="DQ108" s="259">
        <v>0.1</v>
      </c>
      <c r="DR108" s="259">
        <v>0.1</v>
      </c>
      <c r="DS108" s="259">
        <v>0.1</v>
      </c>
      <c r="DT108" s="259">
        <v>0.1</v>
      </c>
      <c r="DU108" s="259">
        <v>0.1</v>
      </c>
      <c r="DV108" s="259">
        <v>0.1</v>
      </c>
      <c r="DW108" s="259">
        <v>0.1</v>
      </c>
      <c r="DX108" s="259">
        <v>0.1</v>
      </c>
      <c r="DY108" s="259">
        <v>0.1</v>
      </c>
      <c r="DZ108" s="259">
        <v>0.1</v>
      </c>
      <c r="EA108" s="259">
        <v>0.1</v>
      </c>
      <c r="EB108" s="259">
        <v>0.1</v>
      </c>
      <c r="EC108" s="259">
        <v>0.1</v>
      </c>
      <c r="ED108" s="259">
        <v>0.1</v>
      </c>
      <c r="EE108" s="259">
        <v>0.1</v>
      </c>
      <c r="EF108" s="260">
        <v>0.1</v>
      </c>
      <c r="EJ108">
        <v>105</v>
      </c>
      <c r="EN108">
        <v>0.1</v>
      </c>
      <c r="EO108">
        <v>0.1</v>
      </c>
      <c r="EP108">
        <v>0.1</v>
      </c>
      <c r="EQ108">
        <v>0.1</v>
      </c>
      <c r="ER108">
        <v>0.1</v>
      </c>
      <c r="ES108">
        <v>0.1</v>
      </c>
      <c r="ET108">
        <v>0.1</v>
      </c>
      <c r="EU108">
        <v>0.1</v>
      </c>
      <c r="EV108">
        <v>0.1</v>
      </c>
      <c r="EW108">
        <v>0.1</v>
      </c>
      <c r="EX108">
        <v>0.1</v>
      </c>
      <c r="EY108">
        <v>0.1</v>
      </c>
      <c r="EZ108">
        <v>0.1</v>
      </c>
      <c r="FA108">
        <v>0.1</v>
      </c>
      <c r="FB108">
        <v>0.1</v>
      </c>
      <c r="FC108">
        <v>0.1</v>
      </c>
      <c r="FD108">
        <v>0.1</v>
      </c>
      <c r="FE108">
        <v>0.1</v>
      </c>
      <c r="FF108">
        <v>0.1</v>
      </c>
      <c r="FG108">
        <v>0.1</v>
      </c>
      <c r="FH108">
        <v>0.1</v>
      </c>
      <c r="FI108">
        <v>0.1</v>
      </c>
      <c r="FJ108">
        <v>0.1</v>
      </c>
      <c r="FK108">
        <v>0.1</v>
      </c>
      <c r="FL108">
        <v>0.1</v>
      </c>
      <c r="FM108">
        <v>0.1</v>
      </c>
      <c r="FN108">
        <v>0.1</v>
      </c>
      <c r="FO108">
        <v>0.1</v>
      </c>
      <c r="FP108">
        <v>0.1</v>
      </c>
      <c r="FQ108">
        <v>0.1</v>
      </c>
      <c r="FU108">
        <v>105</v>
      </c>
      <c r="GB108">
        <v>0.1</v>
      </c>
      <c r="GC108">
        <v>0.1</v>
      </c>
      <c r="GD108">
        <v>0.1</v>
      </c>
      <c r="GE108">
        <v>0.1</v>
      </c>
      <c r="GF108">
        <v>0.1</v>
      </c>
      <c r="GG108">
        <v>0.1</v>
      </c>
      <c r="GH108">
        <v>0.1</v>
      </c>
      <c r="GI108">
        <v>0.1</v>
      </c>
      <c r="GJ108">
        <v>0.1</v>
      </c>
      <c r="GK108">
        <v>0.1</v>
      </c>
      <c r="GL108">
        <v>0.1</v>
      </c>
      <c r="GM108">
        <v>0.1</v>
      </c>
      <c r="GN108">
        <v>0.1</v>
      </c>
      <c r="GO108">
        <v>0.1</v>
      </c>
      <c r="GP108">
        <v>0.1</v>
      </c>
      <c r="GQ108">
        <v>0.1</v>
      </c>
      <c r="GR108">
        <v>0.1</v>
      </c>
      <c r="GS108">
        <v>0.1</v>
      </c>
      <c r="GT108">
        <v>0.1</v>
      </c>
      <c r="GU108">
        <v>0.1</v>
      </c>
      <c r="GV108">
        <v>0.1</v>
      </c>
      <c r="GW108">
        <v>0.1</v>
      </c>
      <c r="GX108">
        <v>0.1</v>
      </c>
      <c r="GY108">
        <v>0.1</v>
      </c>
      <c r="GZ108">
        <v>0.1</v>
      </c>
      <c r="HA108">
        <v>0.1</v>
      </c>
      <c r="HB108">
        <v>0.1</v>
      </c>
      <c r="HC108">
        <v>0.1</v>
      </c>
      <c r="HD108">
        <v>0.1</v>
      </c>
      <c r="HE108">
        <v>0.1</v>
      </c>
      <c r="HF108">
        <v>0.1</v>
      </c>
      <c r="HG108">
        <v>0.1</v>
      </c>
      <c r="HH108">
        <v>0.1</v>
      </c>
      <c r="HI108">
        <v>0.1</v>
      </c>
      <c r="HJ108">
        <v>0.1</v>
      </c>
      <c r="HK108">
        <v>0.1</v>
      </c>
      <c r="HL108">
        <v>0.1</v>
      </c>
      <c r="HM108">
        <v>0.1</v>
      </c>
      <c r="HN108">
        <v>0.1</v>
      </c>
      <c r="HO108">
        <v>0.1</v>
      </c>
    </row>
    <row r="109" spans="1:223" ht="15.75" thickBot="1" x14ac:dyDescent="0.3">
      <c r="A109">
        <v>106</v>
      </c>
      <c r="B109" s="269">
        <v>3.6</v>
      </c>
      <c r="C109" s="269">
        <v>1.96</v>
      </c>
      <c r="D109" s="2"/>
      <c r="E109" s="2"/>
      <c r="F109" s="2"/>
      <c r="G109" s="2"/>
      <c r="H109" s="258">
        <v>0.1</v>
      </c>
      <c r="I109" s="259">
        <v>0.1</v>
      </c>
      <c r="J109" s="259">
        <v>0.1</v>
      </c>
      <c r="K109" s="259">
        <v>0.1</v>
      </c>
      <c r="L109" s="259">
        <v>0.1</v>
      </c>
      <c r="M109" s="259">
        <v>0.1</v>
      </c>
      <c r="N109" s="259">
        <v>0.1</v>
      </c>
      <c r="O109" s="259">
        <v>0.1</v>
      </c>
      <c r="P109" s="259">
        <v>0.1</v>
      </c>
      <c r="Q109" s="259">
        <v>0.1</v>
      </c>
      <c r="R109" s="259">
        <v>0.1</v>
      </c>
      <c r="S109" s="259">
        <v>0.1</v>
      </c>
      <c r="T109" s="259">
        <v>0.1</v>
      </c>
      <c r="U109" s="259">
        <v>0.1</v>
      </c>
      <c r="V109" s="259">
        <v>0.1</v>
      </c>
      <c r="W109" s="259">
        <v>0.1</v>
      </c>
      <c r="X109" s="259">
        <v>0.1</v>
      </c>
      <c r="Y109" s="259">
        <v>0.1</v>
      </c>
      <c r="Z109" s="259">
        <v>0.1</v>
      </c>
      <c r="AA109" s="259">
        <v>0.1</v>
      </c>
      <c r="AB109" s="259">
        <v>0.1</v>
      </c>
      <c r="AC109" s="259">
        <v>0.1</v>
      </c>
      <c r="AD109" s="259">
        <v>0.1</v>
      </c>
      <c r="AE109" s="259">
        <v>0.1</v>
      </c>
      <c r="AF109" s="259">
        <v>0.1</v>
      </c>
      <c r="AG109" s="259">
        <v>0.1</v>
      </c>
      <c r="AH109" s="259">
        <v>0.1</v>
      </c>
      <c r="AI109" s="259">
        <v>0.1</v>
      </c>
      <c r="AJ109" s="259">
        <v>0.1</v>
      </c>
      <c r="AK109" s="259">
        <v>0.1</v>
      </c>
      <c r="AL109" s="259">
        <v>0.1</v>
      </c>
      <c r="AM109" s="259">
        <v>0.1</v>
      </c>
      <c r="AN109" s="259">
        <v>0.1</v>
      </c>
      <c r="AO109" s="259">
        <v>0.1</v>
      </c>
      <c r="AP109" s="259">
        <v>0.1</v>
      </c>
      <c r="AQ109" s="260">
        <v>0.1</v>
      </c>
      <c r="AR109" s="258">
        <v>0.1</v>
      </c>
      <c r="AS109" s="259">
        <v>0.1</v>
      </c>
      <c r="AT109" s="259">
        <v>0.1</v>
      </c>
      <c r="AU109" s="259">
        <v>0.1</v>
      </c>
      <c r="AV109" s="259">
        <v>0.1</v>
      </c>
      <c r="AW109" s="259">
        <v>0.1</v>
      </c>
      <c r="AX109" s="259">
        <v>0.1</v>
      </c>
      <c r="AY109" s="259">
        <v>0.1</v>
      </c>
      <c r="AZ109" s="259">
        <v>0.1</v>
      </c>
      <c r="BA109" s="259">
        <v>0.1</v>
      </c>
      <c r="BB109" s="259">
        <v>0.1</v>
      </c>
      <c r="BC109" s="259">
        <v>0.1</v>
      </c>
      <c r="BD109" s="259">
        <v>0.1</v>
      </c>
      <c r="BE109" s="259">
        <v>0.1</v>
      </c>
      <c r="BF109" s="259">
        <v>0.1</v>
      </c>
      <c r="BG109" s="259">
        <v>0.1</v>
      </c>
      <c r="BH109" s="259">
        <v>0.1</v>
      </c>
      <c r="BI109" s="259">
        <v>0.1</v>
      </c>
      <c r="BJ109" s="259">
        <v>0.1</v>
      </c>
      <c r="BK109" s="260">
        <v>0.1</v>
      </c>
      <c r="BL109">
        <v>0.1</v>
      </c>
      <c r="BM109">
        <v>0.1</v>
      </c>
      <c r="BN109">
        <v>0.1</v>
      </c>
      <c r="BO109">
        <v>0.1</v>
      </c>
      <c r="BP109">
        <f t="shared" si="6"/>
        <v>0.4</v>
      </c>
      <c r="BS109">
        <v>106</v>
      </c>
      <c r="BT109" s="270">
        <v>4.0999999999999996</v>
      </c>
      <c r="BU109" s="271">
        <v>1.78</v>
      </c>
      <c r="BV109" s="2"/>
      <c r="BX109" s="2"/>
      <c r="BY109" s="258">
        <v>0.1</v>
      </c>
      <c r="BZ109" s="259">
        <v>0.1</v>
      </c>
      <c r="CA109" s="259">
        <v>0.1</v>
      </c>
      <c r="CB109" s="259">
        <v>0.1</v>
      </c>
      <c r="CC109" s="259">
        <v>0.1</v>
      </c>
      <c r="CD109" s="259">
        <v>0.1</v>
      </c>
      <c r="CE109" s="259">
        <v>0.1</v>
      </c>
      <c r="CF109" s="259">
        <v>0.1</v>
      </c>
      <c r="CG109" s="259">
        <v>0.1</v>
      </c>
      <c r="CH109" s="259">
        <v>0.1</v>
      </c>
      <c r="CI109" s="259">
        <v>0.1</v>
      </c>
      <c r="CJ109" s="259">
        <v>0.1</v>
      </c>
      <c r="CK109" s="259">
        <v>0.1</v>
      </c>
      <c r="CL109" s="259">
        <v>0.1</v>
      </c>
      <c r="CM109" s="259">
        <v>0.1</v>
      </c>
      <c r="CN109" s="259">
        <v>0.1</v>
      </c>
      <c r="CO109" s="259">
        <v>0.1</v>
      </c>
      <c r="CP109" s="259">
        <v>0.1</v>
      </c>
      <c r="CQ109" s="259">
        <v>0.1</v>
      </c>
      <c r="CR109" s="259">
        <v>0.1</v>
      </c>
      <c r="CS109" s="259">
        <v>0.1</v>
      </c>
      <c r="CT109" s="259">
        <v>0.1</v>
      </c>
      <c r="CU109" s="259">
        <v>0.1</v>
      </c>
      <c r="CV109" s="259">
        <v>0.1</v>
      </c>
      <c r="CW109" s="259">
        <v>0.1</v>
      </c>
      <c r="CX109" s="259">
        <v>0.1</v>
      </c>
      <c r="CY109" s="259">
        <v>0.1</v>
      </c>
      <c r="CZ109" s="259">
        <v>0.1</v>
      </c>
      <c r="DA109" s="259">
        <v>0.1</v>
      </c>
      <c r="DB109" s="259">
        <v>0.1</v>
      </c>
      <c r="DC109" s="259">
        <v>0.1</v>
      </c>
      <c r="DD109" s="259">
        <v>0.1</v>
      </c>
      <c r="DE109" s="259">
        <v>0.1</v>
      </c>
      <c r="DF109" s="259">
        <v>0.1</v>
      </c>
      <c r="DG109" s="259">
        <v>0.1</v>
      </c>
      <c r="DH109" s="259">
        <v>0.1</v>
      </c>
      <c r="DI109" s="259">
        <v>0.1</v>
      </c>
      <c r="DJ109" s="259">
        <v>0.1</v>
      </c>
      <c r="DK109" s="259">
        <v>0.1</v>
      </c>
      <c r="DL109" s="259">
        <v>0.1</v>
      </c>
      <c r="DM109" s="260">
        <v>0.1</v>
      </c>
      <c r="DN109" s="258">
        <v>0.1</v>
      </c>
      <c r="DO109" s="259">
        <v>0.1</v>
      </c>
      <c r="DP109" s="259">
        <v>0.1</v>
      </c>
      <c r="DQ109" s="259">
        <v>0.1</v>
      </c>
      <c r="DR109" s="259">
        <v>0.1</v>
      </c>
      <c r="DS109" s="259">
        <v>0.1</v>
      </c>
      <c r="DT109" s="259">
        <v>0.1</v>
      </c>
      <c r="DU109" s="259">
        <v>0.1</v>
      </c>
      <c r="DV109" s="259">
        <v>0.1</v>
      </c>
      <c r="DW109" s="259">
        <v>0.1</v>
      </c>
      <c r="DX109" s="259">
        <v>0.1</v>
      </c>
      <c r="DY109" s="259">
        <v>0.1</v>
      </c>
      <c r="DZ109" s="259">
        <v>0.1</v>
      </c>
      <c r="EA109" s="259">
        <v>0.1</v>
      </c>
      <c r="EB109" s="259">
        <v>0.1</v>
      </c>
      <c r="EC109" s="259">
        <v>0.1</v>
      </c>
      <c r="ED109" s="259">
        <v>0.1</v>
      </c>
      <c r="EE109" s="260">
        <v>0.1</v>
      </c>
      <c r="EF109">
        <v>0.1</v>
      </c>
      <c r="EG109">
        <f>SUM(EF109)</f>
        <v>0.1</v>
      </c>
      <c r="EJ109">
        <v>106</v>
      </c>
      <c r="EN109">
        <v>0.1</v>
      </c>
      <c r="EO109">
        <v>0.1</v>
      </c>
      <c r="EP109">
        <v>0.1</v>
      </c>
      <c r="EQ109">
        <v>0.1</v>
      </c>
      <c r="ER109">
        <v>0.1</v>
      </c>
      <c r="ES109">
        <v>0.1</v>
      </c>
      <c r="ET109">
        <v>0.1</v>
      </c>
      <c r="EU109">
        <v>0.1</v>
      </c>
      <c r="EV109">
        <v>0.1</v>
      </c>
      <c r="EW109">
        <v>0.1</v>
      </c>
      <c r="EX109">
        <v>0.1</v>
      </c>
      <c r="EY109">
        <v>0.1</v>
      </c>
      <c r="EZ109">
        <v>0.1</v>
      </c>
      <c r="FA109">
        <v>0.1</v>
      </c>
      <c r="FB109">
        <v>0.1</v>
      </c>
      <c r="FC109">
        <v>0.1</v>
      </c>
      <c r="FD109">
        <v>0.1</v>
      </c>
      <c r="FE109">
        <v>0.1</v>
      </c>
      <c r="FF109">
        <v>0.1</v>
      </c>
      <c r="FG109">
        <v>0.1</v>
      </c>
      <c r="FH109">
        <v>0.1</v>
      </c>
      <c r="FI109">
        <v>0.1</v>
      </c>
      <c r="FJ109">
        <v>0.1</v>
      </c>
      <c r="FK109">
        <v>0.1</v>
      </c>
      <c r="FL109">
        <v>0.1</v>
      </c>
      <c r="FM109">
        <v>0.1</v>
      </c>
      <c r="FN109">
        <v>0.1</v>
      </c>
      <c r="FO109">
        <v>0.1</v>
      </c>
      <c r="FP109">
        <v>0.1</v>
      </c>
      <c r="FQ109">
        <v>0.1</v>
      </c>
      <c r="FU109">
        <v>106</v>
      </c>
      <c r="GB109">
        <v>0.1</v>
      </c>
      <c r="GC109">
        <v>0.1</v>
      </c>
      <c r="GD109">
        <v>0.1</v>
      </c>
      <c r="GE109">
        <v>0.1</v>
      </c>
      <c r="GF109">
        <v>0.1</v>
      </c>
      <c r="GG109">
        <v>0.1</v>
      </c>
      <c r="GH109">
        <v>0.1</v>
      </c>
      <c r="GI109">
        <v>0.1</v>
      </c>
      <c r="GJ109">
        <v>0.1</v>
      </c>
      <c r="GK109">
        <v>0.1</v>
      </c>
      <c r="GL109">
        <v>0.1</v>
      </c>
      <c r="GM109">
        <v>0.1</v>
      </c>
      <c r="GN109">
        <v>0.1</v>
      </c>
      <c r="GO109">
        <v>0.1</v>
      </c>
      <c r="GP109">
        <v>0.1</v>
      </c>
      <c r="GQ109">
        <v>0.1</v>
      </c>
      <c r="GR109">
        <v>0.1</v>
      </c>
      <c r="GS109">
        <v>0.1</v>
      </c>
      <c r="GT109">
        <v>0.1</v>
      </c>
      <c r="GU109">
        <v>0.1</v>
      </c>
      <c r="GV109">
        <v>0.1</v>
      </c>
      <c r="GW109">
        <v>0.1</v>
      </c>
      <c r="GX109">
        <v>0.1</v>
      </c>
      <c r="GY109">
        <v>0.1</v>
      </c>
      <c r="GZ109">
        <v>0.1</v>
      </c>
      <c r="HA109">
        <v>0.1</v>
      </c>
      <c r="HB109">
        <v>0.1</v>
      </c>
      <c r="HC109">
        <v>0.1</v>
      </c>
      <c r="HD109">
        <v>0.1</v>
      </c>
      <c r="HE109">
        <v>0.1</v>
      </c>
      <c r="HF109">
        <v>0.1</v>
      </c>
      <c r="HG109">
        <v>0.1</v>
      </c>
      <c r="HH109">
        <v>0.1</v>
      </c>
      <c r="HI109">
        <v>0.1</v>
      </c>
      <c r="HJ109">
        <v>0.1</v>
      </c>
      <c r="HK109">
        <v>0.1</v>
      </c>
      <c r="HL109">
        <v>0.1</v>
      </c>
      <c r="HM109">
        <v>0.1</v>
      </c>
      <c r="HN109">
        <v>0.1</v>
      </c>
      <c r="HO109">
        <v>0.1</v>
      </c>
    </row>
    <row r="110" spans="1:223" ht="15.75" thickBot="1" x14ac:dyDescent="0.3">
      <c r="A110">
        <v>107</v>
      </c>
      <c r="B110" s="268">
        <v>3.55</v>
      </c>
      <c r="C110" s="268">
        <v>1.96</v>
      </c>
      <c r="D110" s="2"/>
      <c r="E110" s="2"/>
      <c r="F110" s="2"/>
      <c r="G110" s="2"/>
      <c r="H110" s="258">
        <v>0.1</v>
      </c>
      <c r="I110" s="259">
        <v>0.1</v>
      </c>
      <c r="J110" s="259">
        <v>0.1</v>
      </c>
      <c r="K110" s="259">
        <v>0.1</v>
      </c>
      <c r="L110" s="259">
        <v>0.1</v>
      </c>
      <c r="M110" s="259">
        <v>0.1</v>
      </c>
      <c r="N110" s="259">
        <v>0.1</v>
      </c>
      <c r="O110" s="259">
        <v>0.1</v>
      </c>
      <c r="P110" s="259">
        <v>0.1</v>
      </c>
      <c r="Q110" s="259">
        <v>0.1</v>
      </c>
      <c r="R110" s="259">
        <v>0.1</v>
      </c>
      <c r="S110" s="259">
        <v>0.1</v>
      </c>
      <c r="T110" s="259">
        <v>0.1</v>
      </c>
      <c r="U110" s="259">
        <v>0.1</v>
      </c>
      <c r="V110" s="259">
        <v>0.1</v>
      </c>
      <c r="W110" s="259">
        <v>0.1</v>
      </c>
      <c r="X110" s="259">
        <v>0.1</v>
      </c>
      <c r="Y110" s="259">
        <v>0.1</v>
      </c>
      <c r="Z110" s="259">
        <v>0.1</v>
      </c>
      <c r="AA110" s="259">
        <v>0.1</v>
      </c>
      <c r="AB110" s="259">
        <v>0.1</v>
      </c>
      <c r="AC110" s="259">
        <v>0.1</v>
      </c>
      <c r="AD110" s="259">
        <v>0.1</v>
      </c>
      <c r="AE110" s="259">
        <v>0.1</v>
      </c>
      <c r="AF110" s="259">
        <v>0.1</v>
      </c>
      <c r="AG110" s="259">
        <v>0.1</v>
      </c>
      <c r="AH110" s="259">
        <v>0.1</v>
      </c>
      <c r="AI110" s="259">
        <v>0.1</v>
      </c>
      <c r="AJ110" s="259">
        <v>0.1</v>
      </c>
      <c r="AK110" s="259">
        <v>0.1</v>
      </c>
      <c r="AL110" s="259">
        <v>0.1</v>
      </c>
      <c r="AM110" s="259">
        <v>0.1</v>
      </c>
      <c r="AN110" s="259">
        <v>0.1</v>
      </c>
      <c r="AO110" s="259">
        <v>0.1</v>
      </c>
      <c r="AP110" s="259">
        <v>0.1</v>
      </c>
      <c r="AQ110" s="260">
        <v>0.1</v>
      </c>
      <c r="AR110" s="258">
        <v>0.1</v>
      </c>
      <c r="AS110" s="259">
        <v>0.1</v>
      </c>
      <c r="AT110" s="259">
        <v>0.1</v>
      </c>
      <c r="AU110" s="259">
        <v>0.1</v>
      </c>
      <c r="AV110" s="259">
        <v>0.1</v>
      </c>
      <c r="AW110" s="259">
        <v>0.1</v>
      </c>
      <c r="AX110" s="259">
        <v>0.1</v>
      </c>
      <c r="AY110" s="259">
        <v>0.1</v>
      </c>
      <c r="AZ110" s="259">
        <v>0.1</v>
      </c>
      <c r="BA110" s="259">
        <v>0.1</v>
      </c>
      <c r="BB110" s="259">
        <v>0.1</v>
      </c>
      <c r="BC110" s="259">
        <v>0.1</v>
      </c>
      <c r="BD110" s="259">
        <v>0.1</v>
      </c>
      <c r="BE110" s="259">
        <v>0.1</v>
      </c>
      <c r="BF110" s="259">
        <v>0.1</v>
      </c>
      <c r="BG110" s="259">
        <v>0.1</v>
      </c>
      <c r="BH110" s="259">
        <v>0.1</v>
      </c>
      <c r="BI110" s="259">
        <v>0.1</v>
      </c>
      <c r="BJ110" s="259">
        <v>0.1</v>
      </c>
      <c r="BK110" s="260">
        <v>0.1</v>
      </c>
      <c r="BL110">
        <v>0.1</v>
      </c>
      <c r="BM110">
        <v>0.1</v>
      </c>
      <c r="BN110">
        <v>0.1</v>
      </c>
      <c r="BO110">
        <v>0.1</v>
      </c>
      <c r="BP110">
        <f t="shared" si="6"/>
        <v>0.4</v>
      </c>
      <c r="BS110">
        <v>107</v>
      </c>
      <c r="BT110" s="271">
        <v>4.0999999999999996</v>
      </c>
      <c r="BU110" s="270">
        <v>1.78</v>
      </c>
      <c r="BV110" s="2"/>
      <c r="BX110" s="2"/>
      <c r="BY110" s="258">
        <v>0.1</v>
      </c>
      <c r="BZ110" s="259">
        <v>0.1</v>
      </c>
      <c r="CA110" s="259">
        <v>0.1</v>
      </c>
      <c r="CB110" s="259">
        <v>0.1</v>
      </c>
      <c r="CC110" s="259">
        <v>0.1</v>
      </c>
      <c r="CD110" s="259">
        <v>0.1</v>
      </c>
      <c r="CE110" s="259">
        <v>0.1</v>
      </c>
      <c r="CF110" s="259">
        <v>0.1</v>
      </c>
      <c r="CG110" s="259">
        <v>0.1</v>
      </c>
      <c r="CH110" s="259">
        <v>0.1</v>
      </c>
      <c r="CI110" s="259">
        <v>0.1</v>
      </c>
      <c r="CJ110" s="259">
        <v>0.1</v>
      </c>
      <c r="CK110" s="259">
        <v>0.1</v>
      </c>
      <c r="CL110" s="259">
        <v>0.1</v>
      </c>
      <c r="CM110" s="259">
        <v>0.1</v>
      </c>
      <c r="CN110" s="259">
        <v>0.1</v>
      </c>
      <c r="CO110" s="259">
        <v>0.1</v>
      </c>
      <c r="CP110" s="259">
        <v>0.1</v>
      </c>
      <c r="CQ110" s="259">
        <v>0.1</v>
      </c>
      <c r="CR110" s="259">
        <v>0.1</v>
      </c>
      <c r="CS110" s="259">
        <v>0.1</v>
      </c>
      <c r="CT110" s="259">
        <v>0.1</v>
      </c>
      <c r="CU110" s="259">
        <v>0.1</v>
      </c>
      <c r="CV110" s="259">
        <v>0.1</v>
      </c>
      <c r="CW110" s="259">
        <v>0.1</v>
      </c>
      <c r="CX110" s="259">
        <v>0.1</v>
      </c>
      <c r="CY110" s="259">
        <v>0.1</v>
      </c>
      <c r="CZ110" s="259">
        <v>0.1</v>
      </c>
      <c r="DA110" s="259">
        <v>0.1</v>
      </c>
      <c r="DB110" s="259">
        <v>0.1</v>
      </c>
      <c r="DC110" s="259">
        <v>0.1</v>
      </c>
      <c r="DD110" s="259">
        <v>0.1</v>
      </c>
      <c r="DE110" s="259">
        <v>0.1</v>
      </c>
      <c r="DF110" s="259">
        <v>0.1</v>
      </c>
      <c r="DG110" s="259">
        <v>0.1</v>
      </c>
      <c r="DH110" s="259">
        <v>0.1</v>
      </c>
      <c r="DI110" s="259">
        <v>0.1</v>
      </c>
      <c r="DJ110" s="259">
        <v>0.1</v>
      </c>
      <c r="DK110" s="259">
        <v>0.1</v>
      </c>
      <c r="DL110" s="259">
        <v>0.1</v>
      </c>
      <c r="DM110" s="260">
        <v>0.1</v>
      </c>
      <c r="DN110" s="258">
        <v>0.1</v>
      </c>
      <c r="DO110" s="259">
        <v>0.1</v>
      </c>
      <c r="DP110" s="259">
        <v>0.1</v>
      </c>
      <c r="DQ110" s="259">
        <v>0.1</v>
      </c>
      <c r="DR110" s="259">
        <v>0.1</v>
      </c>
      <c r="DS110" s="259">
        <v>0.1</v>
      </c>
      <c r="DT110" s="259">
        <v>0.1</v>
      </c>
      <c r="DU110" s="259">
        <v>0.1</v>
      </c>
      <c r="DV110" s="259">
        <v>0.1</v>
      </c>
      <c r="DW110" s="259">
        <v>0.1</v>
      </c>
      <c r="DX110" s="259">
        <v>0.1</v>
      </c>
      <c r="DY110" s="259">
        <v>0.1</v>
      </c>
      <c r="DZ110" s="259">
        <v>0.1</v>
      </c>
      <c r="EA110" s="259">
        <v>0.1</v>
      </c>
      <c r="EB110" s="259">
        <v>0.1</v>
      </c>
      <c r="EC110" s="259">
        <v>0.1</v>
      </c>
      <c r="ED110" s="259">
        <v>0.1</v>
      </c>
      <c r="EE110" s="260">
        <v>0.1</v>
      </c>
      <c r="EF110">
        <v>0.1</v>
      </c>
      <c r="EG110">
        <f>SUM(EF110)</f>
        <v>0.1</v>
      </c>
      <c r="EJ110">
        <v>107</v>
      </c>
      <c r="EN110">
        <v>0.1</v>
      </c>
      <c r="EO110">
        <v>0.1</v>
      </c>
      <c r="EP110">
        <v>0.1</v>
      </c>
      <c r="EQ110">
        <v>0.1</v>
      </c>
      <c r="ER110">
        <v>0.1</v>
      </c>
      <c r="ES110">
        <v>0.1</v>
      </c>
      <c r="ET110">
        <v>0.1</v>
      </c>
      <c r="EU110">
        <v>0.1</v>
      </c>
      <c r="EV110">
        <v>0.1</v>
      </c>
      <c r="EW110">
        <v>0.1</v>
      </c>
      <c r="EX110">
        <v>0.1</v>
      </c>
      <c r="EY110">
        <v>0.1</v>
      </c>
      <c r="EZ110">
        <v>0.1</v>
      </c>
      <c r="FA110">
        <v>0.1</v>
      </c>
      <c r="FB110">
        <v>0.1</v>
      </c>
      <c r="FC110">
        <v>0.1</v>
      </c>
      <c r="FD110">
        <v>0.1</v>
      </c>
      <c r="FE110">
        <v>0.1</v>
      </c>
      <c r="FF110">
        <v>0.1</v>
      </c>
      <c r="FG110">
        <v>0.1</v>
      </c>
      <c r="FH110">
        <v>0.1</v>
      </c>
      <c r="FI110">
        <v>0.1</v>
      </c>
      <c r="FJ110">
        <v>0.1</v>
      </c>
      <c r="FK110">
        <v>0.1</v>
      </c>
      <c r="FL110">
        <v>0.1</v>
      </c>
      <c r="FM110">
        <v>0.1</v>
      </c>
      <c r="FN110">
        <v>0.1</v>
      </c>
      <c r="FO110">
        <v>0.1</v>
      </c>
      <c r="FP110">
        <v>0.1</v>
      </c>
      <c r="FQ110">
        <v>0.1</v>
      </c>
      <c r="FU110">
        <v>107</v>
      </c>
      <c r="GB110">
        <v>0.1</v>
      </c>
      <c r="GC110">
        <v>0.1</v>
      </c>
      <c r="GD110">
        <v>0.1</v>
      </c>
      <c r="GE110">
        <v>0.1</v>
      </c>
      <c r="GF110">
        <v>0.1</v>
      </c>
      <c r="GG110">
        <v>0.1</v>
      </c>
      <c r="GH110">
        <v>0.1</v>
      </c>
      <c r="GI110">
        <v>0.1</v>
      </c>
      <c r="GJ110">
        <v>0.1</v>
      </c>
      <c r="GK110">
        <v>0.1</v>
      </c>
      <c r="GL110">
        <v>0.1</v>
      </c>
      <c r="GM110">
        <v>0.1</v>
      </c>
      <c r="GN110">
        <v>0.1</v>
      </c>
      <c r="GO110">
        <v>0.1</v>
      </c>
      <c r="GP110">
        <v>0.1</v>
      </c>
      <c r="GQ110">
        <v>0.1</v>
      </c>
      <c r="GR110">
        <v>0.1</v>
      </c>
      <c r="GS110">
        <v>0.1</v>
      </c>
      <c r="GT110">
        <v>0.1</v>
      </c>
      <c r="GU110">
        <v>0.1</v>
      </c>
      <c r="GV110">
        <v>0.1</v>
      </c>
      <c r="GW110">
        <v>0.1</v>
      </c>
      <c r="GX110">
        <v>0.1</v>
      </c>
      <c r="GY110">
        <v>0.1</v>
      </c>
      <c r="GZ110">
        <v>0.1</v>
      </c>
      <c r="HA110">
        <v>0.1</v>
      </c>
      <c r="HB110">
        <v>0.1</v>
      </c>
      <c r="HC110">
        <v>0.1</v>
      </c>
      <c r="HD110">
        <v>0.1</v>
      </c>
      <c r="HE110">
        <v>0.1</v>
      </c>
      <c r="HF110">
        <v>0.1</v>
      </c>
      <c r="HG110">
        <v>0.1</v>
      </c>
      <c r="HH110">
        <v>0.1</v>
      </c>
      <c r="HI110">
        <v>0.1</v>
      </c>
      <c r="HJ110">
        <v>0.1</v>
      </c>
      <c r="HK110">
        <v>0.1</v>
      </c>
      <c r="HL110">
        <v>0.1</v>
      </c>
      <c r="HM110">
        <v>0.1</v>
      </c>
      <c r="HN110">
        <v>0.1</v>
      </c>
      <c r="HO110">
        <v>0.1</v>
      </c>
    </row>
    <row r="111" spans="1:223" ht="15.75" thickBot="1" x14ac:dyDescent="0.3">
      <c r="A111">
        <v>108</v>
      </c>
      <c r="B111" s="269">
        <v>3.55</v>
      </c>
      <c r="C111" s="269">
        <v>1.96</v>
      </c>
      <c r="D111" s="2"/>
      <c r="E111" s="2"/>
      <c r="F111" s="2"/>
      <c r="G111" s="2"/>
      <c r="H111" s="258">
        <v>0.1</v>
      </c>
      <c r="I111" s="259">
        <v>0.1</v>
      </c>
      <c r="J111" s="259">
        <v>0.1</v>
      </c>
      <c r="K111" s="259">
        <v>0.1</v>
      </c>
      <c r="L111" s="259">
        <v>0.1</v>
      </c>
      <c r="M111" s="259">
        <v>0.1</v>
      </c>
      <c r="N111" s="259">
        <v>0.1</v>
      </c>
      <c r="O111" s="259">
        <v>0.1</v>
      </c>
      <c r="P111" s="259">
        <v>0.1</v>
      </c>
      <c r="Q111" s="259">
        <v>0.1</v>
      </c>
      <c r="R111" s="259">
        <v>0.1</v>
      </c>
      <c r="S111" s="259">
        <v>0.1</v>
      </c>
      <c r="T111" s="259">
        <v>0.1</v>
      </c>
      <c r="U111" s="259">
        <v>0.1</v>
      </c>
      <c r="V111" s="259">
        <v>0.1</v>
      </c>
      <c r="W111" s="259">
        <v>0.1</v>
      </c>
      <c r="X111" s="259">
        <v>0.1</v>
      </c>
      <c r="Y111" s="259">
        <v>0.1</v>
      </c>
      <c r="Z111" s="259">
        <v>0.1</v>
      </c>
      <c r="AA111" s="259">
        <v>0.1</v>
      </c>
      <c r="AB111" s="259">
        <v>0.1</v>
      </c>
      <c r="AC111" s="259">
        <v>0.1</v>
      </c>
      <c r="AD111" s="259">
        <v>0.1</v>
      </c>
      <c r="AE111" s="259">
        <v>0.1</v>
      </c>
      <c r="AF111" s="259">
        <v>0.1</v>
      </c>
      <c r="AG111" s="259">
        <v>0.1</v>
      </c>
      <c r="AH111" s="259">
        <v>0.1</v>
      </c>
      <c r="AI111" s="259">
        <v>0.1</v>
      </c>
      <c r="AJ111" s="259">
        <v>0.1</v>
      </c>
      <c r="AK111" s="259">
        <v>0.1</v>
      </c>
      <c r="AL111" s="259">
        <v>0.1</v>
      </c>
      <c r="AM111" s="259">
        <v>0.1</v>
      </c>
      <c r="AN111" s="259">
        <v>0.1</v>
      </c>
      <c r="AO111" s="259">
        <v>0.1</v>
      </c>
      <c r="AP111" s="259">
        <v>0.1</v>
      </c>
      <c r="AQ111" s="260">
        <v>0.1</v>
      </c>
      <c r="AR111" s="258">
        <v>0.1</v>
      </c>
      <c r="AS111" s="259">
        <v>0.1</v>
      </c>
      <c r="AT111" s="259">
        <v>0.1</v>
      </c>
      <c r="AU111" s="259">
        <v>0.1</v>
      </c>
      <c r="AV111" s="259">
        <v>0.1</v>
      </c>
      <c r="AW111" s="259">
        <v>0.1</v>
      </c>
      <c r="AX111" s="259">
        <v>0.1</v>
      </c>
      <c r="AY111" s="259">
        <v>0.1</v>
      </c>
      <c r="AZ111" s="259">
        <v>0.1</v>
      </c>
      <c r="BA111" s="259">
        <v>0.1</v>
      </c>
      <c r="BB111" s="259">
        <v>0.1</v>
      </c>
      <c r="BC111" s="259">
        <v>0.1</v>
      </c>
      <c r="BD111" s="259">
        <v>0.1</v>
      </c>
      <c r="BE111" s="259">
        <v>0.1</v>
      </c>
      <c r="BF111" s="259">
        <v>0.1</v>
      </c>
      <c r="BG111" s="259">
        <v>0.1</v>
      </c>
      <c r="BH111" s="259">
        <v>0.1</v>
      </c>
      <c r="BI111" s="259">
        <v>0.1</v>
      </c>
      <c r="BJ111" s="259">
        <v>0.1</v>
      </c>
      <c r="BK111" s="260">
        <v>0.1</v>
      </c>
      <c r="BL111">
        <v>0.1</v>
      </c>
      <c r="BM111">
        <v>0.1</v>
      </c>
      <c r="BN111">
        <v>0.1</v>
      </c>
      <c r="BO111">
        <v>0.1</v>
      </c>
      <c r="BP111">
        <f t="shared" si="6"/>
        <v>0.4</v>
      </c>
      <c r="BS111">
        <v>108</v>
      </c>
      <c r="BT111" s="270">
        <v>4.0999999999999996</v>
      </c>
      <c r="BU111" s="271">
        <v>1.78</v>
      </c>
      <c r="BV111" s="2"/>
      <c r="BX111" s="2"/>
      <c r="BY111" s="258">
        <v>0.1</v>
      </c>
      <c r="BZ111" s="259">
        <v>0.1</v>
      </c>
      <c r="CA111" s="259">
        <v>0.1</v>
      </c>
      <c r="CB111" s="259">
        <v>0.1</v>
      </c>
      <c r="CC111" s="259">
        <v>0.1</v>
      </c>
      <c r="CD111" s="259">
        <v>0.1</v>
      </c>
      <c r="CE111" s="259">
        <v>0.1</v>
      </c>
      <c r="CF111" s="259">
        <v>0.1</v>
      </c>
      <c r="CG111" s="259">
        <v>0.1</v>
      </c>
      <c r="CH111" s="259">
        <v>0.1</v>
      </c>
      <c r="CI111" s="259">
        <v>0.1</v>
      </c>
      <c r="CJ111" s="259">
        <v>0.1</v>
      </c>
      <c r="CK111" s="259">
        <v>0.1</v>
      </c>
      <c r="CL111" s="259">
        <v>0.1</v>
      </c>
      <c r="CM111" s="259">
        <v>0.1</v>
      </c>
      <c r="CN111" s="259">
        <v>0.1</v>
      </c>
      <c r="CO111" s="259">
        <v>0.1</v>
      </c>
      <c r="CP111" s="259">
        <v>0.1</v>
      </c>
      <c r="CQ111" s="259">
        <v>0.1</v>
      </c>
      <c r="CR111" s="259">
        <v>0.1</v>
      </c>
      <c r="CS111" s="259">
        <v>0.1</v>
      </c>
      <c r="CT111" s="259">
        <v>0.1</v>
      </c>
      <c r="CU111" s="259">
        <v>0.1</v>
      </c>
      <c r="CV111" s="259">
        <v>0.1</v>
      </c>
      <c r="CW111" s="259">
        <v>0.1</v>
      </c>
      <c r="CX111" s="259">
        <v>0.1</v>
      </c>
      <c r="CY111" s="259">
        <v>0.1</v>
      </c>
      <c r="CZ111" s="259">
        <v>0.1</v>
      </c>
      <c r="DA111" s="259">
        <v>0.1</v>
      </c>
      <c r="DB111" s="259">
        <v>0.1</v>
      </c>
      <c r="DC111" s="259">
        <v>0.1</v>
      </c>
      <c r="DD111" s="259">
        <v>0.1</v>
      </c>
      <c r="DE111" s="259">
        <v>0.1</v>
      </c>
      <c r="DF111" s="259">
        <v>0.1</v>
      </c>
      <c r="DG111" s="259">
        <v>0.1</v>
      </c>
      <c r="DH111" s="259">
        <v>0.1</v>
      </c>
      <c r="DI111" s="259">
        <v>0.1</v>
      </c>
      <c r="DJ111" s="259">
        <v>0.1</v>
      </c>
      <c r="DK111" s="259">
        <v>0.1</v>
      </c>
      <c r="DL111" s="259">
        <v>0.1</v>
      </c>
      <c r="DM111" s="260">
        <v>0.1</v>
      </c>
      <c r="DN111" s="258">
        <v>0.1</v>
      </c>
      <c r="DO111" s="259">
        <v>0.1</v>
      </c>
      <c r="DP111" s="259">
        <v>0.1</v>
      </c>
      <c r="DQ111" s="259">
        <v>0.1</v>
      </c>
      <c r="DR111" s="259">
        <v>0.1</v>
      </c>
      <c r="DS111" s="259">
        <v>0.1</v>
      </c>
      <c r="DT111" s="259">
        <v>0.1</v>
      </c>
      <c r="DU111" s="259">
        <v>0.1</v>
      </c>
      <c r="DV111" s="259">
        <v>0.1</v>
      </c>
      <c r="DW111" s="259">
        <v>0.1</v>
      </c>
      <c r="DX111" s="259">
        <v>0.1</v>
      </c>
      <c r="DY111" s="259">
        <v>0.1</v>
      </c>
      <c r="DZ111" s="259">
        <v>0.1</v>
      </c>
      <c r="EA111" s="259">
        <v>0.1</v>
      </c>
      <c r="EB111" s="259">
        <v>0.1</v>
      </c>
      <c r="EC111" s="259">
        <v>0.1</v>
      </c>
      <c r="ED111" s="259">
        <v>0.1</v>
      </c>
      <c r="EE111" s="260">
        <v>0.1</v>
      </c>
      <c r="EF111">
        <v>0.1</v>
      </c>
      <c r="EG111">
        <f>SUM(EF111)</f>
        <v>0.1</v>
      </c>
      <c r="EJ111">
        <v>108</v>
      </c>
      <c r="EN111">
        <v>0.1</v>
      </c>
      <c r="EO111">
        <v>0.1</v>
      </c>
      <c r="EP111">
        <v>0.1</v>
      </c>
      <c r="EQ111">
        <v>0.1</v>
      </c>
      <c r="ER111">
        <v>0.1</v>
      </c>
      <c r="ES111">
        <v>0.1</v>
      </c>
      <c r="ET111">
        <v>0.1</v>
      </c>
      <c r="EU111">
        <v>0.1</v>
      </c>
      <c r="EV111">
        <v>0.1</v>
      </c>
      <c r="EW111">
        <v>0.1</v>
      </c>
      <c r="EX111">
        <v>0.1</v>
      </c>
      <c r="EY111">
        <v>0.1</v>
      </c>
      <c r="EZ111">
        <v>0.1</v>
      </c>
      <c r="FA111">
        <v>0.1</v>
      </c>
      <c r="FB111">
        <v>0.1</v>
      </c>
      <c r="FC111">
        <v>0.1</v>
      </c>
      <c r="FD111">
        <v>0.1</v>
      </c>
      <c r="FE111">
        <v>0.1</v>
      </c>
      <c r="FF111">
        <v>0.1</v>
      </c>
      <c r="FG111">
        <v>0.1</v>
      </c>
      <c r="FH111">
        <v>0.1</v>
      </c>
      <c r="FI111">
        <v>0.1</v>
      </c>
      <c r="FJ111">
        <v>0.1</v>
      </c>
      <c r="FK111">
        <v>0.1</v>
      </c>
      <c r="FL111">
        <v>0.1</v>
      </c>
      <c r="FM111">
        <v>0.1</v>
      </c>
      <c r="FN111">
        <v>0.1</v>
      </c>
      <c r="FO111">
        <v>0.1</v>
      </c>
      <c r="FP111">
        <v>0.1</v>
      </c>
      <c r="FQ111">
        <v>0.1</v>
      </c>
      <c r="FU111">
        <v>108</v>
      </c>
      <c r="GB111">
        <v>0.1</v>
      </c>
      <c r="GC111">
        <v>0.1</v>
      </c>
      <c r="GD111">
        <v>0.1</v>
      </c>
      <c r="GE111">
        <v>0.1</v>
      </c>
      <c r="GF111">
        <v>0.1</v>
      </c>
      <c r="GG111">
        <v>0.1</v>
      </c>
      <c r="GH111">
        <v>0.1</v>
      </c>
      <c r="GI111">
        <v>0.1</v>
      </c>
      <c r="GJ111">
        <v>0.1</v>
      </c>
      <c r="GK111">
        <v>0.1</v>
      </c>
      <c r="GL111">
        <v>0.1</v>
      </c>
      <c r="GM111">
        <v>0.1</v>
      </c>
      <c r="GN111">
        <v>0.1</v>
      </c>
      <c r="GO111">
        <v>0.1</v>
      </c>
      <c r="GP111">
        <v>0.1</v>
      </c>
      <c r="GQ111">
        <v>0.1</v>
      </c>
      <c r="GR111">
        <v>0.1</v>
      </c>
      <c r="GS111">
        <v>0.1</v>
      </c>
      <c r="GT111">
        <v>0.1</v>
      </c>
      <c r="GU111">
        <v>0.1</v>
      </c>
      <c r="GV111">
        <v>0.1</v>
      </c>
      <c r="GW111">
        <v>0.1</v>
      </c>
      <c r="GX111">
        <v>0.1</v>
      </c>
      <c r="GY111">
        <v>0.1</v>
      </c>
      <c r="GZ111">
        <v>0.1</v>
      </c>
      <c r="HA111">
        <v>0.1</v>
      </c>
      <c r="HB111">
        <v>0.1</v>
      </c>
      <c r="HC111">
        <v>0.1</v>
      </c>
      <c r="HD111">
        <v>0.1</v>
      </c>
      <c r="HE111">
        <v>0.1</v>
      </c>
      <c r="HF111">
        <v>0.1</v>
      </c>
      <c r="HG111">
        <v>0.1</v>
      </c>
      <c r="HH111">
        <v>0.1</v>
      </c>
      <c r="HI111">
        <v>0.1</v>
      </c>
      <c r="HJ111">
        <v>0.1</v>
      </c>
      <c r="HK111">
        <v>0.1</v>
      </c>
      <c r="HL111">
        <v>0.1</v>
      </c>
      <c r="HM111">
        <v>0.1</v>
      </c>
      <c r="HN111">
        <v>0.1</v>
      </c>
      <c r="HO111">
        <v>0.1</v>
      </c>
    </row>
    <row r="112" spans="1:223" ht="15.75" thickBot="1" x14ac:dyDescent="0.3">
      <c r="A112">
        <v>109</v>
      </c>
      <c r="B112" s="268">
        <v>3.55</v>
      </c>
      <c r="C112" s="268">
        <v>1.95</v>
      </c>
      <c r="D112" s="2"/>
      <c r="E112" s="2"/>
      <c r="F112" s="2"/>
      <c r="G112" s="2"/>
      <c r="H112" s="258">
        <v>0.1</v>
      </c>
      <c r="I112" s="259">
        <v>0.1</v>
      </c>
      <c r="J112" s="259">
        <v>0.1</v>
      </c>
      <c r="K112" s="259">
        <v>0.1</v>
      </c>
      <c r="L112" s="259">
        <v>0.1</v>
      </c>
      <c r="M112" s="259">
        <v>0.1</v>
      </c>
      <c r="N112" s="259">
        <v>0.1</v>
      </c>
      <c r="O112" s="259">
        <v>0.1</v>
      </c>
      <c r="P112" s="259">
        <v>0.1</v>
      </c>
      <c r="Q112" s="259">
        <v>0.1</v>
      </c>
      <c r="R112" s="259">
        <v>0.1</v>
      </c>
      <c r="S112" s="259">
        <v>0.1</v>
      </c>
      <c r="T112" s="259">
        <v>0.1</v>
      </c>
      <c r="U112" s="259">
        <v>0.1</v>
      </c>
      <c r="V112" s="259">
        <v>0.1</v>
      </c>
      <c r="W112" s="259">
        <v>0.1</v>
      </c>
      <c r="X112" s="259">
        <v>0.1</v>
      </c>
      <c r="Y112" s="259">
        <v>0.1</v>
      </c>
      <c r="Z112" s="259">
        <v>0.1</v>
      </c>
      <c r="AA112" s="259">
        <v>0.1</v>
      </c>
      <c r="AB112" s="259">
        <v>0.1</v>
      </c>
      <c r="AC112" s="259">
        <v>0.1</v>
      </c>
      <c r="AD112" s="259">
        <v>0.1</v>
      </c>
      <c r="AE112" s="259">
        <v>0.1</v>
      </c>
      <c r="AF112" s="259">
        <v>0.1</v>
      </c>
      <c r="AG112" s="259">
        <v>0.1</v>
      </c>
      <c r="AH112" s="259">
        <v>0.1</v>
      </c>
      <c r="AI112" s="259">
        <v>0.1</v>
      </c>
      <c r="AJ112" s="259">
        <v>0.1</v>
      </c>
      <c r="AK112" s="259">
        <v>0.1</v>
      </c>
      <c r="AL112" s="259">
        <v>0.1</v>
      </c>
      <c r="AM112" s="259">
        <v>0.1</v>
      </c>
      <c r="AN112" s="259">
        <v>0.1</v>
      </c>
      <c r="AO112" s="259">
        <v>0.1</v>
      </c>
      <c r="AP112" s="259">
        <v>0.1</v>
      </c>
      <c r="AQ112" s="260">
        <v>0.1</v>
      </c>
      <c r="AR112" s="258">
        <v>0.1</v>
      </c>
      <c r="AS112" s="259">
        <v>0.1</v>
      </c>
      <c r="AT112" s="259">
        <v>0.1</v>
      </c>
      <c r="AU112" s="259">
        <v>0.1</v>
      </c>
      <c r="AV112" s="259">
        <v>0.1</v>
      </c>
      <c r="AW112" s="259">
        <v>0.1</v>
      </c>
      <c r="AX112" s="259">
        <v>0.1</v>
      </c>
      <c r="AY112" s="259">
        <v>0.1</v>
      </c>
      <c r="AZ112" s="259">
        <v>0.1</v>
      </c>
      <c r="BA112" s="259">
        <v>0.1</v>
      </c>
      <c r="BB112" s="259">
        <v>0.1</v>
      </c>
      <c r="BC112" s="259">
        <v>0.1</v>
      </c>
      <c r="BD112" s="259">
        <v>0.1</v>
      </c>
      <c r="BE112" s="259">
        <v>0.1</v>
      </c>
      <c r="BF112" s="259">
        <v>0.1</v>
      </c>
      <c r="BG112" s="259">
        <v>0.1</v>
      </c>
      <c r="BH112" s="259">
        <v>0.1</v>
      </c>
      <c r="BI112" s="259">
        <v>0.1</v>
      </c>
      <c r="BJ112" s="259">
        <v>0.1</v>
      </c>
      <c r="BK112" s="260">
        <v>0.1</v>
      </c>
      <c r="BL112">
        <v>0.1</v>
      </c>
      <c r="BM112">
        <v>0.1</v>
      </c>
      <c r="BN112">
        <v>0.1</v>
      </c>
      <c r="BO112">
        <v>0.1</v>
      </c>
      <c r="BP112">
        <f t="shared" si="6"/>
        <v>0.4</v>
      </c>
      <c r="BS112">
        <v>109</v>
      </c>
      <c r="BT112" s="271">
        <v>4.05</v>
      </c>
      <c r="BU112" s="270">
        <v>1.78</v>
      </c>
      <c r="BV112" s="2"/>
      <c r="BX112" s="2"/>
      <c r="BY112" s="258">
        <v>0.1</v>
      </c>
      <c r="BZ112" s="259">
        <v>0.1</v>
      </c>
      <c r="CA112" s="259">
        <v>0.1</v>
      </c>
      <c r="CB112" s="259">
        <v>0.1</v>
      </c>
      <c r="CC112" s="259">
        <v>0.1</v>
      </c>
      <c r="CD112" s="259">
        <v>0.1</v>
      </c>
      <c r="CE112" s="259">
        <v>0.1</v>
      </c>
      <c r="CF112" s="259">
        <v>0.1</v>
      </c>
      <c r="CG112" s="259">
        <v>0.1</v>
      </c>
      <c r="CH112" s="259">
        <v>0.1</v>
      </c>
      <c r="CI112" s="259">
        <v>0.1</v>
      </c>
      <c r="CJ112" s="259">
        <v>0.1</v>
      </c>
      <c r="CK112" s="259">
        <v>0.1</v>
      </c>
      <c r="CL112" s="259">
        <v>0.1</v>
      </c>
      <c r="CM112" s="259">
        <v>0.1</v>
      </c>
      <c r="CN112" s="259">
        <v>0.1</v>
      </c>
      <c r="CO112" s="259">
        <v>0.1</v>
      </c>
      <c r="CP112" s="259">
        <v>0.1</v>
      </c>
      <c r="CQ112" s="259">
        <v>0.1</v>
      </c>
      <c r="CR112" s="259">
        <v>0.1</v>
      </c>
      <c r="CS112" s="259">
        <v>0.1</v>
      </c>
      <c r="CT112" s="259">
        <v>0.1</v>
      </c>
      <c r="CU112" s="259">
        <v>0.1</v>
      </c>
      <c r="CV112" s="259">
        <v>0.1</v>
      </c>
      <c r="CW112" s="259">
        <v>0.1</v>
      </c>
      <c r="CX112" s="259">
        <v>0.1</v>
      </c>
      <c r="CY112" s="259">
        <v>0.1</v>
      </c>
      <c r="CZ112" s="259">
        <v>0.1</v>
      </c>
      <c r="DA112" s="259">
        <v>0.1</v>
      </c>
      <c r="DB112" s="259">
        <v>0.1</v>
      </c>
      <c r="DC112" s="259">
        <v>0.1</v>
      </c>
      <c r="DD112" s="259">
        <v>0.1</v>
      </c>
      <c r="DE112" s="259">
        <v>0.1</v>
      </c>
      <c r="DF112" s="259">
        <v>0.1</v>
      </c>
      <c r="DG112" s="259">
        <v>0.1</v>
      </c>
      <c r="DH112" s="259">
        <v>0.1</v>
      </c>
      <c r="DI112" s="259">
        <v>0.1</v>
      </c>
      <c r="DJ112" s="259">
        <v>0.1</v>
      </c>
      <c r="DK112" s="259">
        <v>0.1</v>
      </c>
      <c r="DL112" s="259">
        <v>0.1</v>
      </c>
      <c r="DM112" s="260">
        <v>0.1</v>
      </c>
      <c r="DN112" s="258">
        <v>0.1</v>
      </c>
      <c r="DO112" s="259">
        <v>0.1</v>
      </c>
      <c r="DP112" s="259">
        <v>0.1</v>
      </c>
      <c r="DQ112" s="259">
        <v>0.1</v>
      </c>
      <c r="DR112" s="259">
        <v>0.1</v>
      </c>
      <c r="DS112" s="259">
        <v>0.1</v>
      </c>
      <c r="DT112" s="259">
        <v>0.1</v>
      </c>
      <c r="DU112" s="259">
        <v>0.1</v>
      </c>
      <c r="DV112" s="259">
        <v>0.1</v>
      </c>
      <c r="DW112" s="259">
        <v>0.1</v>
      </c>
      <c r="DX112" s="259">
        <v>0.1</v>
      </c>
      <c r="DY112" s="259">
        <v>0.1</v>
      </c>
      <c r="DZ112" s="259">
        <v>0.1</v>
      </c>
      <c r="EA112" s="259">
        <v>0.1</v>
      </c>
      <c r="EB112" s="259">
        <v>0.1</v>
      </c>
      <c r="EC112" s="259">
        <v>0.1</v>
      </c>
      <c r="ED112" s="259">
        <v>0.1</v>
      </c>
      <c r="EE112" s="260">
        <v>0.1</v>
      </c>
      <c r="EF112">
        <v>0.1</v>
      </c>
      <c r="EG112">
        <f>SUM(EF112)</f>
        <v>0.1</v>
      </c>
      <c r="EJ112">
        <v>109</v>
      </c>
      <c r="EN112">
        <v>0.1</v>
      </c>
      <c r="EO112">
        <v>0.1</v>
      </c>
      <c r="EP112">
        <v>0.1</v>
      </c>
      <c r="EQ112">
        <v>0.1</v>
      </c>
      <c r="ER112">
        <v>0.1</v>
      </c>
      <c r="ES112">
        <v>0.1</v>
      </c>
      <c r="ET112">
        <v>0.1</v>
      </c>
      <c r="EU112">
        <v>0.1</v>
      </c>
      <c r="EV112">
        <v>0.1</v>
      </c>
      <c r="EW112">
        <v>0.1</v>
      </c>
      <c r="EX112">
        <v>0.1</v>
      </c>
      <c r="EY112">
        <v>0.1</v>
      </c>
      <c r="EZ112">
        <v>0.1</v>
      </c>
      <c r="FA112">
        <v>0.1</v>
      </c>
      <c r="FB112">
        <v>0.1</v>
      </c>
      <c r="FC112">
        <v>0.1</v>
      </c>
      <c r="FD112">
        <v>0.1</v>
      </c>
      <c r="FE112">
        <v>0.1</v>
      </c>
      <c r="FF112">
        <v>0.1</v>
      </c>
      <c r="FG112">
        <v>0.1</v>
      </c>
      <c r="FH112">
        <v>0.1</v>
      </c>
      <c r="FI112">
        <v>0.1</v>
      </c>
      <c r="FJ112">
        <v>0.1</v>
      </c>
      <c r="FK112">
        <v>0.1</v>
      </c>
      <c r="FL112">
        <v>0.1</v>
      </c>
      <c r="FM112">
        <v>0.1</v>
      </c>
      <c r="FN112">
        <v>0.1</v>
      </c>
      <c r="FO112">
        <v>0.1</v>
      </c>
      <c r="FP112">
        <v>0.1</v>
      </c>
      <c r="FQ112">
        <v>0.1</v>
      </c>
      <c r="FU112">
        <v>109</v>
      </c>
      <c r="GB112">
        <v>0.1</v>
      </c>
      <c r="GC112">
        <v>0.1</v>
      </c>
      <c r="GD112">
        <v>0.1</v>
      </c>
      <c r="GE112">
        <v>0.1</v>
      </c>
      <c r="GF112">
        <v>0.1</v>
      </c>
      <c r="GG112">
        <v>0.1</v>
      </c>
      <c r="GH112">
        <v>0.1</v>
      </c>
      <c r="GI112">
        <v>0.1</v>
      </c>
      <c r="GJ112">
        <v>0.1</v>
      </c>
      <c r="GK112">
        <v>0.1</v>
      </c>
      <c r="GL112">
        <v>0.1</v>
      </c>
      <c r="GM112">
        <v>0.1</v>
      </c>
      <c r="GN112">
        <v>0.1</v>
      </c>
      <c r="GO112">
        <v>0.1</v>
      </c>
      <c r="GP112">
        <v>0.1</v>
      </c>
      <c r="GQ112">
        <v>0.1</v>
      </c>
      <c r="GR112">
        <v>0.1</v>
      </c>
      <c r="GS112">
        <v>0.1</v>
      </c>
      <c r="GT112">
        <v>0.1</v>
      </c>
      <c r="GU112">
        <v>0.1</v>
      </c>
      <c r="GV112">
        <v>0.1</v>
      </c>
      <c r="GW112">
        <v>0.1</v>
      </c>
      <c r="GX112">
        <v>0.1</v>
      </c>
      <c r="GY112">
        <v>0.1</v>
      </c>
      <c r="GZ112">
        <v>0.1</v>
      </c>
      <c r="HA112">
        <v>0.1</v>
      </c>
      <c r="HB112">
        <v>0.1</v>
      </c>
      <c r="HC112">
        <v>0.1</v>
      </c>
      <c r="HD112">
        <v>0.1</v>
      </c>
      <c r="HE112">
        <v>0.1</v>
      </c>
      <c r="HF112">
        <v>0.1</v>
      </c>
      <c r="HG112">
        <v>0.1</v>
      </c>
      <c r="HH112">
        <v>0.1</v>
      </c>
      <c r="HI112">
        <v>0.1</v>
      </c>
      <c r="HJ112">
        <v>0.1</v>
      </c>
      <c r="HK112">
        <v>0.1</v>
      </c>
      <c r="HL112">
        <v>0.1</v>
      </c>
      <c r="HM112">
        <v>0.1</v>
      </c>
      <c r="HN112">
        <v>0.1</v>
      </c>
      <c r="HO112">
        <v>0.1</v>
      </c>
    </row>
    <row r="113" spans="1:223" ht="15.75" thickBot="1" x14ac:dyDescent="0.3">
      <c r="A113">
        <v>110</v>
      </c>
      <c r="B113" s="269">
        <v>3.55</v>
      </c>
      <c r="C113" s="269">
        <v>1.92</v>
      </c>
      <c r="D113" s="2"/>
      <c r="E113" s="2"/>
      <c r="F113" s="2"/>
      <c r="G113" s="2"/>
      <c r="H113" s="258">
        <v>0.1</v>
      </c>
      <c r="I113" s="259">
        <v>0.1</v>
      </c>
      <c r="J113" s="259">
        <v>0.1</v>
      </c>
      <c r="K113" s="259">
        <v>0.1</v>
      </c>
      <c r="L113" s="259">
        <v>0.1</v>
      </c>
      <c r="M113" s="259">
        <v>0.1</v>
      </c>
      <c r="N113" s="259">
        <v>0.1</v>
      </c>
      <c r="O113" s="259">
        <v>0.1</v>
      </c>
      <c r="P113" s="259">
        <v>0.1</v>
      </c>
      <c r="Q113" s="259">
        <v>0.1</v>
      </c>
      <c r="R113" s="259">
        <v>0.1</v>
      </c>
      <c r="S113" s="259">
        <v>0.1</v>
      </c>
      <c r="T113" s="259">
        <v>0.1</v>
      </c>
      <c r="U113" s="259">
        <v>0.1</v>
      </c>
      <c r="V113" s="259">
        <v>0.1</v>
      </c>
      <c r="W113" s="259">
        <v>0.1</v>
      </c>
      <c r="X113" s="259">
        <v>0.1</v>
      </c>
      <c r="Y113" s="259">
        <v>0.1</v>
      </c>
      <c r="Z113" s="259">
        <v>0.1</v>
      </c>
      <c r="AA113" s="259">
        <v>0.1</v>
      </c>
      <c r="AB113" s="259">
        <v>0.1</v>
      </c>
      <c r="AC113" s="259">
        <v>0.1</v>
      </c>
      <c r="AD113" s="259">
        <v>0.1</v>
      </c>
      <c r="AE113" s="259">
        <v>0.1</v>
      </c>
      <c r="AF113" s="259">
        <v>0.1</v>
      </c>
      <c r="AG113" s="259">
        <v>0.1</v>
      </c>
      <c r="AH113" s="259">
        <v>0.1</v>
      </c>
      <c r="AI113" s="259">
        <v>0.1</v>
      </c>
      <c r="AJ113" s="259">
        <v>0.1</v>
      </c>
      <c r="AK113" s="259">
        <v>0.1</v>
      </c>
      <c r="AL113" s="259">
        <v>0.1</v>
      </c>
      <c r="AM113" s="259">
        <v>0.1</v>
      </c>
      <c r="AN113" s="259">
        <v>0.1</v>
      </c>
      <c r="AO113" s="259">
        <v>0.1</v>
      </c>
      <c r="AP113" s="259">
        <v>0.1</v>
      </c>
      <c r="AQ113" s="260">
        <v>0.1</v>
      </c>
      <c r="AR113" s="258">
        <v>0.1</v>
      </c>
      <c r="AS113" s="259">
        <v>0.1</v>
      </c>
      <c r="AT113" s="259">
        <v>0.1</v>
      </c>
      <c r="AU113" s="259">
        <v>0.1</v>
      </c>
      <c r="AV113" s="259">
        <v>0.1</v>
      </c>
      <c r="AW113" s="259">
        <v>0.1</v>
      </c>
      <c r="AX113" s="259">
        <v>0.1</v>
      </c>
      <c r="AY113" s="259">
        <v>0.1</v>
      </c>
      <c r="AZ113" s="259">
        <v>0.1</v>
      </c>
      <c r="BA113" s="259">
        <v>0.1</v>
      </c>
      <c r="BB113" s="259">
        <v>0.1</v>
      </c>
      <c r="BC113" s="259">
        <v>0.1</v>
      </c>
      <c r="BD113" s="259">
        <v>0.1</v>
      </c>
      <c r="BE113" s="259">
        <v>0.1</v>
      </c>
      <c r="BF113" s="259">
        <v>0.1</v>
      </c>
      <c r="BG113" s="259">
        <v>0.1</v>
      </c>
      <c r="BH113" s="259">
        <v>0.1</v>
      </c>
      <c r="BI113" s="259">
        <v>0.1</v>
      </c>
      <c r="BJ113" s="259">
        <v>0.1</v>
      </c>
      <c r="BK113" s="260">
        <v>0.1</v>
      </c>
      <c r="BL113">
        <v>0.1</v>
      </c>
      <c r="BM113">
        <v>0.1</v>
      </c>
      <c r="BN113">
        <v>0.1</v>
      </c>
      <c r="BO113">
        <v>0.1</v>
      </c>
      <c r="BP113">
        <f t="shared" si="6"/>
        <v>0.4</v>
      </c>
      <c r="BS113">
        <v>110</v>
      </c>
      <c r="BT113" s="270">
        <v>4.05</v>
      </c>
      <c r="BU113" s="271">
        <v>1.78</v>
      </c>
      <c r="BV113" s="2"/>
      <c r="BX113" s="2"/>
      <c r="BY113" s="258">
        <v>0.1</v>
      </c>
      <c r="BZ113" s="259">
        <v>0.1</v>
      </c>
      <c r="CA113" s="259">
        <v>0.1</v>
      </c>
      <c r="CB113" s="259">
        <v>0.1</v>
      </c>
      <c r="CC113" s="259">
        <v>0.1</v>
      </c>
      <c r="CD113" s="259">
        <v>0.1</v>
      </c>
      <c r="CE113" s="259">
        <v>0.1</v>
      </c>
      <c r="CF113" s="259">
        <v>0.1</v>
      </c>
      <c r="CG113" s="259">
        <v>0.1</v>
      </c>
      <c r="CH113" s="259">
        <v>0.1</v>
      </c>
      <c r="CI113" s="259">
        <v>0.1</v>
      </c>
      <c r="CJ113" s="259">
        <v>0.1</v>
      </c>
      <c r="CK113" s="259">
        <v>0.1</v>
      </c>
      <c r="CL113" s="259">
        <v>0.1</v>
      </c>
      <c r="CM113" s="259">
        <v>0.1</v>
      </c>
      <c r="CN113" s="259">
        <v>0.1</v>
      </c>
      <c r="CO113" s="259">
        <v>0.1</v>
      </c>
      <c r="CP113" s="259">
        <v>0.1</v>
      </c>
      <c r="CQ113" s="259">
        <v>0.1</v>
      </c>
      <c r="CR113" s="259">
        <v>0.1</v>
      </c>
      <c r="CS113" s="259">
        <v>0.1</v>
      </c>
      <c r="CT113" s="259">
        <v>0.1</v>
      </c>
      <c r="CU113" s="259">
        <v>0.1</v>
      </c>
      <c r="CV113" s="259">
        <v>0.1</v>
      </c>
      <c r="CW113" s="259">
        <v>0.1</v>
      </c>
      <c r="CX113" s="259">
        <v>0.1</v>
      </c>
      <c r="CY113" s="259">
        <v>0.1</v>
      </c>
      <c r="CZ113" s="259">
        <v>0.1</v>
      </c>
      <c r="DA113" s="259">
        <v>0.1</v>
      </c>
      <c r="DB113" s="259">
        <v>0.1</v>
      </c>
      <c r="DC113" s="259">
        <v>0.1</v>
      </c>
      <c r="DD113" s="259">
        <v>0.1</v>
      </c>
      <c r="DE113" s="259">
        <v>0.1</v>
      </c>
      <c r="DF113" s="259">
        <v>0.1</v>
      </c>
      <c r="DG113" s="259">
        <v>0.1</v>
      </c>
      <c r="DH113" s="259">
        <v>0.1</v>
      </c>
      <c r="DI113" s="259">
        <v>0.1</v>
      </c>
      <c r="DJ113" s="259">
        <v>0.1</v>
      </c>
      <c r="DK113" s="259">
        <v>0.1</v>
      </c>
      <c r="DL113" s="259">
        <v>0.1</v>
      </c>
      <c r="DM113" s="263">
        <v>0.1</v>
      </c>
      <c r="DN113" s="258">
        <v>0.1</v>
      </c>
      <c r="DO113" s="259">
        <v>0.1</v>
      </c>
      <c r="DP113" s="259">
        <v>0.1</v>
      </c>
      <c r="DQ113" s="259">
        <v>0.1</v>
      </c>
      <c r="DR113" s="259">
        <v>0.1</v>
      </c>
      <c r="DS113" s="259">
        <v>0.1</v>
      </c>
      <c r="DT113" s="259">
        <v>0.1</v>
      </c>
      <c r="DU113" s="259">
        <v>0.1</v>
      </c>
      <c r="DV113" s="259">
        <v>0.1</v>
      </c>
      <c r="DW113" s="259">
        <v>0.1</v>
      </c>
      <c r="DX113" s="259">
        <v>0.1</v>
      </c>
      <c r="DY113" s="259">
        <v>0.1</v>
      </c>
      <c r="DZ113" s="259">
        <v>0.1</v>
      </c>
      <c r="EA113" s="259">
        <v>0.1</v>
      </c>
      <c r="EB113" s="259">
        <v>0.1</v>
      </c>
      <c r="EC113" s="259">
        <v>0.1</v>
      </c>
      <c r="ED113" s="259">
        <v>0.1</v>
      </c>
      <c r="EE113" s="260">
        <v>0.1</v>
      </c>
      <c r="EF113">
        <v>0.1</v>
      </c>
      <c r="EG113">
        <f>SUM(EF113)</f>
        <v>0.1</v>
      </c>
      <c r="EJ113">
        <v>110</v>
      </c>
      <c r="EN113">
        <v>0.1</v>
      </c>
      <c r="EO113">
        <v>0.1</v>
      </c>
      <c r="EP113">
        <v>0.1</v>
      </c>
      <c r="EQ113">
        <v>0.1</v>
      </c>
      <c r="ER113">
        <v>0.1</v>
      </c>
      <c r="ES113">
        <v>0.1</v>
      </c>
      <c r="ET113">
        <v>0.1</v>
      </c>
      <c r="EU113">
        <v>0.1</v>
      </c>
      <c r="EV113">
        <v>0.1</v>
      </c>
      <c r="EW113">
        <v>0.1</v>
      </c>
      <c r="EX113">
        <v>0.1</v>
      </c>
      <c r="EY113">
        <v>0.1</v>
      </c>
      <c r="EZ113">
        <v>0.1</v>
      </c>
      <c r="FA113">
        <v>0.1</v>
      </c>
      <c r="FB113">
        <v>0.1</v>
      </c>
      <c r="FC113">
        <v>0.1</v>
      </c>
      <c r="FD113">
        <v>0.1</v>
      </c>
      <c r="FE113">
        <v>0.1</v>
      </c>
      <c r="FF113">
        <v>0.1</v>
      </c>
      <c r="FG113">
        <v>0.1</v>
      </c>
      <c r="FH113">
        <v>0.1</v>
      </c>
      <c r="FI113">
        <v>0.1</v>
      </c>
      <c r="FJ113">
        <v>0.1</v>
      </c>
      <c r="FK113">
        <v>0.1</v>
      </c>
      <c r="FL113">
        <v>0.1</v>
      </c>
      <c r="FM113">
        <v>0.1</v>
      </c>
      <c r="FN113">
        <v>0.1</v>
      </c>
      <c r="FO113">
        <v>0.1</v>
      </c>
      <c r="FP113">
        <v>0.1</v>
      </c>
      <c r="FQ113">
        <v>0.1</v>
      </c>
      <c r="FU113">
        <v>110</v>
      </c>
      <c r="GB113">
        <v>0.1</v>
      </c>
      <c r="GC113">
        <v>0.1</v>
      </c>
      <c r="GD113">
        <v>0.1</v>
      </c>
      <c r="GE113">
        <v>0.1</v>
      </c>
      <c r="GF113">
        <v>0.1</v>
      </c>
      <c r="GG113">
        <v>0.1</v>
      </c>
      <c r="GH113">
        <v>0.1</v>
      </c>
      <c r="GI113">
        <v>0.1</v>
      </c>
      <c r="GJ113">
        <v>0.1</v>
      </c>
      <c r="GK113">
        <v>0.1</v>
      </c>
      <c r="GL113">
        <v>0.1</v>
      </c>
      <c r="GM113">
        <v>0.1</v>
      </c>
      <c r="GN113">
        <v>0.1</v>
      </c>
      <c r="GO113">
        <v>0.1</v>
      </c>
      <c r="GP113">
        <v>0.1</v>
      </c>
      <c r="GQ113">
        <v>0.1</v>
      </c>
      <c r="GR113">
        <v>0.1</v>
      </c>
      <c r="GS113">
        <v>0.1</v>
      </c>
      <c r="GT113">
        <v>0.1</v>
      </c>
      <c r="GU113">
        <v>0.1</v>
      </c>
      <c r="GV113">
        <v>0.1</v>
      </c>
      <c r="GW113">
        <v>0.1</v>
      </c>
      <c r="GX113">
        <v>0.1</v>
      </c>
      <c r="GY113">
        <v>0.1</v>
      </c>
      <c r="GZ113">
        <v>0.1</v>
      </c>
      <c r="HA113">
        <v>0.1</v>
      </c>
      <c r="HB113">
        <v>0.1</v>
      </c>
      <c r="HC113">
        <v>0.1</v>
      </c>
      <c r="HD113">
        <v>0.1</v>
      </c>
      <c r="HE113">
        <v>0.1</v>
      </c>
      <c r="HF113">
        <v>0.1</v>
      </c>
      <c r="HG113">
        <v>0.1</v>
      </c>
      <c r="HH113">
        <v>0.1</v>
      </c>
      <c r="HI113">
        <v>0.1</v>
      </c>
      <c r="HJ113">
        <v>0.1</v>
      </c>
      <c r="HK113">
        <v>0.1</v>
      </c>
      <c r="HL113">
        <v>0.1</v>
      </c>
      <c r="HM113">
        <v>0.1</v>
      </c>
      <c r="HN113">
        <v>0.1</v>
      </c>
      <c r="HO113">
        <v>0.1</v>
      </c>
    </row>
    <row r="114" spans="1:223" ht="15.75" thickBot="1" x14ac:dyDescent="0.3">
      <c r="A114">
        <v>111</v>
      </c>
      <c r="B114" s="268">
        <v>3.55</v>
      </c>
      <c r="C114" s="268">
        <v>1.92</v>
      </c>
      <c r="D114" s="2"/>
      <c r="E114" s="2"/>
      <c r="F114" s="2"/>
      <c r="G114" s="2"/>
      <c r="H114" s="258">
        <v>0.1</v>
      </c>
      <c r="I114" s="259">
        <v>0.1</v>
      </c>
      <c r="J114" s="259">
        <v>0.1</v>
      </c>
      <c r="K114" s="259">
        <v>0.1</v>
      </c>
      <c r="L114" s="259">
        <v>0.1</v>
      </c>
      <c r="M114" s="259">
        <v>0.1</v>
      </c>
      <c r="N114" s="259">
        <v>0.1</v>
      </c>
      <c r="O114" s="259">
        <v>0.1</v>
      </c>
      <c r="P114" s="259">
        <v>0.1</v>
      </c>
      <c r="Q114" s="259">
        <v>0.1</v>
      </c>
      <c r="R114" s="259">
        <v>0.1</v>
      </c>
      <c r="S114" s="259">
        <v>0.1</v>
      </c>
      <c r="T114" s="259">
        <v>0.1</v>
      </c>
      <c r="U114" s="259">
        <v>0.1</v>
      </c>
      <c r="V114" s="259">
        <v>0.1</v>
      </c>
      <c r="W114" s="259">
        <v>0.1</v>
      </c>
      <c r="X114" s="259">
        <v>0.1</v>
      </c>
      <c r="Y114" s="259">
        <v>0.1</v>
      </c>
      <c r="Z114" s="259">
        <v>0.1</v>
      </c>
      <c r="AA114" s="259">
        <v>0.1</v>
      </c>
      <c r="AB114" s="259">
        <v>0.1</v>
      </c>
      <c r="AC114" s="259">
        <v>0.1</v>
      </c>
      <c r="AD114" s="259">
        <v>0.1</v>
      </c>
      <c r="AE114" s="259">
        <v>0.1</v>
      </c>
      <c r="AF114" s="259">
        <v>0.1</v>
      </c>
      <c r="AG114" s="259">
        <v>0.1</v>
      </c>
      <c r="AH114" s="259">
        <v>0.1</v>
      </c>
      <c r="AI114" s="259">
        <v>0.1</v>
      </c>
      <c r="AJ114" s="259">
        <v>0.1</v>
      </c>
      <c r="AK114" s="259">
        <v>0.1</v>
      </c>
      <c r="AL114" s="259">
        <v>0.1</v>
      </c>
      <c r="AM114" s="259">
        <v>0.1</v>
      </c>
      <c r="AN114" s="259">
        <v>0.1</v>
      </c>
      <c r="AO114" s="259">
        <v>0.1</v>
      </c>
      <c r="AP114" s="259">
        <v>0.1</v>
      </c>
      <c r="AQ114" s="260">
        <v>0.1</v>
      </c>
      <c r="AR114" s="258">
        <v>0.1</v>
      </c>
      <c r="AS114" s="259">
        <v>0.1</v>
      </c>
      <c r="AT114" s="259">
        <v>0.1</v>
      </c>
      <c r="AU114" s="259">
        <v>0.1</v>
      </c>
      <c r="AV114" s="259">
        <v>0.1</v>
      </c>
      <c r="AW114" s="259">
        <v>0.1</v>
      </c>
      <c r="AX114" s="259">
        <v>0.1</v>
      </c>
      <c r="AY114" s="259">
        <v>0.1</v>
      </c>
      <c r="AZ114" s="259">
        <v>0.1</v>
      </c>
      <c r="BA114" s="259">
        <v>0.1</v>
      </c>
      <c r="BB114" s="259">
        <v>0.1</v>
      </c>
      <c r="BC114" s="259">
        <v>0.1</v>
      </c>
      <c r="BD114" s="259">
        <v>0.1</v>
      </c>
      <c r="BE114" s="259">
        <v>0.1</v>
      </c>
      <c r="BF114" s="259">
        <v>0.1</v>
      </c>
      <c r="BG114" s="259">
        <v>0.1</v>
      </c>
      <c r="BH114" s="259">
        <v>0.1</v>
      </c>
      <c r="BI114" s="259">
        <v>0.1</v>
      </c>
      <c r="BJ114" s="259">
        <v>0.1</v>
      </c>
      <c r="BK114" s="260">
        <v>0.1</v>
      </c>
      <c r="BL114">
        <v>0.1</v>
      </c>
      <c r="BM114">
        <v>0.1</v>
      </c>
      <c r="BN114">
        <v>0.1</v>
      </c>
      <c r="BO114">
        <v>0.1</v>
      </c>
      <c r="BP114">
        <f t="shared" si="6"/>
        <v>0.4</v>
      </c>
      <c r="BS114">
        <v>111</v>
      </c>
      <c r="BT114" s="271">
        <v>4</v>
      </c>
      <c r="BU114" s="270">
        <v>1.79</v>
      </c>
      <c r="BV114" s="2"/>
      <c r="BX114" s="2"/>
      <c r="BY114" s="258">
        <v>0.1</v>
      </c>
      <c r="BZ114" s="259">
        <v>0.1</v>
      </c>
      <c r="CA114" s="259">
        <v>0.1</v>
      </c>
      <c r="CB114" s="259">
        <v>0.1</v>
      </c>
      <c r="CC114" s="259">
        <v>0.1</v>
      </c>
      <c r="CD114" s="259">
        <v>0.1</v>
      </c>
      <c r="CE114" s="259">
        <v>0.1</v>
      </c>
      <c r="CF114" s="259">
        <v>0.1</v>
      </c>
      <c r="CG114" s="259">
        <v>0.1</v>
      </c>
      <c r="CH114" s="259">
        <v>0.1</v>
      </c>
      <c r="CI114" s="259">
        <v>0.1</v>
      </c>
      <c r="CJ114" s="259">
        <v>0.1</v>
      </c>
      <c r="CK114" s="259">
        <v>0.1</v>
      </c>
      <c r="CL114" s="259">
        <v>0.1</v>
      </c>
      <c r="CM114" s="259">
        <v>0.1</v>
      </c>
      <c r="CN114" s="259">
        <v>0.1</v>
      </c>
      <c r="CO114" s="259">
        <v>0.1</v>
      </c>
      <c r="CP114" s="259">
        <v>0.1</v>
      </c>
      <c r="CQ114" s="259">
        <v>0.1</v>
      </c>
      <c r="CR114" s="259">
        <v>0.1</v>
      </c>
      <c r="CS114" s="259">
        <v>0.1</v>
      </c>
      <c r="CT114" s="259">
        <v>0.1</v>
      </c>
      <c r="CU114" s="259">
        <v>0.1</v>
      </c>
      <c r="CV114" s="259">
        <v>0.1</v>
      </c>
      <c r="CW114" s="259">
        <v>0.1</v>
      </c>
      <c r="CX114" s="259">
        <v>0.1</v>
      </c>
      <c r="CY114" s="259">
        <v>0.1</v>
      </c>
      <c r="CZ114" s="259">
        <v>0.1</v>
      </c>
      <c r="DA114" s="259">
        <v>0.1</v>
      </c>
      <c r="DB114" s="259">
        <v>0.1</v>
      </c>
      <c r="DC114" s="259">
        <v>0.1</v>
      </c>
      <c r="DD114" s="259">
        <v>0.1</v>
      </c>
      <c r="DE114" s="259">
        <v>0.1</v>
      </c>
      <c r="DF114" s="259">
        <v>0.1</v>
      </c>
      <c r="DG114" s="259">
        <v>0.1</v>
      </c>
      <c r="DH114" s="259">
        <v>0.1</v>
      </c>
      <c r="DI114" s="259">
        <v>0.1</v>
      </c>
      <c r="DJ114" s="259">
        <v>0.1</v>
      </c>
      <c r="DK114" s="259">
        <v>0.1</v>
      </c>
      <c r="DL114" s="260">
        <v>0.1</v>
      </c>
      <c r="DM114" s="258">
        <v>0.1</v>
      </c>
      <c r="DN114" s="259">
        <v>0.1</v>
      </c>
      <c r="DO114" s="259">
        <v>0.1</v>
      </c>
      <c r="DP114" s="259">
        <v>0.1</v>
      </c>
      <c r="DQ114" s="259">
        <v>0.1</v>
      </c>
      <c r="DR114" s="259">
        <v>0.1</v>
      </c>
      <c r="DS114" s="259">
        <v>0.1</v>
      </c>
      <c r="DT114" s="259">
        <v>0.1</v>
      </c>
      <c r="DU114" s="259">
        <v>0.1</v>
      </c>
      <c r="DV114" s="259">
        <v>0.1</v>
      </c>
      <c r="DW114" s="259">
        <v>0.1</v>
      </c>
      <c r="DX114" s="259">
        <v>0.1</v>
      </c>
      <c r="DY114" s="259">
        <v>0.1</v>
      </c>
      <c r="DZ114" s="259">
        <v>0.1</v>
      </c>
      <c r="EA114" s="259">
        <v>0.1</v>
      </c>
      <c r="EB114" s="259">
        <v>0.1</v>
      </c>
      <c r="EC114" s="259">
        <v>0.1</v>
      </c>
      <c r="ED114" s="260">
        <v>0.1</v>
      </c>
      <c r="EE114">
        <v>0.1</v>
      </c>
      <c r="EF114">
        <v>0.1</v>
      </c>
      <c r="EG114">
        <f>SUM(EE114:EF114)</f>
        <v>0.2</v>
      </c>
      <c r="EJ114">
        <v>111</v>
      </c>
      <c r="EN114">
        <v>0.1</v>
      </c>
      <c r="EO114">
        <v>0.1</v>
      </c>
      <c r="EP114">
        <v>0.1</v>
      </c>
      <c r="EQ114">
        <v>0.1</v>
      </c>
      <c r="ER114">
        <v>0.1</v>
      </c>
      <c r="ES114">
        <v>0.1</v>
      </c>
      <c r="ET114">
        <v>0.1</v>
      </c>
      <c r="EU114">
        <v>0.1</v>
      </c>
      <c r="EV114">
        <v>0.1</v>
      </c>
      <c r="EW114">
        <v>0.1</v>
      </c>
      <c r="EX114">
        <v>0.1</v>
      </c>
      <c r="EY114">
        <v>0.1</v>
      </c>
      <c r="EZ114">
        <v>0.1</v>
      </c>
      <c r="FA114">
        <v>0.1</v>
      </c>
      <c r="FB114">
        <v>0.1</v>
      </c>
      <c r="FC114">
        <v>0.1</v>
      </c>
      <c r="FD114">
        <v>0.1</v>
      </c>
      <c r="FE114">
        <v>0.1</v>
      </c>
      <c r="FF114">
        <v>0.1</v>
      </c>
      <c r="FG114">
        <v>0.1</v>
      </c>
      <c r="FH114">
        <v>0.1</v>
      </c>
      <c r="FI114">
        <v>0.1</v>
      </c>
      <c r="FJ114">
        <v>0.1</v>
      </c>
      <c r="FK114">
        <v>0.1</v>
      </c>
      <c r="FL114">
        <v>0.1</v>
      </c>
      <c r="FM114">
        <v>0.1</v>
      </c>
      <c r="FN114">
        <v>0.1</v>
      </c>
      <c r="FO114">
        <v>0.1</v>
      </c>
      <c r="FP114">
        <v>0.1</v>
      </c>
      <c r="FQ114">
        <v>0.1</v>
      </c>
      <c r="FU114">
        <v>111</v>
      </c>
      <c r="GB114">
        <v>0.1</v>
      </c>
      <c r="GC114">
        <v>0.1</v>
      </c>
      <c r="GD114">
        <v>0.1</v>
      </c>
      <c r="GE114">
        <v>0.1</v>
      </c>
      <c r="GF114">
        <v>0.1</v>
      </c>
      <c r="GG114">
        <v>0.1</v>
      </c>
      <c r="GH114">
        <v>0.1</v>
      </c>
      <c r="GI114">
        <v>0.1</v>
      </c>
      <c r="GJ114">
        <v>0.1</v>
      </c>
      <c r="GK114">
        <v>0.1</v>
      </c>
      <c r="GL114">
        <v>0.1</v>
      </c>
      <c r="GM114">
        <v>0.1</v>
      </c>
      <c r="GN114">
        <v>0.1</v>
      </c>
      <c r="GO114">
        <v>0.1</v>
      </c>
      <c r="GP114">
        <v>0.1</v>
      </c>
      <c r="GQ114">
        <v>0.1</v>
      </c>
      <c r="GR114">
        <v>0.1</v>
      </c>
      <c r="GS114">
        <v>0.1</v>
      </c>
      <c r="GT114">
        <v>0.1</v>
      </c>
      <c r="GU114">
        <v>0.1</v>
      </c>
      <c r="GV114">
        <v>0.1</v>
      </c>
      <c r="GW114">
        <v>0.1</v>
      </c>
      <c r="GX114">
        <v>0.1</v>
      </c>
      <c r="GY114">
        <v>0.1</v>
      </c>
      <c r="GZ114">
        <v>0.1</v>
      </c>
      <c r="HA114">
        <v>0.1</v>
      </c>
      <c r="HB114">
        <v>0.1</v>
      </c>
      <c r="HC114">
        <v>0.1</v>
      </c>
      <c r="HD114">
        <v>0.1</v>
      </c>
      <c r="HE114">
        <v>0.1</v>
      </c>
      <c r="HF114">
        <v>0.1</v>
      </c>
      <c r="HG114">
        <v>0.1</v>
      </c>
      <c r="HH114">
        <v>0.1</v>
      </c>
      <c r="HI114">
        <v>0.1</v>
      </c>
      <c r="HJ114">
        <v>0.1</v>
      </c>
      <c r="HK114">
        <v>0.1</v>
      </c>
      <c r="HL114">
        <v>0.1</v>
      </c>
      <c r="HM114">
        <v>0.1</v>
      </c>
      <c r="HN114">
        <v>0.1</v>
      </c>
      <c r="HO114">
        <v>0.1</v>
      </c>
    </row>
    <row r="115" spans="1:223" ht="15.75" thickBot="1" x14ac:dyDescent="0.3">
      <c r="A115">
        <v>112</v>
      </c>
      <c r="B115" s="269">
        <v>3.55</v>
      </c>
      <c r="C115" s="269">
        <v>1.92</v>
      </c>
      <c r="D115" s="2"/>
      <c r="E115" s="2"/>
      <c r="F115" s="2"/>
      <c r="G115" s="2"/>
      <c r="H115" s="258">
        <v>0.1</v>
      </c>
      <c r="I115" s="259">
        <v>0.1</v>
      </c>
      <c r="J115" s="259">
        <v>0.1</v>
      </c>
      <c r="K115" s="259">
        <v>0.1</v>
      </c>
      <c r="L115" s="259">
        <v>0.1</v>
      </c>
      <c r="M115" s="259">
        <v>0.1</v>
      </c>
      <c r="N115" s="259">
        <v>0.1</v>
      </c>
      <c r="O115" s="259">
        <v>0.1</v>
      </c>
      <c r="P115" s="259">
        <v>0.1</v>
      </c>
      <c r="Q115" s="259">
        <v>0.1</v>
      </c>
      <c r="R115" s="259">
        <v>0.1</v>
      </c>
      <c r="S115" s="259">
        <v>0.1</v>
      </c>
      <c r="T115" s="259">
        <v>0.1</v>
      </c>
      <c r="U115" s="259">
        <v>0.1</v>
      </c>
      <c r="V115" s="259">
        <v>0.1</v>
      </c>
      <c r="W115" s="259">
        <v>0.1</v>
      </c>
      <c r="X115" s="259">
        <v>0.1</v>
      </c>
      <c r="Y115" s="259">
        <v>0.1</v>
      </c>
      <c r="Z115" s="259">
        <v>0.1</v>
      </c>
      <c r="AA115" s="259">
        <v>0.1</v>
      </c>
      <c r="AB115" s="259">
        <v>0.1</v>
      </c>
      <c r="AC115" s="259">
        <v>0.1</v>
      </c>
      <c r="AD115" s="259">
        <v>0.1</v>
      </c>
      <c r="AE115" s="259">
        <v>0.1</v>
      </c>
      <c r="AF115" s="259">
        <v>0.1</v>
      </c>
      <c r="AG115" s="259">
        <v>0.1</v>
      </c>
      <c r="AH115" s="259">
        <v>0.1</v>
      </c>
      <c r="AI115" s="259">
        <v>0.1</v>
      </c>
      <c r="AJ115" s="259">
        <v>0.1</v>
      </c>
      <c r="AK115" s="259">
        <v>0.1</v>
      </c>
      <c r="AL115" s="259">
        <v>0.1</v>
      </c>
      <c r="AM115" s="259">
        <v>0.1</v>
      </c>
      <c r="AN115" s="259">
        <v>0.1</v>
      </c>
      <c r="AO115" s="259">
        <v>0.1</v>
      </c>
      <c r="AP115" s="259">
        <v>0.1</v>
      </c>
      <c r="AQ115" s="260">
        <v>0.1</v>
      </c>
      <c r="AR115" s="258">
        <v>0.1</v>
      </c>
      <c r="AS115" s="259">
        <v>0.1</v>
      </c>
      <c r="AT115" s="259">
        <v>0.1</v>
      </c>
      <c r="AU115" s="259">
        <v>0.1</v>
      </c>
      <c r="AV115" s="259">
        <v>0.1</v>
      </c>
      <c r="AW115" s="259">
        <v>0.1</v>
      </c>
      <c r="AX115" s="259">
        <v>0.1</v>
      </c>
      <c r="AY115" s="259">
        <v>0.1</v>
      </c>
      <c r="AZ115" s="259">
        <v>0.1</v>
      </c>
      <c r="BA115" s="259">
        <v>0.1</v>
      </c>
      <c r="BB115" s="259">
        <v>0.1</v>
      </c>
      <c r="BC115" s="259">
        <v>0.1</v>
      </c>
      <c r="BD115" s="259">
        <v>0.1</v>
      </c>
      <c r="BE115" s="259">
        <v>0.1</v>
      </c>
      <c r="BF115" s="259">
        <v>0.1</v>
      </c>
      <c r="BG115" s="259">
        <v>0.1</v>
      </c>
      <c r="BH115" s="259">
        <v>0.1</v>
      </c>
      <c r="BI115" s="259">
        <v>0.1</v>
      </c>
      <c r="BJ115" s="259">
        <v>0.1</v>
      </c>
      <c r="BK115" s="260">
        <v>0.1</v>
      </c>
      <c r="BL115">
        <v>0.1</v>
      </c>
      <c r="BM115">
        <v>0.1</v>
      </c>
      <c r="BN115">
        <v>0.1</v>
      </c>
      <c r="BO115">
        <v>0.1</v>
      </c>
      <c r="BP115">
        <f t="shared" si="6"/>
        <v>0.4</v>
      </c>
      <c r="BS115">
        <v>112</v>
      </c>
      <c r="BT115" s="270">
        <v>4</v>
      </c>
      <c r="BU115" s="271">
        <v>1.81</v>
      </c>
      <c r="BV115" s="2"/>
      <c r="BX115" s="2"/>
      <c r="BY115" s="258">
        <v>0.1</v>
      </c>
      <c r="BZ115" s="259">
        <v>0.1</v>
      </c>
      <c r="CA115" s="259">
        <v>0.1</v>
      </c>
      <c r="CB115" s="259">
        <v>0.1</v>
      </c>
      <c r="CC115" s="259">
        <v>0.1</v>
      </c>
      <c r="CD115" s="259">
        <v>0.1</v>
      </c>
      <c r="CE115" s="259">
        <v>0.1</v>
      </c>
      <c r="CF115" s="259">
        <v>0.1</v>
      </c>
      <c r="CG115" s="259">
        <v>0.1</v>
      </c>
      <c r="CH115" s="259">
        <v>0.1</v>
      </c>
      <c r="CI115" s="259">
        <v>0.1</v>
      </c>
      <c r="CJ115" s="259">
        <v>0.1</v>
      </c>
      <c r="CK115" s="259">
        <v>0.1</v>
      </c>
      <c r="CL115" s="259">
        <v>0.1</v>
      </c>
      <c r="CM115" s="259">
        <v>0.1</v>
      </c>
      <c r="CN115" s="259">
        <v>0.1</v>
      </c>
      <c r="CO115" s="259">
        <v>0.1</v>
      </c>
      <c r="CP115" s="259">
        <v>0.1</v>
      </c>
      <c r="CQ115" s="259">
        <v>0.1</v>
      </c>
      <c r="CR115" s="259">
        <v>0.1</v>
      </c>
      <c r="CS115" s="259">
        <v>0.1</v>
      </c>
      <c r="CT115" s="259">
        <v>0.1</v>
      </c>
      <c r="CU115" s="259">
        <v>0.1</v>
      </c>
      <c r="CV115" s="259">
        <v>0.1</v>
      </c>
      <c r="CW115" s="259">
        <v>0.1</v>
      </c>
      <c r="CX115" s="259">
        <v>0.1</v>
      </c>
      <c r="CY115" s="259">
        <v>0.1</v>
      </c>
      <c r="CZ115" s="259">
        <v>0.1</v>
      </c>
      <c r="DA115" s="259">
        <v>0.1</v>
      </c>
      <c r="DB115" s="259">
        <v>0.1</v>
      </c>
      <c r="DC115" s="259">
        <v>0.1</v>
      </c>
      <c r="DD115" s="259">
        <v>0.1</v>
      </c>
      <c r="DE115" s="259">
        <v>0.1</v>
      </c>
      <c r="DF115" s="259">
        <v>0.1</v>
      </c>
      <c r="DG115" s="259">
        <v>0.1</v>
      </c>
      <c r="DH115" s="259">
        <v>0.1</v>
      </c>
      <c r="DI115" s="259">
        <v>0.1</v>
      </c>
      <c r="DJ115" s="259">
        <v>0.1</v>
      </c>
      <c r="DK115" s="259">
        <v>0.1</v>
      </c>
      <c r="DL115" s="260">
        <v>0.1</v>
      </c>
      <c r="DM115" s="258">
        <v>0.1</v>
      </c>
      <c r="DN115" s="259">
        <v>0.1</v>
      </c>
      <c r="DO115" s="259">
        <v>0.1</v>
      </c>
      <c r="DP115" s="259">
        <v>0.1</v>
      </c>
      <c r="DQ115" s="259">
        <v>0.1</v>
      </c>
      <c r="DR115" s="259">
        <v>0.1</v>
      </c>
      <c r="DS115" s="259">
        <v>0.1</v>
      </c>
      <c r="DT115" s="259">
        <v>0.1</v>
      </c>
      <c r="DU115" s="259">
        <v>0.1</v>
      </c>
      <c r="DV115" s="259">
        <v>0.1</v>
      </c>
      <c r="DW115" s="259">
        <v>0.1</v>
      </c>
      <c r="DX115" s="259">
        <v>0.1</v>
      </c>
      <c r="DY115" s="259">
        <v>0.1</v>
      </c>
      <c r="DZ115" s="259">
        <v>0.1</v>
      </c>
      <c r="EA115" s="259">
        <v>0.1</v>
      </c>
      <c r="EB115" s="259">
        <v>0.1</v>
      </c>
      <c r="EC115" s="259">
        <v>0.1</v>
      </c>
      <c r="ED115" s="259">
        <v>0.1</v>
      </c>
      <c r="EE115" s="260">
        <v>0.1</v>
      </c>
      <c r="EF115">
        <v>0.1</v>
      </c>
      <c r="EG115">
        <f t="shared" ref="EG115:EG123" si="7">SUM(EF115)</f>
        <v>0.1</v>
      </c>
      <c r="EJ115">
        <v>112</v>
      </c>
      <c r="EN115">
        <v>0.1</v>
      </c>
      <c r="EO115">
        <v>0.1</v>
      </c>
      <c r="EP115">
        <v>0.1</v>
      </c>
      <c r="EQ115">
        <v>0.1</v>
      </c>
      <c r="ER115">
        <v>0.1</v>
      </c>
      <c r="ES115">
        <v>0.1</v>
      </c>
      <c r="ET115">
        <v>0.1</v>
      </c>
      <c r="EU115">
        <v>0.1</v>
      </c>
      <c r="EV115">
        <v>0.1</v>
      </c>
      <c r="EW115">
        <v>0.1</v>
      </c>
      <c r="EX115">
        <v>0.1</v>
      </c>
      <c r="EY115">
        <v>0.1</v>
      </c>
      <c r="EZ115">
        <v>0.1</v>
      </c>
      <c r="FA115">
        <v>0.1</v>
      </c>
      <c r="FB115">
        <v>0.1</v>
      </c>
      <c r="FC115">
        <v>0.1</v>
      </c>
      <c r="FD115">
        <v>0.1</v>
      </c>
      <c r="FE115">
        <v>0.1</v>
      </c>
      <c r="FF115">
        <v>0.1</v>
      </c>
      <c r="FG115">
        <v>0.1</v>
      </c>
      <c r="FH115">
        <v>0.1</v>
      </c>
      <c r="FI115">
        <v>0.1</v>
      </c>
      <c r="FJ115">
        <v>0.1</v>
      </c>
      <c r="FK115">
        <v>0.1</v>
      </c>
      <c r="FL115">
        <v>0.1</v>
      </c>
      <c r="FM115">
        <v>0.1</v>
      </c>
      <c r="FN115">
        <v>0.1</v>
      </c>
      <c r="FO115">
        <v>0.1</v>
      </c>
      <c r="FP115">
        <v>0.1</v>
      </c>
      <c r="FQ115">
        <v>0.1</v>
      </c>
      <c r="FU115">
        <v>112</v>
      </c>
      <c r="GB115">
        <v>0.1</v>
      </c>
      <c r="GC115">
        <v>0.1</v>
      </c>
      <c r="GD115">
        <v>0.1</v>
      </c>
      <c r="GE115">
        <v>0.1</v>
      </c>
      <c r="GF115">
        <v>0.1</v>
      </c>
      <c r="GG115">
        <v>0.1</v>
      </c>
      <c r="GH115">
        <v>0.1</v>
      </c>
      <c r="GI115">
        <v>0.1</v>
      </c>
      <c r="GJ115">
        <v>0.1</v>
      </c>
      <c r="GK115">
        <v>0.1</v>
      </c>
      <c r="GL115">
        <v>0.1</v>
      </c>
      <c r="GM115">
        <v>0.1</v>
      </c>
      <c r="GN115">
        <v>0.1</v>
      </c>
      <c r="GO115">
        <v>0.1</v>
      </c>
      <c r="GP115">
        <v>0.1</v>
      </c>
      <c r="GQ115">
        <v>0.1</v>
      </c>
      <c r="GR115">
        <v>0.1</v>
      </c>
      <c r="GS115">
        <v>0.1</v>
      </c>
      <c r="GT115">
        <v>0.1</v>
      </c>
      <c r="GU115">
        <v>0.1</v>
      </c>
      <c r="GV115">
        <v>0.1</v>
      </c>
      <c r="GW115">
        <v>0.1</v>
      </c>
      <c r="GX115">
        <v>0.1</v>
      </c>
      <c r="GY115">
        <v>0.1</v>
      </c>
      <c r="GZ115">
        <v>0.1</v>
      </c>
      <c r="HA115">
        <v>0.1</v>
      </c>
      <c r="HB115">
        <v>0.1</v>
      </c>
      <c r="HC115">
        <v>0.1</v>
      </c>
      <c r="HD115">
        <v>0.1</v>
      </c>
      <c r="HE115">
        <v>0.1</v>
      </c>
      <c r="HF115">
        <v>0.1</v>
      </c>
      <c r="HG115">
        <v>0.1</v>
      </c>
      <c r="HH115">
        <v>0.1</v>
      </c>
      <c r="HI115">
        <v>0.1</v>
      </c>
      <c r="HJ115">
        <v>0.1</v>
      </c>
      <c r="HK115">
        <v>0.1</v>
      </c>
      <c r="HL115">
        <v>0.1</v>
      </c>
      <c r="HM115">
        <v>0.1</v>
      </c>
      <c r="HN115">
        <v>0.1</v>
      </c>
      <c r="HO115">
        <v>0.1</v>
      </c>
    </row>
    <row r="116" spans="1:223" ht="15.75" thickBot="1" x14ac:dyDescent="0.3">
      <c r="A116">
        <v>113</v>
      </c>
      <c r="B116" s="268">
        <v>3.55</v>
      </c>
      <c r="C116" s="268">
        <v>1.9</v>
      </c>
      <c r="D116" s="2"/>
      <c r="E116" s="2"/>
      <c r="F116" s="2"/>
      <c r="G116" s="2"/>
      <c r="H116" s="258">
        <v>0.1</v>
      </c>
      <c r="I116" s="259">
        <v>0.1</v>
      </c>
      <c r="J116" s="259">
        <v>0.1</v>
      </c>
      <c r="K116" s="259">
        <v>0.1</v>
      </c>
      <c r="L116" s="259">
        <v>0.1</v>
      </c>
      <c r="M116" s="259">
        <v>0.1</v>
      </c>
      <c r="N116" s="259">
        <v>0.1</v>
      </c>
      <c r="O116" s="259">
        <v>0.1</v>
      </c>
      <c r="P116" s="259">
        <v>0.1</v>
      </c>
      <c r="Q116" s="259">
        <v>0.1</v>
      </c>
      <c r="R116" s="259">
        <v>0.1</v>
      </c>
      <c r="S116" s="259">
        <v>0.1</v>
      </c>
      <c r="T116" s="259">
        <v>0.1</v>
      </c>
      <c r="U116" s="259">
        <v>0.1</v>
      </c>
      <c r="V116" s="259">
        <v>0.1</v>
      </c>
      <c r="W116" s="259">
        <v>0.1</v>
      </c>
      <c r="X116" s="259">
        <v>0.1</v>
      </c>
      <c r="Y116" s="259">
        <v>0.1</v>
      </c>
      <c r="Z116" s="259">
        <v>0.1</v>
      </c>
      <c r="AA116" s="259">
        <v>0.1</v>
      </c>
      <c r="AB116" s="259">
        <v>0.1</v>
      </c>
      <c r="AC116" s="259">
        <v>0.1</v>
      </c>
      <c r="AD116" s="259">
        <v>0.1</v>
      </c>
      <c r="AE116" s="259">
        <v>0.1</v>
      </c>
      <c r="AF116" s="259">
        <v>0.1</v>
      </c>
      <c r="AG116" s="259">
        <v>0.1</v>
      </c>
      <c r="AH116" s="259">
        <v>0.1</v>
      </c>
      <c r="AI116" s="259">
        <v>0.1</v>
      </c>
      <c r="AJ116" s="259">
        <v>0.1</v>
      </c>
      <c r="AK116" s="259">
        <v>0.1</v>
      </c>
      <c r="AL116" s="259">
        <v>0.1</v>
      </c>
      <c r="AM116" s="259">
        <v>0.1</v>
      </c>
      <c r="AN116" s="259">
        <v>0.1</v>
      </c>
      <c r="AO116" s="259">
        <v>0.1</v>
      </c>
      <c r="AP116" s="259">
        <v>0.1</v>
      </c>
      <c r="AQ116" s="260">
        <v>0.1</v>
      </c>
      <c r="AR116" s="266">
        <v>0.1</v>
      </c>
      <c r="AS116" s="264">
        <v>0.1</v>
      </c>
      <c r="AT116" s="264">
        <v>0.1</v>
      </c>
      <c r="AU116" s="264">
        <v>0.1</v>
      </c>
      <c r="AV116" s="264">
        <v>0.1</v>
      </c>
      <c r="AW116" s="264">
        <v>0.1</v>
      </c>
      <c r="AX116" s="264">
        <v>0.1</v>
      </c>
      <c r="AY116" s="264">
        <v>0.1</v>
      </c>
      <c r="AZ116" s="264">
        <v>0.1</v>
      </c>
      <c r="BA116" s="264">
        <v>0.1</v>
      </c>
      <c r="BB116" s="264">
        <v>0.1</v>
      </c>
      <c r="BC116" s="264">
        <v>0.1</v>
      </c>
      <c r="BD116" s="264">
        <v>0.1</v>
      </c>
      <c r="BE116" s="264">
        <v>0.1</v>
      </c>
      <c r="BF116" s="264">
        <v>0.1</v>
      </c>
      <c r="BG116" s="264">
        <v>0.1</v>
      </c>
      <c r="BH116" s="264">
        <v>0.1</v>
      </c>
      <c r="BI116" s="264">
        <v>0.1</v>
      </c>
      <c r="BJ116" s="265">
        <v>0.1</v>
      </c>
      <c r="BK116">
        <v>0.1</v>
      </c>
      <c r="BL116">
        <v>0.1</v>
      </c>
      <c r="BM116">
        <v>0.1</v>
      </c>
      <c r="BN116">
        <v>0.1</v>
      </c>
      <c r="BO116">
        <v>0.1</v>
      </c>
      <c r="BP116">
        <f t="shared" ref="BP116:BP129" si="8">SUM(BK116:BO116)</f>
        <v>0.5</v>
      </c>
      <c r="BS116">
        <v>113</v>
      </c>
      <c r="BT116" s="271">
        <v>3.98</v>
      </c>
      <c r="BU116" s="270">
        <v>1.81</v>
      </c>
      <c r="BV116" s="2"/>
      <c r="BX116" s="2"/>
      <c r="BY116" s="258">
        <v>0.1</v>
      </c>
      <c r="BZ116" s="259">
        <v>0.1</v>
      </c>
      <c r="CA116" s="259">
        <v>0.1</v>
      </c>
      <c r="CB116" s="259">
        <v>0.1</v>
      </c>
      <c r="CC116" s="259">
        <v>0.1</v>
      </c>
      <c r="CD116" s="259">
        <v>0.1</v>
      </c>
      <c r="CE116" s="259">
        <v>0.1</v>
      </c>
      <c r="CF116" s="259">
        <v>0.1</v>
      </c>
      <c r="CG116" s="259">
        <v>0.1</v>
      </c>
      <c r="CH116" s="259">
        <v>0.1</v>
      </c>
      <c r="CI116" s="259">
        <v>0.1</v>
      </c>
      <c r="CJ116" s="259">
        <v>0.1</v>
      </c>
      <c r="CK116" s="259">
        <v>0.1</v>
      </c>
      <c r="CL116" s="259">
        <v>0.1</v>
      </c>
      <c r="CM116" s="259">
        <v>0.1</v>
      </c>
      <c r="CN116" s="259">
        <v>0.1</v>
      </c>
      <c r="CO116" s="259">
        <v>0.1</v>
      </c>
      <c r="CP116" s="259">
        <v>0.1</v>
      </c>
      <c r="CQ116" s="259">
        <v>0.1</v>
      </c>
      <c r="CR116" s="259">
        <v>0.1</v>
      </c>
      <c r="CS116" s="259">
        <v>0.1</v>
      </c>
      <c r="CT116" s="259">
        <v>0.1</v>
      </c>
      <c r="CU116" s="259">
        <v>0.1</v>
      </c>
      <c r="CV116" s="259">
        <v>0.1</v>
      </c>
      <c r="CW116" s="259">
        <v>0.1</v>
      </c>
      <c r="CX116" s="259">
        <v>0.1</v>
      </c>
      <c r="CY116" s="259">
        <v>0.1</v>
      </c>
      <c r="CZ116" s="259">
        <v>0.1</v>
      </c>
      <c r="DA116" s="259">
        <v>0.1</v>
      </c>
      <c r="DB116" s="259">
        <v>0.1</v>
      </c>
      <c r="DC116" s="259">
        <v>0.1</v>
      </c>
      <c r="DD116" s="259">
        <v>0.1</v>
      </c>
      <c r="DE116" s="259">
        <v>0.1</v>
      </c>
      <c r="DF116" s="259">
        <v>0.1</v>
      </c>
      <c r="DG116" s="259">
        <v>0.1</v>
      </c>
      <c r="DH116" s="259">
        <v>0.1</v>
      </c>
      <c r="DI116" s="259">
        <v>0.1</v>
      </c>
      <c r="DJ116" s="259">
        <v>0.1</v>
      </c>
      <c r="DK116" s="259">
        <v>0.1</v>
      </c>
      <c r="DL116" s="260">
        <v>0.1</v>
      </c>
      <c r="DM116" s="258">
        <v>0.1</v>
      </c>
      <c r="DN116" s="259">
        <v>0.1</v>
      </c>
      <c r="DO116" s="259">
        <v>0.1</v>
      </c>
      <c r="DP116" s="259">
        <v>0.1</v>
      </c>
      <c r="DQ116" s="259">
        <v>0.1</v>
      </c>
      <c r="DR116" s="259">
        <v>0.1</v>
      </c>
      <c r="DS116" s="259">
        <v>0.1</v>
      </c>
      <c r="DT116" s="259">
        <v>0.1</v>
      </c>
      <c r="DU116" s="259">
        <v>0.1</v>
      </c>
      <c r="DV116" s="259">
        <v>0.1</v>
      </c>
      <c r="DW116" s="259">
        <v>0.1</v>
      </c>
      <c r="DX116" s="259">
        <v>0.1</v>
      </c>
      <c r="DY116" s="259">
        <v>0.1</v>
      </c>
      <c r="DZ116" s="259">
        <v>0.1</v>
      </c>
      <c r="EA116" s="259">
        <v>0.1</v>
      </c>
      <c r="EB116" s="259">
        <v>0.1</v>
      </c>
      <c r="EC116" s="259">
        <v>0.1</v>
      </c>
      <c r="ED116" s="259">
        <v>0.1</v>
      </c>
      <c r="EE116" s="260">
        <v>0.1</v>
      </c>
      <c r="EF116">
        <v>0.1</v>
      </c>
      <c r="EG116">
        <f t="shared" si="7"/>
        <v>0.1</v>
      </c>
      <c r="EJ116">
        <v>113</v>
      </c>
      <c r="EN116">
        <v>0.1</v>
      </c>
      <c r="EO116">
        <v>0.1</v>
      </c>
      <c r="EP116">
        <v>0.1</v>
      </c>
      <c r="EQ116">
        <v>0.1</v>
      </c>
      <c r="ER116">
        <v>0.1</v>
      </c>
      <c r="ES116">
        <v>0.1</v>
      </c>
      <c r="ET116">
        <v>0.1</v>
      </c>
      <c r="EU116">
        <v>0.1</v>
      </c>
      <c r="EV116">
        <v>0.1</v>
      </c>
      <c r="EW116">
        <v>0.1</v>
      </c>
      <c r="EX116">
        <v>0.1</v>
      </c>
      <c r="EY116">
        <v>0.1</v>
      </c>
      <c r="EZ116">
        <v>0.1</v>
      </c>
      <c r="FA116">
        <v>0.1</v>
      </c>
      <c r="FB116">
        <v>0.1</v>
      </c>
      <c r="FC116">
        <v>0.1</v>
      </c>
      <c r="FD116">
        <v>0.1</v>
      </c>
      <c r="FE116">
        <v>0.1</v>
      </c>
      <c r="FF116">
        <v>0.1</v>
      </c>
      <c r="FG116">
        <v>0.1</v>
      </c>
      <c r="FH116">
        <v>0.1</v>
      </c>
      <c r="FI116">
        <v>0.1</v>
      </c>
      <c r="FJ116">
        <v>0.1</v>
      </c>
      <c r="FK116">
        <v>0.1</v>
      </c>
      <c r="FL116">
        <v>0.1</v>
      </c>
      <c r="FM116">
        <v>0.1</v>
      </c>
      <c r="FN116">
        <v>0.1</v>
      </c>
      <c r="FO116">
        <v>0.1</v>
      </c>
      <c r="FP116">
        <v>0.1</v>
      </c>
      <c r="FQ116">
        <v>0.1</v>
      </c>
      <c r="FU116">
        <v>113</v>
      </c>
      <c r="GB116">
        <v>0.1</v>
      </c>
      <c r="GC116">
        <v>0.1</v>
      </c>
      <c r="GD116">
        <v>0.1</v>
      </c>
      <c r="GE116">
        <v>0.1</v>
      </c>
      <c r="GF116">
        <v>0.1</v>
      </c>
      <c r="GG116">
        <v>0.1</v>
      </c>
      <c r="GH116">
        <v>0.1</v>
      </c>
      <c r="GI116">
        <v>0.1</v>
      </c>
      <c r="GJ116">
        <v>0.1</v>
      </c>
      <c r="GK116">
        <v>0.1</v>
      </c>
      <c r="GL116">
        <v>0.1</v>
      </c>
      <c r="GM116">
        <v>0.1</v>
      </c>
      <c r="GN116">
        <v>0.1</v>
      </c>
      <c r="GO116">
        <v>0.1</v>
      </c>
      <c r="GP116">
        <v>0.1</v>
      </c>
      <c r="GQ116">
        <v>0.1</v>
      </c>
      <c r="GR116">
        <v>0.1</v>
      </c>
      <c r="GS116">
        <v>0.1</v>
      </c>
      <c r="GT116">
        <v>0.1</v>
      </c>
      <c r="GU116">
        <v>0.1</v>
      </c>
      <c r="GV116">
        <v>0.1</v>
      </c>
      <c r="GW116">
        <v>0.1</v>
      </c>
      <c r="GX116">
        <v>0.1</v>
      </c>
      <c r="GY116">
        <v>0.1</v>
      </c>
      <c r="GZ116">
        <v>0.1</v>
      </c>
      <c r="HA116">
        <v>0.1</v>
      </c>
      <c r="HB116">
        <v>0.1</v>
      </c>
      <c r="HC116">
        <v>0.1</v>
      </c>
      <c r="HD116">
        <v>0.1</v>
      </c>
      <c r="HE116">
        <v>0.1</v>
      </c>
      <c r="HF116">
        <v>0.1</v>
      </c>
      <c r="HG116">
        <v>0.1</v>
      </c>
      <c r="HH116">
        <v>0.1</v>
      </c>
      <c r="HI116">
        <v>0.1</v>
      </c>
      <c r="HJ116">
        <v>0.1</v>
      </c>
      <c r="HK116">
        <v>0.1</v>
      </c>
      <c r="HL116">
        <v>0.1</v>
      </c>
      <c r="HM116">
        <v>0.1</v>
      </c>
      <c r="HN116">
        <v>0.1</v>
      </c>
      <c r="HO116">
        <v>0.1</v>
      </c>
    </row>
    <row r="117" spans="1:223" ht="15.75" thickBot="1" x14ac:dyDescent="0.3">
      <c r="A117">
        <v>114</v>
      </c>
      <c r="B117" s="269">
        <v>3.55</v>
      </c>
      <c r="C117" s="269">
        <v>1.85</v>
      </c>
      <c r="D117" s="2"/>
      <c r="E117" s="2"/>
      <c r="F117" s="2"/>
      <c r="G117" s="2"/>
      <c r="H117" s="258">
        <v>0.1</v>
      </c>
      <c r="I117" s="259">
        <v>0.1</v>
      </c>
      <c r="J117" s="259">
        <v>0.1</v>
      </c>
      <c r="K117" s="259">
        <v>0.1</v>
      </c>
      <c r="L117" s="259">
        <v>0.1</v>
      </c>
      <c r="M117" s="259">
        <v>0.1</v>
      </c>
      <c r="N117" s="259">
        <v>0.1</v>
      </c>
      <c r="O117" s="259">
        <v>0.1</v>
      </c>
      <c r="P117" s="259">
        <v>0.1</v>
      </c>
      <c r="Q117" s="259">
        <v>0.1</v>
      </c>
      <c r="R117" s="259">
        <v>0.1</v>
      </c>
      <c r="S117" s="259">
        <v>0.1</v>
      </c>
      <c r="T117" s="259">
        <v>0.1</v>
      </c>
      <c r="U117" s="259">
        <v>0.1</v>
      </c>
      <c r="V117" s="259">
        <v>0.1</v>
      </c>
      <c r="W117" s="259">
        <v>0.1</v>
      </c>
      <c r="X117" s="259">
        <v>0.1</v>
      </c>
      <c r="Y117" s="259">
        <v>0.1</v>
      </c>
      <c r="Z117" s="259">
        <v>0.1</v>
      </c>
      <c r="AA117" s="259">
        <v>0.1</v>
      </c>
      <c r="AB117" s="259">
        <v>0.1</v>
      </c>
      <c r="AC117" s="259">
        <v>0.1</v>
      </c>
      <c r="AD117" s="259">
        <v>0.1</v>
      </c>
      <c r="AE117" s="259">
        <v>0.1</v>
      </c>
      <c r="AF117" s="259">
        <v>0.1</v>
      </c>
      <c r="AG117" s="259">
        <v>0.1</v>
      </c>
      <c r="AH117" s="259">
        <v>0.1</v>
      </c>
      <c r="AI117" s="259">
        <v>0.1</v>
      </c>
      <c r="AJ117" s="259">
        <v>0.1</v>
      </c>
      <c r="AK117" s="259">
        <v>0.1</v>
      </c>
      <c r="AL117" s="259">
        <v>0.1</v>
      </c>
      <c r="AM117" s="259">
        <v>0.1</v>
      </c>
      <c r="AN117" s="259">
        <v>0.1</v>
      </c>
      <c r="AO117" s="259">
        <v>0.1</v>
      </c>
      <c r="AP117" s="259">
        <v>0.1</v>
      </c>
      <c r="AQ117" s="260">
        <v>0.1</v>
      </c>
      <c r="AR117" s="258">
        <v>0.1</v>
      </c>
      <c r="AS117" s="259">
        <v>0.1</v>
      </c>
      <c r="AT117" s="259">
        <v>0.1</v>
      </c>
      <c r="AU117" s="259">
        <v>0.1</v>
      </c>
      <c r="AV117" s="259">
        <v>0.1</v>
      </c>
      <c r="AW117" s="259">
        <v>0.1</v>
      </c>
      <c r="AX117" s="259">
        <v>0.1</v>
      </c>
      <c r="AY117" s="259">
        <v>0.1</v>
      </c>
      <c r="AZ117" s="259">
        <v>0.1</v>
      </c>
      <c r="BA117" s="259">
        <v>0.1</v>
      </c>
      <c r="BB117" s="259">
        <v>0.1</v>
      </c>
      <c r="BC117" s="259">
        <v>0.1</v>
      </c>
      <c r="BD117" s="259">
        <v>0.1</v>
      </c>
      <c r="BE117" s="259">
        <v>0.1</v>
      </c>
      <c r="BF117" s="259">
        <v>0.1</v>
      </c>
      <c r="BG117" s="259">
        <v>0.1</v>
      </c>
      <c r="BH117" s="259">
        <v>0.1</v>
      </c>
      <c r="BI117" s="259">
        <v>0.1</v>
      </c>
      <c r="BJ117" s="260">
        <v>0.1</v>
      </c>
      <c r="BK117">
        <v>0.1</v>
      </c>
      <c r="BL117">
        <v>0.1</v>
      </c>
      <c r="BM117">
        <v>0.1</v>
      </c>
      <c r="BN117">
        <v>0.1</v>
      </c>
      <c r="BO117">
        <v>0.1</v>
      </c>
      <c r="BP117">
        <f t="shared" si="8"/>
        <v>0.5</v>
      </c>
      <c r="BS117">
        <v>114</v>
      </c>
      <c r="BT117" s="270">
        <v>3.98</v>
      </c>
      <c r="BU117" s="271">
        <v>1.82</v>
      </c>
      <c r="BV117" s="2"/>
      <c r="BX117" s="2"/>
      <c r="BY117" s="258">
        <v>0.1</v>
      </c>
      <c r="BZ117" s="259">
        <v>0.1</v>
      </c>
      <c r="CA117" s="259">
        <v>0.1</v>
      </c>
      <c r="CB117" s="259">
        <v>0.1</v>
      </c>
      <c r="CC117" s="259">
        <v>0.1</v>
      </c>
      <c r="CD117" s="259">
        <v>0.1</v>
      </c>
      <c r="CE117" s="259">
        <v>0.1</v>
      </c>
      <c r="CF117" s="259">
        <v>0.1</v>
      </c>
      <c r="CG117" s="259">
        <v>0.1</v>
      </c>
      <c r="CH117" s="259">
        <v>0.1</v>
      </c>
      <c r="CI117" s="259">
        <v>0.1</v>
      </c>
      <c r="CJ117" s="259">
        <v>0.1</v>
      </c>
      <c r="CK117" s="259">
        <v>0.1</v>
      </c>
      <c r="CL117" s="259">
        <v>0.1</v>
      </c>
      <c r="CM117" s="259">
        <v>0.1</v>
      </c>
      <c r="CN117" s="259">
        <v>0.1</v>
      </c>
      <c r="CO117" s="259">
        <v>0.1</v>
      </c>
      <c r="CP117" s="259">
        <v>0.1</v>
      </c>
      <c r="CQ117" s="259">
        <v>0.1</v>
      </c>
      <c r="CR117" s="259">
        <v>0.1</v>
      </c>
      <c r="CS117" s="259">
        <v>0.1</v>
      </c>
      <c r="CT117" s="259">
        <v>0.1</v>
      </c>
      <c r="CU117" s="259">
        <v>0.1</v>
      </c>
      <c r="CV117" s="259">
        <v>0.1</v>
      </c>
      <c r="CW117" s="259">
        <v>0.1</v>
      </c>
      <c r="CX117" s="259">
        <v>0.1</v>
      </c>
      <c r="CY117" s="259">
        <v>0.1</v>
      </c>
      <c r="CZ117" s="259">
        <v>0.1</v>
      </c>
      <c r="DA117" s="259">
        <v>0.1</v>
      </c>
      <c r="DB117" s="259">
        <v>0.1</v>
      </c>
      <c r="DC117" s="259">
        <v>0.1</v>
      </c>
      <c r="DD117" s="259">
        <v>0.1</v>
      </c>
      <c r="DE117" s="259">
        <v>0.1</v>
      </c>
      <c r="DF117" s="259">
        <v>0.1</v>
      </c>
      <c r="DG117" s="259">
        <v>0.1</v>
      </c>
      <c r="DH117" s="259">
        <v>0.1</v>
      </c>
      <c r="DI117" s="259">
        <v>0.1</v>
      </c>
      <c r="DJ117" s="259">
        <v>0.1</v>
      </c>
      <c r="DK117" s="259">
        <v>0.1</v>
      </c>
      <c r="DL117" s="260">
        <v>0.1</v>
      </c>
      <c r="DM117" s="258">
        <v>0.1</v>
      </c>
      <c r="DN117" s="259">
        <v>0.1</v>
      </c>
      <c r="DO117" s="259">
        <v>0.1</v>
      </c>
      <c r="DP117" s="259">
        <v>0.1</v>
      </c>
      <c r="DQ117" s="259">
        <v>0.1</v>
      </c>
      <c r="DR117" s="259">
        <v>0.1</v>
      </c>
      <c r="DS117" s="259">
        <v>0.1</v>
      </c>
      <c r="DT117" s="259">
        <v>0.1</v>
      </c>
      <c r="DU117" s="259">
        <v>0.1</v>
      </c>
      <c r="DV117" s="259">
        <v>0.1</v>
      </c>
      <c r="DW117" s="259">
        <v>0.1</v>
      </c>
      <c r="DX117" s="259">
        <v>0.1</v>
      </c>
      <c r="DY117" s="259">
        <v>0.1</v>
      </c>
      <c r="DZ117" s="259">
        <v>0.1</v>
      </c>
      <c r="EA117" s="259">
        <v>0.1</v>
      </c>
      <c r="EB117" s="259">
        <v>0.1</v>
      </c>
      <c r="EC117" s="259">
        <v>0.1</v>
      </c>
      <c r="ED117" s="259">
        <v>0.1</v>
      </c>
      <c r="EE117" s="260">
        <v>0.1</v>
      </c>
      <c r="EF117">
        <v>0.1</v>
      </c>
      <c r="EG117">
        <f t="shared" si="7"/>
        <v>0.1</v>
      </c>
      <c r="EJ117">
        <v>114</v>
      </c>
      <c r="EN117">
        <v>0.1</v>
      </c>
      <c r="EO117">
        <v>0.1</v>
      </c>
      <c r="EP117">
        <v>0.1</v>
      </c>
      <c r="EQ117">
        <v>0.1</v>
      </c>
      <c r="ER117">
        <v>0.1</v>
      </c>
      <c r="ES117">
        <v>0.1</v>
      </c>
      <c r="ET117">
        <v>0.1</v>
      </c>
      <c r="EU117">
        <v>0.1</v>
      </c>
      <c r="EV117">
        <v>0.1</v>
      </c>
      <c r="EW117">
        <v>0.1</v>
      </c>
      <c r="EX117">
        <v>0.1</v>
      </c>
      <c r="EY117">
        <v>0.1</v>
      </c>
      <c r="EZ117">
        <v>0.1</v>
      </c>
      <c r="FA117">
        <v>0.1</v>
      </c>
      <c r="FB117">
        <v>0.1</v>
      </c>
      <c r="FC117">
        <v>0.1</v>
      </c>
      <c r="FD117">
        <v>0.1</v>
      </c>
      <c r="FE117">
        <v>0.1</v>
      </c>
      <c r="FF117">
        <v>0.1</v>
      </c>
      <c r="FG117">
        <v>0.1</v>
      </c>
      <c r="FH117">
        <v>0.1</v>
      </c>
      <c r="FI117">
        <v>0.1</v>
      </c>
      <c r="FJ117">
        <v>0.1</v>
      </c>
      <c r="FK117">
        <v>0.1</v>
      </c>
      <c r="FL117">
        <v>0.1</v>
      </c>
      <c r="FM117">
        <v>0.1</v>
      </c>
      <c r="FN117">
        <v>0.1</v>
      </c>
      <c r="FO117">
        <v>0.1</v>
      </c>
      <c r="FP117">
        <v>0.1</v>
      </c>
      <c r="FQ117">
        <v>0.1</v>
      </c>
      <c r="FU117">
        <v>114</v>
      </c>
      <c r="GB117">
        <v>0.1</v>
      </c>
      <c r="GC117">
        <v>0.1</v>
      </c>
      <c r="GD117">
        <v>0.1</v>
      </c>
      <c r="GE117">
        <v>0.1</v>
      </c>
      <c r="GF117">
        <v>0.1</v>
      </c>
      <c r="GG117">
        <v>0.1</v>
      </c>
      <c r="GH117">
        <v>0.1</v>
      </c>
      <c r="GI117">
        <v>0.1</v>
      </c>
      <c r="GJ117">
        <v>0.1</v>
      </c>
      <c r="GK117">
        <v>0.1</v>
      </c>
      <c r="GL117">
        <v>0.1</v>
      </c>
      <c r="GM117">
        <v>0.1</v>
      </c>
      <c r="GN117">
        <v>0.1</v>
      </c>
      <c r="GO117">
        <v>0.1</v>
      </c>
      <c r="GP117">
        <v>0.1</v>
      </c>
      <c r="GQ117">
        <v>0.1</v>
      </c>
      <c r="GR117">
        <v>0.1</v>
      </c>
      <c r="GS117">
        <v>0.1</v>
      </c>
      <c r="GT117">
        <v>0.1</v>
      </c>
      <c r="GU117">
        <v>0.1</v>
      </c>
      <c r="GV117">
        <v>0.1</v>
      </c>
      <c r="GW117">
        <v>0.1</v>
      </c>
      <c r="GX117">
        <v>0.1</v>
      </c>
      <c r="GY117">
        <v>0.1</v>
      </c>
      <c r="GZ117">
        <v>0.1</v>
      </c>
      <c r="HA117">
        <v>0.1</v>
      </c>
      <c r="HB117">
        <v>0.1</v>
      </c>
      <c r="HC117">
        <v>0.1</v>
      </c>
      <c r="HD117">
        <v>0.1</v>
      </c>
      <c r="HE117">
        <v>0.1</v>
      </c>
      <c r="HF117">
        <v>0.1</v>
      </c>
      <c r="HG117">
        <v>0.1</v>
      </c>
      <c r="HH117">
        <v>0.1</v>
      </c>
      <c r="HI117">
        <v>0.1</v>
      </c>
      <c r="HJ117">
        <v>0.1</v>
      </c>
      <c r="HK117">
        <v>0.1</v>
      </c>
      <c r="HL117">
        <v>0.1</v>
      </c>
      <c r="HM117">
        <v>0.1</v>
      </c>
      <c r="HN117">
        <v>0.1</v>
      </c>
      <c r="HO117">
        <v>0.1</v>
      </c>
    </row>
    <row r="118" spans="1:223" ht="15.75" thickBot="1" x14ac:dyDescent="0.3">
      <c r="A118">
        <v>115</v>
      </c>
      <c r="B118" s="268">
        <v>3.55</v>
      </c>
      <c r="C118" s="268">
        <v>1.85</v>
      </c>
      <c r="D118" s="2"/>
      <c r="E118" s="2"/>
      <c r="F118" s="2"/>
      <c r="G118" s="2"/>
      <c r="H118" s="258">
        <v>0.1</v>
      </c>
      <c r="I118" s="259">
        <v>0.1</v>
      </c>
      <c r="J118" s="259">
        <v>0.1</v>
      </c>
      <c r="K118" s="259">
        <v>0.1</v>
      </c>
      <c r="L118" s="259">
        <v>0.1</v>
      </c>
      <c r="M118" s="259">
        <v>0.1</v>
      </c>
      <c r="N118" s="259">
        <v>0.1</v>
      </c>
      <c r="O118" s="259">
        <v>0.1</v>
      </c>
      <c r="P118" s="259">
        <v>0.1</v>
      </c>
      <c r="Q118" s="259">
        <v>0.1</v>
      </c>
      <c r="R118" s="259">
        <v>0.1</v>
      </c>
      <c r="S118" s="259">
        <v>0.1</v>
      </c>
      <c r="T118" s="259">
        <v>0.1</v>
      </c>
      <c r="U118" s="259">
        <v>0.1</v>
      </c>
      <c r="V118" s="259">
        <v>0.1</v>
      </c>
      <c r="W118" s="259">
        <v>0.1</v>
      </c>
      <c r="X118" s="259">
        <v>0.1</v>
      </c>
      <c r="Y118" s="259">
        <v>0.1</v>
      </c>
      <c r="Z118" s="259">
        <v>0.1</v>
      </c>
      <c r="AA118" s="259">
        <v>0.1</v>
      </c>
      <c r="AB118" s="259">
        <v>0.1</v>
      </c>
      <c r="AC118" s="259">
        <v>0.1</v>
      </c>
      <c r="AD118" s="259">
        <v>0.1</v>
      </c>
      <c r="AE118" s="259">
        <v>0.1</v>
      </c>
      <c r="AF118" s="259">
        <v>0.1</v>
      </c>
      <c r="AG118" s="259">
        <v>0.1</v>
      </c>
      <c r="AH118" s="259">
        <v>0.1</v>
      </c>
      <c r="AI118" s="259">
        <v>0.1</v>
      </c>
      <c r="AJ118" s="259">
        <v>0.1</v>
      </c>
      <c r="AK118" s="259">
        <v>0.1</v>
      </c>
      <c r="AL118" s="259">
        <v>0.1</v>
      </c>
      <c r="AM118" s="259">
        <v>0.1</v>
      </c>
      <c r="AN118" s="259">
        <v>0.1</v>
      </c>
      <c r="AO118" s="259">
        <v>0.1</v>
      </c>
      <c r="AP118" s="259">
        <v>0.1</v>
      </c>
      <c r="AQ118" s="260">
        <v>0.1</v>
      </c>
      <c r="AR118" s="258">
        <v>0.1</v>
      </c>
      <c r="AS118" s="259">
        <v>0.1</v>
      </c>
      <c r="AT118" s="259">
        <v>0.1</v>
      </c>
      <c r="AU118" s="259">
        <v>0.1</v>
      </c>
      <c r="AV118" s="259">
        <v>0.1</v>
      </c>
      <c r="AW118" s="259">
        <v>0.1</v>
      </c>
      <c r="AX118" s="259">
        <v>0.1</v>
      </c>
      <c r="AY118" s="259">
        <v>0.1</v>
      </c>
      <c r="AZ118" s="259">
        <v>0.1</v>
      </c>
      <c r="BA118" s="259">
        <v>0.1</v>
      </c>
      <c r="BB118" s="259">
        <v>0.1</v>
      </c>
      <c r="BC118" s="259">
        <v>0.1</v>
      </c>
      <c r="BD118" s="259">
        <v>0.1</v>
      </c>
      <c r="BE118" s="259">
        <v>0.1</v>
      </c>
      <c r="BF118" s="259">
        <v>0.1</v>
      </c>
      <c r="BG118" s="259">
        <v>0.1</v>
      </c>
      <c r="BH118" s="259">
        <v>0.1</v>
      </c>
      <c r="BI118" s="259">
        <v>0.1</v>
      </c>
      <c r="BJ118" s="260">
        <v>0.1</v>
      </c>
      <c r="BK118">
        <v>0.1</v>
      </c>
      <c r="BL118">
        <v>0.1</v>
      </c>
      <c r="BM118">
        <v>0.1</v>
      </c>
      <c r="BN118">
        <v>0.1</v>
      </c>
      <c r="BO118">
        <v>0.1</v>
      </c>
      <c r="BP118">
        <f t="shared" si="8"/>
        <v>0.5</v>
      </c>
      <c r="BS118">
        <v>115</v>
      </c>
      <c r="BT118" s="271">
        <v>3.98</v>
      </c>
      <c r="BU118" s="270">
        <v>1.85</v>
      </c>
      <c r="BV118" s="2"/>
      <c r="BX118" s="2"/>
      <c r="BY118" s="258">
        <v>0.1</v>
      </c>
      <c r="BZ118" s="259">
        <v>0.1</v>
      </c>
      <c r="CA118" s="259">
        <v>0.1</v>
      </c>
      <c r="CB118" s="259">
        <v>0.1</v>
      </c>
      <c r="CC118" s="259">
        <v>0.1</v>
      </c>
      <c r="CD118" s="259">
        <v>0.1</v>
      </c>
      <c r="CE118" s="259">
        <v>0.1</v>
      </c>
      <c r="CF118" s="259">
        <v>0.1</v>
      </c>
      <c r="CG118" s="259">
        <v>0.1</v>
      </c>
      <c r="CH118" s="259">
        <v>0.1</v>
      </c>
      <c r="CI118" s="259">
        <v>0.1</v>
      </c>
      <c r="CJ118" s="259">
        <v>0.1</v>
      </c>
      <c r="CK118" s="259">
        <v>0.1</v>
      </c>
      <c r="CL118" s="259">
        <v>0.1</v>
      </c>
      <c r="CM118" s="259">
        <v>0.1</v>
      </c>
      <c r="CN118" s="259">
        <v>0.1</v>
      </c>
      <c r="CO118" s="259">
        <v>0.1</v>
      </c>
      <c r="CP118" s="259">
        <v>0.1</v>
      </c>
      <c r="CQ118" s="259">
        <v>0.1</v>
      </c>
      <c r="CR118" s="259">
        <v>0.1</v>
      </c>
      <c r="CS118" s="259">
        <v>0.1</v>
      </c>
      <c r="CT118" s="259">
        <v>0.1</v>
      </c>
      <c r="CU118" s="259">
        <v>0.1</v>
      </c>
      <c r="CV118" s="259">
        <v>0.1</v>
      </c>
      <c r="CW118" s="259">
        <v>0.1</v>
      </c>
      <c r="CX118" s="259">
        <v>0.1</v>
      </c>
      <c r="CY118" s="259">
        <v>0.1</v>
      </c>
      <c r="CZ118" s="259">
        <v>0.1</v>
      </c>
      <c r="DA118" s="259">
        <v>0.1</v>
      </c>
      <c r="DB118" s="259">
        <v>0.1</v>
      </c>
      <c r="DC118" s="259">
        <v>0.1</v>
      </c>
      <c r="DD118" s="259">
        <v>0.1</v>
      </c>
      <c r="DE118" s="259">
        <v>0.1</v>
      </c>
      <c r="DF118" s="259">
        <v>0.1</v>
      </c>
      <c r="DG118" s="259">
        <v>0.1</v>
      </c>
      <c r="DH118" s="259">
        <v>0.1</v>
      </c>
      <c r="DI118" s="259">
        <v>0.1</v>
      </c>
      <c r="DJ118" s="259">
        <v>0.1</v>
      </c>
      <c r="DK118" s="259">
        <v>0.1</v>
      </c>
      <c r="DL118" s="260">
        <v>0.1</v>
      </c>
      <c r="DM118" s="258">
        <v>0.1</v>
      </c>
      <c r="DN118" s="259">
        <v>0.1</v>
      </c>
      <c r="DO118" s="259">
        <v>0.1</v>
      </c>
      <c r="DP118" s="259">
        <v>0.1</v>
      </c>
      <c r="DQ118" s="259">
        <v>0.1</v>
      </c>
      <c r="DR118" s="259">
        <v>0.1</v>
      </c>
      <c r="DS118" s="259">
        <v>0.1</v>
      </c>
      <c r="DT118" s="259">
        <v>0.1</v>
      </c>
      <c r="DU118" s="259">
        <v>0.1</v>
      </c>
      <c r="DV118" s="259">
        <v>0.1</v>
      </c>
      <c r="DW118" s="259">
        <v>0.1</v>
      </c>
      <c r="DX118" s="259">
        <v>0.1</v>
      </c>
      <c r="DY118" s="259">
        <v>0.1</v>
      </c>
      <c r="DZ118" s="259">
        <v>0.1</v>
      </c>
      <c r="EA118" s="259">
        <v>0.1</v>
      </c>
      <c r="EB118" s="259">
        <v>0.1</v>
      </c>
      <c r="EC118" s="259">
        <v>0.1</v>
      </c>
      <c r="ED118" s="259">
        <v>0.1</v>
      </c>
      <c r="EE118" s="260">
        <v>0.1</v>
      </c>
      <c r="EF118">
        <v>0.1</v>
      </c>
      <c r="EG118">
        <f t="shared" si="7"/>
        <v>0.1</v>
      </c>
      <c r="EJ118">
        <v>115</v>
      </c>
      <c r="EN118">
        <v>0.1</v>
      </c>
      <c r="EO118">
        <v>0.1</v>
      </c>
      <c r="EP118">
        <v>0.1</v>
      </c>
      <c r="EQ118">
        <v>0.1</v>
      </c>
      <c r="ER118">
        <v>0.1</v>
      </c>
      <c r="ES118">
        <v>0.1</v>
      </c>
      <c r="ET118">
        <v>0.1</v>
      </c>
      <c r="EU118">
        <v>0.1</v>
      </c>
      <c r="EV118">
        <v>0.1</v>
      </c>
      <c r="EW118">
        <v>0.1</v>
      </c>
      <c r="EX118">
        <v>0.1</v>
      </c>
      <c r="EY118">
        <v>0.1</v>
      </c>
      <c r="EZ118">
        <v>0.1</v>
      </c>
      <c r="FA118">
        <v>0.1</v>
      </c>
      <c r="FB118">
        <v>0.1</v>
      </c>
      <c r="FC118">
        <v>0.1</v>
      </c>
      <c r="FD118">
        <v>0.1</v>
      </c>
      <c r="FE118">
        <v>0.1</v>
      </c>
      <c r="FF118">
        <v>0.1</v>
      </c>
      <c r="FG118">
        <v>0.1</v>
      </c>
      <c r="FH118">
        <v>0.1</v>
      </c>
      <c r="FI118">
        <v>0.1</v>
      </c>
      <c r="FJ118">
        <v>0.1</v>
      </c>
      <c r="FK118">
        <v>0.1</v>
      </c>
      <c r="FL118">
        <v>0.1</v>
      </c>
      <c r="FM118">
        <v>0.1</v>
      </c>
      <c r="FN118">
        <v>0.1</v>
      </c>
      <c r="FO118">
        <v>0.1</v>
      </c>
      <c r="FP118">
        <v>0.1</v>
      </c>
      <c r="FQ118">
        <v>0.1</v>
      </c>
      <c r="FU118">
        <v>115</v>
      </c>
      <c r="GB118">
        <v>0.1</v>
      </c>
      <c r="GC118">
        <v>0.1</v>
      </c>
      <c r="GD118">
        <v>0.1</v>
      </c>
      <c r="GE118">
        <v>0.1</v>
      </c>
      <c r="GF118">
        <v>0.1</v>
      </c>
      <c r="GG118">
        <v>0.1</v>
      </c>
      <c r="GH118">
        <v>0.1</v>
      </c>
      <c r="GI118">
        <v>0.1</v>
      </c>
      <c r="GJ118">
        <v>0.1</v>
      </c>
      <c r="GK118">
        <v>0.1</v>
      </c>
      <c r="GL118">
        <v>0.1</v>
      </c>
      <c r="GM118">
        <v>0.1</v>
      </c>
      <c r="GN118">
        <v>0.1</v>
      </c>
      <c r="GO118">
        <v>0.1</v>
      </c>
      <c r="GP118">
        <v>0.1</v>
      </c>
      <c r="GQ118">
        <v>0.1</v>
      </c>
      <c r="GR118">
        <v>0.1</v>
      </c>
      <c r="GS118">
        <v>0.1</v>
      </c>
      <c r="GT118">
        <v>0.1</v>
      </c>
      <c r="GU118">
        <v>0.1</v>
      </c>
      <c r="GV118">
        <v>0.1</v>
      </c>
      <c r="GW118">
        <v>0.1</v>
      </c>
      <c r="GX118">
        <v>0.1</v>
      </c>
      <c r="GY118">
        <v>0.1</v>
      </c>
      <c r="GZ118">
        <v>0.1</v>
      </c>
      <c r="HA118">
        <v>0.1</v>
      </c>
      <c r="HB118">
        <v>0.1</v>
      </c>
      <c r="HC118">
        <v>0.1</v>
      </c>
      <c r="HD118">
        <v>0.1</v>
      </c>
      <c r="HE118">
        <v>0.1</v>
      </c>
      <c r="HF118">
        <v>0.1</v>
      </c>
      <c r="HG118">
        <v>0.1</v>
      </c>
      <c r="HH118">
        <v>0.1</v>
      </c>
      <c r="HI118">
        <v>0.1</v>
      </c>
      <c r="HJ118">
        <v>0.1</v>
      </c>
      <c r="HK118">
        <v>0.1</v>
      </c>
      <c r="HL118">
        <v>0.1</v>
      </c>
      <c r="HM118">
        <v>0.1</v>
      </c>
      <c r="HN118">
        <v>0.1</v>
      </c>
      <c r="HO118">
        <v>0.1</v>
      </c>
    </row>
    <row r="119" spans="1:223" ht="15.75" thickBot="1" x14ac:dyDescent="0.3">
      <c r="A119">
        <v>116</v>
      </c>
      <c r="B119" s="269">
        <v>3.55</v>
      </c>
      <c r="C119" s="269">
        <v>1.85</v>
      </c>
      <c r="D119" s="2"/>
      <c r="E119" s="2"/>
      <c r="F119" s="2"/>
      <c r="G119" s="2"/>
      <c r="H119" s="258">
        <v>0.1</v>
      </c>
      <c r="I119" s="259">
        <v>0.1</v>
      </c>
      <c r="J119" s="259">
        <v>0.1</v>
      </c>
      <c r="K119" s="259">
        <v>0.1</v>
      </c>
      <c r="L119" s="259">
        <v>0.1</v>
      </c>
      <c r="M119" s="259">
        <v>0.1</v>
      </c>
      <c r="N119" s="259">
        <v>0.1</v>
      </c>
      <c r="O119" s="259">
        <v>0.1</v>
      </c>
      <c r="P119" s="259">
        <v>0.1</v>
      </c>
      <c r="Q119" s="259">
        <v>0.1</v>
      </c>
      <c r="R119" s="259">
        <v>0.1</v>
      </c>
      <c r="S119" s="259">
        <v>0.1</v>
      </c>
      <c r="T119" s="259">
        <v>0.1</v>
      </c>
      <c r="U119" s="259">
        <v>0.1</v>
      </c>
      <c r="V119" s="259">
        <v>0.1</v>
      </c>
      <c r="W119" s="259">
        <v>0.1</v>
      </c>
      <c r="X119" s="259">
        <v>0.1</v>
      </c>
      <c r="Y119" s="259">
        <v>0.1</v>
      </c>
      <c r="Z119" s="259">
        <v>0.1</v>
      </c>
      <c r="AA119" s="259">
        <v>0.1</v>
      </c>
      <c r="AB119" s="259">
        <v>0.1</v>
      </c>
      <c r="AC119" s="259">
        <v>0.1</v>
      </c>
      <c r="AD119" s="259">
        <v>0.1</v>
      </c>
      <c r="AE119" s="259">
        <v>0.1</v>
      </c>
      <c r="AF119" s="259">
        <v>0.1</v>
      </c>
      <c r="AG119" s="259">
        <v>0.1</v>
      </c>
      <c r="AH119" s="259">
        <v>0.1</v>
      </c>
      <c r="AI119" s="259">
        <v>0.1</v>
      </c>
      <c r="AJ119" s="259">
        <v>0.1</v>
      </c>
      <c r="AK119" s="259">
        <v>0.1</v>
      </c>
      <c r="AL119" s="259">
        <v>0.1</v>
      </c>
      <c r="AM119" s="259">
        <v>0.1</v>
      </c>
      <c r="AN119" s="259">
        <v>0.1</v>
      </c>
      <c r="AO119" s="259">
        <v>0.1</v>
      </c>
      <c r="AP119" s="259">
        <v>0.1</v>
      </c>
      <c r="AQ119" s="260">
        <v>0.1</v>
      </c>
      <c r="AR119" s="258">
        <v>0.1</v>
      </c>
      <c r="AS119" s="259">
        <v>0.1</v>
      </c>
      <c r="AT119" s="259">
        <v>0.1</v>
      </c>
      <c r="AU119" s="259">
        <v>0.1</v>
      </c>
      <c r="AV119" s="259">
        <v>0.1</v>
      </c>
      <c r="AW119" s="259">
        <v>0.1</v>
      </c>
      <c r="AX119" s="259">
        <v>0.1</v>
      </c>
      <c r="AY119" s="259">
        <v>0.1</v>
      </c>
      <c r="AZ119" s="259">
        <v>0.1</v>
      </c>
      <c r="BA119" s="259">
        <v>0.1</v>
      </c>
      <c r="BB119" s="259">
        <v>0.1</v>
      </c>
      <c r="BC119" s="259">
        <v>0.1</v>
      </c>
      <c r="BD119" s="259">
        <v>0.1</v>
      </c>
      <c r="BE119" s="259">
        <v>0.1</v>
      </c>
      <c r="BF119" s="259">
        <v>0.1</v>
      </c>
      <c r="BG119" s="259">
        <v>0.1</v>
      </c>
      <c r="BH119" s="259">
        <v>0.1</v>
      </c>
      <c r="BI119" s="259">
        <v>0.1</v>
      </c>
      <c r="BJ119" s="260">
        <v>0.1</v>
      </c>
      <c r="BK119">
        <v>0.1</v>
      </c>
      <c r="BL119">
        <v>0.1</v>
      </c>
      <c r="BM119">
        <v>0.1</v>
      </c>
      <c r="BN119">
        <v>0.1</v>
      </c>
      <c r="BO119">
        <v>0.1</v>
      </c>
      <c r="BP119">
        <f t="shared" si="8"/>
        <v>0.5</v>
      </c>
      <c r="BS119">
        <v>116</v>
      </c>
      <c r="BT119" s="270">
        <v>3.98</v>
      </c>
      <c r="BU119" s="271">
        <v>1.85</v>
      </c>
      <c r="BV119" s="2"/>
      <c r="BX119" s="2"/>
      <c r="BY119" s="258">
        <v>0.1</v>
      </c>
      <c r="BZ119" s="259">
        <v>0.1</v>
      </c>
      <c r="CA119" s="259">
        <v>0.1</v>
      </c>
      <c r="CB119" s="259">
        <v>0.1</v>
      </c>
      <c r="CC119" s="259">
        <v>0.1</v>
      </c>
      <c r="CD119" s="259">
        <v>0.1</v>
      </c>
      <c r="CE119" s="259">
        <v>0.1</v>
      </c>
      <c r="CF119" s="259">
        <v>0.1</v>
      </c>
      <c r="CG119" s="259">
        <v>0.1</v>
      </c>
      <c r="CH119" s="259">
        <v>0.1</v>
      </c>
      <c r="CI119" s="259">
        <v>0.1</v>
      </c>
      <c r="CJ119" s="259">
        <v>0.1</v>
      </c>
      <c r="CK119" s="259">
        <v>0.1</v>
      </c>
      <c r="CL119" s="259">
        <v>0.1</v>
      </c>
      <c r="CM119" s="259">
        <v>0.1</v>
      </c>
      <c r="CN119" s="259">
        <v>0.1</v>
      </c>
      <c r="CO119" s="259">
        <v>0.1</v>
      </c>
      <c r="CP119" s="259">
        <v>0.1</v>
      </c>
      <c r="CQ119" s="259">
        <v>0.1</v>
      </c>
      <c r="CR119" s="259">
        <v>0.1</v>
      </c>
      <c r="CS119" s="259">
        <v>0.1</v>
      </c>
      <c r="CT119" s="259">
        <v>0.1</v>
      </c>
      <c r="CU119" s="259">
        <v>0.1</v>
      </c>
      <c r="CV119" s="259">
        <v>0.1</v>
      </c>
      <c r="CW119" s="259">
        <v>0.1</v>
      </c>
      <c r="CX119" s="259">
        <v>0.1</v>
      </c>
      <c r="CY119" s="259">
        <v>0.1</v>
      </c>
      <c r="CZ119" s="259">
        <v>0.1</v>
      </c>
      <c r="DA119" s="259">
        <v>0.1</v>
      </c>
      <c r="DB119" s="259">
        <v>0.1</v>
      </c>
      <c r="DC119" s="259">
        <v>0.1</v>
      </c>
      <c r="DD119" s="259">
        <v>0.1</v>
      </c>
      <c r="DE119" s="259">
        <v>0.1</v>
      </c>
      <c r="DF119" s="259">
        <v>0.1</v>
      </c>
      <c r="DG119" s="259">
        <v>0.1</v>
      </c>
      <c r="DH119" s="259">
        <v>0.1</v>
      </c>
      <c r="DI119" s="259">
        <v>0.1</v>
      </c>
      <c r="DJ119" s="259">
        <v>0.1</v>
      </c>
      <c r="DK119" s="259">
        <v>0.1</v>
      </c>
      <c r="DL119" s="260">
        <v>0.1</v>
      </c>
      <c r="DM119" s="258">
        <v>0.1</v>
      </c>
      <c r="DN119" s="259">
        <v>0.1</v>
      </c>
      <c r="DO119" s="259">
        <v>0.1</v>
      </c>
      <c r="DP119" s="259">
        <v>0.1</v>
      </c>
      <c r="DQ119" s="259">
        <v>0.1</v>
      </c>
      <c r="DR119" s="259">
        <v>0.1</v>
      </c>
      <c r="DS119" s="259">
        <v>0.1</v>
      </c>
      <c r="DT119" s="259">
        <v>0.1</v>
      </c>
      <c r="DU119" s="259">
        <v>0.1</v>
      </c>
      <c r="DV119" s="259">
        <v>0.1</v>
      </c>
      <c r="DW119" s="259">
        <v>0.1</v>
      </c>
      <c r="DX119" s="259">
        <v>0.1</v>
      </c>
      <c r="DY119" s="259">
        <v>0.1</v>
      </c>
      <c r="DZ119" s="259">
        <v>0.1</v>
      </c>
      <c r="EA119" s="259">
        <v>0.1</v>
      </c>
      <c r="EB119" s="259">
        <v>0.1</v>
      </c>
      <c r="EC119" s="259">
        <v>0.1</v>
      </c>
      <c r="ED119" s="259">
        <v>0.1</v>
      </c>
      <c r="EE119" s="260">
        <v>0.1</v>
      </c>
      <c r="EF119">
        <v>0.1</v>
      </c>
      <c r="EG119">
        <f t="shared" si="7"/>
        <v>0.1</v>
      </c>
      <c r="EJ119">
        <v>116</v>
      </c>
      <c r="EN119">
        <v>0.1</v>
      </c>
      <c r="EO119">
        <v>0.1</v>
      </c>
      <c r="EP119">
        <v>0.1</v>
      </c>
      <c r="EQ119">
        <v>0.1</v>
      </c>
      <c r="ER119">
        <v>0.1</v>
      </c>
      <c r="ES119">
        <v>0.1</v>
      </c>
      <c r="ET119">
        <v>0.1</v>
      </c>
      <c r="EU119">
        <v>0.1</v>
      </c>
      <c r="EV119">
        <v>0.1</v>
      </c>
      <c r="EW119">
        <v>0.1</v>
      </c>
      <c r="EX119">
        <v>0.1</v>
      </c>
      <c r="EY119">
        <v>0.1</v>
      </c>
      <c r="EZ119">
        <v>0.1</v>
      </c>
      <c r="FA119">
        <v>0.1</v>
      </c>
      <c r="FB119">
        <v>0.1</v>
      </c>
      <c r="FC119">
        <v>0.1</v>
      </c>
      <c r="FD119">
        <v>0.1</v>
      </c>
      <c r="FE119">
        <v>0.1</v>
      </c>
      <c r="FF119">
        <v>0.1</v>
      </c>
      <c r="FG119">
        <v>0.1</v>
      </c>
      <c r="FH119">
        <v>0.1</v>
      </c>
      <c r="FI119">
        <v>0.1</v>
      </c>
      <c r="FJ119">
        <v>0.1</v>
      </c>
      <c r="FK119">
        <v>0.1</v>
      </c>
      <c r="FL119">
        <v>0.1</v>
      </c>
      <c r="FM119">
        <v>0.1</v>
      </c>
      <c r="FN119">
        <v>0.1</v>
      </c>
      <c r="FO119">
        <v>0.1</v>
      </c>
      <c r="FP119">
        <v>0.1</v>
      </c>
      <c r="FQ119">
        <v>0.1</v>
      </c>
      <c r="FU119">
        <v>116</v>
      </c>
      <c r="GB119">
        <v>0.1</v>
      </c>
      <c r="GC119">
        <v>0.1</v>
      </c>
      <c r="GD119">
        <v>0.1</v>
      </c>
      <c r="GE119">
        <v>0.1</v>
      </c>
      <c r="GF119">
        <v>0.1</v>
      </c>
      <c r="GG119">
        <v>0.1</v>
      </c>
      <c r="GH119">
        <v>0.1</v>
      </c>
      <c r="GI119">
        <v>0.1</v>
      </c>
      <c r="GJ119">
        <v>0.1</v>
      </c>
      <c r="GK119">
        <v>0.1</v>
      </c>
      <c r="GL119">
        <v>0.1</v>
      </c>
      <c r="GM119">
        <v>0.1</v>
      </c>
      <c r="GN119">
        <v>0.1</v>
      </c>
      <c r="GO119">
        <v>0.1</v>
      </c>
      <c r="GP119">
        <v>0.1</v>
      </c>
      <c r="GQ119">
        <v>0.1</v>
      </c>
      <c r="GR119">
        <v>0.1</v>
      </c>
      <c r="GS119">
        <v>0.1</v>
      </c>
      <c r="GT119">
        <v>0.1</v>
      </c>
      <c r="GU119">
        <v>0.1</v>
      </c>
      <c r="GV119">
        <v>0.1</v>
      </c>
      <c r="GW119">
        <v>0.1</v>
      </c>
      <c r="GX119">
        <v>0.1</v>
      </c>
      <c r="GY119">
        <v>0.1</v>
      </c>
      <c r="GZ119">
        <v>0.1</v>
      </c>
      <c r="HA119">
        <v>0.1</v>
      </c>
      <c r="HB119">
        <v>0.1</v>
      </c>
      <c r="HC119">
        <v>0.1</v>
      </c>
      <c r="HD119">
        <v>0.1</v>
      </c>
      <c r="HE119">
        <v>0.1</v>
      </c>
      <c r="HF119">
        <v>0.1</v>
      </c>
      <c r="HG119">
        <v>0.1</v>
      </c>
      <c r="HH119">
        <v>0.1</v>
      </c>
      <c r="HI119">
        <v>0.1</v>
      </c>
      <c r="HJ119">
        <v>0.1</v>
      </c>
      <c r="HK119">
        <v>0.1</v>
      </c>
      <c r="HL119">
        <v>0.1</v>
      </c>
      <c r="HM119">
        <v>0.1</v>
      </c>
      <c r="HN119">
        <v>0.1</v>
      </c>
      <c r="HO119">
        <v>0.1</v>
      </c>
    </row>
    <row r="120" spans="1:223" ht="15.75" thickBot="1" x14ac:dyDescent="0.3">
      <c r="A120">
        <v>117</v>
      </c>
      <c r="B120" s="268">
        <v>3.55</v>
      </c>
      <c r="C120" s="268">
        <v>1.85</v>
      </c>
      <c r="D120" s="2"/>
      <c r="E120" s="2"/>
      <c r="F120" s="2"/>
      <c r="G120" s="2"/>
      <c r="H120" s="258">
        <v>0.1</v>
      </c>
      <c r="I120" s="259">
        <v>0.1</v>
      </c>
      <c r="J120" s="259">
        <v>0.1</v>
      </c>
      <c r="K120" s="259">
        <v>0.1</v>
      </c>
      <c r="L120" s="259">
        <v>0.1</v>
      </c>
      <c r="M120" s="259">
        <v>0.1</v>
      </c>
      <c r="N120" s="259">
        <v>0.1</v>
      </c>
      <c r="O120" s="259">
        <v>0.1</v>
      </c>
      <c r="P120" s="259">
        <v>0.1</v>
      </c>
      <c r="Q120" s="259">
        <v>0.1</v>
      </c>
      <c r="R120" s="259">
        <v>0.1</v>
      </c>
      <c r="S120" s="259">
        <v>0.1</v>
      </c>
      <c r="T120" s="259">
        <v>0.1</v>
      </c>
      <c r="U120" s="259">
        <v>0.1</v>
      </c>
      <c r="V120" s="259">
        <v>0.1</v>
      </c>
      <c r="W120" s="259">
        <v>0.1</v>
      </c>
      <c r="X120" s="259">
        <v>0.1</v>
      </c>
      <c r="Y120" s="259">
        <v>0.1</v>
      </c>
      <c r="Z120" s="259">
        <v>0.1</v>
      </c>
      <c r="AA120" s="259">
        <v>0.1</v>
      </c>
      <c r="AB120" s="259">
        <v>0.1</v>
      </c>
      <c r="AC120" s="259">
        <v>0.1</v>
      </c>
      <c r="AD120" s="259">
        <v>0.1</v>
      </c>
      <c r="AE120" s="259">
        <v>0.1</v>
      </c>
      <c r="AF120" s="259">
        <v>0.1</v>
      </c>
      <c r="AG120" s="259">
        <v>0.1</v>
      </c>
      <c r="AH120" s="259">
        <v>0.1</v>
      </c>
      <c r="AI120" s="259">
        <v>0.1</v>
      </c>
      <c r="AJ120" s="259">
        <v>0.1</v>
      </c>
      <c r="AK120" s="259">
        <v>0.1</v>
      </c>
      <c r="AL120" s="259">
        <v>0.1</v>
      </c>
      <c r="AM120" s="259">
        <v>0.1</v>
      </c>
      <c r="AN120" s="259">
        <v>0.1</v>
      </c>
      <c r="AO120" s="259">
        <v>0.1</v>
      </c>
      <c r="AP120" s="259">
        <v>0.1</v>
      </c>
      <c r="AQ120" s="260">
        <v>0.1</v>
      </c>
      <c r="AR120" s="258">
        <v>0.1</v>
      </c>
      <c r="AS120" s="259">
        <v>0.1</v>
      </c>
      <c r="AT120" s="259">
        <v>0.1</v>
      </c>
      <c r="AU120" s="259">
        <v>0.1</v>
      </c>
      <c r="AV120" s="259">
        <v>0.1</v>
      </c>
      <c r="AW120" s="259">
        <v>0.1</v>
      </c>
      <c r="AX120" s="259">
        <v>0.1</v>
      </c>
      <c r="AY120" s="259">
        <v>0.1</v>
      </c>
      <c r="AZ120" s="259">
        <v>0.1</v>
      </c>
      <c r="BA120" s="259">
        <v>0.1</v>
      </c>
      <c r="BB120" s="259">
        <v>0.1</v>
      </c>
      <c r="BC120" s="259">
        <v>0.1</v>
      </c>
      <c r="BD120" s="259">
        <v>0.1</v>
      </c>
      <c r="BE120" s="259">
        <v>0.1</v>
      </c>
      <c r="BF120" s="259">
        <v>0.1</v>
      </c>
      <c r="BG120" s="259">
        <v>0.1</v>
      </c>
      <c r="BH120" s="259">
        <v>0.1</v>
      </c>
      <c r="BI120" s="259">
        <v>0.1</v>
      </c>
      <c r="BJ120" s="260">
        <v>0.1</v>
      </c>
      <c r="BK120">
        <v>0.1</v>
      </c>
      <c r="BL120">
        <v>0.1</v>
      </c>
      <c r="BM120">
        <v>0.1</v>
      </c>
      <c r="BN120">
        <v>0.1</v>
      </c>
      <c r="BO120">
        <v>0.1</v>
      </c>
      <c r="BP120">
        <f t="shared" si="8"/>
        <v>0.5</v>
      </c>
      <c r="BS120">
        <v>117</v>
      </c>
      <c r="BT120" s="271">
        <v>3.98</v>
      </c>
      <c r="BU120" s="270">
        <v>1.85</v>
      </c>
      <c r="BV120" s="2"/>
      <c r="BX120" s="2"/>
      <c r="BY120" s="258">
        <v>0.1</v>
      </c>
      <c r="BZ120" s="259">
        <v>0.1</v>
      </c>
      <c r="CA120" s="259">
        <v>0.1</v>
      </c>
      <c r="CB120" s="259">
        <v>0.1</v>
      </c>
      <c r="CC120" s="259">
        <v>0.1</v>
      </c>
      <c r="CD120" s="259">
        <v>0.1</v>
      </c>
      <c r="CE120" s="259">
        <v>0.1</v>
      </c>
      <c r="CF120" s="259">
        <v>0.1</v>
      </c>
      <c r="CG120" s="259">
        <v>0.1</v>
      </c>
      <c r="CH120" s="259">
        <v>0.1</v>
      </c>
      <c r="CI120" s="259">
        <v>0.1</v>
      </c>
      <c r="CJ120" s="259">
        <v>0.1</v>
      </c>
      <c r="CK120" s="259">
        <v>0.1</v>
      </c>
      <c r="CL120" s="259">
        <v>0.1</v>
      </c>
      <c r="CM120" s="259">
        <v>0.1</v>
      </c>
      <c r="CN120" s="259">
        <v>0.1</v>
      </c>
      <c r="CO120" s="259">
        <v>0.1</v>
      </c>
      <c r="CP120" s="259">
        <v>0.1</v>
      </c>
      <c r="CQ120" s="259">
        <v>0.1</v>
      </c>
      <c r="CR120" s="259">
        <v>0.1</v>
      </c>
      <c r="CS120" s="259">
        <v>0.1</v>
      </c>
      <c r="CT120" s="259">
        <v>0.1</v>
      </c>
      <c r="CU120" s="259">
        <v>0.1</v>
      </c>
      <c r="CV120" s="259">
        <v>0.1</v>
      </c>
      <c r="CW120" s="259">
        <v>0.1</v>
      </c>
      <c r="CX120" s="259">
        <v>0.1</v>
      </c>
      <c r="CY120" s="259">
        <v>0.1</v>
      </c>
      <c r="CZ120" s="259">
        <v>0.1</v>
      </c>
      <c r="DA120" s="259">
        <v>0.1</v>
      </c>
      <c r="DB120" s="259">
        <v>0.1</v>
      </c>
      <c r="DC120" s="259">
        <v>0.1</v>
      </c>
      <c r="DD120" s="259">
        <v>0.1</v>
      </c>
      <c r="DE120" s="259">
        <v>0.1</v>
      </c>
      <c r="DF120" s="259">
        <v>0.1</v>
      </c>
      <c r="DG120" s="259">
        <v>0.1</v>
      </c>
      <c r="DH120" s="259">
        <v>0.1</v>
      </c>
      <c r="DI120" s="259">
        <v>0.1</v>
      </c>
      <c r="DJ120" s="259">
        <v>0.1</v>
      </c>
      <c r="DK120" s="259">
        <v>0.1</v>
      </c>
      <c r="DL120" s="260">
        <v>0.1</v>
      </c>
      <c r="DM120" s="258">
        <v>0.1</v>
      </c>
      <c r="DN120" s="259">
        <v>0.1</v>
      </c>
      <c r="DO120" s="259">
        <v>0.1</v>
      </c>
      <c r="DP120" s="259">
        <v>0.1</v>
      </c>
      <c r="DQ120" s="259">
        <v>0.1</v>
      </c>
      <c r="DR120" s="259">
        <v>0.1</v>
      </c>
      <c r="DS120" s="259">
        <v>0.1</v>
      </c>
      <c r="DT120" s="259">
        <v>0.1</v>
      </c>
      <c r="DU120" s="259">
        <v>0.1</v>
      </c>
      <c r="DV120" s="259">
        <v>0.1</v>
      </c>
      <c r="DW120" s="259">
        <v>0.1</v>
      </c>
      <c r="DX120" s="259">
        <v>0.1</v>
      </c>
      <c r="DY120" s="259">
        <v>0.1</v>
      </c>
      <c r="DZ120" s="259">
        <v>0.1</v>
      </c>
      <c r="EA120" s="259">
        <v>0.1</v>
      </c>
      <c r="EB120" s="259">
        <v>0.1</v>
      </c>
      <c r="EC120" s="259">
        <v>0.1</v>
      </c>
      <c r="ED120" s="259">
        <v>0.1</v>
      </c>
      <c r="EE120" s="260">
        <v>0.1</v>
      </c>
      <c r="EF120">
        <v>0.1</v>
      </c>
      <c r="EG120">
        <f t="shared" si="7"/>
        <v>0.1</v>
      </c>
      <c r="EJ120">
        <v>117</v>
      </c>
      <c r="EN120">
        <v>0.1</v>
      </c>
      <c r="EO120">
        <v>0.1</v>
      </c>
      <c r="EP120">
        <v>0.1</v>
      </c>
      <c r="EQ120">
        <v>0.1</v>
      </c>
      <c r="ER120">
        <v>0.1</v>
      </c>
      <c r="ES120">
        <v>0.1</v>
      </c>
      <c r="ET120">
        <v>0.1</v>
      </c>
      <c r="EU120">
        <v>0.1</v>
      </c>
      <c r="EV120">
        <v>0.1</v>
      </c>
      <c r="EW120">
        <v>0.1</v>
      </c>
      <c r="EX120">
        <v>0.1</v>
      </c>
      <c r="EY120">
        <v>0.1</v>
      </c>
      <c r="EZ120">
        <v>0.1</v>
      </c>
      <c r="FA120">
        <v>0.1</v>
      </c>
      <c r="FB120">
        <v>0.1</v>
      </c>
      <c r="FC120">
        <v>0.1</v>
      </c>
      <c r="FD120">
        <v>0.1</v>
      </c>
      <c r="FE120">
        <v>0.1</v>
      </c>
      <c r="FF120">
        <v>0.1</v>
      </c>
      <c r="FG120">
        <v>0.1</v>
      </c>
      <c r="FH120">
        <v>0.1</v>
      </c>
      <c r="FI120">
        <v>0.1</v>
      </c>
      <c r="FJ120">
        <v>0.1</v>
      </c>
      <c r="FK120">
        <v>0.1</v>
      </c>
      <c r="FL120">
        <v>0.1</v>
      </c>
      <c r="FM120">
        <v>0.1</v>
      </c>
      <c r="FN120">
        <v>0.1</v>
      </c>
      <c r="FO120">
        <v>0.1</v>
      </c>
      <c r="FP120">
        <v>0.1</v>
      </c>
      <c r="FQ120">
        <v>0.1</v>
      </c>
      <c r="FU120">
        <v>117</v>
      </c>
      <c r="GB120">
        <v>0.1</v>
      </c>
      <c r="GC120">
        <v>0.1</v>
      </c>
      <c r="GD120">
        <v>0.1</v>
      </c>
      <c r="GE120">
        <v>0.1</v>
      </c>
      <c r="GF120">
        <v>0.1</v>
      </c>
      <c r="GG120">
        <v>0.1</v>
      </c>
      <c r="GH120">
        <v>0.1</v>
      </c>
      <c r="GI120">
        <v>0.1</v>
      </c>
      <c r="GJ120">
        <v>0.1</v>
      </c>
      <c r="GK120">
        <v>0.1</v>
      </c>
      <c r="GL120">
        <v>0.1</v>
      </c>
      <c r="GM120">
        <v>0.1</v>
      </c>
      <c r="GN120">
        <v>0.1</v>
      </c>
      <c r="GO120">
        <v>0.1</v>
      </c>
      <c r="GP120">
        <v>0.1</v>
      </c>
      <c r="GQ120">
        <v>0.1</v>
      </c>
      <c r="GR120">
        <v>0.1</v>
      </c>
      <c r="GS120">
        <v>0.1</v>
      </c>
      <c r="GT120">
        <v>0.1</v>
      </c>
      <c r="GU120">
        <v>0.1</v>
      </c>
      <c r="GV120">
        <v>0.1</v>
      </c>
      <c r="GW120">
        <v>0.1</v>
      </c>
      <c r="GX120">
        <v>0.1</v>
      </c>
      <c r="GY120">
        <v>0.1</v>
      </c>
      <c r="GZ120">
        <v>0.1</v>
      </c>
      <c r="HA120">
        <v>0.1</v>
      </c>
      <c r="HB120">
        <v>0.1</v>
      </c>
      <c r="HC120">
        <v>0.1</v>
      </c>
      <c r="HD120">
        <v>0.1</v>
      </c>
      <c r="HE120">
        <v>0.1</v>
      </c>
      <c r="HF120">
        <v>0.1</v>
      </c>
      <c r="HG120">
        <v>0.1</v>
      </c>
      <c r="HH120">
        <v>0.1</v>
      </c>
      <c r="HI120">
        <v>0.1</v>
      </c>
      <c r="HJ120">
        <v>0.1</v>
      </c>
      <c r="HK120">
        <v>0.1</v>
      </c>
      <c r="HL120">
        <v>0.1</v>
      </c>
      <c r="HM120">
        <v>0.1</v>
      </c>
      <c r="HN120">
        <v>0.1</v>
      </c>
      <c r="HO120">
        <v>0.1</v>
      </c>
    </row>
    <row r="121" spans="1:223" ht="15.75" thickBot="1" x14ac:dyDescent="0.3">
      <c r="A121">
        <v>118</v>
      </c>
      <c r="B121" s="269">
        <v>3.55</v>
      </c>
      <c r="C121" s="269">
        <v>1.85</v>
      </c>
      <c r="D121" s="2"/>
      <c r="E121" s="2"/>
      <c r="F121" s="2"/>
      <c r="G121" s="2"/>
      <c r="H121" s="258">
        <v>0.1</v>
      </c>
      <c r="I121" s="259">
        <v>0.1</v>
      </c>
      <c r="J121" s="259">
        <v>0.1</v>
      </c>
      <c r="K121" s="259">
        <v>0.1</v>
      </c>
      <c r="L121" s="259">
        <v>0.1</v>
      </c>
      <c r="M121" s="259">
        <v>0.1</v>
      </c>
      <c r="N121" s="259">
        <v>0.1</v>
      </c>
      <c r="O121" s="259">
        <v>0.1</v>
      </c>
      <c r="P121" s="259">
        <v>0.1</v>
      </c>
      <c r="Q121" s="259">
        <v>0.1</v>
      </c>
      <c r="R121" s="259">
        <v>0.1</v>
      </c>
      <c r="S121" s="259">
        <v>0.1</v>
      </c>
      <c r="T121" s="259">
        <v>0.1</v>
      </c>
      <c r="U121" s="259">
        <v>0.1</v>
      </c>
      <c r="V121" s="259">
        <v>0.1</v>
      </c>
      <c r="W121" s="259">
        <v>0.1</v>
      </c>
      <c r="X121" s="259">
        <v>0.1</v>
      </c>
      <c r="Y121" s="259">
        <v>0.1</v>
      </c>
      <c r="Z121" s="259">
        <v>0.1</v>
      </c>
      <c r="AA121" s="259">
        <v>0.1</v>
      </c>
      <c r="AB121" s="259">
        <v>0.1</v>
      </c>
      <c r="AC121" s="259">
        <v>0.1</v>
      </c>
      <c r="AD121" s="259">
        <v>0.1</v>
      </c>
      <c r="AE121" s="259">
        <v>0.1</v>
      </c>
      <c r="AF121" s="259">
        <v>0.1</v>
      </c>
      <c r="AG121" s="259">
        <v>0.1</v>
      </c>
      <c r="AH121" s="259">
        <v>0.1</v>
      </c>
      <c r="AI121" s="259">
        <v>0.1</v>
      </c>
      <c r="AJ121" s="259">
        <v>0.1</v>
      </c>
      <c r="AK121" s="259">
        <v>0.1</v>
      </c>
      <c r="AL121" s="259">
        <v>0.1</v>
      </c>
      <c r="AM121" s="259">
        <v>0.1</v>
      </c>
      <c r="AN121" s="259">
        <v>0.1</v>
      </c>
      <c r="AO121" s="259">
        <v>0.1</v>
      </c>
      <c r="AP121" s="259">
        <v>0.1</v>
      </c>
      <c r="AQ121" s="260">
        <v>0.1</v>
      </c>
      <c r="AR121" s="258">
        <v>0.1</v>
      </c>
      <c r="AS121" s="259">
        <v>0.1</v>
      </c>
      <c r="AT121" s="259">
        <v>0.1</v>
      </c>
      <c r="AU121" s="259">
        <v>0.1</v>
      </c>
      <c r="AV121" s="259">
        <v>0.1</v>
      </c>
      <c r="AW121" s="259">
        <v>0.1</v>
      </c>
      <c r="AX121" s="259">
        <v>0.1</v>
      </c>
      <c r="AY121" s="259">
        <v>0.1</v>
      </c>
      <c r="AZ121" s="259">
        <v>0.1</v>
      </c>
      <c r="BA121" s="259">
        <v>0.1</v>
      </c>
      <c r="BB121" s="259">
        <v>0.1</v>
      </c>
      <c r="BC121" s="259">
        <v>0.1</v>
      </c>
      <c r="BD121" s="259">
        <v>0.1</v>
      </c>
      <c r="BE121" s="259">
        <v>0.1</v>
      </c>
      <c r="BF121" s="259">
        <v>0.1</v>
      </c>
      <c r="BG121" s="259">
        <v>0.1</v>
      </c>
      <c r="BH121" s="259">
        <v>0.1</v>
      </c>
      <c r="BI121" s="259">
        <v>0.1</v>
      </c>
      <c r="BJ121" s="260">
        <v>0.1</v>
      </c>
      <c r="BK121">
        <v>0.1</v>
      </c>
      <c r="BL121">
        <v>0.1</v>
      </c>
      <c r="BM121">
        <v>0.1</v>
      </c>
      <c r="BN121">
        <v>0.1</v>
      </c>
      <c r="BO121">
        <v>0.1</v>
      </c>
      <c r="BP121">
        <f t="shared" si="8"/>
        <v>0.5</v>
      </c>
      <c r="BS121">
        <v>118</v>
      </c>
      <c r="BT121" s="270">
        <v>3.97</v>
      </c>
      <c r="BU121" s="271">
        <v>1.85</v>
      </c>
      <c r="BV121" s="2"/>
      <c r="BX121" s="2"/>
      <c r="BY121" s="258">
        <v>0.1</v>
      </c>
      <c r="BZ121" s="259">
        <v>0.1</v>
      </c>
      <c r="CA121" s="259">
        <v>0.1</v>
      </c>
      <c r="CB121" s="259">
        <v>0.1</v>
      </c>
      <c r="CC121" s="259">
        <v>0.1</v>
      </c>
      <c r="CD121" s="259">
        <v>0.1</v>
      </c>
      <c r="CE121" s="259">
        <v>0.1</v>
      </c>
      <c r="CF121" s="259">
        <v>0.1</v>
      </c>
      <c r="CG121" s="259">
        <v>0.1</v>
      </c>
      <c r="CH121" s="259">
        <v>0.1</v>
      </c>
      <c r="CI121" s="259">
        <v>0.1</v>
      </c>
      <c r="CJ121" s="259">
        <v>0.1</v>
      </c>
      <c r="CK121" s="259">
        <v>0.1</v>
      </c>
      <c r="CL121" s="259">
        <v>0.1</v>
      </c>
      <c r="CM121" s="259">
        <v>0.1</v>
      </c>
      <c r="CN121" s="259">
        <v>0.1</v>
      </c>
      <c r="CO121" s="259">
        <v>0.1</v>
      </c>
      <c r="CP121" s="259">
        <v>0.1</v>
      </c>
      <c r="CQ121" s="259">
        <v>0.1</v>
      </c>
      <c r="CR121" s="259">
        <v>0.1</v>
      </c>
      <c r="CS121" s="259">
        <v>0.1</v>
      </c>
      <c r="CT121" s="259">
        <v>0.1</v>
      </c>
      <c r="CU121" s="259">
        <v>0.1</v>
      </c>
      <c r="CV121" s="259">
        <v>0.1</v>
      </c>
      <c r="CW121" s="259">
        <v>0.1</v>
      </c>
      <c r="CX121" s="259">
        <v>0.1</v>
      </c>
      <c r="CY121" s="259">
        <v>0.1</v>
      </c>
      <c r="CZ121" s="259">
        <v>0.1</v>
      </c>
      <c r="DA121" s="259">
        <v>0.1</v>
      </c>
      <c r="DB121" s="259">
        <v>0.1</v>
      </c>
      <c r="DC121" s="259">
        <v>0.1</v>
      </c>
      <c r="DD121" s="259">
        <v>0.1</v>
      </c>
      <c r="DE121" s="259">
        <v>0.1</v>
      </c>
      <c r="DF121" s="259">
        <v>0.1</v>
      </c>
      <c r="DG121" s="259">
        <v>0.1</v>
      </c>
      <c r="DH121" s="259">
        <v>0.1</v>
      </c>
      <c r="DI121" s="259">
        <v>0.1</v>
      </c>
      <c r="DJ121" s="259">
        <v>0.1</v>
      </c>
      <c r="DK121" s="259">
        <v>0.1</v>
      </c>
      <c r="DL121" s="260">
        <v>0.1</v>
      </c>
      <c r="DM121" s="258">
        <v>0.1</v>
      </c>
      <c r="DN121" s="259">
        <v>0.1</v>
      </c>
      <c r="DO121" s="259">
        <v>0.1</v>
      </c>
      <c r="DP121" s="259">
        <v>0.1</v>
      </c>
      <c r="DQ121" s="259">
        <v>0.1</v>
      </c>
      <c r="DR121" s="259">
        <v>0.1</v>
      </c>
      <c r="DS121" s="259">
        <v>0.1</v>
      </c>
      <c r="DT121" s="259">
        <v>0.1</v>
      </c>
      <c r="DU121" s="259">
        <v>0.1</v>
      </c>
      <c r="DV121" s="259">
        <v>0.1</v>
      </c>
      <c r="DW121" s="259">
        <v>0.1</v>
      </c>
      <c r="DX121" s="259">
        <v>0.1</v>
      </c>
      <c r="DY121" s="259">
        <v>0.1</v>
      </c>
      <c r="DZ121" s="259">
        <v>0.1</v>
      </c>
      <c r="EA121" s="259">
        <v>0.1</v>
      </c>
      <c r="EB121" s="259">
        <v>0.1</v>
      </c>
      <c r="EC121" s="259">
        <v>0.1</v>
      </c>
      <c r="ED121" s="259">
        <v>0.1</v>
      </c>
      <c r="EE121" s="260">
        <v>0.1</v>
      </c>
      <c r="EF121">
        <v>0.1</v>
      </c>
      <c r="EG121">
        <f t="shared" si="7"/>
        <v>0.1</v>
      </c>
      <c r="EJ121">
        <v>118</v>
      </c>
      <c r="EN121">
        <v>0.1</v>
      </c>
      <c r="EO121">
        <v>0.1</v>
      </c>
      <c r="EP121">
        <v>0.1</v>
      </c>
      <c r="EQ121">
        <v>0.1</v>
      </c>
      <c r="ER121">
        <v>0.1</v>
      </c>
      <c r="ES121">
        <v>0.1</v>
      </c>
      <c r="ET121">
        <v>0.1</v>
      </c>
      <c r="EU121">
        <v>0.1</v>
      </c>
      <c r="EV121">
        <v>0.1</v>
      </c>
      <c r="EW121">
        <v>0.1</v>
      </c>
      <c r="EX121">
        <v>0.1</v>
      </c>
      <c r="EY121">
        <v>0.1</v>
      </c>
      <c r="EZ121">
        <v>0.1</v>
      </c>
      <c r="FA121">
        <v>0.1</v>
      </c>
      <c r="FB121">
        <v>0.1</v>
      </c>
      <c r="FC121">
        <v>0.1</v>
      </c>
      <c r="FD121">
        <v>0.1</v>
      </c>
      <c r="FE121">
        <v>0.1</v>
      </c>
      <c r="FF121">
        <v>0.1</v>
      </c>
      <c r="FG121">
        <v>0.1</v>
      </c>
      <c r="FH121">
        <v>0.1</v>
      </c>
      <c r="FI121">
        <v>0.1</v>
      </c>
      <c r="FJ121">
        <v>0.1</v>
      </c>
      <c r="FK121">
        <v>0.1</v>
      </c>
      <c r="FL121">
        <v>0.1</v>
      </c>
      <c r="FM121">
        <v>0.1</v>
      </c>
      <c r="FN121">
        <v>0.1</v>
      </c>
      <c r="FO121">
        <v>0.1</v>
      </c>
      <c r="FP121">
        <v>0.1</v>
      </c>
      <c r="FQ121">
        <v>0.1</v>
      </c>
      <c r="FU121">
        <v>118</v>
      </c>
      <c r="GB121">
        <v>0.1</v>
      </c>
      <c r="GC121">
        <v>0.1</v>
      </c>
      <c r="GD121">
        <v>0.1</v>
      </c>
      <c r="GE121">
        <v>0.1</v>
      </c>
      <c r="GF121">
        <v>0.1</v>
      </c>
      <c r="GG121">
        <v>0.1</v>
      </c>
      <c r="GH121">
        <v>0.1</v>
      </c>
      <c r="GI121">
        <v>0.1</v>
      </c>
      <c r="GJ121">
        <v>0.1</v>
      </c>
      <c r="GK121">
        <v>0.1</v>
      </c>
      <c r="GL121">
        <v>0.1</v>
      </c>
      <c r="GM121">
        <v>0.1</v>
      </c>
      <c r="GN121">
        <v>0.1</v>
      </c>
      <c r="GO121">
        <v>0.1</v>
      </c>
      <c r="GP121">
        <v>0.1</v>
      </c>
      <c r="GQ121">
        <v>0.1</v>
      </c>
      <c r="GR121">
        <v>0.1</v>
      </c>
      <c r="GS121">
        <v>0.1</v>
      </c>
      <c r="GT121">
        <v>0.1</v>
      </c>
      <c r="GU121">
        <v>0.1</v>
      </c>
      <c r="GV121">
        <v>0.1</v>
      </c>
      <c r="GW121">
        <v>0.1</v>
      </c>
      <c r="GX121">
        <v>0.1</v>
      </c>
      <c r="GY121">
        <v>0.1</v>
      </c>
      <c r="GZ121">
        <v>0.1</v>
      </c>
      <c r="HA121">
        <v>0.1</v>
      </c>
      <c r="HB121">
        <v>0.1</v>
      </c>
      <c r="HC121">
        <v>0.1</v>
      </c>
      <c r="HD121">
        <v>0.1</v>
      </c>
      <c r="HE121">
        <v>0.1</v>
      </c>
      <c r="HF121">
        <v>0.1</v>
      </c>
      <c r="HG121">
        <v>0.1</v>
      </c>
      <c r="HH121">
        <v>0.1</v>
      </c>
      <c r="HI121">
        <v>0.1</v>
      </c>
      <c r="HJ121">
        <v>0.1</v>
      </c>
      <c r="HK121">
        <v>0.1</v>
      </c>
      <c r="HL121">
        <v>0.1</v>
      </c>
      <c r="HM121">
        <v>0.1</v>
      </c>
      <c r="HN121">
        <v>0.1</v>
      </c>
      <c r="HO121">
        <v>0.1</v>
      </c>
    </row>
    <row r="122" spans="1:223" ht="15.75" thickBot="1" x14ac:dyDescent="0.3">
      <c r="A122">
        <v>119</v>
      </c>
      <c r="B122" s="268">
        <v>3.55</v>
      </c>
      <c r="C122" s="268">
        <v>1.85</v>
      </c>
      <c r="D122" s="2"/>
      <c r="E122" s="2"/>
      <c r="F122" s="2"/>
      <c r="G122" s="2"/>
      <c r="H122" s="258">
        <v>0.1</v>
      </c>
      <c r="I122" s="259">
        <v>0.1</v>
      </c>
      <c r="J122" s="259">
        <v>0.1</v>
      </c>
      <c r="K122" s="259">
        <v>0.1</v>
      </c>
      <c r="L122" s="259">
        <v>0.1</v>
      </c>
      <c r="M122" s="259">
        <v>0.1</v>
      </c>
      <c r="N122" s="259">
        <v>0.1</v>
      </c>
      <c r="O122" s="259">
        <v>0.1</v>
      </c>
      <c r="P122" s="259">
        <v>0.1</v>
      </c>
      <c r="Q122" s="259">
        <v>0.1</v>
      </c>
      <c r="R122" s="259">
        <v>0.1</v>
      </c>
      <c r="S122" s="259">
        <v>0.1</v>
      </c>
      <c r="T122" s="259">
        <v>0.1</v>
      </c>
      <c r="U122" s="259">
        <v>0.1</v>
      </c>
      <c r="V122" s="259">
        <v>0.1</v>
      </c>
      <c r="W122" s="259">
        <v>0.1</v>
      </c>
      <c r="X122" s="259">
        <v>0.1</v>
      </c>
      <c r="Y122" s="259">
        <v>0.1</v>
      </c>
      <c r="Z122" s="259">
        <v>0.1</v>
      </c>
      <c r="AA122" s="259">
        <v>0.1</v>
      </c>
      <c r="AB122" s="259">
        <v>0.1</v>
      </c>
      <c r="AC122" s="259">
        <v>0.1</v>
      </c>
      <c r="AD122" s="259">
        <v>0.1</v>
      </c>
      <c r="AE122" s="259">
        <v>0.1</v>
      </c>
      <c r="AF122" s="259">
        <v>0.1</v>
      </c>
      <c r="AG122" s="259">
        <v>0.1</v>
      </c>
      <c r="AH122" s="259">
        <v>0.1</v>
      </c>
      <c r="AI122" s="259">
        <v>0.1</v>
      </c>
      <c r="AJ122" s="259">
        <v>0.1</v>
      </c>
      <c r="AK122" s="259">
        <v>0.1</v>
      </c>
      <c r="AL122" s="259">
        <v>0.1</v>
      </c>
      <c r="AM122" s="259">
        <v>0.1</v>
      </c>
      <c r="AN122" s="259">
        <v>0.1</v>
      </c>
      <c r="AO122" s="259">
        <v>0.1</v>
      </c>
      <c r="AP122" s="259">
        <v>0.1</v>
      </c>
      <c r="AQ122" s="260">
        <v>0.1</v>
      </c>
      <c r="AR122" s="258">
        <v>0.1</v>
      </c>
      <c r="AS122" s="259">
        <v>0.1</v>
      </c>
      <c r="AT122" s="259">
        <v>0.1</v>
      </c>
      <c r="AU122" s="259">
        <v>0.1</v>
      </c>
      <c r="AV122" s="259">
        <v>0.1</v>
      </c>
      <c r="AW122" s="259">
        <v>0.1</v>
      </c>
      <c r="AX122" s="259">
        <v>0.1</v>
      </c>
      <c r="AY122" s="259">
        <v>0.1</v>
      </c>
      <c r="AZ122" s="259">
        <v>0.1</v>
      </c>
      <c r="BA122" s="259">
        <v>0.1</v>
      </c>
      <c r="BB122" s="259">
        <v>0.1</v>
      </c>
      <c r="BC122" s="259">
        <v>0.1</v>
      </c>
      <c r="BD122" s="259">
        <v>0.1</v>
      </c>
      <c r="BE122" s="259">
        <v>0.1</v>
      </c>
      <c r="BF122" s="259">
        <v>0.1</v>
      </c>
      <c r="BG122" s="259">
        <v>0.1</v>
      </c>
      <c r="BH122" s="259">
        <v>0.1</v>
      </c>
      <c r="BI122" s="259">
        <v>0.1</v>
      </c>
      <c r="BJ122" s="260">
        <v>0.1</v>
      </c>
      <c r="BK122">
        <v>0.1</v>
      </c>
      <c r="BL122">
        <v>0.1</v>
      </c>
      <c r="BM122">
        <v>0.1</v>
      </c>
      <c r="BN122">
        <v>0.1</v>
      </c>
      <c r="BO122">
        <v>0.1</v>
      </c>
      <c r="BP122">
        <f t="shared" si="8"/>
        <v>0.5</v>
      </c>
      <c r="BS122">
        <v>119</v>
      </c>
      <c r="BT122" s="271">
        <v>3.97</v>
      </c>
      <c r="BU122" s="270">
        <v>1.86</v>
      </c>
      <c r="BV122" s="2"/>
      <c r="BX122" s="2"/>
      <c r="BY122" s="258">
        <v>0.1</v>
      </c>
      <c r="BZ122" s="259">
        <v>0.1</v>
      </c>
      <c r="CA122" s="259">
        <v>0.1</v>
      </c>
      <c r="CB122" s="259">
        <v>0.1</v>
      </c>
      <c r="CC122" s="259">
        <v>0.1</v>
      </c>
      <c r="CD122" s="259">
        <v>0.1</v>
      </c>
      <c r="CE122" s="259">
        <v>0.1</v>
      </c>
      <c r="CF122" s="259">
        <v>0.1</v>
      </c>
      <c r="CG122" s="259">
        <v>0.1</v>
      </c>
      <c r="CH122" s="259">
        <v>0.1</v>
      </c>
      <c r="CI122" s="259">
        <v>0.1</v>
      </c>
      <c r="CJ122" s="259">
        <v>0.1</v>
      </c>
      <c r="CK122" s="259">
        <v>0.1</v>
      </c>
      <c r="CL122" s="259">
        <v>0.1</v>
      </c>
      <c r="CM122" s="259">
        <v>0.1</v>
      </c>
      <c r="CN122" s="259">
        <v>0.1</v>
      </c>
      <c r="CO122" s="259">
        <v>0.1</v>
      </c>
      <c r="CP122" s="259">
        <v>0.1</v>
      </c>
      <c r="CQ122" s="259">
        <v>0.1</v>
      </c>
      <c r="CR122" s="259">
        <v>0.1</v>
      </c>
      <c r="CS122" s="259">
        <v>0.1</v>
      </c>
      <c r="CT122" s="259">
        <v>0.1</v>
      </c>
      <c r="CU122" s="259">
        <v>0.1</v>
      </c>
      <c r="CV122" s="259">
        <v>0.1</v>
      </c>
      <c r="CW122" s="259">
        <v>0.1</v>
      </c>
      <c r="CX122" s="259">
        <v>0.1</v>
      </c>
      <c r="CY122" s="259">
        <v>0.1</v>
      </c>
      <c r="CZ122" s="259">
        <v>0.1</v>
      </c>
      <c r="DA122" s="259">
        <v>0.1</v>
      </c>
      <c r="DB122" s="259">
        <v>0.1</v>
      </c>
      <c r="DC122" s="259">
        <v>0.1</v>
      </c>
      <c r="DD122" s="259">
        <v>0.1</v>
      </c>
      <c r="DE122" s="259">
        <v>0.1</v>
      </c>
      <c r="DF122" s="259">
        <v>0.1</v>
      </c>
      <c r="DG122" s="259">
        <v>0.1</v>
      </c>
      <c r="DH122" s="259">
        <v>0.1</v>
      </c>
      <c r="DI122" s="259">
        <v>0.1</v>
      </c>
      <c r="DJ122" s="259">
        <v>0.1</v>
      </c>
      <c r="DK122" s="259">
        <v>0.1</v>
      </c>
      <c r="DL122" s="260">
        <v>0.1</v>
      </c>
      <c r="DM122" s="258">
        <v>0.1</v>
      </c>
      <c r="DN122" s="259">
        <v>0.1</v>
      </c>
      <c r="DO122" s="259">
        <v>0.1</v>
      </c>
      <c r="DP122" s="259">
        <v>0.1</v>
      </c>
      <c r="DQ122" s="259">
        <v>0.1</v>
      </c>
      <c r="DR122" s="259">
        <v>0.1</v>
      </c>
      <c r="DS122" s="259">
        <v>0.1</v>
      </c>
      <c r="DT122" s="259">
        <v>0.1</v>
      </c>
      <c r="DU122" s="259">
        <v>0.1</v>
      </c>
      <c r="DV122" s="259">
        <v>0.1</v>
      </c>
      <c r="DW122" s="259">
        <v>0.1</v>
      </c>
      <c r="DX122" s="259">
        <v>0.1</v>
      </c>
      <c r="DY122" s="259">
        <v>0.1</v>
      </c>
      <c r="DZ122" s="259">
        <v>0.1</v>
      </c>
      <c r="EA122" s="259">
        <v>0.1</v>
      </c>
      <c r="EB122" s="259">
        <v>0.1</v>
      </c>
      <c r="EC122" s="259">
        <v>0.1</v>
      </c>
      <c r="ED122" s="259">
        <v>0.1</v>
      </c>
      <c r="EE122" s="260">
        <v>0.1</v>
      </c>
      <c r="EF122">
        <v>0.1</v>
      </c>
      <c r="EG122">
        <f t="shared" si="7"/>
        <v>0.1</v>
      </c>
      <c r="EJ122">
        <v>119</v>
      </c>
      <c r="EN122">
        <v>0.1</v>
      </c>
      <c r="EO122">
        <v>0.1</v>
      </c>
      <c r="EP122">
        <v>0.1</v>
      </c>
      <c r="EQ122">
        <v>0.1</v>
      </c>
      <c r="ER122">
        <v>0.1</v>
      </c>
      <c r="ES122">
        <v>0.1</v>
      </c>
      <c r="ET122">
        <v>0.1</v>
      </c>
      <c r="EU122">
        <v>0.1</v>
      </c>
      <c r="EV122">
        <v>0.1</v>
      </c>
      <c r="EW122">
        <v>0.1</v>
      </c>
      <c r="EX122">
        <v>0.1</v>
      </c>
      <c r="EY122">
        <v>0.1</v>
      </c>
      <c r="EZ122">
        <v>0.1</v>
      </c>
      <c r="FA122">
        <v>0.1</v>
      </c>
      <c r="FB122">
        <v>0.1</v>
      </c>
      <c r="FC122">
        <v>0.1</v>
      </c>
      <c r="FD122">
        <v>0.1</v>
      </c>
      <c r="FE122">
        <v>0.1</v>
      </c>
      <c r="FF122">
        <v>0.1</v>
      </c>
      <c r="FG122">
        <v>0.1</v>
      </c>
      <c r="FH122">
        <v>0.1</v>
      </c>
      <c r="FI122">
        <v>0.1</v>
      </c>
      <c r="FJ122">
        <v>0.1</v>
      </c>
      <c r="FK122">
        <v>0.1</v>
      </c>
      <c r="FL122">
        <v>0.1</v>
      </c>
      <c r="FM122">
        <v>0.1</v>
      </c>
      <c r="FN122">
        <v>0.1</v>
      </c>
      <c r="FO122">
        <v>0.1</v>
      </c>
      <c r="FP122">
        <v>0.1</v>
      </c>
      <c r="FQ122">
        <v>0.1</v>
      </c>
      <c r="FU122">
        <v>119</v>
      </c>
      <c r="GB122">
        <v>0.1</v>
      </c>
      <c r="GC122">
        <v>0.1</v>
      </c>
      <c r="GD122">
        <v>0.1</v>
      </c>
      <c r="GE122">
        <v>0.1</v>
      </c>
      <c r="GF122">
        <v>0.1</v>
      </c>
      <c r="GG122">
        <v>0.1</v>
      </c>
      <c r="GH122">
        <v>0.1</v>
      </c>
      <c r="GI122">
        <v>0.1</v>
      </c>
      <c r="GJ122">
        <v>0.1</v>
      </c>
      <c r="GK122">
        <v>0.1</v>
      </c>
      <c r="GL122">
        <v>0.1</v>
      </c>
      <c r="GM122">
        <v>0.1</v>
      </c>
      <c r="GN122">
        <v>0.1</v>
      </c>
      <c r="GO122">
        <v>0.1</v>
      </c>
      <c r="GP122">
        <v>0.1</v>
      </c>
      <c r="GQ122">
        <v>0.1</v>
      </c>
      <c r="GR122">
        <v>0.1</v>
      </c>
      <c r="GS122">
        <v>0.1</v>
      </c>
      <c r="GT122">
        <v>0.1</v>
      </c>
      <c r="GU122">
        <v>0.1</v>
      </c>
      <c r="GV122">
        <v>0.1</v>
      </c>
      <c r="GW122">
        <v>0.1</v>
      </c>
      <c r="GX122">
        <v>0.1</v>
      </c>
      <c r="GY122">
        <v>0.1</v>
      </c>
      <c r="GZ122">
        <v>0.1</v>
      </c>
      <c r="HA122">
        <v>0.1</v>
      </c>
      <c r="HB122">
        <v>0.1</v>
      </c>
      <c r="HC122">
        <v>0.1</v>
      </c>
      <c r="HD122">
        <v>0.1</v>
      </c>
      <c r="HE122">
        <v>0.1</v>
      </c>
      <c r="HF122">
        <v>0.1</v>
      </c>
      <c r="HG122">
        <v>0.1</v>
      </c>
      <c r="HH122">
        <v>0.1</v>
      </c>
      <c r="HI122">
        <v>0.1</v>
      </c>
      <c r="HJ122">
        <v>0.1</v>
      </c>
      <c r="HK122">
        <v>0.1</v>
      </c>
      <c r="HL122">
        <v>0.1</v>
      </c>
      <c r="HM122">
        <v>0.1</v>
      </c>
      <c r="HN122">
        <v>0.1</v>
      </c>
      <c r="HO122">
        <v>0.1</v>
      </c>
    </row>
    <row r="123" spans="1:223" ht="15.75" thickBot="1" x14ac:dyDescent="0.3">
      <c r="A123">
        <v>120</v>
      </c>
      <c r="B123" s="269">
        <v>3.55</v>
      </c>
      <c r="C123" s="269">
        <v>1.84</v>
      </c>
      <c r="D123" s="2"/>
      <c r="E123" s="2"/>
      <c r="F123" s="2"/>
      <c r="G123" s="2"/>
      <c r="H123" s="258">
        <v>0.1</v>
      </c>
      <c r="I123" s="259">
        <v>0.1</v>
      </c>
      <c r="J123" s="259">
        <v>0.1</v>
      </c>
      <c r="K123" s="259">
        <v>0.1</v>
      </c>
      <c r="L123" s="259">
        <v>0.1</v>
      </c>
      <c r="M123" s="259">
        <v>0.1</v>
      </c>
      <c r="N123" s="259">
        <v>0.1</v>
      </c>
      <c r="O123" s="259">
        <v>0.1</v>
      </c>
      <c r="P123" s="259">
        <v>0.1</v>
      </c>
      <c r="Q123" s="259">
        <v>0.1</v>
      </c>
      <c r="R123" s="259">
        <v>0.1</v>
      </c>
      <c r="S123" s="259">
        <v>0.1</v>
      </c>
      <c r="T123" s="259">
        <v>0.1</v>
      </c>
      <c r="U123" s="259">
        <v>0.1</v>
      </c>
      <c r="V123" s="259">
        <v>0.1</v>
      </c>
      <c r="W123" s="259">
        <v>0.1</v>
      </c>
      <c r="X123" s="259">
        <v>0.1</v>
      </c>
      <c r="Y123" s="259">
        <v>0.1</v>
      </c>
      <c r="Z123" s="259">
        <v>0.1</v>
      </c>
      <c r="AA123" s="259">
        <v>0.1</v>
      </c>
      <c r="AB123" s="259">
        <v>0.1</v>
      </c>
      <c r="AC123" s="259">
        <v>0.1</v>
      </c>
      <c r="AD123" s="259">
        <v>0.1</v>
      </c>
      <c r="AE123" s="259">
        <v>0.1</v>
      </c>
      <c r="AF123" s="259">
        <v>0.1</v>
      </c>
      <c r="AG123" s="259">
        <v>0.1</v>
      </c>
      <c r="AH123" s="259">
        <v>0.1</v>
      </c>
      <c r="AI123" s="259">
        <v>0.1</v>
      </c>
      <c r="AJ123" s="259">
        <v>0.1</v>
      </c>
      <c r="AK123" s="259">
        <v>0.1</v>
      </c>
      <c r="AL123" s="259">
        <v>0.1</v>
      </c>
      <c r="AM123" s="259">
        <v>0.1</v>
      </c>
      <c r="AN123" s="259">
        <v>0.1</v>
      </c>
      <c r="AO123" s="259">
        <v>0.1</v>
      </c>
      <c r="AP123" s="259">
        <v>0.1</v>
      </c>
      <c r="AQ123" s="260">
        <v>0.1</v>
      </c>
      <c r="AR123" s="258">
        <v>0.1</v>
      </c>
      <c r="AS123" s="259">
        <v>0.1</v>
      </c>
      <c r="AT123" s="259">
        <v>0.1</v>
      </c>
      <c r="AU123" s="259">
        <v>0.1</v>
      </c>
      <c r="AV123" s="259">
        <v>0.1</v>
      </c>
      <c r="AW123" s="259">
        <v>0.1</v>
      </c>
      <c r="AX123" s="259">
        <v>0.1</v>
      </c>
      <c r="AY123" s="259">
        <v>0.1</v>
      </c>
      <c r="AZ123" s="259">
        <v>0.1</v>
      </c>
      <c r="BA123" s="259">
        <v>0.1</v>
      </c>
      <c r="BB123" s="259">
        <v>0.1</v>
      </c>
      <c r="BC123" s="259">
        <v>0.1</v>
      </c>
      <c r="BD123" s="259">
        <v>0.1</v>
      </c>
      <c r="BE123" s="259">
        <v>0.1</v>
      </c>
      <c r="BF123" s="259">
        <v>0.1</v>
      </c>
      <c r="BG123" s="259">
        <v>0.1</v>
      </c>
      <c r="BH123" s="259">
        <v>0.1</v>
      </c>
      <c r="BI123" s="259">
        <v>0.1</v>
      </c>
      <c r="BJ123" s="260">
        <v>0.1</v>
      </c>
      <c r="BK123">
        <v>0.1</v>
      </c>
      <c r="BL123">
        <v>0.1</v>
      </c>
      <c r="BM123">
        <v>0.1</v>
      </c>
      <c r="BN123">
        <v>0.1</v>
      </c>
      <c r="BO123">
        <v>0.1</v>
      </c>
      <c r="BP123">
        <f t="shared" si="8"/>
        <v>0.5</v>
      </c>
      <c r="BS123">
        <v>120</v>
      </c>
      <c r="BT123" s="270">
        <v>3.97</v>
      </c>
      <c r="BU123" s="271">
        <v>1.9</v>
      </c>
      <c r="BV123" s="2"/>
      <c r="BX123" s="2"/>
      <c r="BY123" s="258">
        <v>0.1</v>
      </c>
      <c r="BZ123" s="259">
        <v>0.1</v>
      </c>
      <c r="CA123" s="259">
        <v>0.1</v>
      </c>
      <c r="CB123" s="259">
        <v>0.1</v>
      </c>
      <c r="CC123" s="259">
        <v>0.1</v>
      </c>
      <c r="CD123" s="259">
        <v>0.1</v>
      </c>
      <c r="CE123" s="259">
        <v>0.1</v>
      </c>
      <c r="CF123" s="259">
        <v>0.1</v>
      </c>
      <c r="CG123" s="259">
        <v>0.1</v>
      </c>
      <c r="CH123" s="259">
        <v>0.1</v>
      </c>
      <c r="CI123" s="259">
        <v>0.1</v>
      </c>
      <c r="CJ123" s="259">
        <v>0.1</v>
      </c>
      <c r="CK123" s="259">
        <v>0.1</v>
      </c>
      <c r="CL123" s="259">
        <v>0.1</v>
      </c>
      <c r="CM123" s="259">
        <v>0.1</v>
      </c>
      <c r="CN123" s="259">
        <v>0.1</v>
      </c>
      <c r="CO123" s="259">
        <v>0.1</v>
      </c>
      <c r="CP123" s="259">
        <v>0.1</v>
      </c>
      <c r="CQ123" s="259">
        <v>0.1</v>
      </c>
      <c r="CR123" s="259">
        <v>0.1</v>
      </c>
      <c r="CS123" s="259">
        <v>0.1</v>
      </c>
      <c r="CT123" s="259">
        <v>0.1</v>
      </c>
      <c r="CU123" s="259">
        <v>0.1</v>
      </c>
      <c r="CV123" s="259">
        <v>0.1</v>
      </c>
      <c r="CW123" s="259">
        <v>0.1</v>
      </c>
      <c r="CX123" s="259">
        <v>0.1</v>
      </c>
      <c r="CY123" s="259">
        <v>0.1</v>
      </c>
      <c r="CZ123" s="259">
        <v>0.1</v>
      </c>
      <c r="DA123" s="259">
        <v>0.1</v>
      </c>
      <c r="DB123" s="259">
        <v>0.1</v>
      </c>
      <c r="DC123" s="259">
        <v>0.1</v>
      </c>
      <c r="DD123" s="259">
        <v>0.1</v>
      </c>
      <c r="DE123" s="259">
        <v>0.1</v>
      </c>
      <c r="DF123" s="259">
        <v>0.1</v>
      </c>
      <c r="DG123" s="259">
        <v>0.1</v>
      </c>
      <c r="DH123" s="259">
        <v>0.1</v>
      </c>
      <c r="DI123" s="259">
        <v>0.1</v>
      </c>
      <c r="DJ123" s="259">
        <v>0.1</v>
      </c>
      <c r="DK123" s="259">
        <v>0.1</v>
      </c>
      <c r="DL123" s="260">
        <v>0.1</v>
      </c>
      <c r="DM123" s="258">
        <v>0.1</v>
      </c>
      <c r="DN123" s="259">
        <v>0.1</v>
      </c>
      <c r="DO123" s="259">
        <v>0.1</v>
      </c>
      <c r="DP123" s="259">
        <v>0.1</v>
      </c>
      <c r="DQ123" s="259">
        <v>0.1</v>
      </c>
      <c r="DR123" s="259">
        <v>0.1</v>
      </c>
      <c r="DS123" s="259">
        <v>0.1</v>
      </c>
      <c r="DT123" s="259">
        <v>0.1</v>
      </c>
      <c r="DU123" s="259">
        <v>0.1</v>
      </c>
      <c r="DV123" s="259">
        <v>0.1</v>
      </c>
      <c r="DW123" s="259">
        <v>0.1</v>
      </c>
      <c r="DX123" s="259">
        <v>0.1</v>
      </c>
      <c r="DY123" s="259">
        <v>0.1</v>
      </c>
      <c r="DZ123" s="259">
        <v>0.1</v>
      </c>
      <c r="EA123" s="259">
        <v>0.1</v>
      </c>
      <c r="EB123" s="259">
        <v>0.1</v>
      </c>
      <c r="EC123" s="259">
        <v>0.1</v>
      </c>
      <c r="ED123" s="259">
        <v>0.1</v>
      </c>
      <c r="EE123" s="260">
        <v>0.1</v>
      </c>
      <c r="EF123">
        <v>0.1</v>
      </c>
      <c r="EG123">
        <f t="shared" si="7"/>
        <v>0.1</v>
      </c>
      <c r="EJ123">
        <v>120</v>
      </c>
      <c r="EN123">
        <v>0.1</v>
      </c>
      <c r="EO123">
        <v>0.1</v>
      </c>
      <c r="EP123">
        <v>0.1</v>
      </c>
      <c r="EQ123">
        <v>0.1</v>
      </c>
      <c r="ER123">
        <v>0.1</v>
      </c>
      <c r="ES123">
        <v>0.1</v>
      </c>
      <c r="ET123">
        <v>0.1</v>
      </c>
      <c r="EU123">
        <v>0.1</v>
      </c>
      <c r="EV123">
        <v>0.1</v>
      </c>
      <c r="EW123">
        <v>0.1</v>
      </c>
      <c r="EX123">
        <v>0.1</v>
      </c>
      <c r="EY123">
        <v>0.1</v>
      </c>
      <c r="EZ123">
        <v>0.1</v>
      </c>
      <c r="FA123">
        <v>0.1</v>
      </c>
      <c r="FB123">
        <v>0.1</v>
      </c>
      <c r="FC123">
        <v>0.1</v>
      </c>
      <c r="FD123">
        <v>0.1</v>
      </c>
      <c r="FE123">
        <v>0.1</v>
      </c>
      <c r="FF123">
        <v>0.1</v>
      </c>
      <c r="FG123">
        <v>0.1</v>
      </c>
      <c r="FH123">
        <v>0.1</v>
      </c>
      <c r="FI123">
        <v>0.1</v>
      </c>
      <c r="FJ123">
        <v>0.1</v>
      </c>
      <c r="FK123">
        <v>0.1</v>
      </c>
      <c r="FL123">
        <v>0.1</v>
      </c>
      <c r="FM123">
        <v>0.1</v>
      </c>
      <c r="FN123">
        <v>0.1</v>
      </c>
      <c r="FO123">
        <v>0.1</v>
      </c>
      <c r="FP123">
        <v>0.1</v>
      </c>
      <c r="FQ123">
        <v>0.1</v>
      </c>
      <c r="FU123">
        <v>120</v>
      </c>
      <c r="GB123">
        <v>0.1</v>
      </c>
      <c r="GC123">
        <v>0.1</v>
      </c>
      <c r="GD123">
        <v>0.1</v>
      </c>
      <c r="GE123">
        <v>0.1</v>
      </c>
      <c r="GF123">
        <v>0.1</v>
      </c>
      <c r="GG123">
        <v>0.1</v>
      </c>
      <c r="GH123">
        <v>0.1</v>
      </c>
      <c r="GI123">
        <v>0.1</v>
      </c>
      <c r="GJ123">
        <v>0.1</v>
      </c>
      <c r="GK123">
        <v>0.1</v>
      </c>
      <c r="GL123">
        <v>0.1</v>
      </c>
      <c r="GM123">
        <v>0.1</v>
      </c>
      <c r="GN123">
        <v>0.1</v>
      </c>
      <c r="GO123">
        <v>0.1</v>
      </c>
      <c r="GP123">
        <v>0.1</v>
      </c>
      <c r="GQ123">
        <v>0.1</v>
      </c>
      <c r="GR123">
        <v>0.1</v>
      </c>
      <c r="GS123">
        <v>0.1</v>
      </c>
      <c r="GT123">
        <v>0.1</v>
      </c>
      <c r="GU123">
        <v>0.1</v>
      </c>
      <c r="GV123">
        <v>0.1</v>
      </c>
      <c r="GW123">
        <v>0.1</v>
      </c>
      <c r="GX123">
        <v>0.1</v>
      </c>
      <c r="GY123">
        <v>0.1</v>
      </c>
      <c r="GZ123">
        <v>0.1</v>
      </c>
      <c r="HA123">
        <v>0.1</v>
      </c>
      <c r="HB123">
        <v>0.1</v>
      </c>
      <c r="HC123">
        <v>0.1</v>
      </c>
      <c r="HD123">
        <v>0.1</v>
      </c>
      <c r="HE123">
        <v>0.1</v>
      </c>
      <c r="HF123">
        <v>0.1</v>
      </c>
      <c r="HG123">
        <v>0.1</v>
      </c>
      <c r="HH123">
        <v>0.1</v>
      </c>
      <c r="HI123">
        <v>0.1</v>
      </c>
      <c r="HJ123">
        <v>0.1</v>
      </c>
      <c r="HK123">
        <v>0.1</v>
      </c>
      <c r="HL123">
        <v>0.1</v>
      </c>
      <c r="HM123">
        <v>0.1</v>
      </c>
      <c r="HN123">
        <v>0.1</v>
      </c>
      <c r="HO123">
        <v>0.1</v>
      </c>
    </row>
    <row r="124" spans="1:223" ht="15.75" thickBot="1" x14ac:dyDescent="0.3">
      <c r="A124">
        <v>121</v>
      </c>
      <c r="B124" s="268">
        <v>3.55</v>
      </c>
      <c r="C124" s="268">
        <v>1.84</v>
      </c>
      <c r="D124" s="2"/>
      <c r="E124" s="2"/>
      <c r="F124" s="2"/>
      <c r="G124" s="2"/>
      <c r="H124" s="258">
        <v>0.1</v>
      </c>
      <c r="I124" s="259">
        <v>0.1</v>
      </c>
      <c r="J124" s="259">
        <v>0.1</v>
      </c>
      <c r="K124" s="259">
        <v>0.1</v>
      </c>
      <c r="L124" s="259">
        <v>0.1</v>
      </c>
      <c r="M124" s="259">
        <v>0.1</v>
      </c>
      <c r="N124" s="259">
        <v>0.1</v>
      </c>
      <c r="O124" s="259">
        <v>0.1</v>
      </c>
      <c r="P124" s="259">
        <v>0.1</v>
      </c>
      <c r="Q124" s="259">
        <v>0.1</v>
      </c>
      <c r="R124" s="259">
        <v>0.1</v>
      </c>
      <c r="S124" s="259">
        <v>0.1</v>
      </c>
      <c r="T124" s="259">
        <v>0.1</v>
      </c>
      <c r="U124" s="259">
        <v>0.1</v>
      </c>
      <c r="V124" s="259">
        <v>0.1</v>
      </c>
      <c r="W124" s="259">
        <v>0.1</v>
      </c>
      <c r="X124" s="259">
        <v>0.1</v>
      </c>
      <c r="Y124" s="259">
        <v>0.1</v>
      </c>
      <c r="Z124" s="259">
        <v>0.1</v>
      </c>
      <c r="AA124" s="259">
        <v>0.1</v>
      </c>
      <c r="AB124" s="259">
        <v>0.1</v>
      </c>
      <c r="AC124" s="259">
        <v>0.1</v>
      </c>
      <c r="AD124" s="259">
        <v>0.1</v>
      </c>
      <c r="AE124" s="259">
        <v>0.1</v>
      </c>
      <c r="AF124" s="259">
        <v>0.1</v>
      </c>
      <c r="AG124" s="259">
        <v>0.1</v>
      </c>
      <c r="AH124" s="259">
        <v>0.1</v>
      </c>
      <c r="AI124" s="259">
        <v>0.1</v>
      </c>
      <c r="AJ124" s="259">
        <v>0.1</v>
      </c>
      <c r="AK124" s="259">
        <v>0.1</v>
      </c>
      <c r="AL124" s="259">
        <v>0.1</v>
      </c>
      <c r="AM124" s="259">
        <v>0.1</v>
      </c>
      <c r="AN124" s="259">
        <v>0.1</v>
      </c>
      <c r="AO124" s="259">
        <v>0.1</v>
      </c>
      <c r="AP124" s="259">
        <v>0.1</v>
      </c>
      <c r="AQ124" s="260">
        <v>0.1</v>
      </c>
      <c r="AR124" s="258">
        <v>0.1</v>
      </c>
      <c r="AS124" s="259">
        <v>0.1</v>
      </c>
      <c r="AT124" s="259">
        <v>0.1</v>
      </c>
      <c r="AU124" s="259">
        <v>0.1</v>
      </c>
      <c r="AV124" s="259">
        <v>0.1</v>
      </c>
      <c r="AW124" s="259">
        <v>0.1</v>
      </c>
      <c r="AX124" s="259">
        <v>0.1</v>
      </c>
      <c r="AY124" s="259">
        <v>0.1</v>
      </c>
      <c r="AZ124" s="259">
        <v>0.1</v>
      </c>
      <c r="BA124" s="259">
        <v>0.1</v>
      </c>
      <c r="BB124" s="259">
        <v>0.1</v>
      </c>
      <c r="BC124" s="259">
        <v>0.1</v>
      </c>
      <c r="BD124" s="259">
        <v>0.1</v>
      </c>
      <c r="BE124" s="259">
        <v>0.1</v>
      </c>
      <c r="BF124" s="259">
        <v>0.1</v>
      </c>
      <c r="BG124" s="259">
        <v>0.1</v>
      </c>
      <c r="BH124" s="259">
        <v>0.1</v>
      </c>
      <c r="BI124" s="259">
        <v>0.1</v>
      </c>
      <c r="BJ124" s="260">
        <v>0.1</v>
      </c>
      <c r="BK124">
        <v>0.1</v>
      </c>
      <c r="BL124">
        <v>0.1</v>
      </c>
      <c r="BM124">
        <v>0.1</v>
      </c>
      <c r="BN124">
        <v>0.1</v>
      </c>
      <c r="BO124">
        <v>0.1</v>
      </c>
      <c r="BP124">
        <f t="shared" si="8"/>
        <v>0.5</v>
      </c>
      <c r="BS124">
        <v>121</v>
      </c>
      <c r="BT124" s="271">
        <v>3.97</v>
      </c>
      <c r="BU124" s="270">
        <v>1.91</v>
      </c>
      <c r="BV124" s="2"/>
      <c r="BW124" s="2"/>
      <c r="BX124" s="2"/>
      <c r="BY124" s="258">
        <v>0.1</v>
      </c>
      <c r="BZ124" s="259">
        <v>0.1</v>
      </c>
      <c r="CA124" s="259">
        <v>0.1</v>
      </c>
      <c r="CB124" s="259">
        <v>0.1</v>
      </c>
      <c r="CC124" s="259">
        <v>0.1</v>
      </c>
      <c r="CD124" s="259">
        <v>0.1</v>
      </c>
      <c r="CE124" s="259">
        <v>0.1</v>
      </c>
      <c r="CF124" s="259">
        <v>0.1</v>
      </c>
      <c r="CG124" s="259">
        <v>0.1</v>
      </c>
      <c r="CH124" s="259">
        <v>0.1</v>
      </c>
      <c r="CI124" s="259">
        <v>0.1</v>
      </c>
      <c r="CJ124" s="259">
        <v>0.1</v>
      </c>
      <c r="CK124" s="259">
        <v>0.1</v>
      </c>
      <c r="CL124" s="259">
        <v>0.1</v>
      </c>
      <c r="CM124" s="259">
        <v>0.1</v>
      </c>
      <c r="CN124" s="259">
        <v>0.1</v>
      </c>
      <c r="CO124" s="259">
        <v>0.1</v>
      </c>
      <c r="CP124" s="259">
        <v>0.1</v>
      </c>
      <c r="CQ124" s="259">
        <v>0.1</v>
      </c>
      <c r="CR124" s="259">
        <v>0.1</v>
      </c>
      <c r="CS124" s="259">
        <v>0.1</v>
      </c>
      <c r="CT124" s="259">
        <v>0.1</v>
      </c>
      <c r="CU124" s="259">
        <v>0.1</v>
      </c>
      <c r="CV124" s="259">
        <v>0.1</v>
      </c>
      <c r="CW124" s="259">
        <v>0.1</v>
      </c>
      <c r="CX124" s="259">
        <v>0.1</v>
      </c>
      <c r="CY124" s="259">
        <v>0.1</v>
      </c>
      <c r="CZ124" s="259">
        <v>0.1</v>
      </c>
      <c r="DA124" s="259">
        <v>0.1</v>
      </c>
      <c r="DB124" s="259">
        <v>0.1</v>
      </c>
      <c r="DC124" s="259">
        <v>0.1</v>
      </c>
      <c r="DD124" s="259">
        <v>0.1</v>
      </c>
      <c r="DE124" s="259">
        <v>0.1</v>
      </c>
      <c r="DF124" s="259">
        <v>0.1</v>
      </c>
      <c r="DG124" s="259">
        <v>0.1</v>
      </c>
      <c r="DH124" s="259">
        <v>0.1</v>
      </c>
      <c r="DI124" s="259">
        <v>0.1</v>
      </c>
      <c r="DJ124" s="259">
        <v>0.1</v>
      </c>
      <c r="DK124" s="259">
        <v>0.1</v>
      </c>
      <c r="DL124" s="260">
        <v>0.1</v>
      </c>
      <c r="DM124" s="258">
        <v>0.1</v>
      </c>
      <c r="DN124" s="259">
        <v>0.1</v>
      </c>
      <c r="DO124" s="259">
        <v>0.1</v>
      </c>
      <c r="DP124" s="259">
        <v>0.1</v>
      </c>
      <c r="DQ124" s="259">
        <v>0.1</v>
      </c>
      <c r="DR124" s="259">
        <v>0.1</v>
      </c>
      <c r="DS124" s="259">
        <v>0.1</v>
      </c>
      <c r="DT124" s="259">
        <v>0.1</v>
      </c>
      <c r="DU124" s="259">
        <v>0.1</v>
      </c>
      <c r="DV124" s="259">
        <v>0.1</v>
      </c>
      <c r="DW124" s="259">
        <v>0.1</v>
      </c>
      <c r="DX124" s="259">
        <v>0.1</v>
      </c>
      <c r="DY124" s="259">
        <v>0.1</v>
      </c>
      <c r="DZ124" s="259">
        <v>0.1</v>
      </c>
      <c r="EA124" s="259">
        <v>0.1</v>
      </c>
      <c r="EB124" s="259">
        <v>0.1</v>
      </c>
      <c r="EC124" s="259">
        <v>0.1</v>
      </c>
      <c r="ED124" s="259">
        <v>0.1</v>
      </c>
      <c r="EE124" s="259">
        <v>0.1</v>
      </c>
      <c r="EF124" s="260">
        <v>0.1</v>
      </c>
      <c r="EJ124">
        <v>121</v>
      </c>
      <c r="EN124">
        <v>0.1</v>
      </c>
      <c r="EO124">
        <v>0.1</v>
      </c>
      <c r="EP124">
        <v>0.1</v>
      </c>
      <c r="EQ124">
        <v>0.1</v>
      </c>
      <c r="ER124">
        <v>0.1</v>
      </c>
      <c r="ES124">
        <v>0.1</v>
      </c>
      <c r="ET124">
        <v>0.1</v>
      </c>
      <c r="EU124">
        <v>0.1</v>
      </c>
      <c r="EV124">
        <v>0.1</v>
      </c>
      <c r="EW124">
        <v>0.1</v>
      </c>
      <c r="EX124">
        <v>0.1</v>
      </c>
      <c r="EY124">
        <v>0.1</v>
      </c>
      <c r="EZ124">
        <v>0.1</v>
      </c>
      <c r="FA124">
        <v>0.1</v>
      </c>
      <c r="FB124">
        <v>0.1</v>
      </c>
      <c r="FC124">
        <v>0.1</v>
      </c>
      <c r="FD124">
        <v>0.1</v>
      </c>
      <c r="FE124">
        <v>0.1</v>
      </c>
      <c r="FF124">
        <v>0.1</v>
      </c>
      <c r="FG124">
        <v>0.1</v>
      </c>
      <c r="FH124">
        <v>0.1</v>
      </c>
      <c r="FI124">
        <v>0.1</v>
      </c>
      <c r="FJ124">
        <v>0.1</v>
      </c>
      <c r="FK124">
        <v>0.1</v>
      </c>
      <c r="FL124">
        <v>0.1</v>
      </c>
      <c r="FM124">
        <v>0.1</v>
      </c>
      <c r="FN124">
        <v>0.1</v>
      </c>
      <c r="FO124">
        <v>0.1</v>
      </c>
      <c r="FP124">
        <v>0.1</v>
      </c>
      <c r="FQ124">
        <v>0.1</v>
      </c>
      <c r="FU124">
        <v>121</v>
      </c>
      <c r="GB124">
        <v>0.1</v>
      </c>
      <c r="GC124">
        <v>0.1</v>
      </c>
      <c r="GD124">
        <v>0.1</v>
      </c>
      <c r="GE124">
        <v>0.1</v>
      </c>
      <c r="GF124">
        <v>0.1</v>
      </c>
      <c r="GG124">
        <v>0.1</v>
      </c>
      <c r="GH124">
        <v>0.1</v>
      </c>
      <c r="GI124">
        <v>0.1</v>
      </c>
      <c r="GJ124">
        <v>0.1</v>
      </c>
      <c r="GK124">
        <v>0.1</v>
      </c>
      <c r="GL124">
        <v>0.1</v>
      </c>
      <c r="GM124">
        <v>0.1</v>
      </c>
      <c r="GN124">
        <v>0.1</v>
      </c>
      <c r="GO124">
        <v>0.1</v>
      </c>
      <c r="GP124">
        <v>0.1</v>
      </c>
      <c r="GQ124">
        <v>0.1</v>
      </c>
      <c r="GR124">
        <v>0.1</v>
      </c>
      <c r="GS124">
        <v>0.1</v>
      </c>
      <c r="GT124">
        <v>0.1</v>
      </c>
      <c r="GU124">
        <v>0.1</v>
      </c>
      <c r="GV124">
        <v>0.1</v>
      </c>
      <c r="GW124">
        <v>0.1</v>
      </c>
      <c r="GX124">
        <v>0.1</v>
      </c>
      <c r="GY124">
        <v>0.1</v>
      </c>
      <c r="GZ124">
        <v>0.1</v>
      </c>
      <c r="HA124">
        <v>0.1</v>
      </c>
      <c r="HB124">
        <v>0.1</v>
      </c>
      <c r="HC124">
        <v>0.1</v>
      </c>
      <c r="HD124">
        <v>0.1</v>
      </c>
      <c r="HE124">
        <v>0.1</v>
      </c>
      <c r="HF124">
        <v>0.1</v>
      </c>
      <c r="HG124">
        <v>0.1</v>
      </c>
      <c r="HH124">
        <v>0.1</v>
      </c>
      <c r="HI124">
        <v>0.1</v>
      </c>
      <c r="HJ124">
        <v>0.1</v>
      </c>
      <c r="HK124">
        <v>0.1</v>
      </c>
      <c r="HL124">
        <v>0.1</v>
      </c>
      <c r="HM124">
        <v>0.1</v>
      </c>
      <c r="HN124">
        <v>0.1</v>
      </c>
      <c r="HO124">
        <v>0.1</v>
      </c>
    </row>
    <row r="125" spans="1:223" ht="15.75" thickBot="1" x14ac:dyDescent="0.3">
      <c r="A125">
        <v>122</v>
      </c>
      <c r="B125" s="269">
        <v>3.55</v>
      </c>
      <c r="C125" s="269">
        <v>1.84</v>
      </c>
      <c r="D125" s="2"/>
      <c r="E125" s="2"/>
      <c r="F125" s="2"/>
      <c r="G125" s="2"/>
      <c r="H125" s="258">
        <v>0.1</v>
      </c>
      <c r="I125" s="259">
        <v>0.1</v>
      </c>
      <c r="J125" s="259">
        <v>0.1</v>
      </c>
      <c r="K125" s="259">
        <v>0.1</v>
      </c>
      <c r="L125" s="259">
        <v>0.1</v>
      </c>
      <c r="M125" s="259">
        <v>0.1</v>
      </c>
      <c r="N125" s="259">
        <v>0.1</v>
      </c>
      <c r="O125" s="259">
        <v>0.1</v>
      </c>
      <c r="P125" s="259">
        <v>0.1</v>
      </c>
      <c r="Q125" s="259">
        <v>0.1</v>
      </c>
      <c r="R125" s="259">
        <v>0.1</v>
      </c>
      <c r="S125" s="259">
        <v>0.1</v>
      </c>
      <c r="T125" s="259">
        <v>0.1</v>
      </c>
      <c r="U125" s="259">
        <v>0.1</v>
      </c>
      <c r="V125" s="259">
        <v>0.1</v>
      </c>
      <c r="W125" s="259">
        <v>0.1</v>
      </c>
      <c r="X125" s="259">
        <v>0.1</v>
      </c>
      <c r="Y125" s="259">
        <v>0.1</v>
      </c>
      <c r="Z125" s="259">
        <v>0.1</v>
      </c>
      <c r="AA125" s="259">
        <v>0.1</v>
      </c>
      <c r="AB125" s="259">
        <v>0.1</v>
      </c>
      <c r="AC125" s="259">
        <v>0.1</v>
      </c>
      <c r="AD125" s="259">
        <v>0.1</v>
      </c>
      <c r="AE125" s="259">
        <v>0.1</v>
      </c>
      <c r="AF125" s="259">
        <v>0.1</v>
      </c>
      <c r="AG125" s="259">
        <v>0.1</v>
      </c>
      <c r="AH125" s="259">
        <v>0.1</v>
      </c>
      <c r="AI125" s="259">
        <v>0.1</v>
      </c>
      <c r="AJ125" s="259">
        <v>0.1</v>
      </c>
      <c r="AK125" s="259">
        <v>0.1</v>
      </c>
      <c r="AL125" s="259">
        <v>0.1</v>
      </c>
      <c r="AM125" s="259">
        <v>0.1</v>
      </c>
      <c r="AN125" s="259">
        <v>0.1</v>
      </c>
      <c r="AO125" s="259">
        <v>0.1</v>
      </c>
      <c r="AP125" s="259">
        <v>0.1</v>
      </c>
      <c r="AQ125" s="260">
        <v>0.1</v>
      </c>
      <c r="AR125" s="258">
        <v>0.1</v>
      </c>
      <c r="AS125" s="259">
        <v>0.1</v>
      </c>
      <c r="AT125" s="259">
        <v>0.1</v>
      </c>
      <c r="AU125" s="259">
        <v>0.1</v>
      </c>
      <c r="AV125" s="259">
        <v>0.1</v>
      </c>
      <c r="AW125" s="259">
        <v>0.1</v>
      </c>
      <c r="AX125" s="259">
        <v>0.1</v>
      </c>
      <c r="AY125" s="259">
        <v>0.1</v>
      </c>
      <c r="AZ125" s="259">
        <v>0.1</v>
      </c>
      <c r="BA125" s="259">
        <v>0.1</v>
      </c>
      <c r="BB125" s="259">
        <v>0.1</v>
      </c>
      <c r="BC125" s="259">
        <v>0.1</v>
      </c>
      <c r="BD125" s="259">
        <v>0.1</v>
      </c>
      <c r="BE125" s="259">
        <v>0.1</v>
      </c>
      <c r="BF125" s="259">
        <v>0.1</v>
      </c>
      <c r="BG125" s="259">
        <v>0.1</v>
      </c>
      <c r="BH125" s="259">
        <v>0.1</v>
      </c>
      <c r="BI125" s="259">
        <v>0.1</v>
      </c>
      <c r="BJ125" s="260">
        <v>0.1</v>
      </c>
      <c r="BK125">
        <v>0.1</v>
      </c>
      <c r="BL125">
        <v>0.1</v>
      </c>
      <c r="BM125">
        <v>0.1</v>
      </c>
      <c r="BN125">
        <v>0.1</v>
      </c>
      <c r="BO125">
        <v>0.1</v>
      </c>
      <c r="BP125">
        <f t="shared" si="8"/>
        <v>0.5</v>
      </c>
      <c r="BS125">
        <v>122</v>
      </c>
      <c r="BT125" s="270">
        <v>3.97</v>
      </c>
      <c r="BU125" s="271">
        <v>1.91</v>
      </c>
      <c r="BV125" s="2"/>
      <c r="BW125" s="2"/>
      <c r="BX125" s="2"/>
      <c r="BY125" s="258">
        <v>0.1</v>
      </c>
      <c r="BZ125" s="259">
        <v>0.1</v>
      </c>
      <c r="CA125" s="259">
        <v>0.1</v>
      </c>
      <c r="CB125" s="259">
        <v>0.1</v>
      </c>
      <c r="CC125" s="259">
        <v>0.1</v>
      </c>
      <c r="CD125" s="259">
        <v>0.1</v>
      </c>
      <c r="CE125" s="259">
        <v>0.1</v>
      </c>
      <c r="CF125" s="259">
        <v>0.1</v>
      </c>
      <c r="CG125" s="259">
        <v>0.1</v>
      </c>
      <c r="CH125" s="259">
        <v>0.1</v>
      </c>
      <c r="CI125" s="259">
        <v>0.1</v>
      </c>
      <c r="CJ125" s="259">
        <v>0.1</v>
      </c>
      <c r="CK125" s="259">
        <v>0.1</v>
      </c>
      <c r="CL125" s="259">
        <v>0.1</v>
      </c>
      <c r="CM125" s="259">
        <v>0.1</v>
      </c>
      <c r="CN125" s="259">
        <v>0.1</v>
      </c>
      <c r="CO125" s="259">
        <v>0.1</v>
      </c>
      <c r="CP125" s="259">
        <v>0.1</v>
      </c>
      <c r="CQ125" s="259">
        <v>0.1</v>
      </c>
      <c r="CR125" s="259">
        <v>0.1</v>
      </c>
      <c r="CS125" s="259">
        <v>0.1</v>
      </c>
      <c r="CT125" s="259">
        <v>0.1</v>
      </c>
      <c r="CU125" s="259">
        <v>0.1</v>
      </c>
      <c r="CV125" s="259">
        <v>0.1</v>
      </c>
      <c r="CW125" s="259">
        <v>0.1</v>
      </c>
      <c r="CX125" s="259">
        <v>0.1</v>
      </c>
      <c r="CY125" s="259">
        <v>0.1</v>
      </c>
      <c r="CZ125" s="259">
        <v>0.1</v>
      </c>
      <c r="DA125" s="259">
        <v>0.1</v>
      </c>
      <c r="DB125" s="259">
        <v>0.1</v>
      </c>
      <c r="DC125" s="259">
        <v>0.1</v>
      </c>
      <c r="DD125" s="259">
        <v>0.1</v>
      </c>
      <c r="DE125" s="259">
        <v>0.1</v>
      </c>
      <c r="DF125" s="259">
        <v>0.1</v>
      </c>
      <c r="DG125" s="259">
        <v>0.1</v>
      </c>
      <c r="DH125" s="259">
        <v>0.1</v>
      </c>
      <c r="DI125" s="259">
        <v>0.1</v>
      </c>
      <c r="DJ125" s="259">
        <v>0.1</v>
      </c>
      <c r="DK125" s="259">
        <v>0.1</v>
      </c>
      <c r="DL125" s="260">
        <v>0.1</v>
      </c>
      <c r="DM125" s="258">
        <v>0.1</v>
      </c>
      <c r="DN125" s="259">
        <v>0.1</v>
      </c>
      <c r="DO125" s="259">
        <v>0.1</v>
      </c>
      <c r="DP125" s="259">
        <v>0.1</v>
      </c>
      <c r="DQ125" s="259">
        <v>0.1</v>
      </c>
      <c r="DR125" s="259">
        <v>0.1</v>
      </c>
      <c r="DS125" s="259">
        <v>0.1</v>
      </c>
      <c r="DT125" s="259">
        <v>0.1</v>
      </c>
      <c r="DU125" s="259">
        <v>0.1</v>
      </c>
      <c r="DV125" s="259">
        <v>0.1</v>
      </c>
      <c r="DW125" s="259">
        <v>0.1</v>
      </c>
      <c r="DX125" s="259">
        <v>0.1</v>
      </c>
      <c r="DY125" s="259">
        <v>0.1</v>
      </c>
      <c r="DZ125" s="259">
        <v>0.1</v>
      </c>
      <c r="EA125" s="259">
        <v>0.1</v>
      </c>
      <c r="EB125" s="259">
        <v>0.1</v>
      </c>
      <c r="EC125" s="259">
        <v>0.1</v>
      </c>
      <c r="ED125" s="259">
        <v>0.1</v>
      </c>
      <c r="EE125" s="259">
        <v>0.1</v>
      </c>
      <c r="EF125" s="260">
        <v>0.1</v>
      </c>
      <c r="EJ125">
        <v>122</v>
      </c>
      <c r="EN125">
        <v>0.1</v>
      </c>
      <c r="EO125">
        <v>0.1</v>
      </c>
      <c r="EP125">
        <v>0.1</v>
      </c>
      <c r="EQ125">
        <v>0.1</v>
      </c>
      <c r="ER125">
        <v>0.1</v>
      </c>
      <c r="ES125">
        <v>0.1</v>
      </c>
      <c r="ET125">
        <v>0.1</v>
      </c>
      <c r="EU125">
        <v>0.1</v>
      </c>
      <c r="EV125">
        <v>0.1</v>
      </c>
      <c r="EW125">
        <v>0.1</v>
      </c>
      <c r="EX125">
        <v>0.1</v>
      </c>
      <c r="EY125">
        <v>0.1</v>
      </c>
      <c r="EZ125">
        <v>0.1</v>
      </c>
      <c r="FA125">
        <v>0.1</v>
      </c>
      <c r="FB125">
        <v>0.1</v>
      </c>
      <c r="FC125">
        <v>0.1</v>
      </c>
      <c r="FD125">
        <v>0.1</v>
      </c>
      <c r="FE125">
        <v>0.1</v>
      </c>
      <c r="FF125">
        <v>0.1</v>
      </c>
      <c r="FG125">
        <v>0.1</v>
      </c>
      <c r="FH125">
        <v>0.1</v>
      </c>
      <c r="FI125">
        <v>0.1</v>
      </c>
      <c r="FJ125">
        <v>0.1</v>
      </c>
      <c r="FK125">
        <v>0.1</v>
      </c>
      <c r="FL125">
        <v>0.1</v>
      </c>
      <c r="FM125">
        <v>0.1</v>
      </c>
      <c r="FN125">
        <v>0.1</v>
      </c>
      <c r="FO125">
        <v>0.1</v>
      </c>
      <c r="FP125">
        <v>0.1</v>
      </c>
      <c r="FQ125">
        <v>0.1</v>
      </c>
      <c r="FU125">
        <v>122</v>
      </c>
      <c r="GB125">
        <v>0.1</v>
      </c>
      <c r="GC125">
        <v>0.1</v>
      </c>
      <c r="GD125">
        <v>0.1</v>
      </c>
      <c r="GE125">
        <v>0.1</v>
      </c>
      <c r="GF125">
        <v>0.1</v>
      </c>
      <c r="GG125">
        <v>0.1</v>
      </c>
      <c r="GH125">
        <v>0.1</v>
      </c>
      <c r="GI125">
        <v>0.1</v>
      </c>
      <c r="GJ125">
        <v>0.1</v>
      </c>
      <c r="GK125">
        <v>0.1</v>
      </c>
      <c r="GL125">
        <v>0.1</v>
      </c>
      <c r="GM125">
        <v>0.1</v>
      </c>
      <c r="GN125">
        <v>0.1</v>
      </c>
      <c r="GO125">
        <v>0.1</v>
      </c>
      <c r="GP125">
        <v>0.1</v>
      </c>
      <c r="GQ125">
        <v>0.1</v>
      </c>
      <c r="GR125">
        <v>0.1</v>
      </c>
      <c r="GS125">
        <v>0.1</v>
      </c>
      <c r="GT125">
        <v>0.1</v>
      </c>
      <c r="GU125">
        <v>0.1</v>
      </c>
      <c r="GV125">
        <v>0.1</v>
      </c>
      <c r="GW125">
        <v>0.1</v>
      </c>
      <c r="GX125">
        <v>0.1</v>
      </c>
      <c r="GY125">
        <v>0.1</v>
      </c>
      <c r="GZ125">
        <v>0.1</v>
      </c>
      <c r="HA125">
        <v>0.1</v>
      </c>
      <c r="HB125">
        <v>0.1</v>
      </c>
      <c r="HC125">
        <v>0.1</v>
      </c>
      <c r="HD125">
        <v>0.1</v>
      </c>
      <c r="HE125">
        <v>0.1</v>
      </c>
      <c r="HF125">
        <v>0.1</v>
      </c>
      <c r="HG125">
        <v>0.1</v>
      </c>
      <c r="HH125">
        <v>0.1</v>
      </c>
      <c r="HI125">
        <v>0.1</v>
      </c>
      <c r="HJ125">
        <v>0.1</v>
      </c>
      <c r="HK125">
        <v>0.1</v>
      </c>
      <c r="HL125">
        <v>0.1</v>
      </c>
      <c r="HM125">
        <v>0.1</v>
      </c>
      <c r="HN125">
        <v>0.1</v>
      </c>
      <c r="HO125">
        <v>0.1</v>
      </c>
    </row>
    <row r="126" spans="1:223" ht="15.75" thickBot="1" x14ac:dyDescent="0.3">
      <c r="A126">
        <v>123</v>
      </c>
      <c r="B126" s="268">
        <v>3.55</v>
      </c>
      <c r="C126" s="268">
        <v>1.84</v>
      </c>
      <c r="D126" s="2"/>
      <c r="E126" s="2"/>
      <c r="F126" s="2"/>
      <c r="G126" s="2"/>
      <c r="H126" s="258">
        <v>0.1</v>
      </c>
      <c r="I126" s="259">
        <v>0.1</v>
      </c>
      <c r="J126" s="259">
        <v>0.1</v>
      </c>
      <c r="K126" s="259">
        <v>0.1</v>
      </c>
      <c r="L126" s="259">
        <v>0.1</v>
      </c>
      <c r="M126" s="259">
        <v>0.1</v>
      </c>
      <c r="N126" s="259">
        <v>0.1</v>
      </c>
      <c r="O126" s="259">
        <v>0.1</v>
      </c>
      <c r="P126" s="259">
        <v>0.1</v>
      </c>
      <c r="Q126" s="259">
        <v>0.1</v>
      </c>
      <c r="R126" s="259">
        <v>0.1</v>
      </c>
      <c r="S126" s="259">
        <v>0.1</v>
      </c>
      <c r="T126" s="259">
        <v>0.1</v>
      </c>
      <c r="U126" s="259">
        <v>0.1</v>
      </c>
      <c r="V126" s="259">
        <v>0.1</v>
      </c>
      <c r="W126" s="259">
        <v>0.1</v>
      </c>
      <c r="X126" s="259">
        <v>0.1</v>
      </c>
      <c r="Y126" s="259">
        <v>0.1</v>
      </c>
      <c r="Z126" s="259">
        <v>0.1</v>
      </c>
      <c r="AA126" s="259">
        <v>0.1</v>
      </c>
      <c r="AB126" s="259">
        <v>0.1</v>
      </c>
      <c r="AC126" s="259">
        <v>0.1</v>
      </c>
      <c r="AD126" s="259">
        <v>0.1</v>
      </c>
      <c r="AE126" s="259">
        <v>0.1</v>
      </c>
      <c r="AF126" s="259">
        <v>0.1</v>
      </c>
      <c r="AG126" s="259">
        <v>0.1</v>
      </c>
      <c r="AH126" s="259">
        <v>0.1</v>
      </c>
      <c r="AI126" s="259">
        <v>0.1</v>
      </c>
      <c r="AJ126" s="259">
        <v>0.1</v>
      </c>
      <c r="AK126" s="259">
        <v>0.1</v>
      </c>
      <c r="AL126" s="259">
        <v>0.1</v>
      </c>
      <c r="AM126" s="259">
        <v>0.1</v>
      </c>
      <c r="AN126" s="259">
        <v>0.1</v>
      </c>
      <c r="AO126" s="259">
        <v>0.1</v>
      </c>
      <c r="AP126" s="259">
        <v>0.1</v>
      </c>
      <c r="AQ126" s="260">
        <v>0.1</v>
      </c>
      <c r="AR126" s="258">
        <v>0.1</v>
      </c>
      <c r="AS126" s="259">
        <v>0.1</v>
      </c>
      <c r="AT126" s="259">
        <v>0.1</v>
      </c>
      <c r="AU126" s="259">
        <v>0.1</v>
      </c>
      <c r="AV126" s="259">
        <v>0.1</v>
      </c>
      <c r="AW126" s="259">
        <v>0.1</v>
      </c>
      <c r="AX126" s="259">
        <v>0.1</v>
      </c>
      <c r="AY126" s="259">
        <v>0.1</v>
      </c>
      <c r="AZ126" s="259">
        <v>0.1</v>
      </c>
      <c r="BA126" s="259">
        <v>0.1</v>
      </c>
      <c r="BB126" s="259">
        <v>0.1</v>
      </c>
      <c r="BC126" s="259">
        <v>0.1</v>
      </c>
      <c r="BD126" s="259">
        <v>0.1</v>
      </c>
      <c r="BE126" s="259">
        <v>0.1</v>
      </c>
      <c r="BF126" s="259">
        <v>0.1</v>
      </c>
      <c r="BG126" s="259">
        <v>0.1</v>
      </c>
      <c r="BH126" s="259">
        <v>0.1</v>
      </c>
      <c r="BI126" s="259">
        <v>0.1</v>
      </c>
      <c r="BJ126" s="260">
        <v>0.1</v>
      </c>
      <c r="BK126">
        <v>0.1</v>
      </c>
      <c r="BL126">
        <v>0.1</v>
      </c>
      <c r="BM126">
        <v>0.1</v>
      </c>
      <c r="BN126">
        <v>0.1</v>
      </c>
      <c r="BO126">
        <v>0.1</v>
      </c>
      <c r="BP126">
        <f t="shared" si="8"/>
        <v>0.5</v>
      </c>
      <c r="BS126">
        <v>123</v>
      </c>
      <c r="BT126" s="271">
        <v>3.97</v>
      </c>
      <c r="BU126" s="270">
        <v>1.93</v>
      </c>
      <c r="BV126" s="2"/>
      <c r="BW126" s="2"/>
      <c r="BX126" s="2"/>
      <c r="BY126" s="258">
        <v>0.1</v>
      </c>
      <c r="BZ126" s="259">
        <v>0.1</v>
      </c>
      <c r="CA126" s="259">
        <v>0.1</v>
      </c>
      <c r="CB126" s="259">
        <v>0.1</v>
      </c>
      <c r="CC126" s="259">
        <v>0.1</v>
      </c>
      <c r="CD126" s="259">
        <v>0.1</v>
      </c>
      <c r="CE126" s="259">
        <v>0.1</v>
      </c>
      <c r="CF126" s="259">
        <v>0.1</v>
      </c>
      <c r="CG126" s="259">
        <v>0.1</v>
      </c>
      <c r="CH126" s="259">
        <v>0.1</v>
      </c>
      <c r="CI126" s="259">
        <v>0.1</v>
      </c>
      <c r="CJ126" s="259">
        <v>0.1</v>
      </c>
      <c r="CK126" s="259">
        <v>0.1</v>
      </c>
      <c r="CL126" s="259">
        <v>0.1</v>
      </c>
      <c r="CM126" s="259">
        <v>0.1</v>
      </c>
      <c r="CN126" s="259">
        <v>0.1</v>
      </c>
      <c r="CO126" s="259">
        <v>0.1</v>
      </c>
      <c r="CP126" s="259">
        <v>0.1</v>
      </c>
      <c r="CQ126" s="259">
        <v>0.1</v>
      </c>
      <c r="CR126" s="259">
        <v>0.1</v>
      </c>
      <c r="CS126" s="259">
        <v>0.1</v>
      </c>
      <c r="CT126" s="259">
        <v>0.1</v>
      </c>
      <c r="CU126" s="259">
        <v>0.1</v>
      </c>
      <c r="CV126" s="259">
        <v>0.1</v>
      </c>
      <c r="CW126" s="259">
        <v>0.1</v>
      </c>
      <c r="CX126" s="259">
        <v>0.1</v>
      </c>
      <c r="CY126" s="259">
        <v>0.1</v>
      </c>
      <c r="CZ126" s="259">
        <v>0.1</v>
      </c>
      <c r="DA126" s="259">
        <v>0.1</v>
      </c>
      <c r="DB126" s="259">
        <v>0.1</v>
      </c>
      <c r="DC126" s="259">
        <v>0.1</v>
      </c>
      <c r="DD126" s="259">
        <v>0.1</v>
      </c>
      <c r="DE126" s="259">
        <v>0.1</v>
      </c>
      <c r="DF126" s="259">
        <v>0.1</v>
      </c>
      <c r="DG126" s="259">
        <v>0.1</v>
      </c>
      <c r="DH126" s="259">
        <v>0.1</v>
      </c>
      <c r="DI126" s="259">
        <v>0.1</v>
      </c>
      <c r="DJ126" s="259">
        <v>0.1</v>
      </c>
      <c r="DK126" s="259">
        <v>0.1</v>
      </c>
      <c r="DL126" s="260">
        <v>0.1</v>
      </c>
      <c r="DM126" s="258">
        <v>0.1</v>
      </c>
      <c r="DN126" s="259">
        <v>0.1</v>
      </c>
      <c r="DO126" s="259">
        <v>0.1</v>
      </c>
      <c r="DP126" s="259">
        <v>0.1</v>
      </c>
      <c r="DQ126" s="259">
        <v>0.1</v>
      </c>
      <c r="DR126" s="259">
        <v>0.1</v>
      </c>
      <c r="DS126" s="259">
        <v>0.1</v>
      </c>
      <c r="DT126" s="259">
        <v>0.1</v>
      </c>
      <c r="DU126" s="259">
        <v>0.1</v>
      </c>
      <c r="DV126" s="259">
        <v>0.1</v>
      </c>
      <c r="DW126" s="259">
        <v>0.1</v>
      </c>
      <c r="DX126" s="259">
        <v>0.1</v>
      </c>
      <c r="DY126" s="259">
        <v>0.1</v>
      </c>
      <c r="DZ126" s="259">
        <v>0.1</v>
      </c>
      <c r="EA126" s="259">
        <v>0.1</v>
      </c>
      <c r="EB126" s="259">
        <v>0.1</v>
      </c>
      <c r="EC126" s="259">
        <v>0.1</v>
      </c>
      <c r="ED126" s="259">
        <v>0.1</v>
      </c>
      <c r="EE126" s="259">
        <v>0.1</v>
      </c>
      <c r="EF126" s="260">
        <v>0.1</v>
      </c>
      <c r="EJ126">
        <v>123</v>
      </c>
      <c r="EN126">
        <v>0.1</v>
      </c>
      <c r="EO126">
        <v>0.1</v>
      </c>
      <c r="EP126">
        <v>0.1</v>
      </c>
      <c r="EQ126">
        <v>0.1</v>
      </c>
      <c r="ER126">
        <v>0.1</v>
      </c>
      <c r="ES126">
        <v>0.1</v>
      </c>
      <c r="ET126">
        <v>0.1</v>
      </c>
      <c r="EU126">
        <v>0.1</v>
      </c>
      <c r="EV126">
        <v>0.1</v>
      </c>
      <c r="EW126">
        <v>0.1</v>
      </c>
      <c r="EX126">
        <v>0.1</v>
      </c>
      <c r="EY126">
        <v>0.1</v>
      </c>
      <c r="EZ126">
        <v>0.1</v>
      </c>
      <c r="FA126">
        <v>0.1</v>
      </c>
      <c r="FB126">
        <v>0.1</v>
      </c>
      <c r="FC126">
        <v>0.1</v>
      </c>
      <c r="FD126">
        <v>0.1</v>
      </c>
      <c r="FE126">
        <v>0.1</v>
      </c>
      <c r="FF126">
        <v>0.1</v>
      </c>
      <c r="FG126">
        <v>0.1</v>
      </c>
      <c r="FH126">
        <v>0.1</v>
      </c>
      <c r="FI126">
        <v>0.1</v>
      </c>
      <c r="FJ126">
        <v>0.1</v>
      </c>
      <c r="FK126">
        <v>0.1</v>
      </c>
      <c r="FL126">
        <v>0.1</v>
      </c>
      <c r="FM126">
        <v>0.1</v>
      </c>
      <c r="FN126">
        <v>0.1</v>
      </c>
      <c r="FO126">
        <v>0.1</v>
      </c>
      <c r="FP126">
        <v>0.1</v>
      </c>
      <c r="FQ126">
        <v>0.1</v>
      </c>
      <c r="FU126">
        <v>123</v>
      </c>
      <c r="GB126">
        <v>0.1</v>
      </c>
      <c r="GC126">
        <v>0.1</v>
      </c>
      <c r="GD126">
        <v>0.1</v>
      </c>
      <c r="GE126">
        <v>0.1</v>
      </c>
      <c r="GF126">
        <v>0.1</v>
      </c>
      <c r="GG126">
        <v>0.1</v>
      </c>
      <c r="GH126">
        <v>0.1</v>
      </c>
      <c r="GI126">
        <v>0.1</v>
      </c>
      <c r="GJ126">
        <v>0.1</v>
      </c>
      <c r="GK126">
        <v>0.1</v>
      </c>
      <c r="GL126">
        <v>0.1</v>
      </c>
      <c r="GM126">
        <v>0.1</v>
      </c>
      <c r="GN126">
        <v>0.1</v>
      </c>
      <c r="GO126">
        <v>0.1</v>
      </c>
      <c r="GP126">
        <v>0.1</v>
      </c>
      <c r="GQ126">
        <v>0.1</v>
      </c>
      <c r="GR126">
        <v>0.1</v>
      </c>
      <c r="GS126">
        <v>0.1</v>
      </c>
      <c r="GT126">
        <v>0.1</v>
      </c>
      <c r="GU126">
        <v>0.1</v>
      </c>
      <c r="GV126">
        <v>0.1</v>
      </c>
      <c r="GW126">
        <v>0.1</v>
      </c>
      <c r="GX126">
        <v>0.1</v>
      </c>
      <c r="GY126">
        <v>0.1</v>
      </c>
      <c r="GZ126">
        <v>0.1</v>
      </c>
      <c r="HA126">
        <v>0.1</v>
      </c>
      <c r="HB126">
        <v>0.1</v>
      </c>
      <c r="HC126">
        <v>0.1</v>
      </c>
      <c r="HD126">
        <v>0.1</v>
      </c>
      <c r="HE126">
        <v>0.1</v>
      </c>
      <c r="HF126">
        <v>0.1</v>
      </c>
      <c r="HG126">
        <v>0.1</v>
      </c>
      <c r="HH126">
        <v>0.1</v>
      </c>
      <c r="HI126">
        <v>0.1</v>
      </c>
      <c r="HJ126">
        <v>0.1</v>
      </c>
      <c r="HK126">
        <v>0.1</v>
      </c>
      <c r="HL126">
        <v>0.1</v>
      </c>
      <c r="HM126">
        <v>0.1</v>
      </c>
      <c r="HN126">
        <v>0.1</v>
      </c>
      <c r="HO126">
        <v>0.1</v>
      </c>
    </row>
    <row r="127" spans="1:223" ht="15.75" thickBot="1" x14ac:dyDescent="0.3">
      <c r="A127">
        <v>124</v>
      </c>
      <c r="B127" s="269">
        <v>3.55</v>
      </c>
      <c r="C127" s="269">
        <v>1.84</v>
      </c>
      <c r="D127" s="2"/>
      <c r="E127" s="2"/>
      <c r="F127" s="2"/>
      <c r="G127" s="2"/>
      <c r="H127" s="258">
        <v>0.1</v>
      </c>
      <c r="I127" s="259">
        <v>0.1</v>
      </c>
      <c r="J127" s="259">
        <v>0.1</v>
      </c>
      <c r="K127" s="259">
        <v>0.1</v>
      </c>
      <c r="L127" s="259">
        <v>0.1</v>
      </c>
      <c r="M127" s="259">
        <v>0.1</v>
      </c>
      <c r="N127" s="259">
        <v>0.1</v>
      </c>
      <c r="O127" s="259">
        <v>0.1</v>
      </c>
      <c r="P127" s="259">
        <v>0.1</v>
      </c>
      <c r="Q127" s="259">
        <v>0.1</v>
      </c>
      <c r="R127" s="259">
        <v>0.1</v>
      </c>
      <c r="S127" s="259">
        <v>0.1</v>
      </c>
      <c r="T127" s="259">
        <v>0.1</v>
      </c>
      <c r="U127" s="259">
        <v>0.1</v>
      </c>
      <c r="V127" s="259">
        <v>0.1</v>
      </c>
      <c r="W127" s="259">
        <v>0.1</v>
      </c>
      <c r="X127" s="259">
        <v>0.1</v>
      </c>
      <c r="Y127" s="259">
        <v>0.1</v>
      </c>
      <c r="Z127" s="259">
        <v>0.1</v>
      </c>
      <c r="AA127" s="259">
        <v>0.1</v>
      </c>
      <c r="AB127" s="259">
        <v>0.1</v>
      </c>
      <c r="AC127" s="259">
        <v>0.1</v>
      </c>
      <c r="AD127" s="259">
        <v>0.1</v>
      </c>
      <c r="AE127" s="259">
        <v>0.1</v>
      </c>
      <c r="AF127" s="259">
        <v>0.1</v>
      </c>
      <c r="AG127" s="259">
        <v>0.1</v>
      </c>
      <c r="AH127" s="259">
        <v>0.1</v>
      </c>
      <c r="AI127" s="259">
        <v>0.1</v>
      </c>
      <c r="AJ127" s="259">
        <v>0.1</v>
      </c>
      <c r="AK127" s="259">
        <v>0.1</v>
      </c>
      <c r="AL127" s="259">
        <v>0.1</v>
      </c>
      <c r="AM127" s="259">
        <v>0.1</v>
      </c>
      <c r="AN127" s="259">
        <v>0.1</v>
      </c>
      <c r="AO127" s="259">
        <v>0.1</v>
      </c>
      <c r="AP127" s="259">
        <v>0.1</v>
      </c>
      <c r="AQ127" s="260">
        <v>0.1</v>
      </c>
      <c r="AR127" s="258">
        <v>0.1</v>
      </c>
      <c r="AS127" s="259">
        <v>0.1</v>
      </c>
      <c r="AT127" s="259">
        <v>0.1</v>
      </c>
      <c r="AU127" s="259">
        <v>0.1</v>
      </c>
      <c r="AV127" s="259">
        <v>0.1</v>
      </c>
      <c r="AW127" s="259">
        <v>0.1</v>
      </c>
      <c r="AX127" s="259">
        <v>0.1</v>
      </c>
      <c r="AY127" s="259">
        <v>0.1</v>
      </c>
      <c r="AZ127" s="259">
        <v>0.1</v>
      </c>
      <c r="BA127" s="259">
        <v>0.1</v>
      </c>
      <c r="BB127" s="259">
        <v>0.1</v>
      </c>
      <c r="BC127" s="259">
        <v>0.1</v>
      </c>
      <c r="BD127" s="259">
        <v>0.1</v>
      </c>
      <c r="BE127" s="259">
        <v>0.1</v>
      </c>
      <c r="BF127" s="259">
        <v>0.1</v>
      </c>
      <c r="BG127" s="259">
        <v>0.1</v>
      </c>
      <c r="BH127" s="259">
        <v>0.1</v>
      </c>
      <c r="BI127" s="259">
        <v>0.1</v>
      </c>
      <c r="BJ127" s="260">
        <v>0.1</v>
      </c>
      <c r="BK127">
        <v>0.1</v>
      </c>
      <c r="BL127">
        <v>0.1</v>
      </c>
      <c r="BM127">
        <v>0.1</v>
      </c>
      <c r="BN127">
        <v>0.1</v>
      </c>
      <c r="BO127">
        <v>0.1</v>
      </c>
      <c r="BP127">
        <f t="shared" si="8"/>
        <v>0.5</v>
      </c>
      <c r="BS127">
        <v>124</v>
      </c>
      <c r="BT127" s="270">
        <v>3.97</v>
      </c>
      <c r="BU127" s="271">
        <v>1.95</v>
      </c>
      <c r="BV127" s="2"/>
      <c r="BW127" s="2"/>
      <c r="BX127" s="2"/>
      <c r="BY127" s="258">
        <v>0.1</v>
      </c>
      <c r="BZ127" s="259">
        <v>0.1</v>
      </c>
      <c r="CA127" s="259">
        <v>0.1</v>
      </c>
      <c r="CB127" s="259">
        <v>0.1</v>
      </c>
      <c r="CC127" s="259">
        <v>0.1</v>
      </c>
      <c r="CD127" s="259">
        <v>0.1</v>
      </c>
      <c r="CE127" s="259">
        <v>0.1</v>
      </c>
      <c r="CF127" s="259">
        <v>0.1</v>
      </c>
      <c r="CG127" s="259">
        <v>0.1</v>
      </c>
      <c r="CH127" s="259">
        <v>0.1</v>
      </c>
      <c r="CI127" s="259">
        <v>0.1</v>
      </c>
      <c r="CJ127" s="259">
        <v>0.1</v>
      </c>
      <c r="CK127" s="259">
        <v>0.1</v>
      </c>
      <c r="CL127" s="259">
        <v>0.1</v>
      </c>
      <c r="CM127" s="259">
        <v>0.1</v>
      </c>
      <c r="CN127" s="259">
        <v>0.1</v>
      </c>
      <c r="CO127" s="259">
        <v>0.1</v>
      </c>
      <c r="CP127" s="259">
        <v>0.1</v>
      </c>
      <c r="CQ127" s="259">
        <v>0.1</v>
      </c>
      <c r="CR127" s="259">
        <v>0.1</v>
      </c>
      <c r="CS127" s="259">
        <v>0.1</v>
      </c>
      <c r="CT127" s="259">
        <v>0.1</v>
      </c>
      <c r="CU127" s="259">
        <v>0.1</v>
      </c>
      <c r="CV127" s="259">
        <v>0.1</v>
      </c>
      <c r="CW127" s="259">
        <v>0.1</v>
      </c>
      <c r="CX127" s="259">
        <v>0.1</v>
      </c>
      <c r="CY127" s="259">
        <v>0.1</v>
      </c>
      <c r="CZ127" s="259">
        <v>0.1</v>
      </c>
      <c r="DA127" s="259">
        <v>0.1</v>
      </c>
      <c r="DB127" s="259">
        <v>0.1</v>
      </c>
      <c r="DC127" s="259">
        <v>0.1</v>
      </c>
      <c r="DD127" s="259">
        <v>0.1</v>
      </c>
      <c r="DE127" s="259">
        <v>0.1</v>
      </c>
      <c r="DF127" s="259">
        <v>0.1</v>
      </c>
      <c r="DG127" s="259">
        <v>0.1</v>
      </c>
      <c r="DH127" s="259">
        <v>0.1</v>
      </c>
      <c r="DI127" s="259">
        <v>0.1</v>
      </c>
      <c r="DJ127" s="259">
        <v>0.1</v>
      </c>
      <c r="DK127" s="259">
        <v>0.1</v>
      </c>
      <c r="DL127" s="260">
        <v>0.1</v>
      </c>
      <c r="DM127" s="258">
        <v>0.1</v>
      </c>
      <c r="DN127" s="259">
        <v>0.1</v>
      </c>
      <c r="DO127" s="259">
        <v>0.1</v>
      </c>
      <c r="DP127" s="259">
        <v>0.1</v>
      </c>
      <c r="DQ127" s="259">
        <v>0.1</v>
      </c>
      <c r="DR127" s="259">
        <v>0.1</v>
      </c>
      <c r="DS127" s="259">
        <v>0.1</v>
      </c>
      <c r="DT127" s="259">
        <v>0.1</v>
      </c>
      <c r="DU127" s="259">
        <v>0.1</v>
      </c>
      <c r="DV127" s="259">
        <v>0.1</v>
      </c>
      <c r="DW127" s="259">
        <v>0.1</v>
      </c>
      <c r="DX127" s="259">
        <v>0.1</v>
      </c>
      <c r="DY127" s="259">
        <v>0.1</v>
      </c>
      <c r="DZ127" s="259">
        <v>0.1</v>
      </c>
      <c r="EA127" s="259">
        <v>0.1</v>
      </c>
      <c r="EB127" s="259">
        <v>0.1</v>
      </c>
      <c r="EC127" s="259">
        <v>0.1</v>
      </c>
      <c r="ED127" s="259">
        <v>0.1</v>
      </c>
      <c r="EE127" s="259">
        <v>0.1</v>
      </c>
      <c r="EF127" s="260">
        <v>0.1</v>
      </c>
      <c r="EJ127">
        <v>124</v>
      </c>
      <c r="EN127">
        <v>0.1</v>
      </c>
      <c r="EO127">
        <v>0.1</v>
      </c>
      <c r="EP127">
        <v>0.1</v>
      </c>
      <c r="EQ127">
        <v>0.1</v>
      </c>
      <c r="ER127">
        <v>0.1</v>
      </c>
      <c r="ES127">
        <v>0.1</v>
      </c>
      <c r="ET127">
        <v>0.1</v>
      </c>
      <c r="EU127">
        <v>0.1</v>
      </c>
      <c r="EV127">
        <v>0.1</v>
      </c>
      <c r="EW127">
        <v>0.1</v>
      </c>
      <c r="EX127">
        <v>0.1</v>
      </c>
      <c r="EY127">
        <v>0.1</v>
      </c>
      <c r="EZ127">
        <v>0.1</v>
      </c>
      <c r="FA127">
        <v>0.1</v>
      </c>
      <c r="FB127">
        <v>0.1</v>
      </c>
      <c r="FC127">
        <v>0.1</v>
      </c>
      <c r="FD127">
        <v>0.1</v>
      </c>
      <c r="FE127">
        <v>0.1</v>
      </c>
      <c r="FF127">
        <v>0.1</v>
      </c>
      <c r="FG127">
        <v>0.1</v>
      </c>
      <c r="FH127">
        <v>0.1</v>
      </c>
      <c r="FI127">
        <v>0.1</v>
      </c>
      <c r="FJ127">
        <v>0.1</v>
      </c>
      <c r="FK127">
        <v>0.1</v>
      </c>
      <c r="FL127">
        <v>0.1</v>
      </c>
      <c r="FM127">
        <v>0.1</v>
      </c>
      <c r="FN127">
        <v>0.1</v>
      </c>
      <c r="FO127">
        <v>0.1</v>
      </c>
      <c r="FP127">
        <v>0.1</v>
      </c>
      <c r="FQ127">
        <v>0.1</v>
      </c>
      <c r="FU127">
        <v>124</v>
      </c>
      <c r="GB127">
        <v>0.1</v>
      </c>
      <c r="GC127">
        <v>0.1</v>
      </c>
      <c r="GD127">
        <v>0.1</v>
      </c>
      <c r="GE127">
        <v>0.1</v>
      </c>
      <c r="GF127">
        <v>0.1</v>
      </c>
      <c r="GG127">
        <v>0.1</v>
      </c>
      <c r="GH127">
        <v>0.1</v>
      </c>
      <c r="GI127">
        <v>0.1</v>
      </c>
      <c r="GJ127">
        <v>0.1</v>
      </c>
      <c r="GK127">
        <v>0.1</v>
      </c>
      <c r="GL127">
        <v>0.1</v>
      </c>
      <c r="GM127">
        <v>0.1</v>
      </c>
      <c r="GN127">
        <v>0.1</v>
      </c>
      <c r="GO127">
        <v>0.1</v>
      </c>
      <c r="GP127">
        <v>0.1</v>
      </c>
      <c r="GQ127">
        <v>0.1</v>
      </c>
      <c r="GR127">
        <v>0.1</v>
      </c>
      <c r="GS127">
        <v>0.1</v>
      </c>
      <c r="GT127">
        <v>0.1</v>
      </c>
      <c r="GU127">
        <v>0.1</v>
      </c>
      <c r="GV127">
        <v>0.1</v>
      </c>
      <c r="GW127">
        <v>0.1</v>
      </c>
      <c r="GX127">
        <v>0.1</v>
      </c>
      <c r="GY127">
        <v>0.1</v>
      </c>
      <c r="GZ127">
        <v>0.1</v>
      </c>
      <c r="HA127">
        <v>0.1</v>
      </c>
      <c r="HB127">
        <v>0.1</v>
      </c>
      <c r="HC127">
        <v>0.1</v>
      </c>
      <c r="HD127">
        <v>0.1</v>
      </c>
      <c r="HE127">
        <v>0.1</v>
      </c>
      <c r="HF127">
        <v>0.1</v>
      </c>
      <c r="HG127">
        <v>0.1</v>
      </c>
      <c r="HH127">
        <v>0.1</v>
      </c>
      <c r="HI127">
        <v>0.1</v>
      </c>
      <c r="HJ127">
        <v>0.1</v>
      </c>
      <c r="HK127">
        <v>0.1</v>
      </c>
      <c r="HL127">
        <v>0.1</v>
      </c>
      <c r="HM127">
        <v>0.1</v>
      </c>
      <c r="HN127">
        <v>0.1</v>
      </c>
      <c r="HO127">
        <v>0.1</v>
      </c>
    </row>
    <row r="128" spans="1:223" ht="15.75" thickBot="1" x14ac:dyDescent="0.3">
      <c r="A128">
        <v>125</v>
      </c>
      <c r="B128" s="268">
        <v>3.55</v>
      </c>
      <c r="C128" s="268">
        <v>1.84</v>
      </c>
      <c r="D128" s="2"/>
      <c r="E128" s="2"/>
      <c r="F128" s="2"/>
      <c r="G128" s="2"/>
      <c r="H128" s="258">
        <v>0.1</v>
      </c>
      <c r="I128" s="259">
        <v>0.1</v>
      </c>
      <c r="J128" s="259">
        <v>0.1</v>
      </c>
      <c r="K128" s="259">
        <v>0.1</v>
      </c>
      <c r="L128" s="259">
        <v>0.1</v>
      </c>
      <c r="M128" s="259">
        <v>0.1</v>
      </c>
      <c r="N128" s="259">
        <v>0.1</v>
      </c>
      <c r="O128" s="259">
        <v>0.1</v>
      </c>
      <c r="P128" s="259">
        <v>0.1</v>
      </c>
      <c r="Q128" s="259">
        <v>0.1</v>
      </c>
      <c r="R128" s="259">
        <v>0.1</v>
      </c>
      <c r="S128" s="259">
        <v>0.1</v>
      </c>
      <c r="T128" s="259">
        <v>0.1</v>
      </c>
      <c r="U128" s="259">
        <v>0.1</v>
      </c>
      <c r="V128" s="259">
        <v>0.1</v>
      </c>
      <c r="W128" s="259">
        <v>0.1</v>
      </c>
      <c r="X128" s="259">
        <v>0.1</v>
      </c>
      <c r="Y128" s="259">
        <v>0.1</v>
      </c>
      <c r="Z128" s="259">
        <v>0.1</v>
      </c>
      <c r="AA128" s="259">
        <v>0.1</v>
      </c>
      <c r="AB128" s="259">
        <v>0.1</v>
      </c>
      <c r="AC128" s="259">
        <v>0.1</v>
      </c>
      <c r="AD128" s="259">
        <v>0.1</v>
      </c>
      <c r="AE128" s="259">
        <v>0.1</v>
      </c>
      <c r="AF128" s="259">
        <v>0.1</v>
      </c>
      <c r="AG128" s="259">
        <v>0.1</v>
      </c>
      <c r="AH128" s="259">
        <v>0.1</v>
      </c>
      <c r="AI128" s="259">
        <v>0.1</v>
      </c>
      <c r="AJ128" s="259">
        <v>0.1</v>
      </c>
      <c r="AK128" s="259">
        <v>0.1</v>
      </c>
      <c r="AL128" s="259">
        <v>0.1</v>
      </c>
      <c r="AM128" s="259">
        <v>0.1</v>
      </c>
      <c r="AN128" s="259">
        <v>0.1</v>
      </c>
      <c r="AO128" s="259">
        <v>0.1</v>
      </c>
      <c r="AP128" s="259">
        <v>0.1</v>
      </c>
      <c r="AQ128" s="260">
        <v>0.1</v>
      </c>
      <c r="AR128" s="258">
        <v>0.1</v>
      </c>
      <c r="AS128" s="259">
        <v>0.1</v>
      </c>
      <c r="AT128" s="259">
        <v>0.1</v>
      </c>
      <c r="AU128" s="259">
        <v>0.1</v>
      </c>
      <c r="AV128" s="259">
        <v>0.1</v>
      </c>
      <c r="AW128" s="259">
        <v>0.1</v>
      </c>
      <c r="AX128" s="259">
        <v>0.1</v>
      </c>
      <c r="AY128" s="259">
        <v>0.1</v>
      </c>
      <c r="AZ128" s="259">
        <v>0.1</v>
      </c>
      <c r="BA128" s="259">
        <v>0.1</v>
      </c>
      <c r="BB128" s="259">
        <v>0.1</v>
      </c>
      <c r="BC128" s="259">
        <v>0.1</v>
      </c>
      <c r="BD128" s="259">
        <v>0.1</v>
      </c>
      <c r="BE128" s="259">
        <v>0.1</v>
      </c>
      <c r="BF128" s="259">
        <v>0.1</v>
      </c>
      <c r="BG128" s="259">
        <v>0.1</v>
      </c>
      <c r="BH128" s="259">
        <v>0.1</v>
      </c>
      <c r="BI128" s="259">
        <v>0.1</v>
      </c>
      <c r="BJ128" s="260">
        <v>0.1</v>
      </c>
      <c r="BK128">
        <v>0.1</v>
      </c>
      <c r="BL128">
        <v>0.1</v>
      </c>
      <c r="BM128">
        <v>0.1</v>
      </c>
      <c r="BN128">
        <v>0.1</v>
      </c>
      <c r="BO128">
        <v>0.1</v>
      </c>
      <c r="BP128">
        <f t="shared" si="8"/>
        <v>0.5</v>
      </c>
      <c r="BS128">
        <v>125</v>
      </c>
      <c r="BT128" s="271">
        <v>3.97</v>
      </c>
      <c r="BU128" s="270">
        <v>1.95</v>
      </c>
      <c r="BV128" s="2"/>
      <c r="BW128" s="2"/>
      <c r="BX128" s="2"/>
      <c r="BY128" s="258">
        <v>0.1</v>
      </c>
      <c r="BZ128" s="259">
        <v>0.1</v>
      </c>
      <c r="CA128" s="259">
        <v>0.1</v>
      </c>
      <c r="CB128" s="259">
        <v>0.1</v>
      </c>
      <c r="CC128" s="259">
        <v>0.1</v>
      </c>
      <c r="CD128" s="259">
        <v>0.1</v>
      </c>
      <c r="CE128" s="259">
        <v>0.1</v>
      </c>
      <c r="CF128" s="259">
        <v>0.1</v>
      </c>
      <c r="CG128" s="259">
        <v>0.1</v>
      </c>
      <c r="CH128" s="259">
        <v>0.1</v>
      </c>
      <c r="CI128" s="259">
        <v>0.1</v>
      </c>
      <c r="CJ128" s="259">
        <v>0.1</v>
      </c>
      <c r="CK128" s="259">
        <v>0.1</v>
      </c>
      <c r="CL128" s="259">
        <v>0.1</v>
      </c>
      <c r="CM128" s="259">
        <v>0.1</v>
      </c>
      <c r="CN128" s="259">
        <v>0.1</v>
      </c>
      <c r="CO128" s="259">
        <v>0.1</v>
      </c>
      <c r="CP128" s="259">
        <v>0.1</v>
      </c>
      <c r="CQ128" s="259">
        <v>0.1</v>
      </c>
      <c r="CR128" s="259">
        <v>0.1</v>
      </c>
      <c r="CS128" s="259">
        <v>0.1</v>
      </c>
      <c r="CT128" s="259">
        <v>0.1</v>
      </c>
      <c r="CU128" s="259">
        <v>0.1</v>
      </c>
      <c r="CV128" s="259">
        <v>0.1</v>
      </c>
      <c r="CW128" s="259">
        <v>0.1</v>
      </c>
      <c r="CX128" s="259">
        <v>0.1</v>
      </c>
      <c r="CY128" s="259">
        <v>0.1</v>
      </c>
      <c r="CZ128" s="259">
        <v>0.1</v>
      </c>
      <c r="DA128" s="259">
        <v>0.1</v>
      </c>
      <c r="DB128" s="259">
        <v>0.1</v>
      </c>
      <c r="DC128" s="259">
        <v>0.1</v>
      </c>
      <c r="DD128" s="259">
        <v>0.1</v>
      </c>
      <c r="DE128" s="259">
        <v>0.1</v>
      </c>
      <c r="DF128" s="259">
        <v>0.1</v>
      </c>
      <c r="DG128" s="259">
        <v>0.1</v>
      </c>
      <c r="DH128" s="259">
        <v>0.1</v>
      </c>
      <c r="DI128" s="259">
        <v>0.1</v>
      </c>
      <c r="DJ128" s="259">
        <v>0.1</v>
      </c>
      <c r="DK128" s="259">
        <v>0.1</v>
      </c>
      <c r="DL128" s="260">
        <v>0.1</v>
      </c>
      <c r="DM128" s="258">
        <v>0.1</v>
      </c>
      <c r="DN128" s="259">
        <v>0.1</v>
      </c>
      <c r="DO128" s="259">
        <v>0.1</v>
      </c>
      <c r="DP128" s="259">
        <v>0.1</v>
      </c>
      <c r="DQ128" s="259">
        <v>0.1</v>
      </c>
      <c r="DR128" s="259">
        <v>0.1</v>
      </c>
      <c r="DS128" s="259">
        <v>0.1</v>
      </c>
      <c r="DT128" s="259">
        <v>0.1</v>
      </c>
      <c r="DU128" s="259">
        <v>0.1</v>
      </c>
      <c r="DV128" s="259">
        <v>0.1</v>
      </c>
      <c r="DW128" s="259">
        <v>0.1</v>
      </c>
      <c r="DX128" s="259">
        <v>0.1</v>
      </c>
      <c r="DY128" s="259">
        <v>0.1</v>
      </c>
      <c r="DZ128" s="259">
        <v>0.1</v>
      </c>
      <c r="EA128" s="259">
        <v>0.1</v>
      </c>
      <c r="EB128" s="259">
        <v>0.1</v>
      </c>
      <c r="EC128" s="259">
        <v>0.1</v>
      </c>
      <c r="ED128" s="259">
        <v>0.1</v>
      </c>
      <c r="EE128" s="259">
        <v>0.1</v>
      </c>
      <c r="EF128" s="260">
        <v>0.1</v>
      </c>
      <c r="EJ128">
        <v>125</v>
      </c>
      <c r="EN128">
        <v>0.1</v>
      </c>
      <c r="EO128">
        <v>0.1</v>
      </c>
      <c r="EP128">
        <v>0.1</v>
      </c>
      <c r="EQ128">
        <v>0.1</v>
      </c>
      <c r="ER128">
        <v>0.1</v>
      </c>
      <c r="ES128">
        <v>0.1</v>
      </c>
      <c r="ET128">
        <v>0.1</v>
      </c>
      <c r="EU128">
        <v>0.1</v>
      </c>
      <c r="EV128">
        <v>0.1</v>
      </c>
      <c r="EW128">
        <v>0.1</v>
      </c>
      <c r="EX128">
        <v>0.1</v>
      </c>
      <c r="EY128">
        <v>0.1</v>
      </c>
      <c r="EZ128">
        <v>0.1</v>
      </c>
      <c r="FA128">
        <v>0.1</v>
      </c>
      <c r="FB128">
        <v>0.1</v>
      </c>
      <c r="FC128">
        <v>0.1</v>
      </c>
      <c r="FD128">
        <v>0.1</v>
      </c>
      <c r="FE128">
        <v>0.1</v>
      </c>
      <c r="FF128">
        <v>0.1</v>
      </c>
      <c r="FG128">
        <v>0.1</v>
      </c>
      <c r="FH128">
        <v>0.1</v>
      </c>
      <c r="FI128">
        <v>0.1</v>
      </c>
      <c r="FJ128">
        <v>0.1</v>
      </c>
      <c r="FK128">
        <v>0.1</v>
      </c>
      <c r="FL128">
        <v>0.1</v>
      </c>
      <c r="FM128">
        <v>0.1</v>
      </c>
      <c r="FN128">
        <v>0.1</v>
      </c>
      <c r="FO128">
        <v>0.1</v>
      </c>
      <c r="FP128">
        <v>0.1</v>
      </c>
      <c r="FQ128">
        <v>0.1</v>
      </c>
      <c r="FU128">
        <v>125</v>
      </c>
      <c r="GB128">
        <v>0.1</v>
      </c>
      <c r="GC128">
        <v>0.1</v>
      </c>
      <c r="GD128">
        <v>0.1</v>
      </c>
      <c r="GE128">
        <v>0.1</v>
      </c>
      <c r="GF128">
        <v>0.1</v>
      </c>
      <c r="GG128">
        <v>0.1</v>
      </c>
      <c r="GH128">
        <v>0.1</v>
      </c>
      <c r="GI128">
        <v>0.1</v>
      </c>
      <c r="GJ128">
        <v>0.1</v>
      </c>
      <c r="GK128">
        <v>0.1</v>
      </c>
      <c r="GL128">
        <v>0.1</v>
      </c>
      <c r="GM128">
        <v>0.1</v>
      </c>
      <c r="GN128">
        <v>0.1</v>
      </c>
      <c r="GO128">
        <v>0.1</v>
      </c>
      <c r="GP128">
        <v>0.1</v>
      </c>
      <c r="GQ128">
        <v>0.1</v>
      </c>
      <c r="GR128">
        <v>0.1</v>
      </c>
      <c r="GS128">
        <v>0.1</v>
      </c>
      <c r="GT128">
        <v>0.1</v>
      </c>
      <c r="GU128">
        <v>0.1</v>
      </c>
      <c r="GV128">
        <v>0.1</v>
      </c>
      <c r="GW128">
        <v>0.1</v>
      </c>
      <c r="GX128">
        <v>0.1</v>
      </c>
      <c r="GY128">
        <v>0.1</v>
      </c>
      <c r="GZ128">
        <v>0.1</v>
      </c>
      <c r="HA128">
        <v>0.1</v>
      </c>
      <c r="HB128">
        <v>0.1</v>
      </c>
      <c r="HC128">
        <v>0.1</v>
      </c>
      <c r="HD128">
        <v>0.1</v>
      </c>
      <c r="HE128">
        <v>0.1</v>
      </c>
      <c r="HF128">
        <v>0.1</v>
      </c>
      <c r="HG128">
        <v>0.1</v>
      </c>
      <c r="HH128">
        <v>0.1</v>
      </c>
      <c r="HI128">
        <v>0.1</v>
      </c>
      <c r="HJ128">
        <v>0.1</v>
      </c>
      <c r="HK128">
        <v>0.1</v>
      </c>
      <c r="HL128">
        <v>0.1</v>
      </c>
      <c r="HM128">
        <v>0.1</v>
      </c>
      <c r="HN128">
        <v>0.1</v>
      </c>
      <c r="HO128">
        <v>0.1</v>
      </c>
    </row>
    <row r="129" spans="1:223" ht="15.75" thickBot="1" x14ac:dyDescent="0.3">
      <c r="A129">
        <v>126</v>
      </c>
      <c r="B129" s="269">
        <v>3.55</v>
      </c>
      <c r="C129" s="269">
        <v>1.84</v>
      </c>
      <c r="D129" s="2"/>
      <c r="E129" s="2"/>
      <c r="F129" s="2"/>
      <c r="G129" s="2"/>
      <c r="H129" s="258">
        <v>0.1</v>
      </c>
      <c r="I129" s="259">
        <v>0.1</v>
      </c>
      <c r="J129" s="259">
        <v>0.1</v>
      </c>
      <c r="K129" s="259">
        <v>0.1</v>
      </c>
      <c r="L129" s="259">
        <v>0.1</v>
      </c>
      <c r="M129" s="259">
        <v>0.1</v>
      </c>
      <c r="N129" s="259">
        <v>0.1</v>
      </c>
      <c r="O129" s="259">
        <v>0.1</v>
      </c>
      <c r="P129" s="259">
        <v>0.1</v>
      </c>
      <c r="Q129" s="259">
        <v>0.1</v>
      </c>
      <c r="R129" s="259">
        <v>0.1</v>
      </c>
      <c r="S129" s="259">
        <v>0.1</v>
      </c>
      <c r="T129" s="259">
        <v>0.1</v>
      </c>
      <c r="U129" s="259">
        <v>0.1</v>
      </c>
      <c r="V129" s="259">
        <v>0.1</v>
      </c>
      <c r="W129" s="259">
        <v>0.1</v>
      </c>
      <c r="X129" s="259">
        <v>0.1</v>
      </c>
      <c r="Y129" s="259">
        <v>0.1</v>
      </c>
      <c r="Z129" s="259">
        <v>0.1</v>
      </c>
      <c r="AA129" s="259">
        <v>0.1</v>
      </c>
      <c r="AB129" s="259">
        <v>0.1</v>
      </c>
      <c r="AC129" s="259">
        <v>0.1</v>
      </c>
      <c r="AD129" s="259">
        <v>0.1</v>
      </c>
      <c r="AE129" s="259">
        <v>0.1</v>
      </c>
      <c r="AF129" s="259">
        <v>0.1</v>
      </c>
      <c r="AG129" s="259">
        <v>0.1</v>
      </c>
      <c r="AH129" s="259">
        <v>0.1</v>
      </c>
      <c r="AI129" s="259">
        <v>0.1</v>
      </c>
      <c r="AJ129" s="259">
        <v>0.1</v>
      </c>
      <c r="AK129" s="259">
        <v>0.1</v>
      </c>
      <c r="AL129" s="259">
        <v>0.1</v>
      </c>
      <c r="AM129" s="259">
        <v>0.1</v>
      </c>
      <c r="AN129" s="259">
        <v>0.1</v>
      </c>
      <c r="AO129" s="259">
        <v>0.1</v>
      </c>
      <c r="AP129" s="259">
        <v>0.1</v>
      </c>
      <c r="AQ129" s="260">
        <v>0.1</v>
      </c>
      <c r="AR129" s="258">
        <v>0.1</v>
      </c>
      <c r="AS129" s="259">
        <v>0.1</v>
      </c>
      <c r="AT129" s="259">
        <v>0.1</v>
      </c>
      <c r="AU129" s="259">
        <v>0.1</v>
      </c>
      <c r="AV129" s="259">
        <v>0.1</v>
      </c>
      <c r="AW129" s="259">
        <v>0.1</v>
      </c>
      <c r="AX129" s="259">
        <v>0.1</v>
      </c>
      <c r="AY129" s="259">
        <v>0.1</v>
      </c>
      <c r="AZ129" s="259">
        <v>0.1</v>
      </c>
      <c r="BA129" s="259">
        <v>0.1</v>
      </c>
      <c r="BB129" s="259">
        <v>0.1</v>
      </c>
      <c r="BC129" s="259">
        <v>0.1</v>
      </c>
      <c r="BD129" s="259">
        <v>0.1</v>
      </c>
      <c r="BE129" s="259">
        <v>0.1</v>
      </c>
      <c r="BF129" s="259">
        <v>0.1</v>
      </c>
      <c r="BG129" s="259">
        <v>0.1</v>
      </c>
      <c r="BH129" s="259">
        <v>0.1</v>
      </c>
      <c r="BI129" s="259">
        <v>0.1</v>
      </c>
      <c r="BJ129" s="260">
        <v>0.1</v>
      </c>
      <c r="BK129">
        <v>0.1</v>
      </c>
      <c r="BL129">
        <v>0.1</v>
      </c>
      <c r="BM129">
        <v>0.1</v>
      </c>
      <c r="BN129">
        <v>0.1</v>
      </c>
      <c r="BO129">
        <v>0.1</v>
      </c>
      <c r="BP129">
        <f t="shared" si="8"/>
        <v>0.5</v>
      </c>
      <c r="BS129">
        <v>126</v>
      </c>
      <c r="BT129" s="270">
        <v>3.97</v>
      </c>
      <c r="BU129" s="271">
        <v>1.95</v>
      </c>
      <c r="BV129" s="2"/>
      <c r="BW129" s="2"/>
      <c r="BX129" s="2"/>
      <c r="BY129" s="258">
        <v>0.1</v>
      </c>
      <c r="BZ129" s="259">
        <v>0.1</v>
      </c>
      <c r="CA129" s="259">
        <v>0.1</v>
      </c>
      <c r="CB129" s="259">
        <v>0.1</v>
      </c>
      <c r="CC129" s="259">
        <v>0.1</v>
      </c>
      <c r="CD129" s="259">
        <v>0.1</v>
      </c>
      <c r="CE129" s="259">
        <v>0.1</v>
      </c>
      <c r="CF129" s="259">
        <v>0.1</v>
      </c>
      <c r="CG129" s="259">
        <v>0.1</v>
      </c>
      <c r="CH129" s="259">
        <v>0.1</v>
      </c>
      <c r="CI129" s="259">
        <v>0.1</v>
      </c>
      <c r="CJ129" s="259">
        <v>0.1</v>
      </c>
      <c r="CK129" s="259">
        <v>0.1</v>
      </c>
      <c r="CL129" s="259">
        <v>0.1</v>
      </c>
      <c r="CM129" s="259">
        <v>0.1</v>
      </c>
      <c r="CN129" s="259">
        <v>0.1</v>
      </c>
      <c r="CO129" s="259">
        <v>0.1</v>
      </c>
      <c r="CP129" s="259">
        <v>0.1</v>
      </c>
      <c r="CQ129" s="259">
        <v>0.1</v>
      </c>
      <c r="CR129" s="259">
        <v>0.1</v>
      </c>
      <c r="CS129" s="259">
        <v>0.1</v>
      </c>
      <c r="CT129" s="259">
        <v>0.1</v>
      </c>
      <c r="CU129" s="259">
        <v>0.1</v>
      </c>
      <c r="CV129" s="259">
        <v>0.1</v>
      </c>
      <c r="CW129" s="259">
        <v>0.1</v>
      </c>
      <c r="CX129" s="259">
        <v>0.1</v>
      </c>
      <c r="CY129" s="259">
        <v>0.1</v>
      </c>
      <c r="CZ129" s="259">
        <v>0.1</v>
      </c>
      <c r="DA129" s="259">
        <v>0.1</v>
      </c>
      <c r="DB129" s="259">
        <v>0.1</v>
      </c>
      <c r="DC129" s="259">
        <v>0.1</v>
      </c>
      <c r="DD129" s="259">
        <v>0.1</v>
      </c>
      <c r="DE129" s="259">
        <v>0.1</v>
      </c>
      <c r="DF129" s="259">
        <v>0.1</v>
      </c>
      <c r="DG129" s="259">
        <v>0.1</v>
      </c>
      <c r="DH129" s="259">
        <v>0.1</v>
      </c>
      <c r="DI129" s="259">
        <v>0.1</v>
      </c>
      <c r="DJ129" s="259">
        <v>0.1</v>
      </c>
      <c r="DK129" s="259">
        <v>0.1</v>
      </c>
      <c r="DL129" s="260">
        <v>0.1</v>
      </c>
      <c r="DM129" s="258">
        <v>0.1</v>
      </c>
      <c r="DN129" s="259">
        <v>0.1</v>
      </c>
      <c r="DO129" s="259">
        <v>0.1</v>
      </c>
      <c r="DP129" s="259">
        <v>0.1</v>
      </c>
      <c r="DQ129" s="259">
        <v>0.1</v>
      </c>
      <c r="DR129" s="259">
        <v>0.1</v>
      </c>
      <c r="DS129" s="259">
        <v>0.1</v>
      </c>
      <c r="DT129" s="259">
        <v>0.1</v>
      </c>
      <c r="DU129" s="259">
        <v>0.1</v>
      </c>
      <c r="DV129" s="259">
        <v>0.1</v>
      </c>
      <c r="DW129" s="259">
        <v>0.1</v>
      </c>
      <c r="DX129" s="259">
        <v>0.1</v>
      </c>
      <c r="DY129" s="259">
        <v>0.1</v>
      </c>
      <c r="DZ129" s="259">
        <v>0.1</v>
      </c>
      <c r="EA129" s="259">
        <v>0.1</v>
      </c>
      <c r="EB129" s="259">
        <v>0.1</v>
      </c>
      <c r="EC129" s="259">
        <v>0.1</v>
      </c>
      <c r="ED129" s="259">
        <v>0.1</v>
      </c>
      <c r="EE129" s="259">
        <v>0.1</v>
      </c>
      <c r="EF129" s="260">
        <v>0.1</v>
      </c>
      <c r="EJ129">
        <v>126</v>
      </c>
      <c r="EN129">
        <v>0.1</v>
      </c>
      <c r="EO129">
        <v>0.1</v>
      </c>
      <c r="EP129">
        <v>0.1</v>
      </c>
      <c r="EQ129">
        <v>0.1</v>
      </c>
      <c r="ER129">
        <v>0.1</v>
      </c>
      <c r="ES129">
        <v>0.1</v>
      </c>
      <c r="ET129">
        <v>0.1</v>
      </c>
      <c r="EU129">
        <v>0.1</v>
      </c>
      <c r="EV129">
        <v>0.1</v>
      </c>
      <c r="EW129">
        <v>0.1</v>
      </c>
      <c r="EX129">
        <v>0.1</v>
      </c>
      <c r="EY129">
        <v>0.1</v>
      </c>
      <c r="EZ129">
        <v>0.1</v>
      </c>
      <c r="FA129">
        <v>0.1</v>
      </c>
      <c r="FB129">
        <v>0.1</v>
      </c>
      <c r="FC129">
        <v>0.1</v>
      </c>
      <c r="FD129">
        <v>0.1</v>
      </c>
      <c r="FE129">
        <v>0.1</v>
      </c>
      <c r="FF129">
        <v>0.1</v>
      </c>
      <c r="FG129">
        <v>0.1</v>
      </c>
      <c r="FH129">
        <v>0.1</v>
      </c>
      <c r="FI129">
        <v>0.1</v>
      </c>
      <c r="FJ129">
        <v>0.1</v>
      </c>
      <c r="FK129">
        <v>0.1</v>
      </c>
      <c r="FL129">
        <v>0.1</v>
      </c>
      <c r="FM129">
        <v>0.1</v>
      </c>
      <c r="FN129">
        <v>0.1</v>
      </c>
      <c r="FO129">
        <v>0.1</v>
      </c>
      <c r="FP129">
        <v>0.1</v>
      </c>
      <c r="FQ129">
        <v>0.1</v>
      </c>
      <c r="FU129">
        <v>126</v>
      </c>
      <c r="GB129">
        <v>0.1</v>
      </c>
      <c r="GC129">
        <v>0.1</v>
      </c>
      <c r="GD129">
        <v>0.1</v>
      </c>
      <c r="GE129">
        <v>0.1</v>
      </c>
      <c r="GF129">
        <v>0.1</v>
      </c>
      <c r="GG129">
        <v>0.1</v>
      </c>
      <c r="GH129">
        <v>0.1</v>
      </c>
      <c r="GI129">
        <v>0.1</v>
      </c>
      <c r="GJ129">
        <v>0.1</v>
      </c>
      <c r="GK129">
        <v>0.1</v>
      </c>
      <c r="GL129">
        <v>0.1</v>
      </c>
      <c r="GM129">
        <v>0.1</v>
      </c>
      <c r="GN129">
        <v>0.1</v>
      </c>
      <c r="GO129">
        <v>0.1</v>
      </c>
      <c r="GP129">
        <v>0.1</v>
      </c>
      <c r="GQ129">
        <v>0.1</v>
      </c>
      <c r="GR129">
        <v>0.1</v>
      </c>
      <c r="GS129">
        <v>0.1</v>
      </c>
      <c r="GT129">
        <v>0.1</v>
      </c>
      <c r="GU129">
        <v>0.1</v>
      </c>
      <c r="GV129">
        <v>0.1</v>
      </c>
      <c r="GW129">
        <v>0.1</v>
      </c>
      <c r="GX129">
        <v>0.1</v>
      </c>
      <c r="GY129">
        <v>0.1</v>
      </c>
      <c r="GZ129">
        <v>0.1</v>
      </c>
      <c r="HA129">
        <v>0.1</v>
      </c>
      <c r="HB129">
        <v>0.1</v>
      </c>
      <c r="HC129">
        <v>0.1</v>
      </c>
      <c r="HD129">
        <v>0.1</v>
      </c>
      <c r="HE129">
        <v>0.1</v>
      </c>
      <c r="HF129">
        <v>0.1</v>
      </c>
      <c r="HG129">
        <v>0.1</v>
      </c>
      <c r="HH129">
        <v>0.1</v>
      </c>
      <c r="HI129">
        <v>0.1</v>
      </c>
      <c r="HJ129">
        <v>0.1</v>
      </c>
      <c r="HK129">
        <v>0.1</v>
      </c>
      <c r="HL129">
        <v>0.1</v>
      </c>
      <c r="HM129">
        <v>0.1</v>
      </c>
      <c r="HN129">
        <v>0.1</v>
      </c>
      <c r="HO129">
        <v>0.1</v>
      </c>
    </row>
    <row r="130" spans="1:223" ht="15.75" thickBot="1" x14ac:dyDescent="0.3">
      <c r="A130">
        <v>127</v>
      </c>
      <c r="B130" s="268">
        <v>3.55</v>
      </c>
      <c r="C130" s="269">
        <v>2.4</v>
      </c>
      <c r="D130" s="2"/>
      <c r="E130" s="2"/>
      <c r="F130" s="2"/>
      <c r="G130" s="2"/>
      <c r="H130" s="258">
        <v>0.1</v>
      </c>
      <c r="I130" s="259">
        <v>0.1</v>
      </c>
      <c r="J130" s="259">
        <v>0.1</v>
      </c>
      <c r="K130" s="259">
        <v>0.1</v>
      </c>
      <c r="L130" s="259">
        <v>0.1</v>
      </c>
      <c r="M130" s="259">
        <v>0.1</v>
      </c>
      <c r="N130" s="259">
        <v>0.1</v>
      </c>
      <c r="O130" s="259">
        <v>0.1</v>
      </c>
      <c r="P130" s="259">
        <v>0.1</v>
      </c>
      <c r="Q130" s="259">
        <v>0.1</v>
      </c>
      <c r="R130" s="259">
        <v>0.1</v>
      </c>
      <c r="S130" s="259">
        <v>0.1</v>
      </c>
      <c r="T130" s="259">
        <v>0.1</v>
      </c>
      <c r="U130" s="259">
        <v>0.1</v>
      </c>
      <c r="V130" s="259">
        <v>0.1</v>
      </c>
      <c r="W130" s="259">
        <v>0.1</v>
      </c>
      <c r="X130" s="259">
        <v>0.1</v>
      </c>
      <c r="Y130" s="259">
        <v>0.1</v>
      </c>
      <c r="Z130" s="259">
        <v>0.1</v>
      </c>
      <c r="AA130" s="259">
        <v>0.1</v>
      </c>
      <c r="AB130" s="259">
        <v>0.1</v>
      </c>
      <c r="AC130" s="259">
        <v>0.1</v>
      </c>
      <c r="AD130" s="259">
        <v>0.1</v>
      </c>
      <c r="AE130" s="259">
        <v>0.1</v>
      </c>
      <c r="AF130" s="259">
        <v>0.1</v>
      </c>
      <c r="AG130" s="259">
        <v>0.1</v>
      </c>
      <c r="AH130" s="259">
        <v>0.1</v>
      </c>
      <c r="AI130" s="259">
        <v>0.1</v>
      </c>
      <c r="AJ130" s="259">
        <v>0.1</v>
      </c>
      <c r="AK130" s="259">
        <v>0.1</v>
      </c>
      <c r="AL130" s="259">
        <v>0.1</v>
      </c>
      <c r="AM130" s="259">
        <v>0.1</v>
      </c>
      <c r="AN130" s="259">
        <v>0.1</v>
      </c>
      <c r="AO130" s="259">
        <v>0.1</v>
      </c>
      <c r="AP130" s="259">
        <v>0.1</v>
      </c>
      <c r="AQ130" s="260">
        <v>0.1</v>
      </c>
      <c r="AR130" s="258">
        <v>0.1</v>
      </c>
      <c r="AS130" s="259">
        <v>0.1</v>
      </c>
      <c r="AT130" s="259">
        <v>0.1</v>
      </c>
      <c r="AU130" s="259">
        <v>0.1</v>
      </c>
      <c r="AV130" s="259">
        <v>0.1</v>
      </c>
      <c r="AW130" s="259">
        <v>0.1</v>
      </c>
      <c r="AX130" s="259">
        <v>0.1</v>
      </c>
      <c r="AY130" s="259">
        <v>0.1</v>
      </c>
      <c r="AZ130" s="259">
        <v>0.1</v>
      </c>
      <c r="BA130" s="259">
        <v>0.1</v>
      </c>
      <c r="BB130" s="259">
        <v>0.1</v>
      </c>
      <c r="BC130" s="259">
        <v>0.1</v>
      </c>
      <c r="BD130" s="259">
        <v>0.1</v>
      </c>
      <c r="BE130" s="259">
        <v>0.1</v>
      </c>
      <c r="BF130" s="259">
        <v>0.1</v>
      </c>
      <c r="BG130" s="259">
        <v>0.1</v>
      </c>
      <c r="BH130" s="259">
        <v>0.1</v>
      </c>
      <c r="BI130" s="259">
        <v>0.1</v>
      </c>
      <c r="BJ130" s="259">
        <v>0.1</v>
      </c>
      <c r="BK130" s="259">
        <v>0.1</v>
      </c>
      <c r="BL130" s="259">
        <v>0.1</v>
      </c>
      <c r="BM130" s="259">
        <v>0.1</v>
      </c>
      <c r="BN130" s="259">
        <v>0.1</v>
      </c>
      <c r="BO130" s="260">
        <v>0.1</v>
      </c>
      <c r="BS130">
        <v>127</v>
      </c>
      <c r="BT130" s="271">
        <v>3.97</v>
      </c>
      <c r="BU130" s="270">
        <v>1.96</v>
      </c>
      <c r="BV130" s="2"/>
      <c r="BW130" s="2"/>
      <c r="BX130" s="2"/>
      <c r="BY130" s="258">
        <v>0.1</v>
      </c>
      <c r="BZ130" s="259">
        <v>0.1</v>
      </c>
      <c r="CA130" s="259">
        <v>0.1</v>
      </c>
      <c r="CB130" s="259">
        <v>0.1</v>
      </c>
      <c r="CC130" s="259">
        <v>0.1</v>
      </c>
      <c r="CD130" s="259">
        <v>0.1</v>
      </c>
      <c r="CE130" s="259">
        <v>0.1</v>
      </c>
      <c r="CF130" s="259">
        <v>0.1</v>
      </c>
      <c r="CG130" s="259">
        <v>0.1</v>
      </c>
      <c r="CH130" s="259">
        <v>0.1</v>
      </c>
      <c r="CI130" s="259">
        <v>0.1</v>
      </c>
      <c r="CJ130" s="259">
        <v>0.1</v>
      </c>
      <c r="CK130" s="259">
        <v>0.1</v>
      </c>
      <c r="CL130" s="259">
        <v>0.1</v>
      </c>
      <c r="CM130" s="259">
        <v>0.1</v>
      </c>
      <c r="CN130" s="259">
        <v>0.1</v>
      </c>
      <c r="CO130" s="259">
        <v>0.1</v>
      </c>
      <c r="CP130" s="259">
        <v>0.1</v>
      </c>
      <c r="CQ130" s="259">
        <v>0.1</v>
      </c>
      <c r="CR130" s="259">
        <v>0.1</v>
      </c>
      <c r="CS130" s="259">
        <v>0.1</v>
      </c>
      <c r="CT130" s="259">
        <v>0.1</v>
      </c>
      <c r="CU130" s="259">
        <v>0.1</v>
      </c>
      <c r="CV130" s="259">
        <v>0.1</v>
      </c>
      <c r="CW130" s="259">
        <v>0.1</v>
      </c>
      <c r="CX130" s="259">
        <v>0.1</v>
      </c>
      <c r="CY130" s="259">
        <v>0.1</v>
      </c>
      <c r="CZ130" s="259">
        <v>0.1</v>
      </c>
      <c r="DA130" s="259">
        <v>0.1</v>
      </c>
      <c r="DB130" s="259">
        <v>0.1</v>
      </c>
      <c r="DC130" s="259">
        <v>0.1</v>
      </c>
      <c r="DD130" s="259">
        <v>0.1</v>
      </c>
      <c r="DE130" s="259">
        <v>0.1</v>
      </c>
      <c r="DF130" s="259">
        <v>0.1</v>
      </c>
      <c r="DG130" s="259">
        <v>0.1</v>
      </c>
      <c r="DH130" s="259">
        <v>0.1</v>
      </c>
      <c r="DI130" s="259">
        <v>0.1</v>
      </c>
      <c r="DJ130" s="259">
        <v>0.1</v>
      </c>
      <c r="DK130" s="259">
        <v>0.1</v>
      </c>
      <c r="DL130" s="260">
        <v>0.1</v>
      </c>
      <c r="DM130" s="258">
        <v>0.1</v>
      </c>
      <c r="DN130" s="259">
        <v>0.1</v>
      </c>
      <c r="DO130" s="259">
        <v>0.1</v>
      </c>
      <c r="DP130" s="259">
        <v>0.1</v>
      </c>
      <c r="DQ130" s="259">
        <v>0.1</v>
      </c>
      <c r="DR130" s="259">
        <v>0.1</v>
      </c>
      <c r="DS130" s="259">
        <v>0.1</v>
      </c>
      <c r="DT130" s="259">
        <v>0.1</v>
      </c>
      <c r="DU130" s="259">
        <v>0.1</v>
      </c>
      <c r="DV130" s="259">
        <v>0.1</v>
      </c>
      <c r="DW130" s="259">
        <v>0.1</v>
      </c>
      <c r="DX130" s="259">
        <v>0.1</v>
      </c>
      <c r="DY130" s="259">
        <v>0.1</v>
      </c>
      <c r="DZ130" s="259">
        <v>0.1</v>
      </c>
      <c r="EA130" s="259">
        <v>0.1</v>
      </c>
      <c r="EB130" s="259">
        <v>0.1</v>
      </c>
      <c r="EC130" s="259">
        <v>0.1</v>
      </c>
      <c r="ED130" s="259">
        <v>0.1</v>
      </c>
      <c r="EE130" s="259">
        <v>0.1</v>
      </c>
      <c r="EF130" s="260">
        <v>0.1</v>
      </c>
      <c r="EJ130">
        <v>127</v>
      </c>
      <c r="EN130">
        <v>0.1</v>
      </c>
      <c r="EO130">
        <v>0.1</v>
      </c>
      <c r="EP130">
        <v>0.1</v>
      </c>
      <c r="EQ130">
        <v>0.1</v>
      </c>
      <c r="ER130">
        <v>0.1</v>
      </c>
      <c r="ES130">
        <v>0.1</v>
      </c>
      <c r="ET130">
        <v>0.1</v>
      </c>
      <c r="EU130">
        <v>0.1</v>
      </c>
      <c r="EV130">
        <v>0.1</v>
      </c>
      <c r="EW130">
        <v>0.1</v>
      </c>
      <c r="EX130">
        <v>0.1</v>
      </c>
      <c r="EY130">
        <v>0.1</v>
      </c>
      <c r="EZ130">
        <v>0.1</v>
      </c>
      <c r="FA130">
        <v>0.1</v>
      </c>
      <c r="FB130">
        <v>0.1</v>
      </c>
      <c r="FC130">
        <v>0.1</v>
      </c>
      <c r="FD130">
        <v>0.1</v>
      </c>
      <c r="FE130">
        <v>0.1</v>
      </c>
      <c r="FF130">
        <v>0.1</v>
      </c>
      <c r="FG130">
        <v>0.1</v>
      </c>
      <c r="FH130">
        <v>0.1</v>
      </c>
      <c r="FI130">
        <v>0.1</v>
      </c>
      <c r="FJ130">
        <v>0.1</v>
      </c>
      <c r="FK130">
        <v>0.1</v>
      </c>
      <c r="FL130">
        <v>0.1</v>
      </c>
      <c r="FM130">
        <v>0.1</v>
      </c>
      <c r="FN130">
        <v>0.1</v>
      </c>
      <c r="FO130">
        <v>0.1</v>
      </c>
      <c r="FP130">
        <v>0.1</v>
      </c>
      <c r="FQ130">
        <v>0.1</v>
      </c>
      <c r="FU130">
        <v>127</v>
      </c>
      <c r="GB130">
        <v>0.1</v>
      </c>
      <c r="GC130">
        <v>0.1</v>
      </c>
      <c r="GD130">
        <v>0.1</v>
      </c>
      <c r="GE130">
        <v>0.1</v>
      </c>
      <c r="GF130">
        <v>0.1</v>
      </c>
      <c r="GG130">
        <v>0.1</v>
      </c>
      <c r="GH130">
        <v>0.1</v>
      </c>
      <c r="GI130">
        <v>0.1</v>
      </c>
      <c r="GJ130">
        <v>0.1</v>
      </c>
      <c r="GK130">
        <v>0.1</v>
      </c>
      <c r="GL130">
        <v>0.1</v>
      </c>
      <c r="GM130">
        <v>0.1</v>
      </c>
      <c r="GN130">
        <v>0.1</v>
      </c>
      <c r="GO130">
        <v>0.1</v>
      </c>
      <c r="GP130">
        <v>0.1</v>
      </c>
      <c r="GQ130">
        <v>0.1</v>
      </c>
      <c r="GR130">
        <v>0.1</v>
      </c>
      <c r="GS130">
        <v>0.1</v>
      </c>
      <c r="GT130">
        <v>0.1</v>
      </c>
      <c r="GU130">
        <v>0.1</v>
      </c>
      <c r="GV130">
        <v>0.1</v>
      </c>
      <c r="GW130">
        <v>0.1</v>
      </c>
      <c r="GX130">
        <v>0.1</v>
      </c>
      <c r="GY130">
        <v>0.1</v>
      </c>
      <c r="GZ130">
        <v>0.1</v>
      </c>
      <c r="HA130">
        <v>0.1</v>
      </c>
      <c r="HB130">
        <v>0.1</v>
      </c>
      <c r="HC130">
        <v>0.1</v>
      </c>
      <c r="HD130">
        <v>0.1</v>
      </c>
      <c r="HE130">
        <v>0.1</v>
      </c>
      <c r="HF130">
        <v>0.1</v>
      </c>
      <c r="HG130">
        <v>0.1</v>
      </c>
      <c r="HH130">
        <v>0.1</v>
      </c>
      <c r="HI130">
        <v>0.1</v>
      </c>
      <c r="HJ130">
        <v>0.1</v>
      </c>
      <c r="HK130">
        <v>0.1</v>
      </c>
      <c r="HL130">
        <v>0.1</v>
      </c>
      <c r="HM130">
        <v>0.1</v>
      </c>
      <c r="HN130">
        <v>0.1</v>
      </c>
      <c r="HO130">
        <v>0.1</v>
      </c>
    </row>
    <row r="131" spans="1:223" ht="15.75" thickBot="1" x14ac:dyDescent="0.3">
      <c r="A131">
        <v>128</v>
      </c>
      <c r="B131" s="269">
        <v>3.55</v>
      </c>
      <c r="C131" s="268">
        <v>2.39</v>
      </c>
      <c r="D131" s="2"/>
      <c r="E131" s="2"/>
      <c r="F131" s="2"/>
      <c r="G131" s="2"/>
      <c r="H131" s="258">
        <v>0.1</v>
      </c>
      <c r="I131" s="259">
        <v>0.1</v>
      </c>
      <c r="J131" s="259">
        <v>0.1</v>
      </c>
      <c r="K131" s="259">
        <v>0.1</v>
      </c>
      <c r="L131" s="259">
        <v>0.1</v>
      </c>
      <c r="M131" s="259">
        <v>0.1</v>
      </c>
      <c r="N131" s="259">
        <v>0.1</v>
      </c>
      <c r="O131" s="259">
        <v>0.1</v>
      </c>
      <c r="P131" s="259">
        <v>0.1</v>
      </c>
      <c r="Q131" s="259">
        <v>0.1</v>
      </c>
      <c r="R131" s="259">
        <v>0.1</v>
      </c>
      <c r="S131" s="259">
        <v>0.1</v>
      </c>
      <c r="T131" s="259">
        <v>0.1</v>
      </c>
      <c r="U131" s="259">
        <v>0.1</v>
      </c>
      <c r="V131" s="259">
        <v>0.1</v>
      </c>
      <c r="W131" s="259">
        <v>0.1</v>
      </c>
      <c r="X131" s="259">
        <v>0.1</v>
      </c>
      <c r="Y131" s="259">
        <v>0.1</v>
      </c>
      <c r="Z131" s="259">
        <v>0.1</v>
      </c>
      <c r="AA131" s="259">
        <v>0.1</v>
      </c>
      <c r="AB131" s="259">
        <v>0.1</v>
      </c>
      <c r="AC131" s="259">
        <v>0.1</v>
      </c>
      <c r="AD131" s="259">
        <v>0.1</v>
      </c>
      <c r="AE131" s="259">
        <v>0.1</v>
      </c>
      <c r="AF131" s="259">
        <v>0.1</v>
      </c>
      <c r="AG131" s="259">
        <v>0.1</v>
      </c>
      <c r="AH131" s="259">
        <v>0.1</v>
      </c>
      <c r="AI131" s="259">
        <v>0.1</v>
      </c>
      <c r="AJ131" s="259">
        <v>0.1</v>
      </c>
      <c r="AK131" s="259">
        <v>0.1</v>
      </c>
      <c r="AL131" s="259">
        <v>0.1</v>
      </c>
      <c r="AM131" s="259">
        <v>0.1</v>
      </c>
      <c r="AN131" s="259">
        <v>0.1</v>
      </c>
      <c r="AO131" s="259">
        <v>0.1</v>
      </c>
      <c r="AP131" s="259">
        <v>0.1</v>
      </c>
      <c r="AQ131" s="260">
        <v>0.1</v>
      </c>
      <c r="AR131" s="266">
        <v>0.1</v>
      </c>
      <c r="AS131" s="264">
        <v>0.1</v>
      </c>
      <c r="AT131" s="264">
        <v>0.1</v>
      </c>
      <c r="AU131" s="264">
        <v>0.1</v>
      </c>
      <c r="AV131" s="264">
        <v>0.1</v>
      </c>
      <c r="AW131" s="264">
        <v>0.1</v>
      </c>
      <c r="AX131" s="264">
        <v>0.1</v>
      </c>
      <c r="AY131" s="264">
        <v>0.1</v>
      </c>
      <c r="AZ131" s="264">
        <v>0.1</v>
      </c>
      <c r="BA131" s="264">
        <v>0.1</v>
      </c>
      <c r="BB131" s="264">
        <v>0.1</v>
      </c>
      <c r="BC131" s="264">
        <v>0.1</v>
      </c>
      <c r="BD131" s="264">
        <v>0.1</v>
      </c>
      <c r="BE131" s="264">
        <v>0.1</v>
      </c>
      <c r="BF131" s="264">
        <v>0.1</v>
      </c>
      <c r="BG131" s="264">
        <v>0.1</v>
      </c>
      <c r="BH131" s="264">
        <v>0.1</v>
      </c>
      <c r="BI131" s="264">
        <v>0.1</v>
      </c>
      <c r="BJ131" s="264">
        <v>0.1</v>
      </c>
      <c r="BK131" s="264">
        <v>0.1</v>
      </c>
      <c r="BL131" s="264">
        <v>0.1</v>
      </c>
      <c r="BM131" s="264">
        <v>0.1</v>
      </c>
      <c r="BN131" s="265">
        <v>0.1</v>
      </c>
      <c r="BO131">
        <v>0.1</v>
      </c>
      <c r="BP131">
        <f t="shared" ref="BP131:BP136" si="9">SUM(BO131)</f>
        <v>0.1</v>
      </c>
      <c r="BS131">
        <v>128</v>
      </c>
      <c r="BT131" s="270">
        <v>3.95</v>
      </c>
      <c r="BU131" s="271">
        <v>1.98</v>
      </c>
      <c r="BV131" s="2"/>
      <c r="BW131" s="2"/>
      <c r="BX131" s="2"/>
      <c r="BY131" s="258">
        <v>0.1</v>
      </c>
      <c r="BZ131" s="259">
        <v>0.1</v>
      </c>
      <c r="CA131" s="259">
        <v>0.1</v>
      </c>
      <c r="CB131" s="259">
        <v>0.1</v>
      </c>
      <c r="CC131" s="259">
        <v>0.1</v>
      </c>
      <c r="CD131" s="259">
        <v>0.1</v>
      </c>
      <c r="CE131" s="259">
        <v>0.1</v>
      </c>
      <c r="CF131" s="259">
        <v>0.1</v>
      </c>
      <c r="CG131" s="259">
        <v>0.1</v>
      </c>
      <c r="CH131" s="259">
        <v>0.1</v>
      </c>
      <c r="CI131" s="259">
        <v>0.1</v>
      </c>
      <c r="CJ131" s="259">
        <v>0.1</v>
      </c>
      <c r="CK131" s="259">
        <v>0.1</v>
      </c>
      <c r="CL131" s="259">
        <v>0.1</v>
      </c>
      <c r="CM131" s="259">
        <v>0.1</v>
      </c>
      <c r="CN131" s="259">
        <v>0.1</v>
      </c>
      <c r="CO131" s="259">
        <v>0.1</v>
      </c>
      <c r="CP131" s="259">
        <v>0.1</v>
      </c>
      <c r="CQ131" s="259">
        <v>0.1</v>
      </c>
      <c r="CR131" s="259">
        <v>0.1</v>
      </c>
      <c r="CS131" s="259">
        <v>0.1</v>
      </c>
      <c r="CT131" s="259">
        <v>0.1</v>
      </c>
      <c r="CU131" s="259">
        <v>0.1</v>
      </c>
      <c r="CV131" s="259">
        <v>0.1</v>
      </c>
      <c r="CW131" s="259">
        <v>0.1</v>
      </c>
      <c r="CX131" s="259">
        <v>0.1</v>
      </c>
      <c r="CY131" s="259">
        <v>0.1</v>
      </c>
      <c r="CZ131" s="259">
        <v>0.1</v>
      </c>
      <c r="DA131" s="259">
        <v>0.1</v>
      </c>
      <c r="DB131" s="259">
        <v>0.1</v>
      </c>
      <c r="DC131" s="259">
        <v>0.1</v>
      </c>
      <c r="DD131" s="259">
        <v>0.1</v>
      </c>
      <c r="DE131" s="259">
        <v>0.1</v>
      </c>
      <c r="DF131" s="259">
        <v>0.1</v>
      </c>
      <c r="DG131" s="259">
        <v>0.1</v>
      </c>
      <c r="DH131" s="259">
        <v>0.1</v>
      </c>
      <c r="DI131" s="259">
        <v>0.1</v>
      </c>
      <c r="DJ131" s="259">
        <v>0.1</v>
      </c>
      <c r="DK131" s="259">
        <v>0.1</v>
      </c>
      <c r="DL131" s="260">
        <v>0.1</v>
      </c>
      <c r="DM131" s="258">
        <v>0.1</v>
      </c>
      <c r="DN131" s="259">
        <v>0.1</v>
      </c>
      <c r="DO131" s="259">
        <v>0.1</v>
      </c>
      <c r="DP131" s="259">
        <v>0.1</v>
      </c>
      <c r="DQ131" s="259">
        <v>0.1</v>
      </c>
      <c r="DR131" s="259">
        <v>0.1</v>
      </c>
      <c r="DS131" s="259">
        <v>0.1</v>
      </c>
      <c r="DT131" s="259">
        <v>0.1</v>
      </c>
      <c r="DU131" s="259">
        <v>0.1</v>
      </c>
      <c r="DV131" s="259">
        <v>0.1</v>
      </c>
      <c r="DW131" s="259">
        <v>0.1</v>
      </c>
      <c r="DX131" s="259">
        <v>0.1</v>
      </c>
      <c r="DY131" s="259">
        <v>0.1</v>
      </c>
      <c r="DZ131" s="259">
        <v>0.1</v>
      </c>
      <c r="EA131" s="259">
        <v>0.1</v>
      </c>
      <c r="EB131" s="259">
        <v>0.1</v>
      </c>
      <c r="EC131" s="259">
        <v>0.1</v>
      </c>
      <c r="ED131" s="259">
        <v>0.1</v>
      </c>
      <c r="EE131" s="259">
        <v>0.1</v>
      </c>
      <c r="EF131" s="260">
        <v>0.1</v>
      </c>
      <c r="EJ131">
        <v>128</v>
      </c>
      <c r="EN131">
        <v>0.1</v>
      </c>
      <c r="EO131">
        <v>0.1</v>
      </c>
      <c r="EP131">
        <v>0.1</v>
      </c>
      <c r="EQ131">
        <v>0.1</v>
      </c>
      <c r="ER131">
        <v>0.1</v>
      </c>
      <c r="ES131">
        <v>0.1</v>
      </c>
      <c r="ET131">
        <v>0.1</v>
      </c>
      <c r="EU131">
        <v>0.1</v>
      </c>
      <c r="EV131">
        <v>0.1</v>
      </c>
      <c r="EW131">
        <v>0.1</v>
      </c>
      <c r="EX131">
        <v>0.1</v>
      </c>
      <c r="EY131">
        <v>0.1</v>
      </c>
      <c r="EZ131">
        <v>0.1</v>
      </c>
      <c r="FA131">
        <v>0.1</v>
      </c>
      <c r="FB131">
        <v>0.1</v>
      </c>
      <c r="FC131">
        <v>0.1</v>
      </c>
      <c r="FD131">
        <v>0.1</v>
      </c>
      <c r="FE131">
        <v>0.1</v>
      </c>
      <c r="FF131">
        <v>0.1</v>
      </c>
      <c r="FG131">
        <v>0.1</v>
      </c>
      <c r="FH131">
        <v>0.1</v>
      </c>
      <c r="FI131">
        <v>0.1</v>
      </c>
      <c r="FJ131">
        <v>0.1</v>
      </c>
      <c r="FK131">
        <v>0.1</v>
      </c>
      <c r="FL131">
        <v>0.1</v>
      </c>
      <c r="FM131">
        <v>0.1</v>
      </c>
      <c r="FN131">
        <v>0.1</v>
      </c>
      <c r="FO131">
        <v>0.1</v>
      </c>
      <c r="FP131">
        <v>0.1</v>
      </c>
      <c r="FQ131">
        <v>0.1</v>
      </c>
      <c r="FU131">
        <v>128</v>
      </c>
      <c r="GB131">
        <v>0.1</v>
      </c>
      <c r="GC131">
        <v>0.1</v>
      </c>
      <c r="GD131">
        <v>0.1</v>
      </c>
      <c r="GE131">
        <v>0.1</v>
      </c>
      <c r="GF131">
        <v>0.1</v>
      </c>
      <c r="GG131">
        <v>0.1</v>
      </c>
      <c r="GH131">
        <v>0.1</v>
      </c>
      <c r="GI131">
        <v>0.1</v>
      </c>
      <c r="GJ131">
        <v>0.1</v>
      </c>
      <c r="GK131">
        <v>0.1</v>
      </c>
      <c r="GL131">
        <v>0.1</v>
      </c>
      <c r="GM131">
        <v>0.1</v>
      </c>
      <c r="GN131">
        <v>0.1</v>
      </c>
      <c r="GO131">
        <v>0.1</v>
      </c>
      <c r="GP131">
        <v>0.1</v>
      </c>
      <c r="GQ131">
        <v>0.1</v>
      </c>
      <c r="GR131">
        <v>0.1</v>
      </c>
      <c r="GS131">
        <v>0.1</v>
      </c>
      <c r="GT131">
        <v>0.1</v>
      </c>
      <c r="GU131">
        <v>0.1</v>
      </c>
      <c r="GV131">
        <v>0.1</v>
      </c>
      <c r="GW131">
        <v>0.1</v>
      </c>
      <c r="GX131">
        <v>0.1</v>
      </c>
      <c r="GY131">
        <v>0.1</v>
      </c>
      <c r="GZ131">
        <v>0.1</v>
      </c>
      <c r="HA131">
        <v>0.1</v>
      </c>
      <c r="HB131">
        <v>0.1</v>
      </c>
      <c r="HC131">
        <v>0.1</v>
      </c>
      <c r="HD131">
        <v>0.1</v>
      </c>
      <c r="HE131">
        <v>0.1</v>
      </c>
      <c r="HF131">
        <v>0.1</v>
      </c>
      <c r="HG131">
        <v>0.1</v>
      </c>
      <c r="HH131">
        <v>0.1</v>
      </c>
      <c r="HI131">
        <v>0.1</v>
      </c>
      <c r="HJ131">
        <v>0.1</v>
      </c>
      <c r="HK131">
        <v>0.1</v>
      </c>
      <c r="HL131">
        <v>0.1</v>
      </c>
      <c r="HM131">
        <v>0.1</v>
      </c>
      <c r="HN131">
        <v>0.1</v>
      </c>
      <c r="HO131">
        <v>0.1</v>
      </c>
    </row>
    <row r="132" spans="1:223" ht="15.75" thickBot="1" x14ac:dyDescent="0.3">
      <c r="A132">
        <v>129</v>
      </c>
      <c r="B132" s="268">
        <v>3.55</v>
      </c>
      <c r="C132" s="269">
        <v>2.35</v>
      </c>
      <c r="D132" s="2"/>
      <c r="E132" s="2"/>
      <c r="F132" s="2"/>
      <c r="G132" s="2"/>
      <c r="H132" s="258">
        <v>0.1</v>
      </c>
      <c r="I132" s="259">
        <v>0.1</v>
      </c>
      <c r="J132" s="259">
        <v>0.1</v>
      </c>
      <c r="K132" s="259">
        <v>0.1</v>
      </c>
      <c r="L132" s="259">
        <v>0.1</v>
      </c>
      <c r="M132" s="259">
        <v>0.1</v>
      </c>
      <c r="N132" s="259">
        <v>0.1</v>
      </c>
      <c r="O132" s="259">
        <v>0.1</v>
      </c>
      <c r="P132" s="259">
        <v>0.1</v>
      </c>
      <c r="Q132" s="259">
        <v>0.1</v>
      </c>
      <c r="R132" s="259">
        <v>0.1</v>
      </c>
      <c r="S132" s="259">
        <v>0.1</v>
      </c>
      <c r="T132" s="259">
        <v>0.1</v>
      </c>
      <c r="U132" s="259">
        <v>0.1</v>
      </c>
      <c r="V132" s="259">
        <v>0.1</v>
      </c>
      <c r="W132" s="259">
        <v>0.1</v>
      </c>
      <c r="X132" s="259">
        <v>0.1</v>
      </c>
      <c r="Y132" s="259">
        <v>0.1</v>
      </c>
      <c r="Z132" s="259">
        <v>0.1</v>
      </c>
      <c r="AA132" s="259">
        <v>0.1</v>
      </c>
      <c r="AB132" s="259">
        <v>0.1</v>
      </c>
      <c r="AC132" s="259">
        <v>0.1</v>
      </c>
      <c r="AD132" s="259">
        <v>0.1</v>
      </c>
      <c r="AE132" s="259">
        <v>0.1</v>
      </c>
      <c r="AF132" s="259">
        <v>0.1</v>
      </c>
      <c r="AG132" s="259">
        <v>0.1</v>
      </c>
      <c r="AH132" s="259">
        <v>0.1</v>
      </c>
      <c r="AI132" s="259">
        <v>0.1</v>
      </c>
      <c r="AJ132" s="259">
        <v>0.1</v>
      </c>
      <c r="AK132" s="259">
        <v>0.1</v>
      </c>
      <c r="AL132" s="259">
        <v>0.1</v>
      </c>
      <c r="AM132" s="259">
        <v>0.1</v>
      </c>
      <c r="AN132" s="259">
        <v>0.1</v>
      </c>
      <c r="AO132" s="259">
        <v>0.1</v>
      </c>
      <c r="AP132" s="259">
        <v>0.1</v>
      </c>
      <c r="AQ132" s="260">
        <v>0.1</v>
      </c>
      <c r="AR132" s="258">
        <v>0.1</v>
      </c>
      <c r="AS132" s="259">
        <v>0.1</v>
      </c>
      <c r="AT132" s="259">
        <v>0.1</v>
      </c>
      <c r="AU132" s="259">
        <v>0.1</v>
      </c>
      <c r="AV132" s="259">
        <v>0.1</v>
      </c>
      <c r="AW132" s="259">
        <v>0.1</v>
      </c>
      <c r="AX132" s="259">
        <v>0.1</v>
      </c>
      <c r="AY132" s="259">
        <v>0.1</v>
      </c>
      <c r="AZ132" s="259">
        <v>0.1</v>
      </c>
      <c r="BA132" s="259">
        <v>0.1</v>
      </c>
      <c r="BB132" s="259">
        <v>0.1</v>
      </c>
      <c r="BC132" s="259">
        <v>0.1</v>
      </c>
      <c r="BD132" s="259">
        <v>0.1</v>
      </c>
      <c r="BE132" s="259">
        <v>0.1</v>
      </c>
      <c r="BF132" s="259">
        <v>0.1</v>
      </c>
      <c r="BG132" s="259">
        <v>0.1</v>
      </c>
      <c r="BH132" s="259">
        <v>0.1</v>
      </c>
      <c r="BI132" s="259">
        <v>0.1</v>
      </c>
      <c r="BJ132" s="259">
        <v>0.1</v>
      </c>
      <c r="BK132" s="259">
        <v>0.1</v>
      </c>
      <c r="BL132" s="259">
        <v>0.1</v>
      </c>
      <c r="BM132" s="259">
        <v>0.1</v>
      </c>
      <c r="BN132" s="260">
        <v>0.1</v>
      </c>
      <c r="BO132">
        <v>0.1</v>
      </c>
      <c r="BP132">
        <f t="shared" si="9"/>
        <v>0.1</v>
      </c>
      <c r="BS132">
        <v>129</v>
      </c>
      <c r="BT132" s="271">
        <v>3.91</v>
      </c>
      <c r="BU132" s="270">
        <v>1.98</v>
      </c>
      <c r="BV132" s="2"/>
      <c r="BW132" s="2"/>
      <c r="BX132" s="2"/>
      <c r="BY132" s="258">
        <v>0.1</v>
      </c>
      <c r="BZ132" s="259">
        <v>0.1</v>
      </c>
      <c r="CA132" s="259">
        <v>0.1</v>
      </c>
      <c r="CB132" s="259">
        <v>0.1</v>
      </c>
      <c r="CC132" s="259">
        <v>0.1</v>
      </c>
      <c r="CD132" s="259">
        <v>0.1</v>
      </c>
      <c r="CE132" s="259">
        <v>0.1</v>
      </c>
      <c r="CF132" s="259">
        <v>0.1</v>
      </c>
      <c r="CG132" s="259">
        <v>0.1</v>
      </c>
      <c r="CH132" s="259">
        <v>0.1</v>
      </c>
      <c r="CI132" s="259">
        <v>0.1</v>
      </c>
      <c r="CJ132" s="259">
        <v>0.1</v>
      </c>
      <c r="CK132" s="259">
        <v>0.1</v>
      </c>
      <c r="CL132" s="259">
        <v>0.1</v>
      </c>
      <c r="CM132" s="259">
        <v>0.1</v>
      </c>
      <c r="CN132" s="259">
        <v>0.1</v>
      </c>
      <c r="CO132" s="259">
        <v>0.1</v>
      </c>
      <c r="CP132" s="259">
        <v>0.1</v>
      </c>
      <c r="CQ132" s="259">
        <v>0.1</v>
      </c>
      <c r="CR132" s="259">
        <v>0.1</v>
      </c>
      <c r="CS132" s="259">
        <v>0.1</v>
      </c>
      <c r="CT132" s="259">
        <v>0.1</v>
      </c>
      <c r="CU132" s="259">
        <v>0.1</v>
      </c>
      <c r="CV132" s="259">
        <v>0.1</v>
      </c>
      <c r="CW132" s="259">
        <v>0.1</v>
      </c>
      <c r="CX132" s="259">
        <v>0.1</v>
      </c>
      <c r="CY132" s="259">
        <v>0.1</v>
      </c>
      <c r="CZ132" s="259">
        <v>0.1</v>
      </c>
      <c r="DA132" s="259">
        <v>0.1</v>
      </c>
      <c r="DB132" s="259">
        <v>0.1</v>
      </c>
      <c r="DC132" s="259">
        <v>0.1</v>
      </c>
      <c r="DD132" s="259">
        <v>0.1</v>
      </c>
      <c r="DE132" s="259">
        <v>0.1</v>
      </c>
      <c r="DF132" s="259">
        <v>0.1</v>
      </c>
      <c r="DG132" s="259">
        <v>0.1</v>
      </c>
      <c r="DH132" s="259">
        <v>0.1</v>
      </c>
      <c r="DI132" s="259">
        <v>0.1</v>
      </c>
      <c r="DJ132" s="259">
        <v>0.1</v>
      </c>
      <c r="DK132" s="259">
        <v>0.1</v>
      </c>
      <c r="DL132" s="260">
        <v>0.1</v>
      </c>
      <c r="DM132" s="258">
        <v>0.1</v>
      </c>
      <c r="DN132" s="259">
        <v>0.1</v>
      </c>
      <c r="DO132" s="259">
        <v>0.1</v>
      </c>
      <c r="DP132" s="259">
        <v>0.1</v>
      </c>
      <c r="DQ132" s="259">
        <v>0.1</v>
      </c>
      <c r="DR132" s="259">
        <v>0.1</v>
      </c>
      <c r="DS132" s="259">
        <v>0.1</v>
      </c>
      <c r="DT132" s="259">
        <v>0.1</v>
      </c>
      <c r="DU132" s="259">
        <v>0.1</v>
      </c>
      <c r="DV132" s="259">
        <v>0.1</v>
      </c>
      <c r="DW132" s="259">
        <v>0.1</v>
      </c>
      <c r="DX132" s="259">
        <v>0.1</v>
      </c>
      <c r="DY132" s="259">
        <v>0.1</v>
      </c>
      <c r="DZ132" s="259">
        <v>0.1</v>
      </c>
      <c r="EA132" s="259">
        <v>0.1</v>
      </c>
      <c r="EB132" s="259">
        <v>0.1</v>
      </c>
      <c r="EC132" s="259">
        <v>0.1</v>
      </c>
      <c r="ED132" s="259">
        <v>0.1</v>
      </c>
      <c r="EE132" s="259">
        <v>0.1</v>
      </c>
      <c r="EF132" s="260">
        <v>0.1</v>
      </c>
      <c r="EJ132">
        <v>129</v>
      </c>
      <c r="EN132">
        <v>0.1</v>
      </c>
      <c r="EO132">
        <v>0.1</v>
      </c>
      <c r="EP132">
        <v>0.1</v>
      </c>
      <c r="EQ132">
        <v>0.1</v>
      </c>
      <c r="ER132">
        <v>0.1</v>
      </c>
      <c r="ES132">
        <v>0.1</v>
      </c>
      <c r="ET132">
        <v>0.1</v>
      </c>
      <c r="EU132">
        <v>0.1</v>
      </c>
      <c r="EV132">
        <v>0.1</v>
      </c>
      <c r="EW132">
        <v>0.1</v>
      </c>
      <c r="EX132">
        <v>0.1</v>
      </c>
      <c r="EY132">
        <v>0.1</v>
      </c>
      <c r="EZ132">
        <v>0.1</v>
      </c>
      <c r="FA132">
        <v>0.1</v>
      </c>
      <c r="FB132">
        <v>0.1</v>
      </c>
      <c r="FC132">
        <v>0.1</v>
      </c>
      <c r="FD132">
        <v>0.1</v>
      </c>
      <c r="FE132">
        <v>0.1</v>
      </c>
      <c r="FF132">
        <v>0.1</v>
      </c>
      <c r="FG132">
        <v>0.1</v>
      </c>
      <c r="FH132">
        <v>0.1</v>
      </c>
      <c r="FI132">
        <v>0.1</v>
      </c>
      <c r="FJ132">
        <v>0.1</v>
      </c>
      <c r="FK132">
        <v>0.1</v>
      </c>
      <c r="FL132">
        <v>0.1</v>
      </c>
      <c r="FM132">
        <v>0.1</v>
      </c>
      <c r="FN132">
        <v>0.1</v>
      </c>
      <c r="FO132">
        <v>0.1</v>
      </c>
      <c r="FP132">
        <v>0.1</v>
      </c>
      <c r="FQ132">
        <v>0.1</v>
      </c>
      <c r="FU132">
        <v>129</v>
      </c>
      <c r="GB132">
        <v>0.1</v>
      </c>
      <c r="GC132">
        <v>0.1</v>
      </c>
      <c r="GD132">
        <v>0.1</v>
      </c>
      <c r="GE132">
        <v>0.1</v>
      </c>
      <c r="GF132">
        <v>0.1</v>
      </c>
      <c r="GG132">
        <v>0.1</v>
      </c>
      <c r="GH132">
        <v>0.1</v>
      </c>
      <c r="GI132">
        <v>0.1</v>
      </c>
      <c r="GJ132">
        <v>0.1</v>
      </c>
      <c r="GK132">
        <v>0.1</v>
      </c>
      <c r="GL132">
        <v>0.1</v>
      </c>
      <c r="GM132">
        <v>0.1</v>
      </c>
      <c r="GN132">
        <v>0.1</v>
      </c>
      <c r="GO132">
        <v>0.1</v>
      </c>
      <c r="GP132">
        <v>0.1</v>
      </c>
      <c r="GQ132">
        <v>0.1</v>
      </c>
      <c r="GR132">
        <v>0.1</v>
      </c>
      <c r="GS132">
        <v>0.1</v>
      </c>
      <c r="GT132">
        <v>0.1</v>
      </c>
      <c r="GU132">
        <v>0.1</v>
      </c>
      <c r="GV132">
        <v>0.1</v>
      </c>
      <c r="GW132">
        <v>0.1</v>
      </c>
      <c r="GX132">
        <v>0.1</v>
      </c>
      <c r="GY132">
        <v>0.1</v>
      </c>
      <c r="GZ132">
        <v>0.1</v>
      </c>
      <c r="HA132">
        <v>0.1</v>
      </c>
      <c r="HB132">
        <v>0.1</v>
      </c>
      <c r="HC132">
        <v>0.1</v>
      </c>
      <c r="HD132">
        <v>0.1</v>
      </c>
      <c r="HE132">
        <v>0.1</v>
      </c>
      <c r="HF132">
        <v>0.1</v>
      </c>
      <c r="HG132">
        <v>0.1</v>
      </c>
      <c r="HH132">
        <v>0.1</v>
      </c>
      <c r="HI132">
        <v>0.1</v>
      </c>
      <c r="HJ132">
        <v>0.1</v>
      </c>
      <c r="HK132">
        <v>0.1</v>
      </c>
      <c r="HL132">
        <v>0.1</v>
      </c>
      <c r="HM132">
        <v>0.1</v>
      </c>
      <c r="HN132">
        <v>0.1</v>
      </c>
      <c r="HO132">
        <v>0.1</v>
      </c>
    </row>
    <row r="133" spans="1:223" ht="15.75" thickBot="1" x14ac:dyDescent="0.3">
      <c r="A133">
        <v>130</v>
      </c>
      <c r="B133" s="269">
        <v>3.55</v>
      </c>
      <c r="C133" s="268">
        <v>2.33</v>
      </c>
      <c r="D133" s="2"/>
      <c r="E133" s="2"/>
      <c r="F133" s="2"/>
      <c r="G133" s="2"/>
      <c r="H133" s="258">
        <v>0.1</v>
      </c>
      <c r="I133" s="259">
        <v>0.1</v>
      </c>
      <c r="J133" s="259">
        <v>0.1</v>
      </c>
      <c r="K133" s="259">
        <v>0.1</v>
      </c>
      <c r="L133" s="259">
        <v>0.1</v>
      </c>
      <c r="M133" s="259">
        <v>0.1</v>
      </c>
      <c r="N133" s="259">
        <v>0.1</v>
      </c>
      <c r="O133" s="259">
        <v>0.1</v>
      </c>
      <c r="P133" s="259">
        <v>0.1</v>
      </c>
      <c r="Q133" s="259">
        <v>0.1</v>
      </c>
      <c r="R133" s="259">
        <v>0.1</v>
      </c>
      <c r="S133" s="259">
        <v>0.1</v>
      </c>
      <c r="T133" s="259">
        <v>0.1</v>
      </c>
      <c r="U133" s="259">
        <v>0.1</v>
      </c>
      <c r="V133" s="259">
        <v>0.1</v>
      </c>
      <c r="W133" s="259">
        <v>0.1</v>
      </c>
      <c r="X133" s="259">
        <v>0.1</v>
      </c>
      <c r="Y133" s="259">
        <v>0.1</v>
      </c>
      <c r="Z133" s="259">
        <v>0.1</v>
      </c>
      <c r="AA133" s="259">
        <v>0.1</v>
      </c>
      <c r="AB133" s="259">
        <v>0.1</v>
      </c>
      <c r="AC133" s="259">
        <v>0.1</v>
      </c>
      <c r="AD133" s="259">
        <v>0.1</v>
      </c>
      <c r="AE133" s="259">
        <v>0.1</v>
      </c>
      <c r="AF133" s="259">
        <v>0.1</v>
      </c>
      <c r="AG133" s="259">
        <v>0.1</v>
      </c>
      <c r="AH133" s="259">
        <v>0.1</v>
      </c>
      <c r="AI133" s="259">
        <v>0.1</v>
      </c>
      <c r="AJ133" s="259">
        <v>0.1</v>
      </c>
      <c r="AK133" s="259">
        <v>0.1</v>
      </c>
      <c r="AL133" s="259">
        <v>0.1</v>
      </c>
      <c r="AM133" s="259">
        <v>0.1</v>
      </c>
      <c r="AN133" s="259">
        <v>0.1</v>
      </c>
      <c r="AO133" s="259">
        <v>0.1</v>
      </c>
      <c r="AP133" s="259">
        <v>0.1</v>
      </c>
      <c r="AQ133" s="260">
        <v>0.1</v>
      </c>
      <c r="AR133" s="258">
        <v>0.1</v>
      </c>
      <c r="AS133" s="259">
        <v>0.1</v>
      </c>
      <c r="AT133" s="259">
        <v>0.1</v>
      </c>
      <c r="AU133" s="259">
        <v>0.1</v>
      </c>
      <c r="AV133" s="259">
        <v>0.1</v>
      </c>
      <c r="AW133" s="259">
        <v>0.1</v>
      </c>
      <c r="AX133" s="259">
        <v>0.1</v>
      </c>
      <c r="AY133" s="259">
        <v>0.1</v>
      </c>
      <c r="AZ133" s="259">
        <v>0.1</v>
      </c>
      <c r="BA133" s="259">
        <v>0.1</v>
      </c>
      <c r="BB133" s="259">
        <v>0.1</v>
      </c>
      <c r="BC133" s="259">
        <v>0.1</v>
      </c>
      <c r="BD133" s="259">
        <v>0.1</v>
      </c>
      <c r="BE133" s="259">
        <v>0.1</v>
      </c>
      <c r="BF133" s="259">
        <v>0.1</v>
      </c>
      <c r="BG133" s="259">
        <v>0.1</v>
      </c>
      <c r="BH133" s="259">
        <v>0.1</v>
      </c>
      <c r="BI133" s="259">
        <v>0.1</v>
      </c>
      <c r="BJ133" s="259">
        <v>0.1</v>
      </c>
      <c r="BK133" s="259">
        <v>0.1</v>
      </c>
      <c r="BL133" s="259">
        <v>0.1</v>
      </c>
      <c r="BM133" s="259">
        <v>0.1</v>
      </c>
      <c r="BN133" s="260">
        <v>0.1</v>
      </c>
      <c r="BO133">
        <v>0.1</v>
      </c>
      <c r="BP133">
        <f t="shared" si="9"/>
        <v>0.1</v>
      </c>
      <c r="BS133">
        <v>130</v>
      </c>
      <c r="BT133" s="270">
        <v>3.91</v>
      </c>
      <c r="BU133" s="271">
        <v>1.98</v>
      </c>
      <c r="BV133" s="2"/>
      <c r="BW133" s="2"/>
      <c r="BX133" s="2"/>
      <c r="BY133" s="258">
        <v>0.1</v>
      </c>
      <c r="BZ133" s="259">
        <v>0.1</v>
      </c>
      <c r="CA133" s="259">
        <v>0.1</v>
      </c>
      <c r="CB133" s="259">
        <v>0.1</v>
      </c>
      <c r="CC133" s="259">
        <v>0.1</v>
      </c>
      <c r="CD133" s="259">
        <v>0.1</v>
      </c>
      <c r="CE133" s="259">
        <v>0.1</v>
      </c>
      <c r="CF133" s="259">
        <v>0.1</v>
      </c>
      <c r="CG133" s="259">
        <v>0.1</v>
      </c>
      <c r="CH133" s="259">
        <v>0.1</v>
      </c>
      <c r="CI133" s="259">
        <v>0.1</v>
      </c>
      <c r="CJ133" s="259">
        <v>0.1</v>
      </c>
      <c r="CK133" s="259">
        <v>0.1</v>
      </c>
      <c r="CL133" s="259">
        <v>0.1</v>
      </c>
      <c r="CM133" s="259">
        <v>0.1</v>
      </c>
      <c r="CN133" s="259">
        <v>0.1</v>
      </c>
      <c r="CO133" s="259">
        <v>0.1</v>
      </c>
      <c r="CP133" s="259">
        <v>0.1</v>
      </c>
      <c r="CQ133" s="259">
        <v>0.1</v>
      </c>
      <c r="CR133" s="259">
        <v>0.1</v>
      </c>
      <c r="CS133" s="259">
        <v>0.1</v>
      </c>
      <c r="CT133" s="259">
        <v>0.1</v>
      </c>
      <c r="CU133" s="259">
        <v>0.1</v>
      </c>
      <c r="CV133" s="259">
        <v>0.1</v>
      </c>
      <c r="CW133" s="259">
        <v>0.1</v>
      </c>
      <c r="CX133" s="259">
        <v>0.1</v>
      </c>
      <c r="CY133" s="259">
        <v>0.1</v>
      </c>
      <c r="CZ133" s="259">
        <v>0.1</v>
      </c>
      <c r="DA133" s="259">
        <v>0.1</v>
      </c>
      <c r="DB133" s="259">
        <v>0.1</v>
      </c>
      <c r="DC133" s="259">
        <v>0.1</v>
      </c>
      <c r="DD133" s="259">
        <v>0.1</v>
      </c>
      <c r="DE133" s="259">
        <v>0.1</v>
      </c>
      <c r="DF133" s="259">
        <v>0.1</v>
      </c>
      <c r="DG133" s="259">
        <v>0.1</v>
      </c>
      <c r="DH133" s="259">
        <v>0.1</v>
      </c>
      <c r="DI133" s="259">
        <v>0.1</v>
      </c>
      <c r="DJ133" s="259">
        <v>0.1</v>
      </c>
      <c r="DK133" s="259">
        <v>0.1</v>
      </c>
      <c r="DL133" s="260">
        <v>0.1</v>
      </c>
      <c r="DM133" s="258">
        <v>0.1</v>
      </c>
      <c r="DN133" s="259">
        <v>0.1</v>
      </c>
      <c r="DO133" s="259">
        <v>0.1</v>
      </c>
      <c r="DP133" s="259">
        <v>0.1</v>
      </c>
      <c r="DQ133" s="259">
        <v>0.1</v>
      </c>
      <c r="DR133" s="259">
        <v>0.1</v>
      </c>
      <c r="DS133" s="259">
        <v>0.1</v>
      </c>
      <c r="DT133" s="259">
        <v>0.1</v>
      </c>
      <c r="DU133" s="259">
        <v>0.1</v>
      </c>
      <c r="DV133" s="259">
        <v>0.1</v>
      </c>
      <c r="DW133" s="259">
        <v>0.1</v>
      </c>
      <c r="DX133" s="259">
        <v>0.1</v>
      </c>
      <c r="DY133" s="259">
        <v>0.1</v>
      </c>
      <c r="DZ133" s="259">
        <v>0.1</v>
      </c>
      <c r="EA133" s="259">
        <v>0.1</v>
      </c>
      <c r="EB133" s="259">
        <v>0.1</v>
      </c>
      <c r="EC133" s="259">
        <v>0.1</v>
      </c>
      <c r="ED133" s="259">
        <v>0.1</v>
      </c>
      <c r="EE133" s="259">
        <v>0.1</v>
      </c>
      <c r="EF133" s="260">
        <v>0.1</v>
      </c>
      <c r="EJ133">
        <v>130</v>
      </c>
      <c r="EN133">
        <v>0.1</v>
      </c>
      <c r="EO133">
        <v>0.1</v>
      </c>
      <c r="EP133">
        <v>0.1</v>
      </c>
      <c r="EQ133">
        <v>0.1</v>
      </c>
      <c r="ER133">
        <v>0.1</v>
      </c>
      <c r="ES133">
        <v>0.1</v>
      </c>
      <c r="ET133">
        <v>0.1</v>
      </c>
      <c r="EU133">
        <v>0.1</v>
      </c>
      <c r="EV133">
        <v>0.1</v>
      </c>
      <c r="EW133">
        <v>0.1</v>
      </c>
      <c r="EX133">
        <v>0.1</v>
      </c>
      <c r="EY133">
        <v>0.1</v>
      </c>
      <c r="EZ133">
        <v>0.1</v>
      </c>
      <c r="FA133">
        <v>0.1</v>
      </c>
      <c r="FB133">
        <v>0.1</v>
      </c>
      <c r="FC133">
        <v>0.1</v>
      </c>
      <c r="FD133">
        <v>0.1</v>
      </c>
      <c r="FE133">
        <v>0.1</v>
      </c>
      <c r="FF133">
        <v>0.1</v>
      </c>
      <c r="FG133">
        <v>0.1</v>
      </c>
      <c r="FH133">
        <v>0.1</v>
      </c>
      <c r="FI133">
        <v>0.1</v>
      </c>
      <c r="FJ133">
        <v>0.1</v>
      </c>
      <c r="FK133">
        <v>0.1</v>
      </c>
      <c r="FL133">
        <v>0.1</v>
      </c>
      <c r="FM133">
        <v>0.1</v>
      </c>
      <c r="FN133">
        <v>0.1</v>
      </c>
      <c r="FO133">
        <v>0.1</v>
      </c>
      <c r="FP133">
        <v>0.1</v>
      </c>
      <c r="FQ133">
        <v>0.1</v>
      </c>
      <c r="FU133">
        <v>130</v>
      </c>
      <c r="GB133">
        <v>0.1</v>
      </c>
      <c r="GC133">
        <v>0.1</v>
      </c>
      <c r="GD133">
        <v>0.1</v>
      </c>
      <c r="GE133">
        <v>0.1</v>
      </c>
      <c r="GF133">
        <v>0.1</v>
      </c>
      <c r="GG133">
        <v>0.1</v>
      </c>
      <c r="GH133">
        <v>0.1</v>
      </c>
      <c r="GI133">
        <v>0.1</v>
      </c>
      <c r="GJ133">
        <v>0.1</v>
      </c>
      <c r="GK133">
        <v>0.1</v>
      </c>
      <c r="GL133">
        <v>0.1</v>
      </c>
      <c r="GM133">
        <v>0.1</v>
      </c>
      <c r="GN133">
        <v>0.1</v>
      </c>
      <c r="GO133">
        <v>0.1</v>
      </c>
      <c r="GP133">
        <v>0.1</v>
      </c>
      <c r="GQ133">
        <v>0.1</v>
      </c>
      <c r="GR133">
        <v>0.1</v>
      </c>
      <c r="GS133">
        <v>0.1</v>
      </c>
      <c r="GT133">
        <v>0.1</v>
      </c>
      <c r="GU133">
        <v>0.1</v>
      </c>
      <c r="GV133">
        <v>0.1</v>
      </c>
      <c r="GW133">
        <v>0.1</v>
      </c>
      <c r="GX133">
        <v>0.1</v>
      </c>
      <c r="GY133">
        <v>0.1</v>
      </c>
      <c r="GZ133">
        <v>0.1</v>
      </c>
      <c r="HA133">
        <v>0.1</v>
      </c>
      <c r="HB133">
        <v>0.1</v>
      </c>
      <c r="HC133">
        <v>0.1</v>
      </c>
      <c r="HD133">
        <v>0.1</v>
      </c>
      <c r="HE133">
        <v>0.1</v>
      </c>
      <c r="HF133">
        <v>0.1</v>
      </c>
      <c r="HG133">
        <v>0.1</v>
      </c>
      <c r="HH133">
        <v>0.1</v>
      </c>
      <c r="HI133">
        <v>0.1</v>
      </c>
      <c r="HJ133">
        <v>0.1</v>
      </c>
      <c r="HK133">
        <v>0.1</v>
      </c>
      <c r="HL133">
        <v>0.1</v>
      </c>
      <c r="HM133">
        <v>0.1</v>
      </c>
      <c r="HN133">
        <v>0.1</v>
      </c>
      <c r="HO133">
        <v>0.1</v>
      </c>
    </row>
    <row r="134" spans="1:223" ht="15.75" thickBot="1" x14ac:dyDescent="0.3">
      <c r="A134">
        <v>131</v>
      </c>
      <c r="B134" s="268">
        <v>3.55</v>
      </c>
      <c r="C134" s="269">
        <v>2.29</v>
      </c>
      <c r="D134" s="2"/>
      <c r="E134" s="2"/>
      <c r="F134" s="2"/>
      <c r="G134" s="2"/>
      <c r="H134" s="258">
        <v>0.1</v>
      </c>
      <c r="I134" s="259">
        <v>0.1</v>
      </c>
      <c r="J134" s="259">
        <v>0.1</v>
      </c>
      <c r="K134" s="259">
        <v>0.1</v>
      </c>
      <c r="L134" s="259">
        <v>0.1</v>
      </c>
      <c r="M134" s="259">
        <v>0.1</v>
      </c>
      <c r="N134" s="259">
        <v>0.1</v>
      </c>
      <c r="O134" s="259">
        <v>0.1</v>
      </c>
      <c r="P134" s="259">
        <v>0.1</v>
      </c>
      <c r="Q134" s="259">
        <v>0.1</v>
      </c>
      <c r="R134" s="259">
        <v>0.1</v>
      </c>
      <c r="S134" s="259">
        <v>0.1</v>
      </c>
      <c r="T134" s="259">
        <v>0.1</v>
      </c>
      <c r="U134" s="259">
        <v>0.1</v>
      </c>
      <c r="V134" s="259">
        <v>0.1</v>
      </c>
      <c r="W134" s="259">
        <v>0.1</v>
      </c>
      <c r="X134" s="259">
        <v>0.1</v>
      </c>
      <c r="Y134" s="259">
        <v>0.1</v>
      </c>
      <c r="Z134" s="259">
        <v>0.1</v>
      </c>
      <c r="AA134" s="259">
        <v>0.1</v>
      </c>
      <c r="AB134" s="259">
        <v>0.1</v>
      </c>
      <c r="AC134" s="259">
        <v>0.1</v>
      </c>
      <c r="AD134" s="259">
        <v>0.1</v>
      </c>
      <c r="AE134" s="259">
        <v>0.1</v>
      </c>
      <c r="AF134" s="259">
        <v>0.1</v>
      </c>
      <c r="AG134" s="259">
        <v>0.1</v>
      </c>
      <c r="AH134" s="259">
        <v>0.1</v>
      </c>
      <c r="AI134" s="259">
        <v>0.1</v>
      </c>
      <c r="AJ134" s="259">
        <v>0.1</v>
      </c>
      <c r="AK134" s="259">
        <v>0.1</v>
      </c>
      <c r="AL134" s="259">
        <v>0.1</v>
      </c>
      <c r="AM134" s="259">
        <v>0.1</v>
      </c>
      <c r="AN134" s="259">
        <v>0.1</v>
      </c>
      <c r="AO134" s="259">
        <v>0.1</v>
      </c>
      <c r="AP134" s="259">
        <v>0.1</v>
      </c>
      <c r="AQ134" s="260">
        <v>0.1</v>
      </c>
      <c r="AR134" s="258">
        <v>0.1</v>
      </c>
      <c r="AS134" s="259">
        <v>0.1</v>
      </c>
      <c r="AT134" s="259">
        <v>0.1</v>
      </c>
      <c r="AU134" s="259">
        <v>0.1</v>
      </c>
      <c r="AV134" s="259">
        <v>0.1</v>
      </c>
      <c r="AW134" s="259">
        <v>0.1</v>
      </c>
      <c r="AX134" s="259">
        <v>0.1</v>
      </c>
      <c r="AY134" s="259">
        <v>0.1</v>
      </c>
      <c r="AZ134" s="259">
        <v>0.1</v>
      </c>
      <c r="BA134" s="259">
        <v>0.1</v>
      </c>
      <c r="BB134" s="259">
        <v>0.1</v>
      </c>
      <c r="BC134" s="259">
        <v>0.1</v>
      </c>
      <c r="BD134" s="259">
        <v>0.1</v>
      </c>
      <c r="BE134" s="259">
        <v>0.1</v>
      </c>
      <c r="BF134" s="259">
        <v>0.1</v>
      </c>
      <c r="BG134" s="259">
        <v>0.1</v>
      </c>
      <c r="BH134" s="259">
        <v>0.1</v>
      </c>
      <c r="BI134" s="259">
        <v>0.1</v>
      </c>
      <c r="BJ134" s="259">
        <v>0.1</v>
      </c>
      <c r="BK134" s="259">
        <v>0.1</v>
      </c>
      <c r="BL134" s="259">
        <v>0.1</v>
      </c>
      <c r="BM134" s="259">
        <v>0.1</v>
      </c>
      <c r="BN134" s="260">
        <v>0.1</v>
      </c>
      <c r="BO134">
        <v>0.1</v>
      </c>
      <c r="BP134">
        <f t="shared" si="9"/>
        <v>0.1</v>
      </c>
      <c r="BS134">
        <v>131</v>
      </c>
      <c r="BT134" s="271">
        <v>3.91</v>
      </c>
      <c r="BU134" s="270">
        <v>1.98</v>
      </c>
      <c r="BV134" s="2"/>
      <c r="BW134" s="2"/>
      <c r="BX134" s="2"/>
      <c r="BY134" s="258">
        <v>0.1</v>
      </c>
      <c r="BZ134" s="259">
        <v>0.1</v>
      </c>
      <c r="CA134" s="259">
        <v>0.1</v>
      </c>
      <c r="CB134" s="259">
        <v>0.1</v>
      </c>
      <c r="CC134" s="259">
        <v>0.1</v>
      </c>
      <c r="CD134" s="259">
        <v>0.1</v>
      </c>
      <c r="CE134" s="259">
        <v>0.1</v>
      </c>
      <c r="CF134" s="259">
        <v>0.1</v>
      </c>
      <c r="CG134" s="259">
        <v>0.1</v>
      </c>
      <c r="CH134" s="259">
        <v>0.1</v>
      </c>
      <c r="CI134" s="259">
        <v>0.1</v>
      </c>
      <c r="CJ134" s="259">
        <v>0.1</v>
      </c>
      <c r="CK134" s="259">
        <v>0.1</v>
      </c>
      <c r="CL134" s="259">
        <v>0.1</v>
      </c>
      <c r="CM134" s="259">
        <v>0.1</v>
      </c>
      <c r="CN134" s="259">
        <v>0.1</v>
      </c>
      <c r="CO134" s="259">
        <v>0.1</v>
      </c>
      <c r="CP134" s="259">
        <v>0.1</v>
      </c>
      <c r="CQ134" s="259">
        <v>0.1</v>
      </c>
      <c r="CR134" s="259">
        <v>0.1</v>
      </c>
      <c r="CS134" s="259">
        <v>0.1</v>
      </c>
      <c r="CT134" s="259">
        <v>0.1</v>
      </c>
      <c r="CU134" s="259">
        <v>0.1</v>
      </c>
      <c r="CV134" s="259">
        <v>0.1</v>
      </c>
      <c r="CW134" s="259">
        <v>0.1</v>
      </c>
      <c r="CX134" s="259">
        <v>0.1</v>
      </c>
      <c r="CY134" s="259">
        <v>0.1</v>
      </c>
      <c r="CZ134" s="259">
        <v>0.1</v>
      </c>
      <c r="DA134" s="259">
        <v>0.1</v>
      </c>
      <c r="DB134" s="259">
        <v>0.1</v>
      </c>
      <c r="DC134" s="259">
        <v>0.1</v>
      </c>
      <c r="DD134" s="259">
        <v>0.1</v>
      </c>
      <c r="DE134" s="259">
        <v>0.1</v>
      </c>
      <c r="DF134" s="259">
        <v>0.1</v>
      </c>
      <c r="DG134" s="259">
        <v>0.1</v>
      </c>
      <c r="DH134" s="259">
        <v>0.1</v>
      </c>
      <c r="DI134" s="259">
        <v>0.1</v>
      </c>
      <c r="DJ134" s="259">
        <v>0.1</v>
      </c>
      <c r="DK134" s="259">
        <v>0.1</v>
      </c>
      <c r="DL134" s="260">
        <v>0.1</v>
      </c>
      <c r="DM134" s="258">
        <v>0.1</v>
      </c>
      <c r="DN134" s="259">
        <v>0.1</v>
      </c>
      <c r="DO134" s="259">
        <v>0.1</v>
      </c>
      <c r="DP134" s="259">
        <v>0.1</v>
      </c>
      <c r="DQ134" s="259">
        <v>0.1</v>
      </c>
      <c r="DR134" s="259">
        <v>0.1</v>
      </c>
      <c r="DS134" s="259">
        <v>0.1</v>
      </c>
      <c r="DT134" s="259">
        <v>0.1</v>
      </c>
      <c r="DU134" s="259">
        <v>0.1</v>
      </c>
      <c r="DV134" s="259">
        <v>0.1</v>
      </c>
      <c r="DW134" s="259">
        <v>0.1</v>
      </c>
      <c r="DX134" s="259">
        <v>0.1</v>
      </c>
      <c r="DY134" s="259">
        <v>0.1</v>
      </c>
      <c r="DZ134" s="259">
        <v>0.1</v>
      </c>
      <c r="EA134" s="259">
        <v>0.1</v>
      </c>
      <c r="EB134" s="259">
        <v>0.1</v>
      </c>
      <c r="EC134" s="259">
        <v>0.1</v>
      </c>
      <c r="ED134" s="259">
        <v>0.1</v>
      </c>
      <c r="EE134" s="259">
        <v>0.1</v>
      </c>
      <c r="EF134" s="260">
        <v>0.1</v>
      </c>
      <c r="EJ134">
        <v>131</v>
      </c>
      <c r="EN134">
        <v>0.1</v>
      </c>
      <c r="EO134">
        <v>0.1</v>
      </c>
      <c r="EP134">
        <v>0.1</v>
      </c>
      <c r="EQ134">
        <v>0.1</v>
      </c>
      <c r="ER134">
        <v>0.1</v>
      </c>
      <c r="ES134">
        <v>0.1</v>
      </c>
      <c r="ET134">
        <v>0.1</v>
      </c>
      <c r="EU134">
        <v>0.1</v>
      </c>
      <c r="EV134">
        <v>0.1</v>
      </c>
      <c r="EW134">
        <v>0.1</v>
      </c>
      <c r="EX134">
        <v>0.1</v>
      </c>
      <c r="EY134">
        <v>0.1</v>
      </c>
      <c r="EZ134">
        <v>0.1</v>
      </c>
      <c r="FA134">
        <v>0.1</v>
      </c>
      <c r="FB134">
        <v>0.1</v>
      </c>
      <c r="FC134">
        <v>0.1</v>
      </c>
      <c r="FD134">
        <v>0.1</v>
      </c>
      <c r="FE134">
        <v>0.1</v>
      </c>
      <c r="FF134">
        <v>0.1</v>
      </c>
      <c r="FG134">
        <v>0.1</v>
      </c>
      <c r="FH134">
        <v>0.1</v>
      </c>
      <c r="FI134">
        <v>0.1</v>
      </c>
      <c r="FJ134">
        <v>0.1</v>
      </c>
      <c r="FK134">
        <v>0.1</v>
      </c>
      <c r="FL134">
        <v>0.1</v>
      </c>
      <c r="FM134">
        <v>0.1</v>
      </c>
      <c r="FN134">
        <v>0.1</v>
      </c>
      <c r="FO134">
        <v>0.1</v>
      </c>
      <c r="FP134">
        <v>0.1</v>
      </c>
      <c r="FQ134">
        <v>0.1</v>
      </c>
      <c r="FU134">
        <v>131</v>
      </c>
      <c r="GB134">
        <v>0.1</v>
      </c>
      <c r="GC134">
        <v>0.1</v>
      </c>
      <c r="GD134">
        <v>0.1</v>
      </c>
      <c r="GE134">
        <v>0.1</v>
      </c>
      <c r="GF134">
        <v>0.1</v>
      </c>
      <c r="GG134">
        <v>0.1</v>
      </c>
      <c r="GH134">
        <v>0.1</v>
      </c>
      <c r="GI134">
        <v>0.1</v>
      </c>
      <c r="GJ134">
        <v>0.1</v>
      </c>
      <c r="GK134">
        <v>0.1</v>
      </c>
      <c r="GL134">
        <v>0.1</v>
      </c>
      <c r="GM134">
        <v>0.1</v>
      </c>
      <c r="GN134">
        <v>0.1</v>
      </c>
      <c r="GO134">
        <v>0.1</v>
      </c>
      <c r="GP134">
        <v>0.1</v>
      </c>
      <c r="GQ134">
        <v>0.1</v>
      </c>
      <c r="GR134">
        <v>0.1</v>
      </c>
      <c r="GS134">
        <v>0.1</v>
      </c>
      <c r="GT134">
        <v>0.1</v>
      </c>
      <c r="GU134">
        <v>0.1</v>
      </c>
      <c r="GV134">
        <v>0.1</v>
      </c>
      <c r="GW134">
        <v>0.1</v>
      </c>
      <c r="GX134">
        <v>0.1</v>
      </c>
      <c r="GY134">
        <v>0.1</v>
      </c>
      <c r="GZ134">
        <v>0.1</v>
      </c>
      <c r="HA134">
        <v>0.1</v>
      </c>
      <c r="HB134">
        <v>0.1</v>
      </c>
      <c r="HC134">
        <v>0.1</v>
      </c>
      <c r="HD134">
        <v>0.1</v>
      </c>
      <c r="HE134">
        <v>0.1</v>
      </c>
      <c r="HF134">
        <v>0.1</v>
      </c>
      <c r="HG134">
        <v>0.1</v>
      </c>
      <c r="HH134">
        <v>0.1</v>
      </c>
      <c r="HI134">
        <v>0.1</v>
      </c>
      <c r="HJ134">
        <v>0.1</v>
      </c>
      <c r="HK134">
        <v>0.1</v>
      </c>
      <c r="HL134">
        <v>0.1</v>
      </c>
      <c r="HM134">
        <v>0.1</v>
      </c>
      <c r="HN134">
        <v>0.1</v>
      </c>
      <c r="HO134">
        <v>0.1</v>
      </c>
    </row>
    <row r="135" spans="1:223" ht="15.75" thickBot="1" x14ac:dyDescent="0.3">
      <c r="A135">
        <v>132</v>
      </c>
      <c r="B135" s="269">
        <v>3.55</v>
      </c>
      <c r="C135" s="268">
        <v>2.29</v>
      </c>
      <c r="D135" s="2"/>
      <c r="E135" s="2"/>
      <c r="F135" s="2"/>
      <c r="G135" s="2"/>
      <c r="H135" s="258">
        <v>0.1</v>
      </c>
      <c r="I135" s="259">
        <v>0.1</v>
      </c>
      <c r="J135" s="259">
        <v>0.1</v>
      </c>
      <c r="K135" s="259">
        <v>0.1</v>
      </c>
      <c r="L135" s="259">
        <v>0.1</v>
      </c>
      <c r="M135" s="259">
        <v>0.1</v>
      </c>
      <c r="N135" s="259">
        <v>0.1</v>
      </c>
      <c r="O135" s="259">
        <v>0.1</v>
      </c>
      <c r="P135" s="259">
        <v>0.1</v>
      </c>
      <c r="Q135" s="259">
        <v>0.1</v>
      </c>
      <c r="R135" s="259">
        <v>0.1</v>
      </c>
      <c r="S135" s="259">
        <v>0.1</v>
      </c>
      <c r="T135" s="259">
        <v>0.1</v>
      </c>
      <c r="U135" s="259">
        <v>0.1</v>
      </c>
      <c r="V135" s="259">
        <v>0.1</v>
      </c>
      <c r="W135" s="259">
        <v>0.1</v>
      </c>
      <c r="X135" s="259">
        <v>0.1</v>
      </c>
      <c r="Y135" s="259">
        <v>0.1</v>
      </c>
      <c r="Z135" s="259">
        <v>0.1</v>
      </c>
      <c r="AA135" s="259">
        <v>0.1</v>
      </c>
      <c r="AB135" s="259">
        <v>0.1</v>
      </c>
      <c r="AC135" s="259">
        <v>0.1</v>
      </c>
      <c r="AD135" s="259">
        <v>0.1</v>
      </c>
      <c r="AE135" s="259">
        <v>0.1</v>
      </c>
      <c r="AF135" s="259">
        <v>0.1</v>
      </c>
      <c r="AG135" s="259">
        <v>0.1</v>
      </c>
      <c r="AH135" s="259">
        <v>0.1</v>
      </c>
      <c r="AI135" s="259">
        <v>0.1</v>
      </c>
      <c r="AJ135" s="259">
        <v>0.1</v>
      </c>
      <c r="AK135" s="259">
        <v>0.1</v>
      </c>
      <c r="AL135" s="259">
        <v>0.1</v>
      </c>
      <c r="AM135" s="259">
        <v>0.1</v>
      </c>
      <c r="AN135" s="259">
        <v>0.1</v>
      </c>
      <c r="AO135" s="259">
        <v>0.1</v>
      </c>
      <c r="AP135" s="259">
        <v>0.1</v>
      </c>
      <c r="AQ135" s="260">
        <v>0.1</v>
      </c>
      <c r="AR135" s="258">
        <v>0.1</v>
      </c>
      <c r="AS135" s="259">
        <v>0.1</v>
      </c>
      <c r="AT135" s="259">
        <v>0.1</v>
      </c>
      <c r="AU135" s="259">
        <v>0.1</v>
      </c>
      <c r="AV135" s="259">
        <v>0.1</v>
      </c>
      <c r="AW135" s="259">
        <v>0.1</v>
      </c>
      <c r="AX135" s="259">
        <v>0.1</v>
      </c>
      <c r="AY135" s="259">
        <v>0.1</v>
      </c>
      <c r="AZ135" s="259">
        <v>0.1</v>
      </c>
      <c r="BA135" s="259">
        <v>0.1</v>
      </c>
      <c r="BB135" s="259">
        <v>0.1</v>
      </c>
      <c r="BC135" s="259">
        <v>0.1</v>
      </c>
      <c r="BD135" s="259">
        <v>0.1</v>
      </c>
      <c r="BE135" s="259">
        <v>0.1</v>
      </c>
      <c r="BF135" s="259">
        <v>0.1</v>
      </c>
      <c r="BG135" s="259">
        <v>0.1</v>
      </c>
      <c r="BH135" s="259">
        <v>0.1</v>
      </c>
      <c r="BI135" s="259">
        <v>0.1</v>
      </c>
      <c r="BJ135" s="259">
        <v>0.1</v>
      </c>
      <c r="BK135" s="259">
        <v>0.1</v>
      </c>
      <c r="BL135" s="259">
        <v>0.1</v>
      </c>
      <c r="BM135" s="259">
        <v>0.1</v>
      </c>
      <c r="BN135" s="260">
        <v>0.1</v>
      </c>
      <c r="BO135">
        <v>0.1</v>
      </c>
      <c r="BP135">
        <f t="shared" si="9"/>
        <v>0.1</v>
      </c>
      <c r="BS135">
        <v>132</v>
      </c>
      <c r="BT135" s="270">
        <v>3.9</v>
      </c>
      <c r="BU135" s="271">
        <v>1.98</v>
      </c>
      <c r="BV135" s="2"/>
      <c r="BW135" s="2"/>
      <c r="BX135" s="2"/>
      <c r="BY135" s="258">
        <v>0.1</v>
      </c>
      <c r="BZ135" s="259">
        <v>0.1</v>
      </c>
      <c r="CA135" s="259">
        <v>0.1</v>
      </c>
      <c r="CB135" s="259">
        <v>0.1</v>
      </c>
      <c r="CC135" s="259">
        <v>0.1</v>
      </c>
      <c r="CD135" s="259">
        <v>0.1</v>
      </c>
      <c r="CE135" s="259">
        <v>0.1</v>
      </c>
      <c r="CF135" s="259">
        <v>0.1</v>
      </c>
      <c r="CG135" s="259">
        <v>0.1</v>
      </c>
      <c r="CH135" s="259">
        <v>0.1</v>
      </c>
      <c r="CI135" s="259">
        <v>0.1</v>
      </c>
      <c r="CJ135" s="259">
        <v>0.1</v>
      </c>
      <c r="CK135" s="259">
        <v>0.1</v>
      </c>
      <c r="CL135" s="259">
        <v>0.1</v>
      </c>
      <c r="CM135" s="259">
        <v>0.1</v>
      </c>
      <c r="CN135" s="259">
        <v>0.1</v>
      </c>
      <c r="CO135" s="259">
        <v>0.1</v>
      </c>
      <c r="CP135" s="259">
        <v>0.1</v>
      </c>
      <c r="CQ135" s="259">
        <v>0.1</v>
      </c>
      <c r="CR135" s="259">
        <v>0.1</v>
      </c>
      <c r="CS135" s="259">
        <v>0.1</v>
      </c>
      <c r="CT135" s="259">
        <v>0.1</v>
      </c>
      <c r="CU135" s="259">
        <v>0.1</v>
      </c>
      <c r="CV135" s="259">
        <v>0.1</v>
      </c>
      <c r="CW135" s="259">
        <v>0.1</v>
      </c>
      <c r="CX135" s="259">
        <v>0.1</v>
      </c>
      <c r="CY135" s="259">
        <v>0.1</v>
      </c>
      <c r="CZ135" s="259">
        <v>0.1</v>
      </c>
      <c r="DA135" s="259">
        <v>0.1</v>
      </c>
      <c r="DB135" s="259">
        <v>0.1</v>
      </c>
      <c r="DC135" s="259">
        <v>0.1</v>
      </c>
      <c r="DD135" s="259">
        <v>0.1</v>
      </c>
      <c r="DE135" s="259">
        <v>0.1</v>
      </c>
      <c r="DF135" s="259">
        <v>0.1</v>
      </c>
      <c r="DG135" s="259">
        <v>0.1</v>
      </c>
      <c r="DH135" s="259">
        <v>0.1</v>
      </c>
      <c r="DI135" s="259">
        <v>0.1</v>
      </c>
      <c r="DJ135" s="259">
        <v>0.1</v>
      </c>
      <c r="DK135" s="260">
        <v>0.1</v>
      </c>
      <c r="DL135" s="258">
        <v>0.1</v>
      </c>
      <c r="DM135" s="259">
        <v>0.1</v>
      </c>
      <c r="DN135" s="259">
        <v>0.1</v>
      </c>
      <c r="DO135" s="259">
        <v>0.1</v>
      </c>
      <c r="DP135" s="259">
        <v>0.1</v>
      </c>
      <c r="DQ135" s="259">
        <v>0.1</v>
      </c>
      <c r="DR135" s="259">
        <v>0.1</v>
      </c>
      <c r="DS135" s="259">
        <v>0.1</v>
      </c>
      <c r="DT135" s="259">
        <v>0.1</v>
      </c>
      <c r="DU135" s="259">
        <v>0.1</v>
      </c>
      <c r="DV135" s="259">
        <v>0.1</v>
      </c>
      <c r="DW135" s="259">
        <v>0.1</v>
      </c>
      <c r="DX135" s="259">
        <v>0.1</v>
      </c>
      <c r="DY135" s="259">
        <v>0.1</v>
      </c>
      <c r="DZ135" s="259">
        <v>0.1</v>
      </c>
      <c r="EA135" s="259">
        <v>0.1</v>
      </c>
      <c r="EB135" s="259">
        <v>0.1</v>
      </c>
      <c r="EC135" s="259">
        <v>0.1</v>
      </c>
      <c r="ED135" s="259">
        <v>0.1</v>
      </c>
      <c r="EE135" s="260">
        <v>0.1</v>
      </c>
      <c r="EF135">
        <v>0.1</v>
      </c>
      <c r="EG135">
        <f t="shared" ref="EG135:EG148" si="10">SUM(EF135)</f>
        <v>0.1</v>
      </c>
      <c r="EJ135">
        <v>132</v>
      </c>
      <c r="EN135">
        <v>0.1</v>
      </c>
      <c r="EO135">
        <v>0.1</v>
      </c>
      <c r="EP135">
        <v>0.1</v>
      </c>
      <c r="EQ135">
        <v>0.1</v>
      </c>
      <c r="ER135">
        <v>0.1</v>
      </c>
      <c r="ES135">
        <v>0.1</v>
      </c>
      <c r="ET135">
        <v>0.1</v>
      </c>
      <c r="EU135">
        <v>0.1</v>
      </c>
      <c r="EV135">
        <v>0.1</v>
      </c>
      <c r="EW135">
        <v>0.1</v>
      </c>
      <c r="EX135">
        <v>0.1</v>
      </c>
      <c r="EY135">
        <v>0.1</v>
      </c>
      <c r="EZ135">
        <v>0.1</v>
      </c>
      <c r="FA135">
        <v>0.1</v>
      </c>
      <c r="FB135">
        <v>0.1</v>
      </c>
      <c r="FC135">
        <v>0.1</v>
      </c>
      <c r="FD135">
        <v>0.1</v>
      </c>
      <c r="FE135">
        <v>0.1</v>
      </c>
      <c r="FF135">
        <v>0.1</v>
      </c>
      <c r="FG135">
        <v>0.1</v>
      </c>
      <c r="FH135">
        <v>0.1</v>
      </c>
      <c r="FI135">
        <v>0.1</v>
      </c>
      <c r="FJ135">
        <v>0.1</v>
      </c>
      <c r="FK135">
        <v>0.1</v>
      </c>
      <c r="FL135">
        <v>0.1</v>
      </c>
      <c r="FM135">
        <v>0.1</v>
      </c>
      <c r="FN135">
        <v>0.1</v>
      </c>
      <c r="FO135">
        <v>0.1</v>
      </c>
      <c r="FP135">
        <v>0.1</v>
      </c>
      <c r="FQ135">
        <v>0.1</v>
      </c>
      <c r="FU135">
        <v>132</v>
      </c>
      <c r="GB135">
        <v>0.1</v>
      </c>
      <c r="GC135">
        <v>0.1</v>
      </c>
      <c r="GD135">
        <v>0.1</v>
      </c>
      <c r="GE135">
        <v>0.1</v>
      </c>
      <c r="GF135">
        <v>0.1</v>
      </c>
      <c r="GG135">
        <v>0.1</v>
      </c>
      <c r="GH135">
        <v>0.1</v>
      </c>
      <c r="GI135">
        <v>0.1</v>
      </c>
      <c r="GJ135">
        <v>0.1</v>
      </c>
      <c r="GK135">
        <v>0.1</v>
      </c>
      <c r="GL135">
        <v>0.1</v>
      </c>
      <c r="GM135">
        <v>0.1</v>
      </c>
      <c r="GN135">
        <v>0.1</v>
      </c>
      <c r="GO135">
        <v>0.1</v>
      </c>
      <c r="GP135">
        <v>0.1</v>
      </c>
      <c r="GQ135">
        <v>0.1</v>
      </c>
      <c r="GR135">
        <v>0.1</v>
      </c>
      <c r="GS135">
        <v>0.1</v>
      </c>
      <c r="GT135">
        <v>0.1</v>
      </c>
      <c r="GU135">
        <v>0.1</v>
      </c>
      <c r="GV135">
        <v>0.1</v>
      </c>
      <c r="GW135">
        <v>0.1</v>
      </c>
      <c r="GX135">
        <v>0.1</v>
      </c>
      <c r="GY135">
        <v>0.1</v>
      </c>
      <c r="GZ135">
        <v>0.1</v>
      </c>
      <c r="HA135">
        <v>0.1</v>
      </c>
      <c r="HB135">
        <v>0.1</v>
      </c>
      <c r="HC135">
        <v>0.1</v>
      </c>
      <c r="HD135">
        <v>0.1</v>
      </c>
      <c r="HE135">
        <v>0.1</v>
      </c>
      <c r="HF135">
        <v>0.1</v>
      </c>
      <c r="HG135">
        <v>0.1</v>
      </c>
      <c r="HH135">
        <v>0.1</v>
      </c>
      <c r="HI135">
        <v>0.1</v>
      </c>
      <c r="HJ135">
        <v>0.1</v>
      </c>
      <c r="HK135">
        <v>0.1</v>
      </c>
      <c r="HL135">
        <v>0.1</v>
      </c>
      <c r="HM135">
        <v>0.1</v>
      </c>
      <c r="HN135">
        <v>0.1</v>
      </c>
      <c r="HO135">
        <v>0.1</v>
      </c>
    </row>
    <row r="136" spans="1:223" ht="15.75" thickBot="1" x14ac:dyDescent="0.3">
      <c r="A136">
        <v>133</v>
      </c>
      <c r="B136" s="268">
        <v>3.55</v>
      </c>
      <c r="C136" s="269">
        <v>2.2200000000000002</v>
      </c>
      <c r="D136" s="2"/>
      <c r="E136" s="2"/>
      <c r="F136" s="2"/>
      <c r="G136" s="2"/>
      <c r="H136" s="258">
        <v>0.1</v>
      </c>
      <c r="I136" s="259">
        <v>0.1</v>
      </c>
      <c r="J136" s="259">
        <v>0.1</v>
      </c>
      <c r="K136" s="259">
        <v>0.1</v>
      </c>
      <c r="L136" s="259">
        <v>0.1</v>
      </c>
      <c r="M136" s="259">
        <v>0.1</v>
      </c>
      <c r="N136" s="259">
        <v>0.1</v>
      </c>
      <c r="O136" s="259">
        <v>0.1</v>
      </c>
      <c r="P136" s="259">
        <v>0.1</v>
      </c>
      <c r="Q136" s="259">
        <v>0.1</v>
      </c>
      <c r="R136" s="259">
        <v>0.1</v>
      </c>
      <c r="S136" s="259">
        <v>0.1</v>
      </c>
      <c r="T136" s="259">
        <v>0.1</v>
      </c>
      <c r="U136" s="259">
        <v>0.1</v>
      </c>
      <c r="V136" s="259">
        <v>0.1</v>
      </c>
      <c r="W136" s="259">
        <v>0.1</v>
      </c>
      <c r="X136" s="259">
        <v>0.1</v>
      </c>
      <c r="Y136" s="259">
        <v>0.1</v>
      </c>
      <c r="Z136" s="259">
        <v>0.1</v>
      </c>
      <c r="AA136" s="259">
        <v>0.1</v>
      </c>
      <c r="AB136" s="259">
        <v>0.1</v>
      </c>
      <c r="AC136" s="259">
        <v>0.1</v>
      </c>
      <c r="AD136" s="259">
        <v>0.1</v>
      </c>
      <c r="AE136" s="259">
        <v>0.1</v>
      </c>
      <c r="AF136" s="259">
        <v>0.1</v>
      </c>
      <c r="AG136" s="259">
        <v>0.1</v>
      </c>
      <c r="AH136" s="259">
        <v>0.1</v>
      </c>
      <c r="AI136" s="259">
        <v>0.1</v>
      </c>
      <c r="AJ136" s="259">
        <v>0.1</v>
      </c>
      <c r="AK136" s="259">
        <v>0.1</v>
      </c>
      <c r="AL136" s="259">
        <v>0.1</v>
      </c>
      <c r="AM136" s="259">
        <v>0.1</v>
      </c>
      <c r="AN136" s="259">
        <v>0.1</v>
      </c>
      <c r="AO136" s="259">
        <v>0.1</v>
      </c>
      <c r="AP136" s="259">
        <v>0.1</v>
      </c>
      <c r="AQ136" s="260">
        <v>0.1</v>
      </c>
      <c r="AR136" s="258">
        <v>0.1</v>
      </c>
      <c r="AS136" s="259">
        <v>0.1</v>
      </c>
      <c r="AT136" s="259">
        <v>0.1</v>
      </c>
      <c r="AU136" s="259">
        <v>0.1</v>
      </c>
      <c r="AV136" s="259">
        <v>0.1</v>
      </c>
      <c r="AW136" s="259">
        <v>0.1</v>
      </c>
      <c r="AX136" s="259">
        <v>0.1</v>
      </c>
      <c r="AY136" s="259">
        <v>0.1</v>
      </c>
      <c r="AZ136" s="259">
        <v>0.1</v>
      </c>
      <c r="BA136" s="259">
        <v>0.1</v>
      </c>
      <c r="BB136" s="259">
        <v>0.1</v>
      </c>
      <c r="BC136" s="259">
        <v>0.1</v>
      </c>
      <c r="BD136" s="259">
        <v>0.1</v>
      </c>
      <c r="BE136" s="259">
        <v>0.1</v>
      </c>
      <c r="BF136" s="259">
        <v>0.1</v>
      </c>
      <c r="BG136" s="259">
        <v>0.1</v>
      </c>
      <c r="BH136" s="259">
        <v>0.1</v>
      </c>
      <c r="BI136" s="259">
        <v>0.1</v>
      </c>
      <c r="BJ136" s="259">
        <v>0.1</v>
      </c>
      <c r="BK136" s="259">
        <v>0.1</v>
      </c>
      <c r="BL136" s="259">
        <v>0.1</v>
      </c>
      <c r="BM136" s="259">
        <v>0.1</v>
      </c>
      <c r="BN136" s="260">
        <v>0.1</v>
      </c>
      <c r="BO136">
        <v>0.1</v>
      </c>
      <c r="BP136">
        <f t="shared" si="9"/>
        <v>0.1</v>
      </c>
      <c r="BS136">
        <v>133</v>
      </c>
      <c r="BT136" s="271">
        <v>3.9</v>
      </c>
      <c r="BU136" s="270">
        <v>1.98</v>
      </c>
      <c r="BV136" s="2"/>
      <c r="BW136" s="2"/>
      <c r="BX136" s="2"/>
      <c r="BY136" s="258">
        <v>0.1</v>
      </c>
      <c r="BZ136" s="259">
        <v>0.1</v>
      </c>
      <c r="CA136" s="259">
        <v>0.1</v>
      </c>
      <c r="CB136" s="259">
        <v>0.1</v>
      </c>
      <c r="CC136" s="259">
        <v>0.1</v>
      </c>
      <c r="CD136" s="259">
        <v>0.1</v>
      </c>
      <c r="CE136" s="259">
        <v>0.1</v>
      </c>
      <c r="CF136" s="259">
        <v>0.1</v>
      </c>
      <c r="CG136" s="259">
        <v>0.1</v>
      </c>
      <c r="CH136" s="259">
        <v>0.1</v>
      </c>
      <c r="CI136" s="259">
        <v>0.1</v>
      </c>
      <c r="CJ136" s="259">
        <v>0.1</v>
      </c>
      <c r="CK136" s="259">
        <v>0.1</v>
      </c>
      <c r="CL136" s="259">
        <v>0.1</v>
      </c>
      <c r="CM136" s="259">
        <v>0.1</v>
      </c>
      <c r="CN136" s="259">
        <v>0.1</v>
      </c>
      <c r="CO136" s="259">
        <v>0.1</v>
      </c>
      <c r="CP136" s="259">
        <v>0.1</v>
      </c>
      <c r="CQ136" s="259">
        <v>0.1</v>
      </c>
      <c r="CR136" s="259">
        <v>0.1</v>
      </c>
      <c r="CS136" s="259">
        <v>0.1</v>
      </c>
      <c r="CT136" s="259">
        <v>0.1</v>
      </c>
      <c r="CU136" s="259">
        <v>0.1</v>
      </c>
      <c r="CV136" s="259">
        <v>0.1</v>
      </c>
      <c r="CW136" s="259">
        <v>0.1</v>
      </c>
      <c r="CX136" s="259">
        <v>0.1</v>
      </c>
      <c r="CY136" s="259">
        <v>0.1</v>
      </c>
      <c r="CZ136" s="259">
        <v>0.1</v>
      </c>
      <c r="DA136" s="259">
        <v>0.1</v>
      </c>
      <c r="DB136" s="259">
        <v>0.1</v>
      </c>
      <c r="DC136" s="259">
        <v>0.1</v>
      </c>
      <c r="DD136" s="259">
        <v>0.1</v>
      </c>
      <c r="DE136" s="259">
        <v>0.1</v>
      </c>
      <c r="DF136" s="259">
        <v>0.1</v>
      </c>
      <c r="DG136" s="259">
        <v>0.1</v>
      </c>
      <c r="DH136" s="259">
        <v>0.1</v>
      </c>
      <c r="DI136" s="259">
        <v>0.1</v>
      </c>
      <c r="DJ136" s="259">
        <v>0.1</v>
      </c>
      <c r="DK136" s="260">
        <v>0.1</v>
      </c>
      <c r="DL136" s="258">
        <v>0.1</v>
      </c>
      <c r="DM136" s="259">
        <v>0.1</v>
      </c>
      <c r="DN136" s="259">
        <v>0.1</v>
      </c>
      <c r="DO136" s="259">
        <v>0.1</v>
      </c>
      <c r="DP136" s="259">
        <v>0.1</v>
      </c>
      <c r="DQ136" s="259">
        <v>0.1</v>
      </c>
      <c r="DR136" s="259">
        <v>0.1</v>
      </c>
      <c r="DS136" s="259">
        <v>0.1</v>
      </c>
      <c r="DT136" s="259">
        <v>0.1</v>
      </c>
      <c r="DU136" s="259">
        <v>0.1</v>
      </c>
      <c r="DV136" s="259">
        <v>0.1</v>
      </c>
      <c r="DW136" s="259">
        <v>0.1</v>
      </c>
      <c r="DX136" s="259">
        <v>0.1</v>
      </c>
      <c r="DY136" s="259">
        <v>0.1</v>
      </c>
      <c r="DZ136" s="259">
        <v>0.1</v>
      </c>
      <c r="EA136" s="259">
        <v>0.1</v>
      </c>
      <c r="EB136" s="259">
        <v>0.1</v>
      </c>
      <c r="EC136" s="259">
        <v>0.1</v>
      </c>
      <c r="ED136" s="259">
        <v>0.1</v>
      </c>
      <c r="EE136" s="260">
        <v>0.1</v>
      </c>
      <c r="EF136">
        <v>0.1</v>
      </c>
      <c r="EG136">
        <f t="shared" si="10"/>
        <v>0.1</v>
      </c>
      <c r="EJ136">
        <v>133</v>
      </c>
      <c r="EN136">
        <v>0.1</v>
      </c>
      <c r="EO136">
        <v>0.1</v>
      </c>
      <c r="EP136">
        <v>0.1</v>
      </c>
      <c r="EQ136">
        <v>0.1</v>
      </c>
      <c r="ER136">
        <v>0.1</v>
      </c>
      <c r="ES136">
        <v>0.1</v>
      </c>
      <c r="ET136">
        <v>0.1</v>
      </c>
      <c r="EU136">
        <v>0.1</v>
      </c>
      <c r="EV136">
        <v>0.1</v>
      </c>
      <c r="EW136">
        <v>0.1</v>
      </c>
      <c r="EX136">
        <v>0.1</v>
      </c>
      <c r="EY136">
        <v>0.1</v>
      </c>
      <c r="EZ136">
        <v>0.1</v>
      </c>
      <c r="FA136">
        <v>0.1</v>
      </c>
      <c r="FB136">
        <v>0.1</v>
      </c>
      <c r="FC136">
        <v>0.1</v>
      </c>
      <c r="FD136">
        <v>0.1</v>
      </c>
      <c r="FE136">
        <v>0.1</v>
      </c>
      <c r="FF136">
        <v>0.1</v>
      </c>
      <c r="FG136">
        <v>0.1</v>
      </c>
      <c r="FH136">
        <v>0.1</v>
      </c>
      <c r="FI136">
        <v>0.1</v>
      </c>
      <c r="FJ136">
        <v>0.1</v>
      </c>
      <c r="FK136">
        <v>0.1</v>
      </c>
      <c r="FL136">
        <v>0.1</v>
      </c>
      <c r="FM136">
        <v>0.1</v>
      </c>
      <c r="FN136">
        <v>0.1</v>
      </c>
      <c r="FO136">
        <v>0.1</v>
      </c>
      <c r="FP136">
        <v>0.1</v>
      </c>
      <c r="FQ136">
        <v>0.1</v>
      </c>
      <c r="FU136">
        <v>133</v>
      </c>
      <c r="GB136">
        <v>0.1</v>
      </c>
      <c r="GC136">
        <v>0.1</v>
      </c>
      <c r="GD136">
        <v>0.1</v>
      </c>
      <c r="GE136">
        <v>0.1</v>
      </c>
      <c r="GF136">
        <v>0.1</v>
      </c>
      <c r="GG136">
        <v>0.1</v>
      </c>
      <c r="GH136">
        <v>0.1</v>
      </c>
      <c r="GI136">
        <v>0.1</v>
      </c>
      <c r="GJ136">
        <v>0.1</v>
      </c>
      <c r="GK136">
        <v>0.1</v>
      </c>
      <c r="GL136">
        <v>0.1</v>
      </c>
      <c r="GM136">
        <v>0.1</v>
      </c>
      <c r="GN136">
        <v>0.1</v>
      </c>
      <c r="GO136">
        <v>0.1</v>
      </c>
      <c r="GP136">
        <v>0.1</v>
      </c>
      <c r="GQ136">
        <v>0.1</v>
      </c>
      <c r="GR136">
        <v>0.1</v>
      </c>
      <c r="GS136">
        <v>0.1</v>
      </c>
      <c r="GT136">
        <v>0.1</v>
      </c>
      <c r="GU136">
        <v>0.1</v>
      </c>
      <c r="GV136">
        <v>0.1</v>
      </c>
      <c r="GW136">
        <v>0.1</v>
      </c>
      <c r="GX136">
        <v>0.1</v>
      </c>
      <c r="GY136">
        <v>0.1</v>
      </c>
      <c r="GZ136">
        <v>0.1</v>
      </c>
      <c r="HA136">
        <v>0.1</v>
      </c>
      <c r="HB136">
        <v>0.1</v>
      </c>
      <c r="HC136">
        <v>0.1</v>
      </c>
      <c r="HD136">
        <v>0.1</v>
      </c>
      <c r="HE136">
        <v>0.1</v>
      </c>
      <c r="HF136">
        <v>0.1</v>
      </c>
      <c r="HG136">
        <v>0.1</v>
      </c>
      <c r="HH136">
        <v>0.1</v>
      </c>
      <c r="HI136">
        <v>0.1</v>
      </c>
      <c r="HJ136">
        <v>0.1</v>
      </c>
      <c r="HK136">
        <v>0.1</v>
      </c>
      <c r="HL136">
        <v>0.1</v>
      </c>
      <c r="HM136">
        <v>0.1</v>
      </c>
      <c r="HN136">
        <v>0.1</v>
      </c>
      <c r="HO136">
        <v>0.1</v>
      </c>
    </row>
    <row r="137" spans="1:223" ht="15.75" thickBot="1" x14ac:dyDescent="0.3">
      <c r="A137">
        <v>134</v>
      </c>
      <c r="B137" s="269">
        <v>3.55</v>
      </c>
      <c r="C137" s="268">
        <v>2.02</v>
      </c>
      <c r="D137" s="2"/>
      <c r="E137" s="2"/>
      <c r="F137" s="2"/>
      <c r="G137" s="2"/>
      <c r="H137" s="258">
        <v>0.1</v>
      </c>
      <c r="I137" s="259">
        <v>0.1</v>
      </c>
      <c r="J137" s="259">
        <v>0.1</v>
      </c>
      <c r="K137" s="259">
        <v>0.1</v>
      </c>
      <c r="L137" s="259">
        <v>0.1</v>
      </c>
      <c r="M137" s="259">
        <v>0.1</v>
      </c>
      <c r="N137" s="259">
        <v>0.1</v>
      </c>
      <c r="O137" s="259">
        <v>0.1</v>
      </c>
      <c r="P137" s="259">
        <v>0.1</v>
      </c>
      <c r="Q137" s="259">
        <v>0.1</v>
      </c>
      <c r="R137" s="259">
        <v>0.1</v>
      </c>
      <c r="S137" s="259">
        <v>0.1</v>
      </c>
      <c r="T137" s="259">
        <v>0.1</v>
      </c>
      <c r="U137" s="259">
        <v>0.1</v>
      </c>
      <c r="V137" s="259">
        <v>0.1</v>
      </c>
      <c r="W137" s="259">
        <v>0.1</v>
      </c>
      <c r="X137" s="259">
        <v>0.1</v>
      </c>
      <c r="Y137" s="259">
        <v>0.1</v>
      </c>
      <c r="Z137" s="259">
        <v>0.1</v>
      </c>
      <c r="AA137" s="259">
        <v>0.1</v>
      </c>
      <c r="AB137" s="259">
        <v>0.1</v>
      </c>
      <c r="AC137" s="259">
        <v>0.1</v>
      </c>
      <c r="AD137" s="259">
        <v>0.1</v>
      </c>
      <c r="AE137" s="259">
        <v>0.1</v>
      </c>
      <c r="AF137" s="259">
        <v>0.1</v>
      </c>
      <c r="AG137" s="259">
        <v>0.1</v>
      </c>
      <c r="AH137" s="259">
        <v>0.1</v>
      </c>
      <c r="AI137" s="259">
        <v>0.1</v>
      </c>
      <c r="AJ137" s="259">
        <v>0.1</v>
      </c>
      <c r="AK137" s="259">
        <v>0.1</v>
      </c>
      <c r="AL137" s="259">
        <v>0.1</v>
      </c>
      <c r="AM137" s="259">
        <v>0.1</v>
      </c>
      <c r="AN137" s="259">
        <v>0.1</v>
      </c>
      <c r="AO137" s="259">
        <v>0.1</v>
      </c>
      <c r="AP137" s="259">
        <v>0.1</v>
      </c>
      <c r="AQ137" s="260">
        <v>0.1</v>
      </c>
      <c r="AR137" s="266">
        <v>0.1</v>
      </c>
      <c r="AS137" s="264">
        <v>0.1</v>
      </c>
      <c r="AT137" s="264">
        <v>0.1</v>
      </c>
      <c r="AU137" s="264">
        <v>0.1</v>
      </c>
      <c r="AV137" s="264">
        <v>0.1</v>
      </c>
      <c r="AW137" s="264">
        <v>0.1</v>
      </c>
      <c r="AX137" s="264">
        <v>0.1</v>
      </c>
      <c r="AY137" s="264">
        <v>0.1</v>
      </c>
      <c r="AZ137" s="264">
        <v>0.1</v>
      </c>
      <c r="BA137" s="264">
        <v>0.1</v>
      </c>
      <c r="BB137" s="264">
        <v>0.1</v>
      </c>
      <c r="BC137" s="264">
        <v>0.1</v>
      </c>
      <c r="BD137" s="264">
        <v>0.1</v>
      </c>
      <c r="BE137" s="264">
        <v>0.1</v>
      </c>
      <c r="BF137" s="264">
        <v>0.1</v>
      </c>
      <c r="BG137" s="264">
        <v>0.1</v>
      </c>
      <c r="BH137" s="264">
        <v>0.1</v>
      </c>
      <c r="BI137" s="264">
        <v>0.1</v>
      </c>
      <c r="BJ137" s="264">
        <v>0.1</v>
      </c>
      <c r="BK137" s="264">
        <v>0.1</v>
      </c>
      <c r="BL137" s="265">
        <v>0.1</v>
      </c>
      <c r="BM137">
        <v>0.1</v>
      </c>
      <c r="BN137">
        <v>0.1</v>
      </c>
      <c r="BO137">
        <v>0.1</v>
      </c>
      <c r="BP137">
        <f>SUM(BM137:BO137)</f>
        <v>0.30000000000000004</v>
      </c>
      <c r="BS137">
        <v>134</v>
      </c>
      <c r="BT137" s="270">
        <v>3.9</v>
      </c>
      <c r="BU137" s="271">
        <v>1.98</v>
      </c>
      <c r="BV137" s="2"/>
      <c r="BW137" s="2"/>
      <c r="BX137" s="2"/>
      <c r="BY137" s="258">
        <v>0.1</v>
      </c>
      <c r="BZ137" s="259">
        <v>0.1</v>
      </c>
      <c r="CA137" s="259">
        <v>0.1</v>
      </c>
      <c r="CB137" s="259">
        <v>0.1</v>
      </c>
      <c r="CC137" s="259">
        <v>0.1</v>
      </c>
      <c r="CD137" s="259">
        <v>0.1</v>
      </c>
      <c r="CE137" s="259">
        <v>0.1</v>
      </c>
      <c r="CF137" s="259">
        <v>0.1</v>
      </c>
      <c r="CG137" s="259">
        <v>0.1</v>
      </c>
      <c r="CH137" s="259">
        <v>0.1</v>
      </c>
      <c r="CI137" s="259">
        <v>0.1</v>
      </c>
      <c r="CJ137" s="259">
        <v>0.1</v>
      </c>
      <c r="CK137" s="259">
        <v>0.1</v>
      </c>
      <c r="CL137" s="259">
        <v>0.1</v>
      </c>
      <c r="CM137" s="259">
        <v>0.1</v>
      </c>
      <c r="CN137" s="259">
        <v>0.1</v>
      </c>
      <c r="CO137" s="259">
        <v>0.1</v>
      </c>
      <c r="CP137" s="259">
        <v>0.1</v>
      </c>
      <c r="CQ137" s="259">
        <v>0.1</v>
      </c>
      <c r="CR137" s="259">
        <v>0.1</v>
      </c>
      <c r="CS137" s="259">
        <v>0.1</v>
      </c>
      <c r="CT137" s="259">
        <v>0.1</v>
      </c>
      <c r="CU137" s="259">
        <v>0.1</v>
      </c>
      <c r="CV137" s="259">
        <v>0.1</v>
      </c>
      <c r="CW137" s="259">
        <v>0.1</v>
      </c>
      <c r="CX137" s="259">
        <v>0.1</v>
      </c>
      <c r="CY137" s="259">
        <v>0.1</v>
      </c>
      <c r="CZ137" s="259">
        <v>0.1</v>
      </c>
      <c r="DA137" s="259">
        <v>0.1</v>
      </c>
      <c r="DB137" s="259">
        <v>0.1</v>
      </c>
      <c r="DC137" s="259">
        <v>0.1</v>
      </c>
      <c r="DD137" s="259">
        <v>0.1</v>
      </c>
      <c r="DE137" s="259">
        <v>0.1</v>
      </c>
      <c r="DF137" s="259">
        <v>0.1</v>
      </c>
      <c r="DG137" s="259">
        <v>0.1</v>
      </c>
      <c r="DH137" s="259">
        <v>0.1</v>
      </c>
      <c r="DI137" s="259">
        <v>0.1</v>
      </c>
      <c r="DJ137" s="259">
        <v>0.1</v>
      </c>
      <c r="DK137" s="260">
        <v>0.1</v>
      </c>
      <c r="DL137" s="258">
        <v>0.1</v>
      </c>
      <c r="DM137" s="259">
        <v>0.1</v>
      </c>
      <c r="DN137" s="259">
        <v>0.1</v>
      </c>
      <c r="DO137" s="259">
        <v>0.1</v>
      </c>
      <c r="DP137" s="259">
        <v>0.1</v>
      </c>
      <c r="DQ137" s="259">
        <v>0.1</v>
      </c>
      <c r="DR137" s="259">
        <v>0.1</v>
      </c>
      <c r="DS137" s="259">
        <v>0.1</v>
      </c>
      <c r="DT137" s="259">
        <v>0.1</v>
      </c>
      <c r="DU137" s="259">
        <v>0.1</v>
      </c>
      <c r="DV137" s="259">
        <v>0.1</v>
      </c>
      <c r="DW137" s="259">
        <v>0.1</v>
      </c>
      <c r="DX137" s="259">
        <v>0.1</v>
      </c>
      <c r="DY137" s="259">
        <v>0.1</v>
      </c>
      <c r="DZ137" s="259">
        <v>0.1</v>
      </c>
      <c r="EA137" s="259">
        <v>0.1</v>
      </c>
      <c r="EB137" s="259">
        <v>0.1</v>
      </c>
      <c r="EC137" s="259">
        <v>0.1</v>
      </c>
      <c r="ED137" s="259">
        <v>0.1</v>
      </c>
      <c r="EE137" s="260">
        <v>0.1</v>
      </c>
      <c r="EF137">
        <v>0.1</v>
      </c>
      <c r="EG137">
        <f t="shared" si="10"/>
        <v>0.1</v>
      </c>
      <c r="EJ137">
        <v>134</v>
      </c>
      <c r="EN137">
        <v>0.1</v>
      </c>
      <c r="EO137">
        <v>0.1</v>
      </c>
      <c r="EP137">
        <v>0.1</v>
      </c>
      <c r="EQ137">
        <v>0.1</v>
      </c>
      <c r="ER137">
        <v>0.1</v>
      </c>
      <c r="ES137">
        <v>0.1</v>
      </c>
      <c r="ET137">
        <v>0.1</v>
      </c>
      <c r="EU137">
        <v>0.1</v>
      </c>
      <c r="EV137">
        <v>0.1</v>
      </c>
      <c r="EW137">
        <v>0.1</v>
      </c>
      <c r="EX137">
        <v>0.1</v>
      </c>
      <c r="EY137">
        <v>0.1</v>
      </c>
      <c r="EZ137">
        <v>0.1</v>
      </c>
      <c r="FA137">
        <v>0.1</v>
      </c>
      <c r="FB137">
        <v>0.1</v>
      </c>
      <c r="FC137">
        <v>0.1</v>
      </c>
      <c r="FD137">
        <v>0.1</v>
      </c>
      <c r="FE137">
        <v>0.1</v>
      </c>
      <c r="FF137">
        <v>0.1</v>
      </c>
      <c r="FG137">
        <v>0.1</v>
      </c>
      <c r="FH137">
        <v>0.1</v>
      </c>
      <c r="FI137">
        <v>0.1</v>
      </c>
      <c r="FJ137">
        <v>0.1</v>
      </c>
      <c r="FK137">
        <v>0.1</v>
      </c>
      <c r="FL137">
        <v>0.1</v>
      </c>
      <c r="FM137">
        <v>0.1</v>
      </c>
      <c r="FN137">
        <v>0.1</v>
      </c>
      <c r="FO137">
        <v>0.1</v>
      </c>
      <c r="FP137">
        <v>0.1</v>
      </c>
      <c r="FQ137">
        <v>0.1</v>
      </c>
      <c r="FU137">
        <v>134</v>
      </c>
      <c r="GB137">
        <v>0.1</v>
      </c>
      <c r="GC137">
        <v>0.1</v>
      </c>
      <c r="GD137">
        <v>0.1</v>
      </c>
      <c r="GE137">
        <v>0.1</v>
      </c>
      <c r="GF137">
        <v>0.1</v>
      </c>
      <c r="GG137">
        <v>0.1</v>
      </c>
      <c r="GH137">
        <v>0.1</v>
      </c>
      <c r="GI137">
        <v>0.1</v>
      </c>
      <c r="GJ137">
        <v>0.1</v>
      </c>
      <c r="GK137">
        <v>0.1</v>
      </c>
      <c r="GL137">
        <v>0.1</v>
      </c>
      <c r="GM137">
        <v>0.1</v>
      </c>
      <c r="GN137">
        <v>0.1</v>
      </c>
      <c r="GO137">
        <v>0.1</v>
      </c>
      <c r="GP137">
        <v>0.1</v>
      </c>
      <c r="GQ137">
        <v>0.1</v>
      </c>
      <c r="GR137">
        <v>0.1</v>
      </c>
      <c r="GS137">
        <v>0.1</v>
      </c>
      <c r="GT137">
        <v>0.1</v>
      </c>
      <c r="GU137">
        <v>0.1</v>
      </c>
      <c r="GV137">
        <v>0.1</v>
      </c>
      <c r="GW137">
        <v>0.1</v>
      </c>
      <c r="GX137">
        <v>0.1</v>
      </c>
      <c r="GY137">
        <v>0.1</v>
      </c>
      <c r="GZ137">
        <v>0.1</v>
      </c>
      <c r="HA137">
        <v>0.1</v>
      </c>
      <c r="HB137">
        <v>0.1</v>
      </c>
      <c r="HC137">
        <v>0.1</v>
      </c>
      <c r="HD137">
        <v>0.1</v>
      </c>
      <c r="HE137">
        <v>0.1</v>
      </c>
      <c r="HF137">
        <v>0.1</v>
      </c>
      <c r="HG137">
        <v>0.1</v>
      </c>
      <c r="HH137">
        <v>0.1</v>
      </c>
      <c r="HI137">
        <v>0.1</v>
      </c>
      <c r="HJ137">
        <v>0.1</v>
      </c>
      <c r="HK137">
        <v>0.1</v>
      </c>
      <c r="HL137">
        <v>0.1</v>
      </c>
      <c r="HM137">
        <v>0.1</v>
      </c>
      <c r="HN137">
        <v>0.1</v>
      </c>
      <c r="HO137">
        <v>0.1</v>
      </c>
    </row>
    <row r="138" spans="1:223" ht="15.75" thickBot="1" x14ac:dyDescent="0.3">
      <c r="A138">
        <v>135</v>
      </c>
      <c r="B138" s="268">
        <v>3.55</v>
      </c>
      <c r="C138" s="269">
        <v>2.02</v>
      </c>
      <c r="D138" s="2"/>
      <c r="E138" s="2"/>
      <c r="F138" s="2"/>
      <c r="G138" s="2"/>
      <c r="H138" s="258">
        <v>0.1</v>
      </c>
      <c r="I138" s="259">
        <v>0.1</v>
      </c>
      <c r="J138" s="259">
        <v>0.1</v>
      </c>
      <c r="K138" s="259">
        <v>0.1</v>
      </c>
      <c r="L138" s="259">
        <v>0.1</v>
      </c>
      <c r="M138" s="259">
        <v>0.1</v>
      </c>
      <c r="N138" s="259">
        <v>0.1</v>
      </c>
      <c r="O138" s="259">
        <v>0.1</v>
      </c>
      <c r="P138" s="259">
        <v>0.1</v>
      </c>
      <c r="Q138" s="259">
        <v>0.1</v>
      </c>
      <c r="R138" s="259">
        <v>0.1</v>
      </c>
      <c r="S138" s="259">
        <v>0.1</v>
      </c>
      <c r="T138" s="259">
        <v>0.1</v>
      </c>
      <c r="U138" s="259">
        <v>0.1</v>
      </c>
      <c r="V138" s="259">
        <v>0.1</v>
      </c>
      <c r="W138" s="259">
        <v>0.1</v>
      </c>
      <c r="X138" s="259">
        <v>0.1</v>
      </c>
      <c r="Y138" s="259">
        <v>0.1</v>
      </c>
      <c r="Z138" s="259">
        <v>0.1</v>
      </c>
      <c r="AA138" s="259">
        <v>0.1</v>
      </c>
      <c r="AB138" s="259">
        <v>0.1</v>
      </c>
      <c r="AC138" s="259">
        <v>0.1</v>
      </c>
      <c r="AD138" s="259">
        <v>0.1</v>
      </c>
      <c r="AE138" s="259">
        <v>0.1</v>
      </c>
      <c r="AF138" s="259">
        <v>0.1</v>
      </c>
      <c r="AG138" s="259">
        <v>0.1</v>
      </c>
      <c r="AH138" s="259">
        <v>0.1</v>
      </c>
      <c r="AI138" s="259">
        <v>0.1</v>
      </c>
      <c r="AJ138" s="259">
        <v>0.1</v>
      </c>
      <c r="AK138" s="259">
        <v>0.1</v>
      </c>
      <c r="AL138" s="259">
        <v>0.1</v>
      </c>
      <c r="AM138" s="259">
        <v>0.1</v>
      </c>
      <c r="AN138" s="259">
        <v>0.1</v>
      </c>
      <c r="AO138" s="259">
        <v>0.1</v>
      </c>
      <c r="AP138" s="259">
        <v>0.1</v>
      </c>
      <c r="AQ138" s="260">
        <v>0.1</v>
      </c>
      <c r="AR138" s="258">
        <v>0.1</v>
      </c>
      <c r="AS138" s="259">
        <v>0.1</v>
      </c>
      <c r="AT138" s="259">
        <v>0.1</v>
      </c>
      <c r="AU138" s="259">
        <v>0.1</v>
      </c>
      <c r="AV138" s="259">
        <v>0.1</v>
      </c>
      <c r="AW138" s="259">
        <v>0.1</v>
      </c>
      <c r="AX138" s="259">
        <v>0.1</v>
      </c>
      <c r="AY138" s="259">
        <v>0.1</v>
      </c>
      <c r="AZ138" s="259">
        <v>0.1</v>
      </c>
      <c r="BA138" s="259">
        <v>0.1</v>
      </c>
      <c r="BB138" s="259">
        <v>0.1</v>
      </c>
      <c r="BC138" s="259">
        <v>0.1</v>
      </c>
      <c r="BD138" s="259">
        <v>0.1</v>
      </c>
      <c r="BE138" s="259">
        <v>0.1</v>
      </c>
      <c r="BF138" s="259">
        <v>0.1</v>
      </c>
      <c r="BG138" s="259">
        <v>0.1</v>
      </c>
      <c r="BH138" s="259">
        <v>0.1</v>
      </c>
      <c r="BI138" s="259">
        <v>0.1</v>
      </c>
      <c r="BJ138" s="259">
        <v>0.1</v>
      </c>
      <c r="BK138" s="259">
        <v>0.1</v>
      </c>
      <c r="BL138" s="260">
        <v>0.1</v>
      </c>
      <c r="BM138">
        <v>0.1</v>
      </c>
      <c r="BN138">
        <v>0.1</v>
      </c>
      <c r="BO138">
        <v>0.1</v>
      </c>
      <c r="BP138">
        <f t="shared" ref="BP138:BP145" si="11">SUM(BM138:BO138)</f>
        <v>0.30000000000000004</v>
      </c>
      <c r="BS138">
        <v>135</v>
      </c>
      <c r="BT138" s="271">
        <v>3.9</v>
      </c>
      <c r="BU138" s="270">
        <v>1.98</v>
      </c>
      <c r="BV138" s="2"/>
      <c r="BW138" s="2"/>
      <c r="BX138" s="2"/>
      <c r="BY138" s="258">
        <v>0.1</v>
      </c>
      <c r="BZ138" s="259">
        <v>0.1</v>
      </c>
      <c r="CA138" s="259">
        <v>0.1</v>
      </c>
      <c r="CB138" s="259">
        <v>0.1</v>
      </c>
      <c r="CC138" s="259">
        <v>0.1</v>
      </c>
      <c r="CD138" s="259">
        <v>0.1</v>
      </c>
      <c r="CE138" s="259">
        <v>0.1</v>
      </c>
      <c r="CF138" s="259">
        <v>0.1</v>
      </c>
      <c r="CG138" s="259">
        <v>0.1</v>
      </c>
      <c r="CH138" s="259">
        <v>0.1</v>
      </c>
      <c r="CI138" s="259">
        <v>0.1</v>
      </c>
      <c r="CJ138" s="259">
        <v>0.1</v>
      </c>
      <c r="CK138" s="259">
        <v>0.1</v>
      </c>
      <c r="CL138" s="259">
        <v>0.1</v>
      </c>
      <c r="CM138" s="259">
        <v>0.1</v>
      </c>
      <c r="CN138" s="259">
        <v>0.1</v>
      </c>
      <c r="CO138" s="259">
        <v>0.1</v>
      </c>
      <c r="CP138" s="259">
        <v>0.1</v>
      </c>
      <c r="CQ138" s="259">
        <v>0.1</v>
      </c>
      <c r="CR138" s="259">
        <v>0.1</v>
      </c>
      <c r="CS138" s="259">
        <v>0.1</v>
      </c>
      <c r="CT138" s="259">
        <v>0.1</v>
      </c>
      <c r="CU138" s="259">
        <v>0.1</v>
      </c>
      <c r="CV138" s="259">
        <v>0.1</v>
      </c>
      <c r="CW138" s="259">
        <v>0.1</v>
      </c>
      <c r="CX138" s="259">
        <v>0.1</v>
      </c>
      <c r="CY138" s="259">
        <v>0.1</v>
      </c>
      <c r="CZ138" s="259">
        <v>0.1</v>
      </c>
      <c r="DA138" s="259">
        <v>0.1</v>
      </c>
      <c r="DB138" s="259">
        <v>0.1</v>
      </c>
      <c r="DC138" s="259">
        <v>0.1</v>
      </c>
      <c r="DD138" s="259">
        <v>0.1</v>
      </c>
      <c r="DE138" s="259">
        <v>0.1</v>
      </c>
      <c r="DF138" s="259">
        <v>0.1</v>
      </c>
      <c r="DG138" s="259">
        <v>0.1</v>
      </c>
      <c r="DH138" s="259">
        <v>0.1</v>
      </c>
      <c r="DI138" s="259">
        <v>0.1</v>
      </c>
      <c r="DJ138" s="259">
        <v>0.1</v>
      </c>
      <c r="DK138" s="260">
        <v>0.1</v>
      </c>
      <c r="DL138" s="258">
        <v>0.1</v>
      </c>
      <c r="DM138" s="259">
        <v>0.1</v>
      </c>
      <c r="DN138" s="259">
        <v>0.1</v>
      </c>
      <c r="DO138" s="259">
        <v>0.1</v>
      </c>
      <c r="DP138" s="259">
        <v>0.1</v>
      </c>
      <c r="DQ138" s="259">
        <v>0.1</v>
      </c>
      <c r="DR138" s="259">
        <v>0.1</v>
      </c>
      <c r="DS138" s="259">
        <v>0.1</v>
      </c>
      <c r="DT138" s="259">
        <v>0.1</v>
      </c>
      <c r="DU138" s="259">
        <v>0.1</v>
      </c>
      <c r="DV138" s="259">
        <v>0.1</v>
      </c>
      <c r="DW138" s="259">
        <v>0.1</v>
      </c>
      <c r="DX138" s="259">
        <v>0.1</v>
      </c>
      <c r="DY138" s="259">
        <v>0.1</v>
      </c>
      <c r="DZ138" s="259">
        <v>0.1</v>
      </c>
      <c r="EA138" s="259">
        <v>0.1</v>
      </c>
      <c r="EB138" s="259">
        <v>0.1</v>
      </c>
      <c r="EC138" s="259">
        <v>0.1</v>
      </c>
      <c r="ED138" s="259">
        <v>0.1</v>
      </c>
      <c r="EE138" s="260">
        <v>0.1</v>
      </c>
      <c r="EF138">
        <v>0.1</v>
      </c>
      <c r="EG138">
        <f t="shared" si="10"/>
        <v>0.1</v>
      </c>
      <c r="EJ138">
        <v>135</v>
      </c>
      <c r="EN138">
        <v>0.1</v>
      </c>
      <c r="EO138">
        <v>0.1</v>
      </c>
      <c r="EP138">
        <v>0.1</v>
      </c>
      <c r="EQ138">
        <v>0.1</v>
      </c>
      <c r="ER138">
        <v>0.1</v>
      </c>
      <c r="ES138">
        <v>0.1</v>
      </c>
      <c r="ET138">
        <v>0.1</v>
      </c>
      <c r="EU138">
        <v>0.1</v>
      </c>
      <c r="EV138">
        <v>0.1</v>
      </c>
      <c r="EW138">
        <v>0.1</v>
      </c>
      <c r="EX138">
        <v>0.1</v>
      </c>
      <c r="EY138">
        <v>0.1</v>
      </c>
      <c r="EZ138">
        <v>0.1</v>
      </c>
      <c r="FA138">
        <v>0.1</v>
      </c>
      <c r="FB138">
        <v>0.1</v>
      </c>
      <c r="FC138">
        <v>0.1</v>
      </c>
      <c r="FD138">
        <v>0.1</v>
      </c>
      <c r="FE138">
        <v>0.1</v>
      </c>
      <c r="FF138">
        <v>0.1</v>
      </c>
      <c r="FG138">
        <v>0.1</v>
      </c>
      <c r="FH138">
        <v>0.1</v>
      </c>
      <c r="FI138">
        <v>0.1</v>
      </c>
      <c r="FJ138">
        <v>0.1</v>
      </c>
      <c r="FK138">
        <v>0.1</v>
      </c>
      <c r="FL138">
        <v>0.1</v>
      </c>
      <c r="FM138">
        <v>0.1</v>
      </c>
      <c r="FN138">
        <v>0.1</v>
      </c>
      <c r="FO138">
        <v>0.1</v>
      </c>
      <c r="FP138">
        <v>0.1</v>
      </c>
      <c r="FQ138">
        <v>0.1</v>
      </c>
      <c r="FU138">
        <v>135</v>
      </c>
      <c r="GB138">
        <v>0.1</v>
      </c>
      <c r="GC138">
        <v>0.1</v>
      </c>
      <c r="GD138">
        <v>0.1</v>
      </c>
      <c r="GE138">
        <v>0.1</v>
      </c>
      <c r="GF138">
        <v>0.1</v>
      </c>
      <c r="GG138">
        <v>0.1</v>
      </c>
      <c r="GH138">
        <v>0.1</v>
      </c>
      <c r="GI138">
        <v>0.1</v>
      </c>
      <c r="GJ138">
        <v>0.1</v>
      </c>
      <c r="GK138">
        <v>0.1</v>
      </c>
      <c r="GL138">
        <v>0.1</v>
      </c>
      <c r="GM138">
        <v>0.1</v>
      </c>
      <c r="GN138">
        <v>0.1</v>
      </c>
      <c r="GO138">
        <v>0.1</v>
      </c>
      <c r="GP138">
        <v>0.1</v>
      </c>
      <c r="GQ138">
        <v>0.1</v>
      </c>
      <c r="GR138">
        <v>0.1</v>
      </c>
      <c r="GS138">
        <v>0.1</v>
      </c>
      <c r="GT138">
        <v>0.1</v>
      </c>
      <c r="GU138">
        <v>0.1</v>
      </c>
      <c r="GV138">
        <v>0.1</v>
      </c>
      <c r="GW138">
        <v>0.1</v>
      </c>
      <c r="GX138">
        <v>0.1</v>
      </c>
      <c r="GY138">
        <v>0.1</v>
      </c>
      <c r="GZ138">
        <v>0.1</v>
      </c>
      <c r="HA138">
        <v>0.1</v>
      </c>
      <c r="HB138">
        <v>0.1</v>
      </c>
      <c r="HC138">
        <v>0.1</v>
      </c>
      <c r="HD138">
        <v>0.1</v>
      </c>
      <c r="HE138">
        <v>0.1</v>
      </c>
      <c r="HF138">
        <v>0.1</v>
      </c>
      <c r="HG138">
        <v>0.1</v>
      </c>
      <c r="HH138">
        <v>0.1</v>
      </c>
      <c r="HI138">
        <v>0.1</v>
      </c>
      <c r="HJ138">
        <v>0.1</v>
      </c>
      <c r="HK138">
        <v>0.1</v>
      </c>
      <c r="HL138">
        <v>0.1</v>
      </c>
      <c r="HM138">
        <v>0.1</v>
      </c>
      <c r="HN138">
        <v>0.1</v>
      </c>
      <c r="HO138">
        <v>0.1</v>
      </c>
    </row>
    <row r="139" spans="1:223" ht="15.75" thickBot="1" x14ac:dyDescent="0.3">
      <c r="A139">
        <v>136</v>
      </c>
      <c r="B139" s="269">
        <v>3.55</v>
      </c>
      <c r="C139" s="268">
        <v>2.02</v>
      </c>
      <c r="D139" s="2"/>
      <c r="E139" s="2"/>
      <c r="F139" s="2"/>
      <c r="G139" s="2"/>
      <c r="H139" s="258">
        <v>0.1</v>
      </c>
      <c r="I139" s="259">
        <v>0.1</v>
      </c>
      <c r="J139" s="259">
        <v>0.1</v>
      </c>
      <c r="K139" s="259">
        <v>0.1</v>
      </c>
      <c r="L139" s="259">
        <v>0.1</v>
      </c>
      <c r="M139" s="259">
        <v>0.1</v>
      </c>
      <c r="N139" s="259">
        <v>0.1</v>
      </c>
      <c r="O139" s="259">
        <v>0.1</v>
      </c>
      <c r="P139" s="259">
        <v>0.1</v>
      </c>
      <c r="Q139" s="259">
        <v>0.1</v>
      </c>
      <c r="R139" s="259">
        <v>0.1</v>
      </c>
      <c r="S139" s="259">
        <v>0.1</v>
      </c>
      <c r="T139" s="259">
        <v>0.1</v>
      </c>
      <c r="U139" s="259">
        <v>0.1</v>
      </c>
      <c r="V139" s="259">
        <v>0.1</v>
      </c>
      <c r="W139" s="259">
        <v>0.1</v>
      </c>
      <c r="X139" s="259">
        <v>0.1</v>
      </c>
      <c r="Y139" s="259">
        <v>0.1</v>
      </c>
      <c r="Z139" s="259">
        <v>0.1</v>
      </c>
      <c r="AA139" s="259">
        <v>0.1</v>
      </c>
      <c r="AB139" s="259">
        <v>0.1</v>
      </c>
      <c r="AC139" s="259">
        <v>0.1</v>
      </c>
      <c r="AD139" s="259">
        <v>0.1</v>
      </c>
      <c r="AE139" s="259">
        <v>0.1</v>
      </c>
      <c r="AF139" s="259">
        <v>0.1</v>
      </c>
      <c r="AG139" s="259">
        <v>0.1</v>
      </c>
      <c r="AH139" s="259">
        <v>0.1</v>
      </c>
      <c r="AI139" s="259">
        <v>0.1</v>
      </c>
      <c r="AJ139" s="259">
        <v>0.1</v>
      </c>
      <c r="AK139" s="259">
        <v>0.1</v>
      </c>
      <c r="AL139" s="259">
        <v>0.1</v>
      </c>
      <c r="AM139" s="259">
        <v>0.1</v>
      </c>
      <c r="AN139" s="259">
        <v>0.1</v>
      </c>
      <c r="AO139" s="259">
        <v>0.1</v>
      </c>
      <c r="AP139" s="259">
        <v>0.1</v>
      </c>
      <c r="AQ139" s="260">
        <v>0.1</v>
      </c>
      <c r="AR139" s="258">
        <v>0.1</v>
      </c>
      <c r="AS139" s="259">
        <v>0.1</v>
      </c>
      <c r="AT139" s="259">
        <v>0.1</v>
      </c>
      <c r="AU139" s="259">
        <v>0.1</v>
      </c>
      <c r="AV139" s="259">
        <v>0.1</v>
      </c>
      <c r="AW139" s="259">
        <v>0.1</v>
      </c>
      <c r="AX139" s="259">
        <v>0.1</v>
      </c>
      <c r="AY139" s="259">
        <v>0.1</v>
      </c>
      <c r="AZ139" s="259">
        <v>0.1</v>
      </c>
      <c r="BA139" s="259">
        <v>0.1</v>
      </c>
      <c r="BB139" s="259">
        <v>0.1</v>
      </c>
      <c r="BC139" s="259">
        <v>0.1</v>
      </c>
      <c r="BD139" s="259">
        <v>0.1</v>
      </c>
      <c r="BE139" s="259">
        <v>0.1</v>
      </c>
      <c r="BF139" s="259">
        <v>0.1</v>
      </c>
      <c r="BG139" s="259">
        <v>0.1</v>
      </c>
      <c r="BH139" s="259">
        <v>0.1</v>
      </c>
      <c r="BI139" s="259">
        <v>0.1</v>
      </c>
      <c r="BJ139" s="259">
        <v>0.1</v>
      </c>
      <c r="BK139" s="259">
        <v>0.1</v>
      </c>
      <c r="BL139" s="260">
        <v>0.1</v>
      </c>
      <c r="BM139">
        <v>0.1</v>
      </c>
      <c r="BN139">
        <v>0.1</v>
      </c>
      <c r="BO139">
        <v>0.1</v>
      </c>
      <c r="BP139">
        <f t="shared" si="11"/>
        <v>0.30000000000000004</v>
      </c>
      <c r="BS139">
        <v>136</v>
      </c>
      <c r="BT139" s="270">
        <v>3.9</v>
      </c>
      <c r="BU139" s="271">
        <v>2</v>
      </c>
      <c r="BV139" s="2"/>
      <c r="BW139" s="2"/>
      <c r="BX139" s="2"/>
      <c r="BY139" s="258">
        <v>0.1</v>
      </c>
      <c r="BZ139" s="259">
        <v>0.1</v>
      </c>
      <c r="CA139" s="259">
        <v>0.1</v>
      </c>
      <c r="CB139" s="259">
        <v>0.1</v>
      </c>
      <c r="CC139" s="259">
        <v>0.1</v>
      </c>
      <c r="CD139" s="259">
        <v>0.1</v>
      </c>
      <c r="CE139" s="259">
        <v>0.1</v>
      </c>
      <c r="CF139" s="259">
        <v>0.1</v>
      </c>
      <c r="CG139" s="259">
        <v>0.1</v>
      </c>
      <c r="CH139" s="259">
        <v>0.1</v>
      </c>
      <c r="CI139" s="259">
        <v>0.1</v>
      </c>
      <c r="CJ139" s="259">
        <v>0.1</v>
      </c>
      <c r="CK139" s="259">
        <v>0.1</v>
      </c>
      <c r="CL139" s="259">
        <v>0.1</v>
      </c>
      <c r="CM139" s="259">
        <v>0.1</v>
      </c>
      <c r="CN139" s="259">
        <v>0.1</v>
      </c>
      <c r="CO139" s="259">
        <v>0.1</v>
      </c>
      <c r="CP139" s="259">
        <v>0.1</v>
      </c>
      <c r="CQ139" s="259">
        <v>0.1</v>
      </c>
      <c r="CR139" s="259">
        <v>0.1</v>
      </c>
      <c r="CS139" s="259">
        <v>0.1</v>
      </c>
      <c r="CT139" s="259">
        <v>0.1</v>
      </c>
      <c r="CU139" s="259">
        <v>0.1</v>
      </c>
      <c r="CV139" s="259">
        <v>0.1</v>
      </c>
      <c r="CW139" s="259">
        <v>0.1</v>
      </c>
      <c r="CX139" s="259">
        <v>0.1</v>
      </c>
      <c r="CY139" s="259">
        <v>0.1</v>
      </c>
      <c r="CZ139" s="259">
        <v>0.1</v>
      </c>
      <c r="DA139" s="259">
        <v>0.1</v>
      </c>
      <c r="DB139" s="259">
        <v>0.1</v>
      </c>
      <c r="DC139" s="259">
        <v>0.1</v>
      </c>
      <c r="DD139" s="259">
        <v>0.1</v>
      </c>
      <c r="DE139" s="259">
        <v>0.1</v>
      </c>
      <c r="DF139" s="259">
        <v>0.1</v>
      </c>
      <c r="DG139" s="259">
        <v>0.1</v>
      </c>
      <c r="DH139" s="259">
        <v>0.1</v>
      </c>
      <c r="DI139" s="259">
        <v>0.1</v>
      </c>
      <c r="DJ139" s="259">
        <v>0.1</v>
      </c>
      <c r="DK139" s="263">
        <v>0.1</v>
      </c>
      <c r="DL139" s="258">
        <v>0.1</v>
      </c>
      <c r="DM139" s="259">
        <v>0.1</v>
      </c>
      <c r="DN139" s="259">
        <v>0.1</v>
      </c>
      <c r="DO139" s="259">
        <v>0.1</v>
      </c>
      <c r="DP139" s="259">
        <v>0.1</v>
      </c>
      <c r="DQ139" s="259">
        <v>0.1</v>
      </c>
      <c r="DR139" s="259">
        <v>0.1</v>
      </c>
      <c r="DS139" s="259">
        <v>0.1</v>
      </c>
      <c r="DT139" s="259">
        <v>0.1</v>
      </c>
      <c r="DU139" s="259">
        <v>0.1</v>
      </c>
      <c r="DV139" s="259">
        <v>0.1</v>
      </c>
      <c r="DW139" s="259">
        <v>0.1</v>
      </c>
      <c r="DX139" s="259">
        <v>0.1</v>
      </c>
      <c r="DY139" s="259">
        <v>0.1</v>
      </c>
      <c r="DZ139" s="259">
        <v>0.1</v>
      </c>
      <c r="EA139" s="259">
        <v>0.1</v>
      </c>
      <c r="EB139" s="259">
        <v>0.1</v>
      </c>
      <c r="EC139" s="259">
        <v>0.1</v>
      </c>
      <c r="ED139" s="259">
        <v>0.1</v>
      </c>
      <c r="EE139" s="260">
        <v>0.1</v>
      </c>
      <c r="EF139">
        <v>0.1</v>
      </c>
      <c r="EG139">
        <f t="shared" si="10"/>
        <v>0.1</v>
      </c>
      <c r="EJ139">
        <v>136</v>
      </c>
      <c r="EN139">
        <v>0.1</v>
      </c>
      <c r="EO139">
        <v>0.1</v>
      </c>
      <c r="EP139">
        <v>0.1</v>
      </c>
      <c r="EQ139">
        <v>0.1</v>
      </c>
      <c r="ER139">
        <v>0.1</v>
      </c>
      <c r="ES139">
        <v>0.1</v>
      </c>
      <c r="ET139">
        <v>0.1</v>
      </c>
      <c r="EU139">
        <v>0.1</v>
      </c>
      <c r="EV139">
        <v>0.1</v>
      </c>
      <c r="EW139">
        <v>0.1</v>
      </c>
      <c r="EX139">
        <v>0.1</v>
      </c>
      <c r="EY139">
        <v>0.1</v>
      </c>
      <c r="EZ139">
        <v>0.1</v>
      </c>
      <c r="FA139">
        <v>0.1</v>
      </c>
      <c r="FB139">
        <v>0.1</v>
      </c>
      <c r="FC139">
        <v>0.1</v>
      </c>
      <c r="FD139">
        <v>0.1</v>
      </c>
      <c r="FE139">
        <v>0.1</v>
      </c>
      <c r="FF139">
        <v>0.1</v>
      </c>
      <c r="FG139">
        <v>0.1</v>
      </c>
      <c r="FH139">
        <v>0.1</v>
      </c>
      <c r="FI139">
        <v>0.1</v>
      </c>
      <c r="FJ139">
        <v>0.1</v>
      </c>
      <c r="FK139">
        <v>0.1</v>
      </c>
      <c r="FL139">
        <v>0.1</v>
      </c>
      <c r="FM139">
        <v>0.1</v>
      </c>
      <c r="FN139">
        <v>0.1</v>
      </c>
      <c r="FO139">
        <v>0.1</v>
      </c>
      <c r="FP139">
        <v>0.1</v>
      </c>
      <c r="FQ139">
        <v>0.1</v>
      </c>
      <c r="FU139">
        <v>136</v>
      </c>
      <c r="GB139">
        <v>0.1</v>
      </c>
      <c r="GC139">
        <v>0.1</v>
      </c>
      <c r="GD139">
        <v>0.1</v>
      </c>
      <c r="GE139">
        <v>0.1</v>
      </c>
      <c r="GF139">
        <v>0.1</v>
      </c>
      <c r="GG139">
        <v>0.1</v>
      </c>
      <c r="GH139">
        <v>0.1</v>
      </c>
      <c r="GI139">
        <v>0.1</v>
      </c>
      <c r="GJ139">
        <v>0.1</v>
      </c>
      <c r="GK139">
        <v>0.1</v>
      </c>
      <c r="GL139">
        <v>0.1</v>
      </c>
      <c r="GM139">
        <v>0.1</v>
      </c>
      <c r="GN139">
        <v>0.1</v>
      </c>
      <c r="GO139">
        <v>0.1</v>
      </c>
      <c r="GP139">
        <v>0.1</v>
      </c>
      <c r="GQ139">
        <v>0.1</v>
      </c>
      <c r="GR139">
        <v>0.1</v>
      </c>
      <c r="GS139">
        <v>0.1</v>
      </c>
      <c r="GT139">
        <v>0.1</v>
      </c>
      <c r="GU139">
        <v>0.1</v>
      </c>
      <c r="GV139">
        <v>0.1</v>
      </c>
      <c r="GW139">
        <v>0.1</v>
      </c>
      <c r="GX139">
        <v>0.1</v>
      </c>
      <c r="GY139">
        <v>0.1</v>
      </c>
      <c r="GZ139">
        <v>0.1</v>
      </c>
      <c r="HA139">
        <v>0.1</v>
      </c>
      <c r="HB139">
        <v>0.1</v>
      </c>
      <c r="HC139">
        <v>0.1</v>
      </c>
      <c r="HD139">
        <v>0.1</v>
      </c>
      <c r="HE139">
        <v>0.1</v>
      </c>
      <c r="HF139">
        <v>0.1</v>
      </c>
      <c r="HG139">
        <v>0.1</v>
      </c>
      <c r="HH139">
        <v>0.1</v>
      </c>
      <c r="HI139">
        <v>0.1</v>
      </c>
      <c r="HJ139">
        <v>0.1</v>
      </c>
      <c r="HK139">
        <v>0.1</v>
      </c>
      <c r="HL139">
        <v>0.1</v>
      </c>
      <c r="HM139">
        <v>0.1</v>
      </c>
      <c r="HN139">
        <v>0.1</v>
      </c>
      <c r="HO139">
        <v>0.1</v>
      </c>
    </row>
    <row r="140" spans="1:223" ht="15.75" thickBot="1" x14ac:dyDescent="0.3">
      <c r="A140">
        <v>137</v>
      </c>
      <c r="B140" s="268">
        <v>3.55</v>
      </c>
      <c r="C140" s="269">
        <v>2.02</v>
      </c>
      <c r="D140" s="2"/>
      <c r="E140" s="2"/>
      <c r="F140" s="2"/>
      <c r="G140" s="2"/>
      <c r="H140" s="258">
        <v>0.1</v>
      </c>
      <c r="I140" s="259">
        <v>0.1</v>
      </c>
      <c r="J140" s="259">
        <v>0.1</v>
      </c>
      <c r="K140" s="259">
        <v>0.1</v>
      </c>
      <c r="L140" s="259">
        <v>0.1</v>
      </c>
      <c r="M140" s="259">
        <v>0.1</v>
      </c>
      <c r="N140" s="259">
        <v>0.1</v>
      </c>
      <c r="O140" s="259">
        <v>0.1</v>
      </c>
      <c r="P140" s="259">
        <v>0.1</v>
      </c>
      <c r="Q140" s="259">
        <v>0.1</v>
      </c>
      <c r="R140" s="259">
        <v>0.1</v>
      </c>
      <c r="S140" s="259">
        <v>0.1</v>
      </c>
      <c r="T140" s="259">
        <v>0.1</v>
      </c>
      <c r="U140" s="259">
        <v>0.1</v>
      </c>
      <c r="V140" s="259">
        <v>0.1</v>
      </c>
      <c r="W140" s="259">
        <v>0.1</v>
      </c>
      <c r="X140" s="259">
        <v>0.1</v>
      </c>
      <c r="Y140" s="259">
        <v>0.1</v>
      </c>
      <c r="Z140" s="259">
        <v>0.1</v>
      </c>
      <c r="AA140" s="259">
        <v>0.1</v>
      </c>
      <c r="AB140" s="259">
        <v>0.1</v>
      </c>
      <c r="AC140" s="259">
        <v>0.1</v>
      </c>
      <c r="AD140" s="259">
        <v>0.1</v>
      </c>
      <c r="AE140" s="259">
        <v>0.1</v>
      </c>
      <c r="AF140" s="259">
        <v>0.1</v>
      </c>
      <c r="AG140" s="259">
        <v>0.1</v>
      </c>
      <c r="AH140" s="259">
        <v>0.1</v>
      </c>
      <c r="AI140" s="259">
        <v>0.1</v>
      </c>
      <c r="AJ140" s="259">
        <v>0.1</v>
      </c>
      <c r="AK140" s="259">
        <v>0.1</v>
      </c>
      <c r="AL140" s="259">
        <v>0.1</v>
      </c>
      <c r="AM140" s="259">
        <v>0.1</v>
      </c>
      <c r="AN140" s="259">
        <v>0.1</v>
      </c>
      <c r="AO140" s="259">
        <v>0.1</v>
      </c>
      <c r="AP140" s="259">
        <v>0.1</v>
      </c>
      <c r="AQ140" s="260">
        <v>0.1</v>
      </c>
      <c r="AR140" s="258">
        <v>0.1</v>
      </c>
      <c r="AS140" s="259">
        <v>0.1</v>
      </c>
      <c r="AT140" s="259">
        <v>0.1</v>
      </c>
      <c r="AU140" s="259">
        <v>0.1</v>
      </c>
      <c r="AV140" s="259">
        <v>0.1</v>
      </c>
      <c r="AW140" s="259">
        <v>0.1</v>
      </c>
      <c r="AX140" s="259">
        <v>0.1</v>
      </c>
      <c r="AY140" s="259">
        <v>0.1</v>
      </c>
      <c r="AZ140" s="259">
        <v>0.1</v>
      </c>
      <c r="BA140" s="259">
        <v>0.1</v>
      </c>
      <c r="BB140" s="259">
        <v>0.1</v>
      </c>
      <c r="BC140" s="259">
        <v>0.1</v>
      </c>
      <c r="BD140" s="259">
        <v>0.1</v>
      </c>
      <c r="BE140" s="259">
        <v>0.1</v>
      </c>
      <c r="BF140" s="259">
        <v>0.1</v>
      </c>
      <c r="BG140" s="259">
        <v>0.1</v>
      </c>
      <c r="BH140" s="259">
        <v>0.1</v>
      </c>
      <c r="BI140" s="259">
        <v>0.1</v>
      </c>
      <c r="BJ140" s="259">
        <v>0.1</v>
      </c>
      <c r="BK140" s="259">
        <v>0.1</v>
      </c>
      <c r="BL140" s="260">
        <v>0.1</v>
      </c>
      <c r="BM140">
        <v>0.1</v>
      </c>
      <c r="BN140">
        <v>0.1</v>
      </c>
      <c r="BO140">
        <v>0.1</v>
      </c>
      <c r="BP140">
        <f t="shared" si="11"/>
        <v>0.30000000000000004</v>
      </c>
      <c r="BS140">
        <v>137</v>
      </c>
      <c r="BT140" s="271">
        <v>3.8</v>
      </c>
      <c r="BU140" s="270">
        <v>2</v>
      </c>
      <c r="BV140" s="2"/>
      <c r="BW140" s="2"/>
      <c r="BX140" s="2"/>
      <c r="BY140" s="258">
        <v>0.1</v>
      </c>
      <c r="BZ140" s="259">
        <v>0.1</v>
      </c>
      <c r="CA140" s="259">
        <v>0.1</v>
      </c>
      <c r="CB140" s="259">
        <v>0.1</v>
      </c>
      <c r="CC140" s="259">
        <v>0.1</v>
      </c>
      <c r="CD140" s="259">
        <v>0.1</v>
      </c>
      <c r="CE140" s="259">
        <v>0.1</v>
      </c>
      <c r="CF140" s="259">
        <v>0.1</v>
      </c>
      <c r="CG140" s="259">
        <v>0.1</v>
      </c>
      <c r="CH140" s="259">
        <v>0.1</v>
      </c>
      <c r="CI140" s="259">
        <v>0.1</v>
      </c>
      <c r="CJ140" s="259">
        <v>0.1</v>
      </c>
      <c r="CK140" s="259">
        <v>0.1</v>
      </c>
      <c r="CL140" s="259">
        <v>0.1</v>
      </c>
      <c r="CM140" s="259">
        <v>0.1</v>
      </c>
      <c r="CN140" s="259">
        <v>0.1</v>
      </c>
      <c r="CO140" s="259">
        <v>0.1</v>
      </c>
      <c r="CP140" s="259">
        <v>0.1</v>
      </c>
      <c r="CQ140" s="259">
        <v>0.1</v>
      </c>
      <c r="CR140" s="259">
        <v>0.1</v>
      </c>
      <c r="CS140" s="259">
        <v>0.1</v>
      </c>
      <c r="CT140" s="259">
        <v>0.1</v>
      </c>
      <c r="CU140" s="259">
        <v>0.1</v>
      </c>
      <c r="CV140" s="259">
        <v>0.1</v>
      </c>
      <c r="CW140" s="259">
        <v>0.1</v>
      </c>
      <c r="CX140" s="259">
        <v>0.1</v>
      </c>
      <c r="CY140" s="259">
        <v>0.1</v>
      </c>
      <c r="CZ140" s="259">
        <v>0.1</v>
      </c>
      <c r="DA140" s="259">
        <v>0.1</v>
      </c>
      <c r="DB140" s="259">
        <v>0.1</v>
      </c>
      <c r="DC140" s="259">
        <v>0.1</v>
      </c>
      <c r="DD140" s="259">
        <v>0.1</v>
      </c>
      <c r="DE140" s="259">
        <v>0.1</v>
      </c>
      <c r="DF140" s="259">
        <v>0.1</v>
      </c>
      <c r="DG140" s="259">
        <v>0.1</v>
      </c>
      <c r="DH140" s="259">
        <v>0.1</v>
      </c>
      <c r="DI140" s="259">
        <v>0.1</v>
      </c>
      <c r="DJ140" s="260">
        <v>0.1</v>
      </c>
      <c r="DK140" s="258">
        <v>0.1</v>
      </c>
      <c r="DL140" s="259">
        <v>0.1</v>
      </c>
      <c r="DM140" s="259">
        <v>0.1</v>
      </c>
      <c r="DN140" s="259">
        <v>0.1</v>
      </c>
      <c r="DO140" s="259">
        <v>0.1</v>
      </c>
      <c r="DP140" s="259">
        <v>0.1</v>
      </c>
      <c r="DQ140" s="259">
        <v>0.1</v>
      </c>
      <c r="DR140" s="259">
        <v>0.1</v>
      </c>
      <c r="DS140" s="259">
        <v>0.1</v>
      </c>
      <c r="DT140" s="259">
        <v>0.1</v>
      </c>
      <c r="DU140" s="259">
        <v>0.1</v>
      </c>
      <c r="DV140" s="259">
        <v>0.1</v>
      </c>
      <c r="DW140" s="259">
        <v>0.1</v>
      </c>
      <c r="DX140" s="259">
        <v>0.1</v>
      </c>
      <c r="DY140" s="259">
        <v>0.1</v>
      </c>
      <c r="DZ140" s="259">
        <v>0.1</v>
      </c>
      <c r="EA140" s="259">
        <v>0.1</v>
      </c>
      <c r="EB140" s="259">
        <v>0.1</v>
      </c>
      <c r="EC140" s="259">
        <v>0.1</v>
      </c>
      <c r="ED140" s="260">
        <v>0.1</v>
      </c>
      <c r="EE140">
        <v>0.1</v>
      </c>
      <c r="EF140">
        <v>0.1</v>
      </c>
      <c r="EG140">
        <f>SUM(EE140:EF140)</f>
        <v>0.2</v>
      </c>
      <c r="EJ140">
        <v>137</v>
      </c>
      <c r="EN140">
        <v>0.1</v>
      </c>
      <c r="EO140">
        <v>0.1</v>
      </c>
      <c r="EP140">
        <v>0.1</v>
      </c>
      <c r="EQ140">
        <v>0.1</v>
      </c>
      <c r="ER140">
        <v>0.1</v>
      </c>
      <c r="ES140">
        <v>0.1</v>
      </c>
      <c r="ET140">
        <v>0.1</v>
      </c>
      <c r="EU140">
        <v>0.1</v>
      </c>
      <c r="EV140">
        <v>0.1</v>
      </c>
      <c r="EW140">
        <v>0.1</v>
      </c>
      <c r="EX140">
        <v>0.1</v>
      </c>
      <c r="EY140">
        <v>0.1</v>
      </c>
      <c r="EZ140">
        <v>0.1</v>
      </c>
      <c r="FA140">
        <v>0.1</v>
      </c>
      <c r="FB140">
        <v>0.1</v>
      </c>
      <c r="FC140">
        <v>0.1</v>
      </c>
      <c r="FD140">
        <v>0.1</v>
      </c>
      <c r="FE140">
        <v>0.1</v>
      </c>
      <c r="FF140">
        <v>0.1</v>
      </c>
      <c r="FG140">
        <v>0.1</v>
      </c>
      <c r="FH140">
        <v>0.1</v>
      </c>
      <c r="FI140">
        <v>0.1</v>
      </c>
      <c r="FJ140">
        <v>0.1</v>
      </c>
      <c r="FK140">
        <v>0.1</v>
      </c>
      <c r="FL140">
        <v>0.1</v>
      </c>
      <c r="FM140">
        <v>0.1</v>
      </c>
      <c r="FN140">
        <v>0.1</v>
      </c>
      <c r="FO140">
        <v>0.1</v>
      </c>
      <c r="FP140">
        <v>0.1</v>
      </c>
      <c r="FQ140">
        <v>0.1</v>
      </c>
      <c r="FU140">
        <v>137</v>
      </c>
      <c r="GB140">
        <v>0.1</v>
      </c>
      <c r="GC140">
        <v>0.1</v>
      </c>
      <c r="GD140">
        <v>0.1</v>
      </c>
      <c r="GE140">
        <v>0.1</v>
      </c>
      <c r="GF140">
        <v>0.1</v>
      </c>
      <c r="GG140">
        <v>0.1</v>
      </c>
      <c r="GH140">
        <v>0.1</v>
      </c>
      <c r="GI140">
        <v>0.1</v>
      </c>
      <c r="GJ140">
        <v>0.1</v>
      </c>
      <c r="GK140">
        <v>0.1</v>
      </c>
      <c r="GL140">
        <v>0.1</v>
      </c>
      <c r="GM140">
        <v>0.1</v>
      </c>
      <c r="GN140">
        <v>0.1</v>
      </c>
      <c r="GO140">
        <v>0.1</v>
      </c>
      <c r="GP140">
        <v>0.1</v>
      </c>
      <c r="GQ140">
        <v>0.1</v>
      </c>
      <c r="GR140">
        <v>0.1</v>
      </c>
      <c r="GS140">
        <v>0.1</v>
      </c>
      <c r="GT140">
        <v>0.1</v>
      </c>
      <c r="GU140">
        <v>0.1</v>
      </c>
      <c r="GV140">
        <v>0.1</v>
      </c>
      <c r="GW140">
        <v>0.1</v>
      </c>
      <c r="GX140">
        <v>0.1</v>
      </c>
      <c r="GY140">
        <v>0.1</v>
      </c>
      <c r="GZ140">
        <v>0.1</v>
      </c>
      <c r="HA140">
        <v>0.1</v>
      </c>
      <c r="HB140">
        <v>0.1</v>
      </c>
      <c r="HC140">
        <v>0.1</v>
      </c>
      <c r="HD140">
        <v>0.1</v>
      </c>
      <c r="HE140">
        <v>0.1</v>
      </c>
      <c r="HF140">
        <v>0.1</v>
      </c>
      <c r="HG140">
        <v>0.1</v>
      </c>
      <c r="HH140">
        <v>0.1</v>
      </c>
      <c r="HI140">
        <v>0.1</v>
      </c>
      <c r="HJ140">
        <v>0.1</v>
      </c>
      <c r="HK140">
        <v>0.1</v>
      </c>
      <c r="HL140">
        <v>0.1</v>
      </c>
      <c r="HM140">
        <v>0.1</v>
      </c>
      <c r="HN140">
        <v>0.1</v>
      </c>
      <c r="HO140">
        <v>0.1</v>
      </c>
    </row>
    <row r="141" spans="1:223" ht="15.75" thickBot="1" x14ac:dyDescent="0.3">
      <c r="A141">
        <v>138</v>
      </c>
      <c r="B141" s="269">
        <v>3.55</v>
      </c>
      <c r="C141" s="268">
        <v>2.02</v>
      </c>
      <c r="D141" s="2"/>
      <c r="E141" s="2"/>
      <c r="F141" s="2"/>
      <c r="G141" s="2"/>
      <c r="H141" s="258">
        <v>0.1</v>
      </c>
      <c r="I141" s="259">
        <v>0.1</v>
      </c>
      <c r="J141" s="259">
        <v>0.1</v>
      </c>
      <c r="K141" s="259">
        <v>0.1</v>
      </c>
      <c r="L141" s="259">
        <v>0.1</v>
      </c>
      <c r="M141" s="259">
        <v>0.1</v>
      </c>
      <c r="N141" s="259">
        <v>0.1</v>
      </c>
      <c r="O141" s="259">
        <v>0.1</v>
      </c>
      <c r="P141" s="259">
        <v>0.1</v>
      </c>
      <c r="Q141" s="259">
        <v>0.1</v>
      </c>
      <c r="R141" s="259">
        <v>0.1</v>
      </c>
      <c r="S141" s="259">
        <v>0.1</v>
      </c>
      <c r="T141" s="259">
        <v>0.1</v>
      </c>
      <c r="U141" s="259">
        <v>0.1</v>
      </c>
      <c r="V141" s="259">
        <v>0.1</v>
      </c>
      <c r="W141" s="259">
        <v>0.1</v>
      </c>
      <c r="X141" s="259">
        <v>0.1</v>
      </c>
      <c r="Y141" s="259">
        <v>0.1</v>
      </c>
      <c r="Z141" s="259">
        <v>0.1</v>
      </c>
      <c r="AA141" s="259">
        <v>0.1</v>
      </c>
      <c r="AB141" s="259">
        <v>0.1</v>
      </c>
      <c r="AC141" s="259">
        <v>0.1</v>
      </c>
      <c r="AD141" s="259">
        <v>0.1</v>
      </c>
      <c r="AE141" s="259">
        <v>0.1</v>
      </c>
      <c r="AF141" s="259">
        <v>0.1</v>
      </c>
      <c r="AG141" s="259">
        <v>0.1</v>
      </c>
      <c r="AH141" s="259">
        <v>0.1</v>
      </c>
      <c r="AI141" s="259">
        <v>0.1</v>
      </c>
      <c r="AJ141" s="259">
        <v>0.1</v>
      </c>
      <c r="AK141" s="259">
        <v>0.1</v>
      </c>
      <c r="AL141" s="259">
        <v>0.1</v>
      </c>
      <c r="AM141" s="259">
        <v>0.1</v>
      </c>
      <c r="AN141" s="259">
        <v>0.1</v>
      </c>
      <c r="AO141" s="259">
        <v>0.1</v>
      </c>
      <c r="AP141" s="259">
        <v>0.1</v>
      </c>
      <c r="AQ141" s="260">
        <v>0.1</v>
      </c>
      <c r="AR141" s="258">
        <v>0.1</v>
      </c>
      <c r="AS141" s="259">
        <v>0.1</v>
      </c>
      <c r="AT141" s="259">
        <v>0.1</v>
      </c>
      <c r="AU141" s="259">
        <v>0.1</v>
      </c>
      <c r="AV141" s="259">
        <v>0.1</v>
      </c>
      <c r="AW141" s="259">
        <v>0.1</v>
      </c>
      <c r="AX141" s="259">
        <v>0.1</v>
      </c>
      <c r="AY141" s="259">
        <v>0.1</v>
      </c>
      <c r="AZ141" s="259">
        <v>0.1</v>
      </c>
      <c r="BA141" s="259">
        <v>0.1</v>
      </c>
      <c r="BB141" s="259">
        <v>0.1</v>
      </c>
      <c r="BC141" s="259">
        <v>0.1</v>
      </c>
      <c r="BD141" s="259">
        <v>0.1</v>
      </c>
      <c r="BE141" s="259">
        <v>0.1</v>
      </c>
      <c r="BF141" s="259">
        <v>0.1</v>
      </c>
      <c r="BG141" s="259">
        <v>0.1</v>
      </c>
      <c r="BH141" s="259">
        <v>0.1</v>
      </c>
      <c r="BI141" s="259">
        <v>0.1</v>
      </c>
      <c r="BJ141" s="259">
        <v>0.1</v>
      </c>
      <c r="BK141" s="259">
        <v>0.1</v>
      </c>
      <c r="BL141" s="260">
        <v>0.1</v>
      </c>
      <c r="BM141">
        <v>0.1</v>
      </c>
      <c r="BN141">
        <v>0.1</v>
      </c>
      <c r="BO141">
        <v>0.1</v>
      </c>
      <c r="BP141">
        <f t="shared" si="11"/>
        <v>0.30000000000000004</v>
      </c>
      <c r="BS141">
        <v>138</v>
      </c>
      <c r="BT141" s="270">
        <v>3.8</v>
      </c>
      <c r="BU141" s="271">
        <v>2.04</v>
      </c>
      <c r="BV141" s="2"/>
      <c r="BW141" s="2"/>
      <c r="BX141" s="2"/>
      <c r="BY141" s="258">
        <v>0.1</v>
      </c>
      <c r="BZ141" s="259">
        <v>0.1</v>
      </c>
      <c r="CA141" s="259">
        <v>0.1</v>
      </c>
      <c r="CB141" s="259">
        <v>0.1</v>
      </c>
      <c r="CC141" s="259">
        <v>0.1</v>
      </c>
      <c r="CD141" s="259">
        <v>0.1</v>
      </c>
      <c r="CE141" s="259">
        <v>0.1</v>
      </c>
      <c r="CF141" s="259">
        <v>0.1</v>
      </c>
      <c r="CG141" s="259">
        <v>0.1</v>
      </c>
      <c r="CH141" s="259">
        <v>0.1</v>
      </c>
      <c r="CI141" s="259">
        <v>0.1</v>
      </c>
      <c r="CJ141" s="259">
        <v>0.1</v>
      </c>
      <c r="CK141" s="259">
        <v>0.1</v>
      </c>
      <c r="CL141" s="259">
        <v>0.1</v>
      </c>
      <c r="CM141" s="259">
        <v>0.1</v>
      </c>
      <c r="CN141" s="259">
        <v>0.1</v>
      </c>
      <c r="CO141" s="259">
        <v>0.1</v>
      </c>
      <c r="CP141" s="259">
        <v>0.1</v>
      </c>
      <c r="CQ141" s="259">
        <v>0.1</v>
      </c>
      <c r="CR141" s="259">
        <v>0.1</v>
      </c>
      <c r="CS141" s="259">
        <v>0.1</v>
      </c>
      <c r="CT141" s="259">
        <v>0.1</v>
      </c>
      <c r="CU141" s="259">
        <v>0.1</v>
      </c>
      <c r="CV141" s="259">
        <v>0.1</v>
      </c>
      <c r="CW141" s="259">
        <v>0.1</v>
      </c>
      <c r="CX141" s="259">
        <v>0.1</v>
      </c>
      <c r="CY141" s="259">
        <v>0.1</v>
      </c>
      <c r="CZ141" s="259">
        <v>0.1</v>
      </c>
      <c r="DA141" s="259">
        <v>0.1</v>
      </c>
      <c r="DB141" s="259">
        <v>0.1</v>
      </c>
      <c r="DC141" s="259">
        <v>0.1</v>
      </c>
      <c r="DD141" s="259">
        <v>0.1</v>
      </c>
      <c r="DE141" s="259">
        <v>0.1</v>
      </c>
      <c r="DF141" s="259">
        <v>0.1</v>
      </c>
      <c r="DG141" s="259">
        <v>0.1</v>
      </c>
      <c r="DH141" s="259">
        <v>0.1</v>
      </c>
      <c r="DI141" s="259">
        <v>0.1</v>
      </c>
      <c r="DJ141" s="260">
        <v>0.1</v>
      </c>
      <c r="DK141" s="258">
        <v>0.1</v>
      </c>
      <c r="DL141" s="259">
        <v>0.1</v>
      </c>
      <c r="DM141" s="259">
        <v>0.1</v>
      </c>
      <c r="DN141" s="259">
        <v>0.1</v>
      </c>
      <c r="DO141" s="259">
        <v>0.1</v>
      </c>
      <c r="DP141" s="259">
        <v>0.1</v>
      </c>
      <c r="DQ141" s="259">
        <v>0.1</v>
      </c>
      <c r="DR141" s="259">
        <v>0.1</v>
      </c>
      <c r="DS141" s="259">
        <v>0.1</v>
      </c>
      <c r="DT141" s="259">
        <v>0.1</v>
      </c>
      <c r="DU141" s="259">
        <v>0.1</v>
      </c>
      <c r="DV141" s="259">
        <v>0.1</v>
      </c>
      <c r="DW141" s="259">
        <v>0.1</v>
      </c>
      <c r="DX141" s="259">
        <v>0.1</v>
      </c>
      <c r="DY141" s="259">
        <v>0.1</v>
      </c>
      <c r="DZ141" s="259">
        <v>0.1</v>
      </c>
      <c r="EA141" s="259">
        <v>0.1</v>
      </c>
      <c r="EB141" s="259">
        <v>0.1</v>
      </c>
      <c r="EC141" s="259">
        <v>0.1</v>
      </c>
      <c r="ED141" s="259">
        <v>0.1</v>
      </c>
      <c r="EE141" s="260">
        <v>0.1</v>
      </c>
      <c r="EF141">
        <v>0.1</v>
      </c>
      <c r="EG141">
        <f t="shared" si="10"/>
        <v>0.1</v>
      </c>
      <c r="EJ141">
        <v>138</v>
      </c>
      <c r="EN141">
        <v>0.1</v>
      </c>
      <c r="EO141">
        <v>0.1</v>
      </c>
      <c r="EP141">
        <v>0.1</v>
      </c>
      <c r="EQ141">
        <v>0.1</v>
      </c>
      <c r="ER141">
        <v>0.1</v>
      </c>
      <c r="ES141">
        <v>0.1</v>
      </c>
      <c r="ET141">
        <v>0.1</v>
      </c>
      <c r="EU141">
        <v>0.1</v>
      </c>
      <c r="EV141">
        <v>0.1</v>
      </c>
      <c r="EW141">
        <v>0.1</v>
      </c>
      <c r="EX141">
        <v>0.1</v>
      </c>
      <c r="EY141">
        <v>0.1</v>
      </c>
      <c r="EZ141">
        <v>0.1</v>
      </c>
      <c r="FA141">
        <v>0.1</v>
      </c>
      <c r="FB141">
        <v>0.1</v>
      </c>
      <c r="FC141">
        <v>0.1</v>
      </c>
      <c r="FD141">
        <v>0.1</v>
      </c>
      <c r="FE141">
        <v>0.1</v>
      </c>
      <c r="FF141">
        <v>0.1</v>
      </c>
      <c r="FG141">
        <v>0.1</v>
      </c>
      <c r="FH141">
        <v>0.1</v>
      </c>
      <c r="FI141">
        <v>0.1</v>
      </c>
      <c r="FJ141">
        <v>0.1</v>
      </c>
      <c r="FK141">
        <v>0.1</v>
      </c>
      <c r="FL141">
        <v>0.1</v>
      </c>
      <c r="FM141">
        <v>0.1</v>
      </c>
      <c r="FN141">
        <v>0.1</v>
      </c>
      <c r="FO141">
        <v>0.1</v>
      </c>
      <c r="FP141">
        <v>0.1</v>
      </c>
      <c r="FQ141">
        <v>0.1</v>
      </c>
      <c r="FU141">
        <v>138</v>
      </c>
      <c r="GB141">
        <v>0.1</v>
      </c>
      <c r="GC141">
        <v>0.1</v>
      </c>
      <c r="GD141">
        <v>0.1</v>
      </c>
      <c r="GE141">
        <v>0.1</v>
      </c>
      <c r="GF141">
        <v>0.1</v>
      </c>
      <c r="GG141">
        <v>0.1</v>
      </c>
      <c r="GH141">
        <v>0.1</v>
      </c>
      <c r="GI141">
        <v>0.1</v>
      </c>
      <c r="GJ141">
        <v>0.1</v>
      </c>
      <c r="GK141">
        <v>0.1</v>
      </c>
      <c r="GL141">
        <v>0.1</v>
      </c>
      <c r="GM141">
        <v>0.1</v>
      </c>
      <c r="GN141">
        <v>0.1</v>
      </c>
      <c r="GO141">
        <v>0.1</v>
      </c>
      <c r="GP141">
        <v>0.1</v>
      </c>
      <c r="GQ141">
        <v>0.1</v>
      </c>
      <c r="GR141">
        <v>0.1</v>
      </c>
      <c r="GS141">
        <v>0.1</v>
      </c>
      <c r="GT141">
        <v>0.1</v>
      </c>
      <c r="GU141">
        <v>0.1</v>
      </c>
      <c r="GV141">
        <v>0.1</v>
      </c>
      <c r="GW141">
        <v>0.1</v>
      </c>
      <c r="GX141">
        <v>0.1</v>
      </c>
      <c r="GY141">
        <v>0.1</v>
      </c>
      <c r="GZ141">
        <v>0.1</v>
      </c>
      <c r="HA141">
        <v>0.1</v>
      </c>
      <c r="HB141">
        <v>0.1</v>
      </c>
      <c r="HC141">
        <v>0.1</v>
      </c>
      <c r="HD141">
        <v>0.1</v>
      </c>
      <c r="HE141">
        <v>0.1</v>
      </c>
      <c r="HF141">
        <v>0.1</v>
      </c>
      <c r="HG141">
        <v>0.1</v>
      </c>
      <c r="HH141">
        <v>0.1</v>
      </c>
      <c r="HI141">
        <v>0.1</v>
      </c>
      <c r="HJ141">
        <v>0.1</v>
      </c>
      <c r="HK141">
        <v>0.1</v>
      </c>
      <c r="HL141">
        <v>0.1</v>
      </c>
      <c r="HM141">
        <v>0.1</v>
      </c>
      <c r="HN141">
        <v>0.1</v>
      </c>
      <c r="HO141">
        <v>0.1</v>
      </c>
    </row>
    <row r="142" spans="1:223" ht="15.75" thickBot="1" x14ac:dyDescent="0.3">
      <c r="A142">
        <v>139</v>
      </c>
      <c r="B142" s="268">
        <v>3.55</v>
      </c>
      <c r="C142" s="269">
        <v>2.02</v>
      </c>
      <c r="D142" s="2"/>
      <c r="E142" s="2"/>
      <c r="F142" s="2"/>
      <c r="G142" s="2"/>
      <c r="H142" s="258">
        <v>0.1</v>
      </c>
      <c r="I142" s="259">
        <v>0.1</v>
      </c>
      <c r="J142" s="259">
        <v>0.1</v>
      </c>
      <c r="K142" s="259">
        <v>0.1</v>
      </c>
      <c r="L142" s="259">
        <v>0.1</v>
      </c>
      <c r="M142" s="259">
        <v>0.1</v>
      </c>
      <c r="N142" s="259">
        <v>0.1</v>
      </c>
      <c r="O142" s="259">
        <v>0.1</v>
      </c>
      <c r="P142" s="259">
        <v>0.1</v>
      </c>
      <c r="Q142" s="259">
        <v>0.1</v>
      </c>
      <c r="R142" s="259">
        <v>0.1</v>
      </c>
      <c r="S142" s="259">
        <v>0.1</v>
      </c>
      <c r="T142" s="259">
        <v>0.1</v>
      </c>
      <c r="U142" s="259">
        <v>0.1</v>
      </c>
      <c r="V142" s="259">
        <v>0.1</v>
      </c>
      <c r="W142" s="259">
        <v>0.1</v>
      </c>
      <c r="X142" s="259">
        <v>0.1</v>
      </c>
      <c r="Y142" s="259">
        <v>0.1</v>
      </c>
      <c r="Z142" s="259">
        <v>0.1</v>
      </c>
      <c r="AA142" s="259">
        <v>0.1</v>
      </c>
      <c r="AB142" s="259">
        <v>0.1</v>
      </c>
      <c r="AC142" s="259">
        <v>0.1</v>
      </c>
      <c r="AD142" s="259">
        <v>0.1</v>
      </c>
      <c r="AE142" s="259">
        <v>0.1</v>
      </c>
      <c r="AF142" s="259">
        <v>0.1</v>
      </c>
      <c r="AG142" s="259">
        <v>0.1</v>
      </c>
      <c r="AH142" s="259">
        <v>0.1</v>
      </c>
      <c r="AI142" s="259">
        <v>0.1</v>
      </c>
      <c r="AJ142" s="259">
        <v>0.1</v>
      </c>
      <c r="AK142" s="259">
        <v>0.1</v>
      </c>
      <c r="AL142" s="259">
        <v>0.1</v>
      </c>
      <c r="AM142" s="259">
        <v>0.1</v>
      </c>
      <c r="AN142" s="259">
        <v>0.1</v>
      </c>
      <c r="AO142" s="259">
        <v>0.1</v>
      </c>
      <c r="AP142" s="259">
        <v>0.1</v>
      </c>
      <c r="AQ142" s="260">
        <v>0.1</v>
      </c>
      <c r="AR142" s="258">
        <v>0.1</v>
      </c>
      <c r="AS142" s="259">
        <v>0.1</v>
      </c>
      <c r="AT142" s="259">
        <v>0.1</v>
      </c>
      <c r="AU142" s="259">
        <v>0.1</v>
      </c>
      <c r="AV142" s="259">
        <v>0.1</v>
      </c>
      <c r="AW142" s="259">
        <v>0.1</v>
      </c>
      <c r="AX142" s="259">
        <v>0.1</v>
      </c>
      <c r="AY142" s="259">
        <v>0.1</v>
      </c>
      <c r="AZ142" s="259">
        <v>0.1</v>
      </c>
      <c r="BA142" s="259">
        <v>0.1</v>
      </c>
      <c r="BB142" s="259">
        <v>0.1</v>
      </c>
      <c r="BC142" s="259">
        <v>0.1</v>
      </c>
      <c r="BD142" s="259">
        <v>0.1</v>
      </c>
      <c r="BE142" s="259">
        <v>0.1</v>
      </c>
      <c r="BF142" s="259">
        <v>0.1</v>
      </c>
      <c r="BG142" s="259">
        <v>0.1</v>
      </c>
      <c r="BH142" s="259">
        <v>0.1</v>
      </c>
      <c r="BI142" s="259">
        <v>0.1</v>
      </c>
      <c r="BJ142" s="259">
        <v>0.1</v>
      </c>
      <c r="BK142" s="259">
        <v>0.1</v>
      </c>
      <c r="BL142" s="260">
        <v>0.1</v>
      </c>
      <c r="BM142">
        <v>0.1</v>
      </c>
      <c r="BN142">
        <v>0.1</v>
      </c>
      <c r="BO142">
        <v>0.1</v>
      </c>
      <c r="BP142">
        <f t="shared" si="11"/>
        <v>0.30000000000000004</v>
      </c>
      <c r="BS142">
        <v>139</v>
      </c>
      <c r="BT142" s="271">
        <v>3.8</v>
      </c>
      <c r="BU142" s="270">
        <v>2.04</v>
      </c>
      <c r="BV142" s="2"/>
      <c r="BW142" s="2"/>
      <c r="BX142" s="2"/>
      <c r="BY142" s="258">
        <v>0.1</v>
      </c>
      <c r="BZ142" s="259">
        <v>0.1</v>
      </c>
      <c r="CA142" s="259">
        <v>0.1</v>
      </c>
      <c r="CB142" s="259">
        <v>0.1</v>
      </c>
      <c r="CC142" s="259">
        <v>0.1</v>
      </c>
      <c r="CD142" s="259">
        <v>0.1</v>
      </c>
      <c r="CE142" s="259">
        <v>0.1</v>
      </c>
      <c r="CF142" s="259">
        <v>0.1</v>
      </c>
      <c r="CG142" s="259">
        <v>0.1</v>
      </c>
      <c r="CH142" s="259">
        <v>0.1</v>
      </c>
      <c r="CI142" s="259">
        <v>0.1</v>
      </c>
      <c r="CJ142" s="259">
        <v>0.1</v>
      </c>
      <c r="CK142" s="259">
        <v>0.1</v>
      </c>
      <c r="CL142" s="259">
        <v>0.1</v>
      </c>
      <c r="CM142" s="259">
        <v>0.1</v>
      </c>
      <c r="CN142" s="259">
        <v>0.1</v>
      </c>
      <c r="CO142" s="259">
        <v>0.1</v>
      </c>
      <c r="CP142" s="259">
        <v>0.1</v>
      </c>
      <c r="CQ142" s="259">
        <v>0.1</v>
      </c>
      <c r="CR142" s="259">
        <v>0.1</v>
      </c>
      <c r="CS142" s="259">
        <v>0.1</v>
      </c>
      <c r="CT142" s="259">
        <v>0.1</v>
      </c>
      <c r="CU142" s="259">
        <v>0.1</v>
      </c>
      <c r="CV142" s="259">
        <v>0.1</v>
      </c>
      <c r="CW142" s="259">
        <v>0.1</v>
      </c>
      <c r="CX142" s="259">
        <v>0.1</v>
      </c>
      <c r="CY142" s="259">
        <v>0.1</v>
      </c>
      <c r="CZ142" s="259">
        <v>0.1</v>
      </c>
      <c r="DA142" s="259">
        <v>0.1</v>
      </c>
      <c r="DB142" s="259">
        <v>0.1</v>
      </c>
      <c r="DC142" s="259">
        <v>0.1</v>
      </c>
      <c r="DD142" s="259">
        <v>0.1</v>
      </c>
      <c r="DE142" s="259">
        <v>0.1</v>
      </c>
      <c r="DF142" s="259">
        <v>0.1</v>
      </c>
      <c r="DG142" s="259">
        <v>0.1</v>
      </c>
      <c r="DH142" s="259">
        <v>0.1</v>
      </c>
      <c r="DI142" s="259">
        <v>0.1</v>
      </c>
      <c r="DJ142" s="260">
        <v>0.1</v>
      </c>
      <c r="DK142" s="258">
        <v>0.1</v>
      </c>
      <c r="DL142" s="259">
        <v>0.1</v>
      </c>
      <c r="DM142" s="259">
        <v>0.1</v>
      </c>
      <c r="DN142" s="259">
        <v>0.1</v>
      </c>
      <c r="DO142" s="259">
        <v>0.1</v>
      </c>
      <c r="DP142" s="259">
        <v>0.1</v>
      </c>
      <c r="DQ142" s="259">
        <v>0.1</v>
      </c>
      <c r="DR142" s="259">
        <v>0.1</v>
      </c>
      <c r="DS142" s="259">
        <v>0.1</v>
      </c>
      <c r="DT142" s="259">
        <v>0.1</v>
      </c>
      <c r="DU142" s="259">
        <v>0.1</v>
      </c>
      <c r="DV142" s="259">
        <v>0.1</v>
      </c>
      <c r="DW142" s="259">
        <v>0.1</v>
      </c>
      <c r="DX142" s="259">
        <v>0.1</v>
      </c>
      <c r="DY142" s="259">
        <v>0.1</v>
      </c>
      <c r="DZ142" s="259">
        <v>0.1</v>
      </c>
      <c r="EA142" s="259">
        <v>0.1</v>
      </c>
      <c r="EB142" s="259">
        <v>0.1</v>
      </c>
      <c r="EC142" s="259">
        <v>0.1</v>
      </c>
      <c r="ED142" s="259">
        <v>0.1</v>
      </c>
      <c r="EE142" s="260">
        <v>0.1</v>
      </c>
      <c r="EF142">
        <v>0.1</v>
      </c>
      <c r="EG142">
        <f t="shared" si="10"/>
        <v>0.1</v>
      </c>
      <c r="EJ142">
        <v>139</v>
      </c>
      <c r="EN142">
        <v>0.1</v>
      </c>
      <c r="EO142">
        <v>0.1</v>
      </c>
      <c r="EP142">
        <v>0.1</v>
      </c>
      <c r="EQ142">
        <v>0.1</v>
      </c>
      <c r="ER142">
        <v>0.1</v>
      </c>
      <c r="ES142">
        <v>0.1</v>
      </c>
      <c r="ET142">
        <v>0.1</v>
      </c>
      <c r="EU142">
        <v>0.1</v>
      </c>
      <c r="EV142">
        <v>0.1</v>
      </c>
      <c r="EW142">
        <v>0.1</v>
      </c>
      <c r="EX142">
        <v>0.1</v>
      </c>
      <c r="EY142">
        <v>0.1</v>
      </c>
      <c r="EZ142">
        <v>0.1</v>
      </c>
      <c r="FA142">
        <v>0.1</v>
      </c>
      <c r="FB142">
        <v>0.1</v>
      </c>
      <c r="FC142">
        <v>0.1</v>
      </c>
      <c r="FD142">
        <v>0.1</v>
      </c>
      <c r="FE142">
        <v>0.1</v>
      </c>
      <c r="FF142">
        <v>0.1</v>
      </c>
      <c r="FG142">
        <v>0.1</v>
      </c>
      <c r="FH142">
        <v>0.1</v>
      </c>
      <c r="FI142">
        <v>0.1</v>
      </c>
      <c r="FJ142">
        <v>0.1</v>
      </c>
      <c r="FK142">
        <v>0.1</v>
      </c>
      <c r="FL142">
        <v>0.1</v>
      </c>
      <c r="FM142">
        <v>0.1</v>
      </c>
      <c r="FN142">
        <v>0.1</v>
      </c>
      <c r="FO142">
        <v>0.1</v>
      </c>
      <c r="FP142">
        <v>0.1</v>
      </c>
      <c r="FQ142">
        <v>0.1</v>
      </c>
      <c r="FU142">
        <v>139</v>
      </c>
      <c r="GB142">
        <v>0.1</v>
      </c>
      <c r="GC142">
        <v>0.1</v>
      </c>
      <c r="GD142">
        <v>0.1</v>
      </c>
      <c r="GE142">
        <v>0.1</v>
      </c>
      <c r="GF142">
        <v>0.1</v>
      </c>
      <c r="GG142">
        <v>0.1</v>
      </c>
      <c r="GH142">
        <v>0.1</v>
      </c>
      <c r="GI142">
        <v>0.1</v>
      </c>
      <c r="GJ142">
        <v>0.1</v>
      </c>
      <c r="GK142">
        <v>0.1</v>
      </c>
      <c r="GL142">
        <v>0.1</v>
      </c>
      <c r="GM142">
        <v>0.1</v>
      </c>
      <c r="GN142">
        <v>0.1</v>
      </c>
      <c r="GO142">
        <v>0.1</v>
      </c>
      <c r="GP142">
        <v>0.1</v>
      </c>
      <c r="GQ142">
        <v>0.1</v>
      </c>
      <c r="GR142">
        <v>0.1</v>
      </c>
      <c r="GS142">
        <v>0.1</v>
      </c>
      <c r="GT142">
        <v>0.1</v>
      </c>
      <c r="GU142">
        <v>0.1</v>
      </c>
      <c r="GV142">
        <v>0.1</v>
      </c>
      <c r="GW142">
        <v>0.1</v>
      </c>
      <c r="GX142">
        <v>0.1</v>
      </c>
      <c r="GY142">
        <v>0.1</v>
      </c>
      <c r="GZ142">
        <v>0.1</v>
      </c>
      <c r="HA142">
        <v>0.1</v>
      </c>
      <c r="HB142">
        <v>0.1</v>
      </c>
      <c r="HC142">
        <v>0.1</v>
      </c>
      <c r="HD142">
        <v>0.1</v>
      </c>
      <c r="HE142">
        <v>0.1</v>
      </c>
      <c r="HF142">
        <v>0.1</v>
      </c>
      <c r="HG142">
        <v>0.1</v>
      </c>
      <c r="HH142">
        <v>0.1</v>
      </c>
      <c r="HI142">
        <v>0.1</v>
      </c>
      <c r="HJ142">
        <v>0.1</v>
      </c>
      <c r="HK142">
        <v>0.1</v>
      </c>
      <c r="HL142">
        <v>0.1</v>
      </c>
      <c r="HM142">
        <v>0.1</v>
      </c>
      <c r="HN142">
        <v>0.1</v>
      </c>
      <c r="HO142">
        <v>0.1</v>
      </c>
    </row>
    <row r="143" spans="1:223" ht="15.75" thickBot="1" x14ac:dyDescent="0.3">
      <c r="A143">
        <v>140</v>
      </c>
      <c r="B143" s="269">
        <v>3.55</v>
      </c>
      <c r="C143" s="268">
        <v>2.02</v>
      </c>
      <c r="D143" s="2"/>
      <c r="E143" s="2"/>
      <c r="F143" s="2"/>
      <c r="G143" s="2"/>
      <c r="H143" s="258">
        <v>0.1</v>
      </c>
      <c r="I143" s="259">
        <v>0.1</v>
      </c>
      <c r="J143" s="259">
        <v>0.1</v>
      </c>
      <c r="K143" s="259">
        <v>0.1</v>
      </c>
      <c r="L143" s="259">
        <v>0.1</v>
      </c>
      <c r="M143" s="259">
        <v>0.1</v>
      </c>
      <c r="N143" s="259">
        <v>0.1</v>
      </c>
      <c r="O143" s="259">
        <v>0.1</v>
      </c>
      <c r="P143" s="259">
        <v>0.1</v>
      </c>
      <c r="Q143" s="259">
        <v>0.1</v>
      </c>
      <c r="R143" s="259">
        <v>0.1</v>
      </c>
      <c r="S143" s="259">
        <v>0.1</v>
      </c>
      <c r="T143" s="259">
        <v>0.1</v>
      </c>
      <c r="U143" s="259">
        <v>0.1</v>
      </c>
      <c r="V143" s="259">
        <v>0.1</v>
      </c>
      <c r="W143" s="259">
        <v>0.1</v>
      </c>
      <c r="X143" s="259">
        <v>0.1</v>
      </c>
      <c r="Y143" s="259">
        <v>0.1</v>
      </c>
      <c r="Z143" s="259">
        <v>0.1</v>
      </c>
      <c r="AA143" s="259">
        <v>0.1</v>
      </c>
      <c r="AB143" s="259">
        <v>0.1</v>
      </c>
      <c r="AC143" s="259">
        <v>0.1</v>
      </c>
      <c r="AD143" s="259">
        <v>0.1</v>
      </c>
      <c r="AE143" s="259">
        <v>0.1</v>
      </c>
      <c r="AF143" s="259">
        <v>0.1</v>
      </c>
      <c r="AG143" s="259">
        <v>0.1</v>
      </c>
      <c r="AH143" s="259">
        <v>0.1</v>
      </c>
      <c r="AI143" s="259">
        <v>0.1</v>
      </c>
      <c r="AJ143" s="259">
        <v>0.1</v>
      </c>
      <c r="AK143" s="259">
        <v>0.1</v>
      </c>
      <c r="AL143" s="259">
        <v>0.1</v>
      </c>
      <c r="AM143" s="259">
        <v>0.1</v>
      </c>
      <c r="AN143" s="259">
        <v>0.1</v>
      </c>
      <c r="AO143" s="259">
        <v>0.1</v>
      </c>
      <c r="AP143" s="259">
        <v>0.1</v>
      </c>
      <c r="AQ143" s="260">
        <v>0.1</v>
      </c>
      <c r="AR143" s="258">
        <v>0.1</v>
      </c>
      <c r="AS143" s="259">
        <v>0.1</v>
      </c>
      <c r="AT143" s="259">
        <v>0.1</v>
      </c>
      <c r="AU143" s="259">
        <v>0.1</v>
      </c>
      <c r="AV143" s="259">
        <v>0.1</v>
      </c>
      <c r="AW143" s="259">
        <v>0.1</v>
      </c>
      <c r="AX143" s="259">
        <v>0.1</v>
      </c>
      <c r="AY143" s="259">
        <v>0.1</v>
      </c>
      <c r="AZ143" s="259">
        <v>0.1</v>
      </c>
      <c r="BA143" s="259">
        <v>0.1</v>
      </c>
      <c r="BB143" s="259">
        <v>0.1</v>
      </c>
      <c r="BC143" s="259">
        <v>0.1</v>
      </c>
      <c r="BD143" s="259">
        <v>0.1</v>
      </c>
      <c r="BE143" s="259">
        <v>0.1</v>
      </c>
      <c r="BF143" s="259">
        <v>0.1</v>
      </c>
      <c r="BG143" s="259">
        <v>0.1</v>
      </c>
      <c r="BH143" s="259">
        <v>0.1</v>
      </c>
      <c r="BI143" s="259">
        <v>0.1</v>
      </c>
      <c r="BJ143" s="259">
        <v>0.1</v>
      </c>
      <c r="BK143" s="259">
        <v>0.1</v>
      </c>
      <c r="BL143" s="260">
        <v>0.1</v>
      </c>
      <c r="BM143">
        <v>0.1</v>
      </c>
      <c r="BN143">
        <v>0.1</v>
      </c>
      <c r="BO143">
        <v>0.1</v>
      </c>
      <c r="BP143">
        <f t="shared" si="11"/>
        <v>0.30000000000000004</v>
      </c>
      <c r="BS143">
        <v>140</v>
      </c>
      <c r="BT143" s="270">
        <v>3.79</v>
      </c>
      <c r="BU143" s="271">
        <v>2.04</v>
      </c>
      <c r="BV143" s="2"/>
      <c r="BW143" s="2"/>
      <c r="BX143" s="2"/>
      <c r="BY143" s="258">
        <v>0.1</v>
      </c>
      <c r="BZ143" s="259">
        <v>0.1</v>
      </c>
      <c r="CA143" s="259">
        <v>0.1</v>
      </c>
      <c r="CB143" s="259">
        <v>0.1</v>
      </c>
      <c r="CC143" s="259">
        <v>0.1</v>
      </c>
      <c r="CD143" s="259">
        <v>0.1</v>
      </c>
      <c r="CE143" s="259">
        <v>0.1</v>
      </c>
      <c r="CF143" s="259">
        <v>0.1</v>
      </c>
      <c r="CG143" s="259">
        <v>0.1</v>
      </c>
      <c r="CH143" s="259">
        <v>0.1</v>
      </c>
      <c r="CI143" s="259">
        <v>0.1</v>
      </c>
      <c r="CJ143" s="259">
        <v>0.1</v>
      </c>
      <c r="CK143" s="259">
        <v>0.1</v>
      </c>
      <c r="CL143" s="259">
        <v>0.1</v>
      </c>
      <c r="CM143" s="259">
        <v>0.1</v>
      </c>
      <c r="CN143" s="259">
        <v>0.1</v>
      </c>
      <c r="CO143" s="259">
        <v>0.1</v>
      </c>
      <c r="CP143" s="259">
        <v>0.1</v>
      </c>
      <c r="CQ143" s="259">
        <v>0.1</v>
      </c>
      <c r="CR143" s="259">
        <v>0.1</v>
      </c>
      <c r="CS143" s="259">
        <v>0.1</v>
      </c>
      <c r="CT143" s="259">
        <v>0.1</v>
      </c>
      <c r="CU143" s="259">
        <v>0.1</v>
      </c>
      <c r="CV143" s="259">
        <v>0.1</v>
      </c>
      <c r="CW143" s="259">
        <v>0.1</v>
      </c>
      <c r="CX143" s="259">
        <v>0.1</v>
      </c>
      <c r="CY143" s="259">
        <v>0.1</v>
      </c>
      <c r="CZ143" s="259">
        <v>0.1</v>
      </c>
      <c r="DA143" s="259">
        <v>0.1</v>
      </c>
      <c r="DB143" s="259">
        <v>0.1</v>
      </c>
      <c r="DC143" s="259">
        <v>0.1</v>
      </c>
      <c r="DD143" s="259">
        <v>0.1</v>
      </c>
      <c r="DE143" s="259">
        <v>0.1</v>
      </c>
      <c r="DF143" s="259">
        <v>0.1</v>
      </c>
      <c r="DG143" s="259">
        <v>0.1</v>
      </c>
      <c r="DH143" s="259">
        <v>0.1</v>
      </c>
      <c r="DI143" s="259">
        <v>0.1</v>
      </c>
      <c r="DJ143" s="260">
        <v>0.1</v>
      </c>
      <c r="DK143" s="258">
        <v>0.1</v>
      </c>
      <c r="DL143" s="259">
        <v>0.1</v>
      </c>
      <c r="DM143" s="259">
        <v>0.1</v>
      </c>
      <c r="DN143" s="259">
        <v>0.1</v>
      </c>
      <c r="DO143" s="259">
        <v>0.1</v>
      </c>
      <c r="DP143" s="259">
        <v>0.1</v>
      </c>
      <c r="DQ143" s="259">
        <v>0.1</v>
      </c>
      <c r="DR143" s="259">
        <v>0.1</v>
      </c>
      <c r="DS143" s="259">
        <v>0.1</v>
      </c>
      <c r="DT143" s="259">
        <v>0.1</v>
      </c>
      <c r="DU143" s="259">
        <v>0.1</v>
      </c>
      <c r="DV143" s="259">
        <v>0.1</v>
      </c>
      <c r="DW143" s="259">
        <v>0.1</v>
      </c>
      <c r="DX143" s="259">
        <v>0.1</v>
      </c>
      <c r="DY143" s="259">
        <v>0.1</v>
      </c>
      <c r="DZ143" s="259">
        <v>0.1</v>
      </c>
      <c r="EA143" s="259">
        <v>0.1</v>
      </c>
      <c r="EB143" s="259">
        <v>0.1</v>
      </c>
      <c r="EC143" s="259">
        <v>0.1</v>
      </c>
      <c r="ED143" s="259">
        <v>0.1</v>
      </c>
      <c r="EE143" s="260">
        <v>0.1</v>
      </c>
      <c r="EF143">
        <v>0.1</v>
      </c>
      <c r="EG143">
        <f t="shared" si="10"/>
        <v>0.1</v>
      </c>
      <c r="EJ143">
        <v>140</v>
      </c>
      <c r="EN143">
        <v>0.1</v>
      </c>
      <c r="EO143">
        <v>0.1</v>
      </c>
      <c r="EP143">
        <v>0.1</v>
      </c>
      <c r="EQ143">
        <v>0.1</v>
      </c>
      <c r="ER143">
        <v>0.1</v>
      </c>
      <c r="ES143">
        <v>0.1</v>
      </c>
      <c r="ET143">
        <v>0.1</v>
      </c>
      <c r="EU143">
        <v>0.1</v>
      </c>
      <c r="EV143">
        <v>0.1</v>
      </c>
      <c r="EW143">
        <v>0.1</v>
      </c>
      <c r="EX143">
        <v>0.1</v>
      </c>
      <c r="EY143">
        <v>0.1</v>
      </c>
      <c r="EZ143">
        <v>0.1</v>
      </c>
      <c r="FA143">
        <v>0.1</v>
      </c>
      <c r="FB143">
        <v>0.1</v>
      </c>
      <c r="FC143">
        <v>0.1</v>
      </c>
      <c r="FD143">
        <v>0.1</v>
      </c>
      <c r="FE143">
        <v>0.1</v>
      </c>
      <c r="FF143">
        <v>0.1</v>
      </c>
      <c r="FG143">
        <v>0.1</v>
      </c>
      <c r="FH143">
        <v>0.1</v>
      </c>
      <c r="FI143">
        <v>0.1</v>
      </c>
      <c r="FJ143">
        <v>0.1</v>
      </c>
      <c r="FK143">
        <v>0.1</v>
      </c>
      <c r="FL143">
        <v>0.1</v>
      </c>
      <c r="FM143">
        <v>0.1</v>
      </c>
      <c r="FN143">
        <v>0.1</v>
      </c>
      <c r="FO143">
        <v>0.1</v>
      </c>
      <c r="FP143">
        <v>0.1</v>
      </c>
      <c r="FQ143">
        <v>0.1</v>
      </c>
      <c r="FU143">
        <v>140</v>
      </c>
      <c r="GB143">
        <v>0.1</v>
      </c>
      <c r="GC143">
        <v>0.1</v>
      </c>
      <c r="GD143">
        <v>0.1</v>
      </c>
      <c r="GE143">
        <v>0.1</v>
      </c>
      <c r="GF143">
        <v>0.1</v>
      </c>
      <c r="GG143">
        <v>0.1</v>
      </c>
      <c r="GH143">
        <v>0.1</v>
      </c>
      <c r="GI143">
        <v>0.1</v>
      </c>
      <c r="GJ143">
        <v>0.1</v>
      </c>
      <c r="GK143">
        <v>0.1</v>
      </c>
      <c r="GL143">
        <v>0.1</v>
      </c>
      <c r="GM143">
        <v>0.1</v>
      </c>
      <c r="GN143">
        <v>0.1</v>
      </c>
      <c r="GO143">
        <v>0.1</v>
      </c>
      <c r="GP143">
        <v>0.1</v>
      </c>
      <c r="GQ143">
        <v>0.1</v>
      </c>
      <c r="GR143">
        <v>0.1</v>
      </c>
      <c r="GS143">
        <v>0.1</v>
      </c>
      <c r="GT143">
        <v>0.1</v>
      </c>
      <c r="GU143">
        <v>0.1</v>
      </c>
      <c r="GV143">
        <v>0.1</v>
      </c>
      <c r="GW143">
        <v>0.1</v>
      </c>
      <c r="GX143">
        <v>0.1</v>
      </c>
      <c r="GY143">
        <v>0.1</v>
      </c>
      <c r="GZ143">
        <v>0.1</v>
      </c>
      <c r="HA143">
        <v>0.1</v>
      </c>
      <c r="HB143">
        <v>0.1</v>
      </c>
      <c r="HC143">
        <v>0.1</v>
      </c>
      <c r="HD143">
        <v>0.1</v>
      </c>
      <c r="HE143">
        <v>0.1</v>
      </c>
      <c r="HF143">
        <v>0.1</v>
      </c>
      <c r="HG143">
        <v>0.1</v>
      </c>
      <c r="HH143">
        <v>0.1</v>
      </c>
      <c r="HI143">
        <v>0.1</v>
      </c>
      <c r="HJ143">
        <v>0.1</v>
      </c>
      <c r="HK143">
        <v>0.1</v>
      </c>
      <c r="HL143">
        <v>0.1</v>
      </c>
      <c r="HM143">
        <v>0.1</v>
      </c>
      <c r="HN143">
        <v>0.1</v>
      </c>
      <c r="HO143">
        <v>0.1</v>
      </c>
    </row>
    <row r="144" spans="1:223" ht="15.75" thickBot="1" x14ac:dyDescent="0.3">
      <c r="A144">
        <v>141</v>
      </c>
      <c r="B144" s="268">
        <v>3.55</v>
      </c>
      <c r="C144" s="269">
        <v>2.02</v>
      </c>
      <c r="D144" s="2"/>
      <c r="E144" s="2"/>
      <c r="F144" s="2"/>
      <c r="G144" s="2"/>
      <c r="H144" s="258">
        <v>0.1</v>
      </c>
      <c r="I144" s="259">
        <v>0.1</v>
      </c>
      <c r="J144" s="259">
        <v>0.1</v>
      </c>
      <c r="K144" s="259">
        <v>0.1</v>
      </c>
      <c r="L144" s="259">
        <v>0.1</v>
      </c>
      <c r="M144" s="259">
        <v>0.1</v>
      </c>
      <c r="N144" s="259">
        <v>0.1</v>
      </c>
      <c r="O144" s="259">
        <v>0.1</v>
      </c>
      <c r="P144" s="259">
        <v>0.1</v>
      </c>
      <c r="Q144" s="259">
        <v>0.1</v>
      </c>
      <c r="R144" s="259">
        <v>0.1</v>
      </c>
      <c r="S144" s="259">
        <v>0.1</v>
      </c>
      <c r="T144" s="259">
        <v>0.1</v>
      </c>
      <c r="U144" s="259">
        <v>0.1</v>
      </c>
      <c r="V144" s="259">
        <v>0.1</v>
      </c>
      <c r="W144" s="259">
        <v>0.1</v>
      </c>
      <c r="X144" s="259">
        <v>0.1</v>
      </c>
      <c r="Y144" s="259">
        <v>0.1</v>
      </c>
      <c r="Z144" s="259">
        <v>0.1</v>
      </c>
      <c r="AA144" s="259">
        <v>0.1</v>
      </c>
      <c r="AB144" s="259">
        <v>0.1</v>
      </c>
      <c r="AC144" s="259">
        <v>0.1</v>
      </c>
      <c r="AD144" s="259">
        <v>0.1</v>
      </c>
      <c r="AE144" s="259">
        <v>0.1</v>
      </c>
      <c r="AF144" s="259">
        <v>0.1</v>
      </c>
      <c r="AG144" s="259">
        <v>0.1</v>
      </c>
      <c r="AH144" s="259">
        <v>0.1</v>
      </c>
      <c r="AI144" s="259">
        <v>0.1</v>
      </c>
      <c r="AJ144" s="259">
        <v>0.1</v>
      </c>
      <c r="AK144" s="259">
        <v>0.1</v>
      </c>
      <c r="AL144" s="259">
        <v>0.1</v>
      </c>
      <c r="AM144" s="259">
        <v>0.1</v>
      </c>
      <c r="AN144" s="259">
        <v>0.1</v>
      </c>
      <c r="AO144" s="259">
        <v>0.1</v>
      </c>
      <c r="AP144" s="259">
        <v>0.1</v>
      </c>
      <c r="AQ144" s="260">
        <v>0.1</v>
      </c>
      <c r="AR144" s="258">
        <v>0.1</v>
      </c>
      <c r="AS144" s="259">
        <v>0.1</v>
      </c>
      <c r="AT144" s="259">
        <v>0.1</v>
      </c>
      <c r="AU144" s="259">
        <v>0.1</v>
      </c>
      <c r="AV144" s="259">
        <v>0.1</v>
      </c>
      <c r="AW144" s="259">
        <v>0.1</v>
      </c>
      <c r="AX144" s="259">
        <v>0.1</v>
      </c>
      <c r="AY144" s="259">
        <v>0.1</v>
      </c>
      <c r="AZ144" s="259">
        <v>0.1</v>
      </c>
      <c r="BA144" s="259">
        <v>0.1</v>
      </c>
      <c r="BB144" s="259">
        <v>0.1</v>
      </c>
      <c r="BC144" s="259">
        <v>0.1</v>
      </c>
      <c r="BD144" s="259">
        <v>0.1</v>
      </c>
      <c r="BE144" s="259">
        <v>0.1</v>
      </c>
      <c r="BF144" s="259">
        <v>0.1</v>
      </c>
      <c r="BG144" s="259">
        <v>0.1</v>
      </c>
      <c r="BH144" s="259">
        <v>0.1</v>
      </c>
      <c r="BI144" s="259">
        <v>0.1</v>
      </c>
      <c r="BJ144" s="259">
        <v>0.1</v>
      </c>
      <c r="BK144" s="259">
        <v>0.1</v>
      </c>
      <c r="BL144" s="260">
        <v>0.1</v>
      </c>
      <c r="BM144">
        <v>0.1</v>
      </c>
      <c r="BN144">
        <v>0.1</v>
      </c>
      <c r="BO144">
        <v>0.1</v>
      </c>
      <c r="BP144">
        <f t="shared" si="11"/>
        <v>0.30000000000000004</v>
      </c>
      <c r="BS144">
        <v>141</v>
      </c>
      <c r="BT144" s="271">
        <v>3.79</v>
      </c>
      <c r="BU144" s="270">
        <v>2.04</v>
      </c>
      <c r="BV144" s="2"/>
      <c r="BW144" s="2"/>
      <c r="BX144" s="2"/>
      <c r="BY144" s="258">
        <v>0.1</v>
      </c>
      <c r="BZ144" s="259">
        <v>0.1</v>
      </c>
      <c r="CA144" s="259">
        <v>0.1</v>
      </c>
      <c r="CB144" s="259">
        <v>0.1</v>
      </c>
      <c r="CC144" s="259">
        <v>0.1</v>
      </c>
      <c r="CD144" s="259">
        <v>0.1</v>
      </c>
      <c r="CE144" s="259">
        <v>0.1</v>
      </c>
      <c r="CF144" s="259">
        <v>0.1</v>
      </c>
      <c r="CG144" s="259">
        <v>0.1</v>
      </c>
      <c r="CH144" s="259">
        <v>0.1</v>
      </c>
      <c r="CI144" s="259">
        <v>0.1</v>
      </c>
      <c r="CJ144" s="259">
        <v>0.1</v>
      </c>
      <c r="CK144" s="259">
        <v>0.1</v>
      </c>
      <c r="CL144" s="259">
        <v>0.1</v>
      </c>
      <c r="CM144" s="259">
        <v>0.1</v>
      </c>
      <c r="CN144" s="259">
        <v>0.1</v>
      </c>
      <c r="CO144" s="259">
        <v>0.1</v>
      </c>
      <c r="CP144" s="259">
        <v>0.1</v>
      </c>
      <c r="CQ144" s="259">
        <v>0.1</v>
      </c>
      <c r="CR144" s="259">
        <v>0.1</v>
      </c>
      <c r="CS144" s="259">
        <v>0.1</v>
      </c>
      <c r="CT144" s="259">
        <v>0.1</v>
      </c>
      <c r="CU144" s="259">
        <v>0.1</v>
      </c>
      <c r="CV144" s="259">
        <v>0.1</v>
      </c>
      <c r="CW144" s="259">
        <v>0.1</v>
      </c>
      <c r="CX144" s="259">
        <v>0.1</v>
      </c>
      <c r="CY144" s="259">
        <v>0.1</v>
      </c>
      <c r="CZ144" s="259">
        <v>0.1</v>
      </c>
      <c r="DA144" s="259">
        <v>0.1</v>
      </c>
      <c r="DB144" s="259">
        <v>0.1</v>
      </c>
      <c r="DC144" s="259">
        <v>0.1</v>
      </c>
      <c r="DD144" s="259">
        <v>0.1</v>
      </c>
      <c r="DE144" s="259">
        <v>0.1</v>
      </c>
      <c r="DF144" s="259">
        <v>0.1</v>
      </c>
      <c r="DG144" s="259">
        <v>0.1</v>
      </c>
      <c r="DH144" s="259">
        <v>0.1</v>
      </c>
      <c r="DI144" s="259">
        <v>0.1</v>
      </c>
      <c r="DJ144" s="260">
        <v>0.1</v>
      </c>
      <c r="DK144" s="258">
        <v>0.1</v>
      </c>
      <c r="DL144" s="259">
        <v>0.1</v>
      </c>
      <c r="DM144" s="259">
        <v>0.1</v>
      </c>
      <c r="DN144" s="259">
        <v>0.1</v>
      </c>
      <c r="DO144" s="259">
        <v>0.1</v>
      </c>
      <c r="DP144" s="259">
        <v>0.1</v>
      </c>
      <c r="DQ144" s="259">
        <v>0.1</v>
      </c>
      <c r="DR144" s="259">
        <v>0.1</v>
      </c>
      <c r="DS144" s="259">
        <v>0.1</v>
      </c>
      <c r="DT144" s="259">
        <v>0.1</v>
      </c>
      <c r="DU144" s="259">
        <v>0.1</v>
      </c>
      <c r="DV144" s="259">
        <v>0.1</v>
      </c>
      <c r="DW144" s="259">
        <v>0.1</v>
      </c>
      <c r="DX144" s="259">
        <v>0.1</v>
      </c>
      <c r="DY144" s="259">
        <v>0.1</v>
      </c>
      <c r="DZ144" s="259">
        <v>0.1</v>
      </c>
      <c r="EA144" s="259">
        <v>0.1</v>
      </c>
      <c r="EB144" s="259">
        <v>0.1</v>
      </c>
      <c r="EC144" s="259">
        <v>0.1</v>
      </c>
      <c r="ED144" s="259">
        <v>0.1</v>
      </c>
      <c r="EE144" s="260">
        <v>0.1</v>
      </c>
      <c r="EF144">
        <v>0.1</v>
      </c>
      <c r="EG144">
        <f t="shared" si="10"/>
        <v>0.1</v>
      </c>
      <c r="EJ144">
        <v>141</v>
      </c>
      <c r="EN144">
        <v>0.1</v>
      </c>
      <c r="EO144">
        <v>0.1</v>
      </c>
      <c r="EP144">
        <v>0.1</v>
      </c>
      <c r="EQ144">
        <v>0.1</v>
      </c>
      <c r="ER144">
        <v>0.1</v>
      </c>
      <c r="ES144">
        <v>0.1</v>
      </c>
      <c r="ET144">
        <v>0.1</v>
      </c>
      <c r="EU144">
        <v>0.1</v>
      </c>
      <c r="EV144">
        <v>0.1</v>
      </c>
      <c r="EW144">
        <v>0.1</v>
      </c>
      <c r="EX144">
        <v>0.1</v>
      </c>
      <c r="EY144">
        <v>0.1</v>
      </c>
      <c r="EZ144">
        <v>0.1</v>
      </c>
      <c r="FA144">
        <v>0.1</v>
      </c>
      <c r="FB144">
        <v>0.1</v>
      </c>
      <c r="FC144">
        <v>0.1</v>
      </c>
      <c r="FD144">
        <v>0.1</v>
      </c>
      <c r="FE144">
        <v>0.1</v>
      </c>
      <c r="FF144">
        <v>0.1</v>
      </c>
      <c r="FG144">
        <v>0.1</v>
      </c>
      <c r="FH144">
        <v>0.1</v>
      </c>
      <c r="FI144">
        <v>0.1</v>
      </c>
      <c r="FJ144">
        <v>0.1</v>
      </c>
      <c r="FK144">
        <v>0.1</v>
      </c>
      <c r="FL144">
        <v>0.1</v>
      </c>
      <c r="FM144">
        <v>0.1</v>
      </c>
      <c r="FN144">
        <v>0.1</v>
      </c>
      <c r="FO144">
        <v>0.1</v>
      </c>
      <c r="FP144">
        <v>0.1</v>
      </c>
      <c r="FQ144">
        <v>0.1</v>
      </c>
      <c r="FU144">
        <v>141</v>
      </c>
      <c r="GB144">
        <v>0.1</v>
      </c>
      <c r="GC144">
        <v>0.1</v>
      </c>
      <c r="GD144">
        <v>0.1</v>
      </c>
      <c r="GE144">
        <v>0.1</v>
      </c>
      <c r="GF144">
        <v>0.1</v>
      </c>
      <c r="GG144">
        <v>0.1</v>
      </c>
      <c r="GH144">
        <v>0.1</v>
      </c>
      <c r="GI144">
        <v>0.1</v>
      </c>
      <c r="GJ144">
        <v>0.1</v>
      </c>
      <c r="GK144">
        <v>0.1</v>
      </c>
      <c r="GL144">
        <v>0.1</v>
      </c>
      <c r="GM144">
        <v>0.1</v>
      </c>
      <c r="GN144">
        <v>0.1</v>
      </c>
      <c r="GO144">
        <v>0.1</v>
      </c>
      <c r="GP144">
        <v>0.1</v>
      </c>
      <c r="GQ144">
        <v>0.1</v>
      </c>
      <c r="GR144">
        <v>0.1</v>
      </c>
      <c r="GS144">
        <v>0.1</v>
      </c>
      <c r="GT144">
        <v>0.1</v>
      </c>
      <c r="GU144">
        <v>0.1</v>
      </c>
      <c r="GV144">
        <v>0.1</v>
      </c>
      <c r="GW144">
        <v>0.1</v>
      </c>
      <c r="GX144">
        <v>0.1</v>
      </c>
      <c r="GY144">
        <v>0.1</v>
      </c>
      <c r="GZ144">
        <v>0.1</v>
      </c>
      <c r="HA144">
        <v>0.1</v>
      </c>
      <c r="HB144">
        <v>0.1</v>
      </c>
      <c r="HC144">
        <v>0.1</v>
      </c>
      <c r="HD144">
        <v>0.1</v>
      </c>
      <c r="HE144">
        <v>0.1</v>
      </c>
      <c r="HF144">
        <v>0.1</v>
      </c>
      <c r="HG144">
        <v>0.1</v>
      </c>
      <c r="HH144">
        <v>0.1</v>
      </c>
      <c r="HI144">
        <v>0.1</v>
      </c>
      <c r="HJ144">
        <v>0.1</v>
      </c>
      <c r="HK144">
        <v>0.1</v>
      </c>
      <c r="HL144">
        <v>0.1</v>
      </c>
      <c r="HM144">
        <v>0.1</v>
      </c>
      <c r="HN144">
        <v>0.1</v>
      </c>
      <c r="HO144">
        <v>0.1</v>
      </c>
    </row>
    <row r="145" spans="1:223" ht="15.75" thickBot="1" x14ac:dyDescent="0.3">
      <c r="A145">
        <v>142</v>
      </c>
      <c r="B145" s="269">
        <v>3.55</v>
      </c>
      <c r="C145" s="268">
        <v>2.02</v>
      </c>
      <c r="D145" s="2"/>
      <c r="E145" s="2"/>
      <c r="F145" s="2"/>
      <c r="G145" s="2"/>
      <c r="H145" s="258">
        <v>0.1</v>
      </c>
      <c r="I145" s="259">
        <v>0.1</v>
      </c>
      <c r="J145" s="259">
        <v>0.1</v>
      </c>
      <c r="K145" s="259">
        <v>0.1</v>
      </c>
      <c r="L145" s="259">
        <v>0.1</v>
      </c>
      <c r="M145" s="259">
        <v>0.1</v>
      </c>
      <c r="N145" s="259">
        <v>0.1</v>
      </c>
      <c r="O145" s="259">
        <v>0.1</v>
      </c>
      <c r="P145" s="259">
        <v>0.1</v>
      </c>
      <c r="Q145" s="259">
        <v>0.1</v>
      </c>
      <c r="R145" s="259">
        <v>0.1</v>
      </c>
      <c r="S145" s="259">
        <v>0.1</v>
      </c>
      <c r="T145" s="259">
        <v>0.1</v>
      </c>
      <c r="U145" s="259">
        <v>0.1</v>
      </c>
      <c r="V145" s="259">
        <v>0.1</v>
      </c>
      <c r="W145" s="259">
        <v>0.1</v>
      </c>
      <c r="X145" s="259">
        <v>0.1</v>
      </c>
      <c r="Y145" s="259">
        <v>0.1</v>
      </c>
      <c r="Z145" s="259">
        <v>0.1</v>
      </c>
      <c r="AA145" s="259">
        <v>0.1</v>
      </c>
      <c r="AB145" s="259">
        <v>0.1</v>
      </c>
      <c r="AC145" s="259">
        <v>0.1</v>
      </c>
      <c r="AD145" s="259">
        <v>0.1</v>
      </c>
      <c r="AE145" s="259">
        <v>0.1</v>
      </c>
      <c r="AF145" s="259">
        <v>0.1</v>
      </c>
      <c r="AG145" s="259">
        <v>0.1</v>
      </c>
      <c r="AH145" s="259">
        <v>0.1</v>
      </c>
      <c r="AI145" s="259">
        <v>0.1</v>
      </c>
      <c r="AJ145" s="259">
        <v>0.1</v>
      </c>
      <c r="AK145" s="259">
        <v>0.1</v>
      </c>
      <c r="AL145" s="259">
        <v>0.1</v>
      </c>
      <c r="AM145" s="259">
        <v>0.1</v>
      </c>
      <c r="AN145" s="259">
        <v>0.1</v>
      </c>
      <c r="AO145" s="259">
        <v>0.1</v>
      </c>
      <c r="AP145" s="259">
        <v>0.1</v>
      </c>
      <c r="AQ145" s="263">
        <v>0.1</v>
      </c>
      <c r="AR145" s="258">
        <v>0.1</v>
      </c>
      <c r="AS145" s="259">
        <v>0.1</v>
      </c>
      <c r="AT145" s="259">
        <v>0.1</v>
      </c>
      <c r="AU145" s="259">
        <v>0.1</v>
      </c>
      <c r="AV145" s="259">
        <v>0.1</v>
      </c>
      <c r="AW145" s="259">
        <v>0.1</v>
      </c>
      <c r="AX145" s="259">
        <v>0.1</v>
      </c>
      <c r="AY145" s="259">
        <v>0.1</v>
      </c>
      <c r="AZ145" s="259">
        <v>0.1</v>
      </c>
      <c r="BA145" s="259">
        <v>0.1</v>
      </c>
      <c r="BB145" s="259">
        <v>0.1</v>
      </c>
      <c r="BC145" s="259">
        <v>0.1</v>
      </c>
      <c r="BD145" s="259">
        <v>0.1</v>
      </c>
      <c r="BE145" s="259">
        <v>0.1</v>
      </c>
      <c r="BF145" s="259">
        <v>0.1</v>
      </c>
      <c r="BG145" s="259">
        <v>0.1</v>
      </c>
      <c r="BH145" s="259">
        <v>0.1</v>
      </c>
      <c r="BI145" s="259">
        <v>0.1</v>
      </c>
      <c r="BJ145" s="259">
        <v>0.1</v>
      </c>
      <c r="BK145" s="259">
        <v>0.1</v>
      </c>
      <c r="BL145" s="260">
        <v>0.1</v>
      </c>
      <c r="BM145">
        <v>0.1</v>
      </c>
      <c r="BN145">
        <v>0.1</v>
      </c>
      <c r="BO145">
        <v>0.1</v>
      </c>
      <c r="BP145">
        <f t="shared" si="11"/>
        <v>0.30000000000000004</v>
      </c>
      <c r="BS145">
        <v>142</v>
      </c>
      <c r="BT145" s="270">
        <v>3.75</v>
      </c>
      <c r="BU145" s="271">
        <v>2.04</v>
      </c>
      <c r="BV145" s="2"/>
      <c r="BW145" s="2"/>
      <c r="BX145" s="2"/>
      <c r="BY145" s="258">
        <v>0.1</v>
      </c>
      <c r="BZ145" s="259">
        <v>0.1</v>
      </c>
      <c r="CA145" s="259">
        <v>0.1</v>
      </c>
      <c r="CB145" s="259">
        <v>0.1</v>
      </c>
      <c r="CC145" s="259">
        <v>0.1</v>
      </c>
      <c r="CD145" s="259">
        <v>0.1</v>
      </c>
      <c r="CE145" s="259">
        <v>0.1</v>
      </c>
      <c r="CF145" s="259">
        <v>0.1</v>
      </c>
      <c r="CG145" s="259">
        <v>0.1</v>
      </c>
      <c r="CH145" s="259">
        <v>0.1</v>
      </c>
      <c r="CI145" s="259">
        <v>0.1</v>
      </c>
      <c r="CJ145" s="259">
        <v>0.1</v>
      </c>
      <c r="CK145" s="259">
        <v>0.1</v>
      </c>
      <c r="CL145" s="259">
        <v>0.1</v>
      </c>
      <c r="CM145" s="259">
        <v>0.1</v>
      </c>
      <c r="CN145" s="259">
        <v>0.1</v>
      </c>
      <c r="CO145" s="259">
        <v>0.1</v>
      </c>
      <c r="CP145" s="259">
        <v>0.1</v>
      </c>
      <c r="CQ145" s="259">
        <v>0.1</v>
      </c>
      <c r="CR145" s="259">
        <v>0.1</v>
      </c>
      <c r="CS145" s="259">
        <v>0.1</v>
      </c>
      <c r="CT145" s="259">
        <v>0.1</v>
      </c>
      <c r="CU145" s="259">
        <v>0.1</v>
      </c>
      <c r="CV145" s="259">
        <v>0.1</v>
      </c>
      <c r="CW145" s="259">
        <v>0.1</v>
      </c>
      <c r="CX145" s="259">
        <v>0.1</v>
      </c>
      <c r="CY145" s="259">
        <v>0.1</v>
      </c>
      <c r="CZ145" s="259">
        <v>0.1</v>
      </c>
      <c r="DA145" s="259">
        <v>0.1</v>
      </c>
      <c r="DB145" s="259">
        <v>0.1</v>
      </c>
      <c r="DC145" s="259">
        <v>0.1</v>
      </c>
      <c r="DD145" s="259">
        <v>0.1</v>
      </c>
      <c r="DE145" s="259">
        <v>0.1</v>
      </c>
      <c r="DF145" s="259">
        <v>0.1</v>
      </c>
      <c r="DG145" s="259">
        <v>0.1</v>
      </c>
      <c r="DH145" s="259">
        <v>0.1</v>
      </c>
      <c r="DI145" s="259">
        <v>0.1</v>
      </c>
      <c r="DJ145" s="260">
        <v>0.1</v>
      </c>
      <c r="DK145" s="258">
        <v>0.1</v>
      </c>
      <c r="DL145" s="259">
        <v>0.1</v>
      </c>
      <c r="DM145" s="259">
        <v>0.1</v>
      </c>
      <c r="DN145" s="259">
        <v>0.1</v>
      </c>
      <c r="DO145" s="259">
        <v>0.1</v>
      </c>
      <c r="DP145" s="259">
        <v>0.1</v>
      </c>
      <c r="DQ145" s="259">
        <v>0.1</v>
      </c>
      <c r="DR145" s="259">
        <v>0.1</v>
      </c>
      <c r="DS145" s="259">
        <v>0.1</v>
      </c>
      <c r="DT145" s="259">
        <v>0.1</v>
      </c>
      <c r="DU145" s="259">
        <v>0.1</v>
      </c>
      <c r="DV145" s="259">
        <v>0.1</v>
      </c>
      <c r="DW145" s="259">
        <v>0.1</v>
      </c>
      <c r="DX145" s="259">
        <v>0.1</v>
      </c>
      <c r="DY145" s="259">
        <v>0.1</v>
      </c>
      <c r="DZ145" s="259">
        <v>0.1</v>
      </c>
      <c r="EA145" s="259">
        <v>0.1</v>
      </c>
      <c r="EB145" s="259">
        <v>0.1</v>
      </c>
      <c r="EC145" s="259">
        <v>0.1</v>
      </c>
      <c r="ED145" s="259">
        <v>0.1</v>
      </c>
      <c r="EE145" s="260">
        <v>0.1</v>
      </c>
      <c r="EF145">
        <v>0.1</v>
      </c>
      <c r="EG145">
        <f t="shared" si="10"/>
        <v>0.1</v>
      </c>
      <c r="EJ145">
        <v>142</v>
      </c>
      <c r="EN145">
        <v>0.1</v>
      </c>
      <c r="EO145">
        <v>0.1</v>
      </c>
      <c r="EP145">
        <v>0.1</v>
      </c>
      <c r="EQ145">
        <v>0.1</v>
      </c>
      <c r="ER145">
        <v>0.1</v>
      </c>
      <c r="ES145">
        <v>0.1</v>
      </c>
      <c r="ET145">
        <v>0.1</v>
      </c>
      <c r="EU145">
        <v>0.1</v>
      </c>
      <c r="EV145">
        <v>0.1</v>
      </c>
      <c r="EW145">
        <v>0.1</v>
      </c>
      <c r="EX145">
        <v>0.1</v>
      </c>
      <c r="EY145">
        <v>0.1</v>
      </c>
      <c r="EZ145">
        <v>0.1</v>
      </c>
      <c r="FA145">
        <v>0.1</v>
      </c>
      <c r="FB145">
        <v>0.1</v>
      </c>
      <c r="FC145">
        <v>0.1</v>
      </c>
      <c r="FD145">
        <v>0.1</v>
      </c>
      <c r="FE145">
        <v>0.1</v>
      </c>
      <c r="FF145">
        <v>0.1</v>
      </c>
      <c r="FG145">
        <v>0.1</v>
      </c>
      <c r="FH145">
        <v>0.1</v>
      </c>
      <c r="FI145">
        <v>0.1</v>
      </c>
      <c r="FJ145">
        <v>0.1</v>
      </c>
      <c r="FK145">
        <v>0.1</v>
      </c>
      <c r="FL145">
        <v>0.1</v>
      </c>
      <c r="FM145">
        <v>0.1</v>
      </c>
      <c r="FN145">
        <v>0.1</v>
      </c>
      <c r="FO145">
        <v>0.1</v>
      </c>
      <c r="FP145">
        <v>0.1</v>
      </c>
      <c r="FQ145">
        <v>0.1</v>
      </c>
      <c r="FU145">
        <v>142</v>
      </c>
      <c r="GB145">
        <v>0.1</v>
      </c>
      <c r="GC145">
        <v>0.1</v>
      </c>
      <c r="GD145">
        <v>0.1</v>
      </c>
      <c r="GE145">
        <v>0.1</v>
      </c>
      <c r="GF145">
        <v>0.1</v>
      </c>
      <c r="GG145">
        <v>0.1</v>
      </c>
      <c r="GH145">
        <v>0.1</v>
      </c>
      <c r="GI145">
        <v>0.1</v>
      </c>
      <c r="GJ145">
        <v>0.1</v>
      </c>
      <c r="GK145">
        <v>0.1</v>
      </c>
      <c r="GL145">
        <v>0.1</v>
      </c>
      <c r="GM145">
        <v>0.1</v>
      </c>
      <c r="GN145">
        <v>0.1</v>
      </c>
      <c r="GO145">
        <v>0.1</v>
      </c>
      <c r="GP145">
        <v>0.1</v>
      </c>
      <c r="GQ145">
        <v>0.1</v>
      </c>
      <c r="GR145">
        <v>0.1</v>
      </c>
      <c r="GS145">
        <v>0.1</v>
      </c>
      <c r="GT145">
        <v>0.1</v>
      </c>
      <c r="GU145">
        <v>0.1</v>
      </c>
      <c r="GV145">
        <v>0.1</v>
      </c>
      <c r="GW145">
        <v>0.1</v>
      </c>
      <c r="GX145">
        <v>0.1</v>
      </c>
      <c r="GY145">
        <v>0.1</v>
      </c>
      <c r="GZ145">
        <v>0.1</v>
      </c>
      <c r="HA145">
        <v>0.1</v>
      </c>
      <c r="HB145">
        <v>0.1</v>
      </c>
      <c r="HC145">
        <v>0.1</v>
      </c>
      <c r="HD145">
        <v>0.1</v>
      </c>
      <c r="HE145">
        <v>0.1</v>
      </c>
      <c r="HF145">
        <v>0.1</v>
      </c>
      <c r="HG145">
        <v>0.1</v>
      </c>
      <c r="HH145">
        <v>0.1</v>
      </c>
      <c r="HI145">
        <v>0.1</v>
      </c>
      <c r="HJ145">
        <v>0.1</v>
      </c>
      <c r="HK145">
        <v>0.1</v>
      </c>
      <c r="HL145">
        <v>0.1</v>
      </c>
      <c r="HM145">
        <v>0.1</v>
      </c>
      <c r="HN145">
        <v>0.1</v>
      </c>
      <c r="HO145">
        <v>0.1</v>
      </c>
    </row>
    <row r="146" spans="1:223" ht="15.75" thickBot="1" x14ac:dyDescent="0.3">
      <c r="A146">
        <v>143</v>
      </c>
      <c r="B146" s="268">
        <v>3.5</v>
      </c>
      <c r="C146" s="269">
        <v>2.02</v>
      </c>
      <c r="D146" s="2"/>
      <c r="E146" s="2"/>
      <c r="F146" s="2"/>
      <c r="G146" s="2"/>
      <c r="H146" s="258">
        <v>0.1</v>
      </c>
      <c r="I146" s="259">
        <v>0.1</v>
      </c>
      <c r="J146" s="259">
        <v>0.1</v>
      </c>
      <c r="K146" s="259">
        <v>0.1</v>
      </c>
      <c r="L146" s="259">
        <v>0.1</v>
      </c>
      <c r="M146" s="259">
        <v>0.1</v>
      </c>
      <c r="N146" s="259">
        <v>0.1</v>
      </c>
      <c r="O146" s="259">
        <v>0.1</v>
      </c>
      <c r="P146" s="259">
        <v>0.1</v>
      </c>
      <c r="Q146" s="259">
        <v>0.1</v>
      </c>
      <c r="R146" s="259">
        <v>0.1</v>
      </c>
      <c r="S146" s="259">
        <v>0.1</v>
      </c>
      <c r="T146" s="259">
        <v>0.1</v>
      </c>
      <c r="U146" s="259">
        <v>0.1</v>
      </c>
      <c r="V146" s="259">
        <v>0.1</v>
      </c>
      <c r="W146" s="259">
        <v>0.1</v>
      </c>
      <c r="X146" s="259">
        <v>0.1</v>
      </c>
      <c r="Y146" s="259">
        <v>0.1</v>
      </c>
      <c r="Z146" s="259">
        <v>0.1</v>
      </c>
      <c r="AA146" s="259">
        <v>0.1</v>
      </c>
      <c r="AB146" s="259">
        <v>0.1</v>
      </c>
      <c r="AC146" s="259">
        <v>0.1</v>
      </c>
      <c r="AD146" s="259">
        <v>0.1</v>
      </c>
      <c r="AE146" s="259">
        <v>0.1</v>
      </c>
      <c r="AF146" s="259">
        <v>0.1</v>
      </c>
      <c r="AG146" s="259">
        <v>0.1</v>
      </c>
      <c r="AH146" s="259">
        <v>0.1</v>
      </c>
      <c r="AI146" s="259">
        <v>0.1</v>
      </c>
      <c r="AJ146" s="259">
        <v>0.1</v>
      </c>
      <c r="AK146" s="259">
        <v>0.1</v>
      </c>
      <c r="AL146" s="259">
        <v>0.1</v>
      </c>
      <c r="AM146" s="259">
        <v>0.1</v>
      </c>
      <c r="AN146" s="259">
        <v>0.1</v>
      </c>
      <c r="AO146" s="259">
        <v>0.1</v>
      </c>
      <c r="AP146" s="260">
        <v>0.1</v>
      </c>
      <c r="AQ146" s="258">
        <v>0.1</v>
      </c>
      <c r="AR146" s="259">
        <v>0.1</v>
      </c>
      <c r="AS146" s="259">
        <v>0.1</v>
      </c>
      <c r="AT146" s="259">
        <v>0.1</v>
      </c>
      <c r="AU146" s="259">
        <v>0.1</v>
      </c>
      <c r="AV146" s="259">
        <v>0.1</v>
      </c>
      <c r="AW146" s="259">
        <v>0.1</v>
      </c>
      <c r="AX146" s="259">
        <v>0.1</v>
      </c>
      <c r="AY146" s="259">
        <v>0.1</v>
      </c>
      <c r="AZ146" s="259">
        <v>0.1</v>
      </c>
      <c r="BA146" s="259">
        <v>0.1</v>
      </c>
      <c r="BB146" s="259">
        <v>0.1</v>
      </c>
      <c r="BC146" s="259">
        <v>0.1</v>
      </c>
      <c r="BD146" s="259">
        <v>0.1</v>
      </c>
      <c r="BE146" s="259">
        <v>0.1</v>
      </c>
      <c r="BF146" s="259">
        <v>0.1</v>
      </c>
      <c r="BG146" s="259">
        <v>0.1</v>
      </c>
      <c r="BH146" s="259">
        <v>0.1</v>
      </c>
      <c r="BI146" s="259">
        <v>0.1</v>
      </c>
      <c r="BJ146" s="259">
        <v>0.1</v>
      </c>
      <c r="BK146" s="260">
        <v>0.1</v>
      </c>
      <c r="BL146">
        <v>0.1</v>
      </c>
      <c r="BM146">
        <v>0.1</v>
      </c>
      <c r="BN146">
        <v>0.1</v>
      </c>
      <c r="BO146">
        <v>0.1</v>
      </c>
      <c r="BP146">
        <f>SUM(BL146:BO146)</f>
        <v>0.4</v>
      </c>
      <c r="BS146">
        <v>143</v>
      </c>
      <c r="BT146" s="271">
        <v>3.74</v>
      </c>
      <c r="BU146" s="270">
        <v>2.06</v>
      </c>
      <c r="BV146" s="2"/>
      <c r="BW146" s="2"/>
      <c r="BX146" s="2"/>
      <c r="BY146" s="258">
        <v>0.1</v>
      </c>
      <c r="BZ146" s="259">
        <v>0.1</v>
      </c>
      <c r="CA146" s="259">
        <v>0.1</v>
      </c>
      <c r="CB146" s="259">
        <v>0.1</v>
      </c>
      <c r="CC146" s="259">
        <v>0.1</v>
      </c>
      <c r="CD146" s="259">
        <v>0.1</v>
      </c>
      <c r="CE146" s="259">
        <v>0.1</v>
      </c>
      <c r="CF146" s="259">
        <v>0.1</v>
      </c>
      <c r="CG146" s="259">
        <v>0.1</v>
      </c>
      <c r="CH146" s="259">
        <v>0.1</v>
      </c>
      <c r="CI146" s="259">
        <v>0.1</v>
      </c>
      <c r="CJ146" s="259">
        <v>0.1</v>
      </c>
      <c r="CK146" s="259">
        <v>0.1</v>
      </c>
      <c r="CL146" s="259">
        <v>0.1</v>
      </c>
      <c r="CM146" s="259">
        <v>0.1</v>
      </c>
      <c r="CN146" s="259">
        <v>0.1</v>
      </c>
      <c r="CO146" s="259">
        <v>0.1</v>
      </c>
      <c r="CP146" s="259">
        <v>0.1</v>
      </c>
      <c r="CQ146" s="259">
        <v>0.1</v>
      </c>
      <c r="CR146" s="259">
        <v>0.1</v>
      </c>
      <c r="CS146" s="259">
        <v>0.1</v>
      </c>
      <c r="CT146" s="259">
        <v>0.1</v>
      </c>
      <c r="CU146" s="259">
        <v>0.1</v>
      </c>
      <c r="CV146" s="259">
        <v>0.1</v>
      </c>
      <c r="CW146" s="259">
        <v>0.1</v>
      </c>
      <c r="CX146" s="259">
        <v>0.1</v>
      </c>
      <c r="CY146" s="259">
        <v>0.1</v>
      </c>
      <c r="CZ146" s="259">
        <v>0.1</v>
      </c>
      <c r="DA146" s="259">
        <v>0.1</v>
      </c>
      <c r="DB146" s="259">
        <v>0.1</v>
      </c>
      <c r="DC146" s="259">
        <v>0.1</v>
      </c>
      <c r="DD146" s="259">
        <v>0.1</v>
      </c>
      <c r="DE146" s="259">
        <v>0.1</v>
      </c>
      <c r="DF146" s="259">
        <v>0.1</v>
      </c>
      <c r="DG146" s="259">
        <v>0.1</v>
      </c>
      <c r="DH146" s="259">
        <v>0.1</v>
      </c>
      <c r="DI146" s="259">
        <v>0.1</v>
      </c>
      <c r="DJ146" s="260">
        <v>0.1</v>
      </c>
      <c r="DK146" s="258">
        <v>0.1</v>
      </c>
      <c r="DL146" s="259">
        <v>0.1</v>
      </c>
      <c r="DM146" s="259">
        <v>0.1</v>
      </c>
      <c r="DN146" s="259">
        <v>0.1</v>
      </c>
      <c r="DO146" s="259">
        <v>0.1</v>
      </c>
      <c r="DP146" s="259">
        <v>0.1</v>
      </c>
      <c r="DQ146" s="259">
        <v>0.1</v>
      </c>
      <c r="DR146" s="259">
        <v>0.1</v>
      </c>
      <c r="DS146" s="259">
        <v>0.1</v>
      </c>
      <c r="DT146" s="259">
        <v>0.1</v>
      </c>
      <c r="DU146" s="259">
        <v>0.1</v>
      </c>
      <c r="DV146" s="259">
        <v>0.1</v>
      </c>
      <c r="DW146" s="259">
        <v>0.1</v>
      </c>
      <c r="DX146" s="259">
        <v>0.1</v>
      </c>
      <c r="DY146" s="259">
        <v>0.1</v>
      </c>
      <c r="DZ146" s="259">
        <v>0.1</v>
      </c>
      <c r="EA146" s="259">
        <v>0.1</v>
      </c>
      <c r="EB146" s="259">
        <v>0.1</v>
      </c>
      <c r="EC146" s="259">
        <v>0.1</v>
      </c>
      <c r="ED146" s="259">
        <v>0.1</v>
      </c>
      <c r="EE146" s="260">
        <v>0.1</v>
      </c>
      <c r="EF146">
        <v>0.1</v>
      </c>
      <c r="EG146">
        <f t="shared" si="10"/>
        <v>0.1</v>
      </c>
      <c r="EJ146">
        <v>143</v>
      </c>
      <c r="EN146">
        <v>0.1</v>
      </c>
      <c r="EO146">
        <v>0.1</v>
      </c>
      <c r="EP146">
        <v>0.1</v>
      </c>
      <c r="EQ146">
        <v>0.1</v>
      </c>
      <c r="ER146">
        <v>0.1</v>
      </c>
      <c r="ES146">
        <v>0.1</v>
      </c>
      <c r="ET146">
        <v>0.1</v>
      </c>
      <c r="EU146">
        <v>0.1</v>
      </c>
      <c r="EV146">
        <v>0.1</v>
      </c>
      <c r="EW146">
        <v>0.1</v>
      </c>
      <c r="EX146">
        <v>0.1</v>
      </c>
      <c r="EY146">
        <v>0.1</v>
      </c>
      <c r="EZ146">
        <v>0.1</v>
      </c>
      <c r="FA146">
        <v>0.1</v>
      </c>
      <c r="FB146">
        <v>0.1</v>
      </c>
      <c r="FC146">
        <v>0.1</v>
      </c>
      <c r="FD146">
        <v>0.1</v>
      </c>
      <c r="FE146">
        <v>0.1</v>
      </c>
      <c r="FF146">
        <v>0.1</v>
      </c>
      <c r="FG146">
        <v>0.1</v>
      </c>
      <c r="FH146">
        <v>0.1</v>
      </c>
      <c r="FI146">
        <v>0.1</v>
      </c>
      <c r="FJ146">
        <v>0.1</v>
      </c>
      <c r="FK146">
        <v>0.1</v>
      </c>
      <c r="FL146">
        <v>0.1</v>
      </c>
      <c r="FM146">
        <v>0.1</v>
      </c>
      <c r="FN146">
        <v>0.1</v>
      </c>
      <c r="FO146">
        <v>0.1</v>
      </c>
      <c r="FP146">
        <v>0.1</v>
      </c>
      <c r="FQ146">
        <v>0.1</v>
      </c>
      <c r="FU146">
        <v>143</v>
      </c>
      <c r="GB146">
        <v>0.1</v>
      </c>
      <c r="GC146">
        <v>0.1</v>
      </c>
      <c r="GD146">
        <v>0.1</v>
      </c>
      <c r="GE146">
        <v>0.1</v>
      </c>
      <c r="GF146">
        <v>0.1</v>
      </c>
      <c r="GG146">
        <v>0.1</v>
      </c>
      <c r="GH146">
        <v>0.1</v>
      </c>
      <c r="GI146">
        <v>0.1</v>
      </c>
      <c r="GJ146">
        <v>0.1</v>
      </c>
      <c r="GK146">
        <v>0.1</v>
      </c>
      <c r="GL146">
        <v>0.1</v>
      </c>
      <c r="GM146">
        <v>0.1</v>
      </c>
      <c r="GN146">
        <v>0.1</v>
      </c>
      <c r="GO146">
        <v>0.1</v>
      </c>
      <c r="GP146">
        <v>0.1</v>
      </c>
      <c r="GQ146">
        <v>0.1</v>
      </c>
      <c r="GR146">
        <v>0.1</v>
      </c>
      <c r="GS146">
        <v>0.1</v>
      </c>
      <c r="GT146">
        <v>0.1</v>
      </c>
      <c r="GU146">
        <v>0.1</v>
      </c>
      <c r="GV146">
        <v>0.1</v>
      </c>
      <c r="GW146">
        <v>0.1</v>
      </c>
      <c r="GX146">
        <v>0.1</v>
      </c>
      <c r="GY146">
        <v>0.1</v>
      </c>
      <c r="GZ146">
        <v>0.1</v>
      </c>
      <c r="HA146">
        <v>0.1</v>
      </c>
      <c r="HB146">
        <v>0.1</v>
      </c>
      <c r="HC146">
        <v>0.1</v>
      </c>
      <c r="HD146">
        <v>0.1</v>
      </c>
      <c r="HE146">
        <v>0.1</v>
      </c>
      <c r="HF146">
        <v>0.1</v>
      </c>
      <c r="HG146">
        <v>0.1</v>
      </c>
      <c r="HH146">
        <v>0.1</v>
      </c>
      <c r="HI146">
        <v>0.1</v>
      </c>
      <c r="HJ146">
        <v>0.1</v>
      </c>
      <c r="HK146">
        <v>0.1</v>
      </c>
      <c r="HL146">
        <v>0.1</v>
      </c>
      <c r="HM146">
        <v>0.1</v>
      </c>
      <c r="HN146">
        <v>0.1</v>
      </c>
      <c r="HO146">
        <v>0.1</v>
      </c>
    </row>
    <row r="147" spans="1:223" ht="15.75" thickBot="1" x14ac:dyDescent="0.3">
      <c r="A147">
        <v>144</v>
      </c>
      <c r="B147" s="269">
        <v>3.5</v>
      </c>
      <c r="C147" s="268">
        <v>2.5</v>
      </c>
      <c r="D147" s="2"/>
      <c r="E147" s="2"/>
      <c r="F147" s="2"/>
      <c r="G147" s="2"/>
      <c r="H147" s="258">
        <v>0.1</v>
      </c>
      <c r="I147" s="259">
        <v>0.1</v>
      </c>
      <c r="J147" s="259">
        <v>0.1</v>
      </c>
      <c r="K147" s="259">
        <v>0.1</v>
      </c>
      <c r="L147" s="259">
        <v>0.1</v>
      </c>
      <c r="M147" s="259">
        <v>0.1</v>
      </c>
      <c r="N147" s="259">
        <v>0.1</v>
      </c>
      <c r="O147" s="259">
        <v>0.1</v>
      </c>
      <c r="P147" s="259">
        <v>0.1</v>
      </c>
      <c r="Q147" s="259">
        <v>0.1</v>
      </c>
      <c r="R147" s="259">
        <v>0.1</v>
      </c>
      <c r="S147" s="259">
        <v>0.1</v>
      </c>
      <c r="T147" s="259">
        <v>0.1</v>
      </c>
      <c r="U147" s="259">
        <v>0.1</v>
      </c>
      <c r="V147" s="259">
        <v>0.1</v>
      </c>
      <c r="W147" s="259">
        <v>0.1</v>
      </c>
      <c r="X147" s="259">
        <v>0.1</v>
      </c>
      <c r="Y147" s="259">
        <v>0.1</v>
      </c>
      <c r="Z147" s="259">
        <v>0.1</v>
      </c>
      <c r="AA147" s="259">
        <v>0.1</v>
      </c>
      <c r="AB147" s="259">
        <v>0.1</v>
      </c>
      <c r="AC147" s="259">
        <v>0.1</v>
      </c>
      <c r="AD147" s="259">
        <v>0.1</v>
      </c>
      <c r="AE147" s="259">
        <v>0.1</v>
      </c>
      <c r="AF147" s="259">
        <v>0.1</v>
      </c>
      <c r="AG147" s="259">
        <v>0.1</v>
      </c>
      <c r="AH147" s="259">
        <v>0.1</v>
      </c>
      <c r="AI147" s="259">
        <v>0.1</v>
      </c>
      <c r="AJ147" s="259">
        <v>0.1</v>
      </c>
      <c r="AK147" s="259">
        <v>0.1</v>
      </c>
      <c r="AL147" s="259">
        <v>0.1</v>
      </c>
      <c r="AM147" s="259">
        <v>0.1</v>
      </c>
      <c r="AN147" s="259">
        <v>0.1</v>
      </c>
      <c r="AO147" s="259">
        <v>0.1</v>
      </c>
      <c r="AP147" s="260">
        <v>0.1</v>
      </c>
      <c r="AQ147" s="258">
        <v>0.1</v>
      </c>
      <c r="AR147" s="259">
        <v>0.1</v>
      </c>
      <c r="AS147" s="259">
        <v>0.1</v>
      </c>
      <c r="AT147" s="259">
        <v>0.1</v>
      </c>
      <c r="AU147" s="259">
        <v>0.1</v>
      </c>
      <c r="AV147" s="259">
        <v>0.1</v>
      </c>
      <c r="AW147" s="259">
        <v>0.1</v>
      </c>
      <c r="AX147" s="259">
        <v>0.1</v>
      </c>
      <c r="AY147" s="259">
        <v>0.1</v>
      </c>
      <c r="AZ147" s="259">
        <v>0.1</v>
      </c>
      <c r="BA147" s="259">
        <v>0.1</v>
      </c>
      <c r="BB147" s="259">
        <v>0.1</v>
      </c>
      <c r="BC147" s="259">
        <v>0.1</v>
      </c>
      <c r="BD147" s="259">
        <v>0.1</v>
      </c>
      <c r="BE147" s="259">
        <v>0.1</v>
      </c>
      <c r="BF147" s="259">
        <v>0.1</v>
      </c>
      <c r="BG147" s="259">
        <v>0.1</v>
      </c>
      <c r="BH147" s="259">
        <v>0.1</v>
      </c>
      <c r="BI147" s="259">
        <v>0.1</v>
      </c>
      <c r="BJ147" s="259">
        <v>0.1</v>
      </c>
      <c r="BK147" s="259">
        <v>0.1</v>
      </c>
      <c r="BL147" s="259">
        <v>0.1</v>
      </c>
      <c r="BM147" s="259">
        <v>0.1</v>
      </c>
      <c r="BN147" s="259">
        <v>0.1</v>
      </c>
      <c r="BO147" s="260">
        <v>0.1</v>
      </c>
      <c r="BS147">
        <v>144</v>
      </c>
      <c r="BT147" s="270">
        <v>3.74</v>
      </c>
      <c r="BU147" s="271">
        <v>2.0699999999999998</v>
      </c>
      <c r="BV147" s="2"/>
      <c r="BW147" s="2"/>
      <c r="BX147" s="2"/>
      <c r="BY147" s="258">
        <v>0.1</v>
      </c>
      <c r="BZ147" s="259">
        <v>0.1</v>
      </c>
      <c r="CA147" s="259">
        <v>0.1</v>
      </c>
      <c r="CB147" s="259">
        <v>0.1</v>
      </c>
      <c r="CC147" s="259">
        <v>0.1</v>
      </c>
      <c r="CD147" s="259">
        <v>0.1</v>
      </c>
      <c r="CE147" s="259">
        <v>0.1</v>
      </c>
      <c r="CF147" s="259">
        <v>0.1</v>
      </c>
      <c r="CG147" s="259">
        <v>0.1</v>
      </c>
      <c r="CH147" s="259">
        <v>0.1</v>
      </c>
      <c r="CI147" s="259">
        <v>0.1</v>
      </c>
      <c r="CJ147" s="259">
        <v>0.1</v>
      </c>
      <c r="CK147" s="259">
        <v>0.1</v>
      </c>
      <c r="CL147" s="259">
        <v>0.1</v>
      </c>
      <c r="CM147" s="259">
        <v>0.1</v>
      </c>
      <c r="CN147" s="259">
        <v>0.1</v>
      </c>
      <c r="CO147" s="259">
        <v>0.1</v>
      </c>
      <c r="CP147" s="259">
        <v>0.1</v>
      </c>
      <c r="CQ147" s="259">
        <v>0.1</v>
      </c>
      <c r="CR147" s="259">
        <v>0.1</v>
      </c>
      <c r="CS147" s="259">
        <v>0.1</v>
      </c>
      <c r="CT147" s="259">
        <v>0.1</v>
      </c>
      <c r="CU147" s="259">
        <v>0.1</v>
      </c>
      <c r="CV147" s="259">
        <v>0.1</v>
      </c>
      <c r="CW147" s="259">
        <v>0.1</v>
      </c>
      <c r="CX147" s="259">
        <v>0.1</v>
      </c>
      <c r="CY147" s="259">
        <v>0.1</v>
      </c>
      <c r="CZ147" s="259">
        <v>0.1</v>
      </c>
      <c r="DA147" s="259">
        <v>0.1</v>
      </c>
      <c r="DB147" s="259">
        <v>0.1</v>
      </c>
      <c r="DC147" s="259">
        <v>0.1</v>
      </c>
      <c r="DD147" s="259">
        <v>0.1</v>
      </c>
      <c r="DE147" s="259">
        <v>0.1</v>
      </c>
      <c r="DF147" s="259">
        <v>0.1</v>
      </c>
      <c r="DG147" s="259">
        <v>0.1</v>
      </c>
      <c r="DH147" s="259">
        <v>0.1</v>
      </c>
      <c r="DI147" s="259">
        <v>0.1</v>
      </c>
      <c r="DJ147" s="260">
        <v>0.1</v>
      </c>
      <c r="DK147" s="258">
        <v>0.1</v>
      </c>
      <c r="DL147" s="259">
        <v>0.1</v>
      </c>
      <c r="DM147" s="259">
        <v>0.1</v>
      </c>
      <c r="DN147" s="259">
        <v>0.1</v>
      </c>
      <c r="DO147" s="259">
        <v>0.1</v>
      </c>
      <c r="DP147" s="259">
        <v>0.1</v>
      </c>
      <c r="DQ147" s="259">
        <v>0.1</v>
      </c>
      <c r="DR147" s="259">
        <v>0.1</v>
      </c>
      <c r="DS147" s="259">
        <v>0.1</v>
      </c>
      <c r="DT147" s="259">
        <v>0.1</v>
      </c>
      <c r="DU147" s="259">
        <v>0.1</v>
      </c>
      <c r="DV147" s="259">
        <v>0.1</v>
      </c>
      <c r="DW147" s="259">
        <v>0.1</v>
      </c>
      <c r="DX147" s="259">
        <v>0.1</v>
      </c>
      <c r="DY147" s="259">
        <v>0.1</v>
      </c>
      <c r="DZ147" s="259">
        <v>0.1</v>
      </c>
      <c r="EA147" s="259">
        <v>0.1</v>
      </c>
      <c r="EB147" s="259">
        <v>0.1</v>
      </c>
      <c r="EC147" s="259">
        <v>0.1</v>
      </c>
      <c r="ED147" s="259">
        <v>0.1</v>
      </c>
      <c r="EE147" s="260">
        <v>0.1</v>
      </c>
      <c r="EF147">
        <v>0.1</v>
      </c>
      <c r="EG147">
        <f t="shared" si="10"/>
        <v>0.1</v>
      </c>
      <c r="EJ147">
        <v>144</v>
      </c>
      <c r="EN147">
        <v>0.1</v>
      </c>
      <c r="EO147">
        <v>0.1</v>
      </c>
      <c r="EP147">
        <v>0.1</v>
      </c>
      <c r="EQ147">
        <v>0.1</v>
      </c>
      <c r="ER147">
        <v>0.1</v>
      </c>
      <c r="ES147">
        <v>0.1</v>
      </c>
      <c r="ET147">
        <v>0.1</v>
      </c>
      <c r="EU147">
        <v>0.1</v>
      </c>
      <c r="EV147">
        <v>0.1</v>
      </c>
      <c r="EW147">
        <v>0.1</v>
      </c>
      <c r="EX147">
        <v>0.1</v>
      </c>
      <c r="EY147">
        <v>0.1</v>
      </c>
      <c r="EZ147">
        <v>0.1</v>
      </c>
      <c r="FA147">
        <v>0.1</v>
      </c>
      <c r="FB147">
        <v>0.1</v>
      </c>
      <c r="FC147">
        <v>0.1</v>
      </c>
      <c r="FD147">
        <v>0.1</v>
      </c>
      <c r="FE147">
        <v>0.1</v>
      </c>
      <c r="FF147">
        <v>0.1</v>
      </c>
      <c r="FG147">
        <v>0.1</v>
      </c>
      <c r="FH147">
        <v>0.1</v>
      </c>
      <c r="FI147">
        <v>0.1</v>
      </c>
      <c r="FJ147">
        <v>0.1</v>
      </c>
      <c r="FK147">
        <v>0.1</v>
      </c>
      <c r="FL147">
        <v>0.1</v>
      </c>
      <c r="FM147">
        <v>0.1</v>
      </c>
      <c r="FN147">
        <v>0.1</v>
      </c>
      <c r="FO147">
        <v>0.1</v>
      </c>
      <c r="FP147">
        <v>0.1</v>
      </c>
      <c r="FQ147">
        <v>0.1</v>
      </c>
      <c r="FU147">
        <v>144</v>
      </c>
      <c r="GB147">
        <v>0.1</v>
      </c>
      <c r="GC147">
        <v>0.1</v>
      </c>
      <c r="GD147">
        <v>0.1</v>
      </c>
      <c r="GE147">
        <v>0.1</v>
      </c>
      <c r="GF147">
        <v>0.1</v>
      </c>
      <c r="GG147">
        <v>0.1</v>
      </c>
      <c r="GH147">
        <v>0.1</v>
      </c>
      <c r="GI147">
        <v>0.1</v>
      </c>
      <c r="GJ147">
        <v>0.1</v>
      </c>
      <c r="GK147">
        <v>0.1</v>
      </c>
      <c r="GL147">
        <v>0.1</v>
      </c>
      <c r="GM147">
        <v>0.1</v>
      </c>
      <c r="GN147">
        <v>0.1</v>
      </c>
      <c r="GO147">
        <v>0.1</v>
      </c>
      <c r="GP147">
        <v>0.1</v>
      </c>
      <c r="GQ147">
        <v>0.1</v>
      </c>
      <c r="GR147">
        <v>0.1</v>
      </c>
      <c r="GS147">
        <v>0.1</v>
      </c>
      <c r="GT147">
        <v>0.1</v>
      </c>
      <c r="GU147">
        <v>0.1</v>
      </c>
      <c r="GV147">
        <v>0.1</v>
      </c>
      <c r="GW147">
        <v>0.1</v>
      </c>
      <c r="GX147">
        <v>0.1</v>
      </c>
      <c r="GY147">
        <v>0.1</v>
      </c>
      <c r="GZ147">
        <v>0.1</v>
      </c>
      <c r="HA147">
        <v>0.1</v>
      </c>
      <c r="HB147">
        <v>0.1</v>
      </c>
      <c r="HC147">
        <v>0.1</v>
      </c>
      <c r="HD147">
        <v>0.1</v>
      </c>
      <c r="HE147">
        <v>0.1</v>
      </c>
      <c r="HF147">
        <v>0.1</v>
      </c>
      <c r="HG147">
        <v>0.1</v>
      </c>
      <c r="HH147">
        <v>0.1</v>
      </c>
      <c r="HI147">
        <v>0.1</v>
      </c>
      <c r="HJ147">
        <v>0.1</v>
      </c>
      <c r="HK147">
        <v>0.1</v>
      </c>
      <c r="HL147">
        <v>0.1</v>
      </c>
      <c r="HM147">
        <v>0.1</v>
      </c>
      <c r="HN147">
        <v>0.1</v>
      </c>
      <c r="HO147">
        <v>0.1</v>
      </c>
    </row>
    <row r="148" spans="1:223" ht="15.75" thickBot="1" x14ac:dyDescent="0.3">
      <c r="A148">
        <v>145</v>
      </c>
      <c r="B148" s="268">
        <v>3.5</v>
      </c>
      <c r="C148" s="269">
        <v>2.5</v>
      </c>
      <c r="D148" s="2"/>
      <c r="E148" s="2"/>
      <c r="F148" s="2"/>
      <c r="G148" s="2"/>
      <c r="H148" s="258">
        <v>0.1</v>
      </c>
      <c r="I148" s="259">
        <v>0.1</v>
      </c>
      <c r="J148" s="259">
        <v>0.1</v>
      </c>
      <c r="K148" s="259">
        <v>0.1</v>
      </c>
      <c r="L148" s="259">
        <v>0.1</v>
      </c>
      <c r="M148" s="259">
        <v>0.1</v>
      </c>
      <c r="N148" s="259">
        <v>0.1</v>
      </c>
      <c r="O148" s="259">
        <v>0.1</v>
      </c>
      <c r="P148" s="259">
        <v>0.1</v>
      </c>
      <c r="Q148" s="259">
        <v>0.1</v>
      </c>
      <c r="R148" s="259">
        <v>0.1</v>
      </c>
      <c r="S148" s="259">
        <v>0.1</v>
      </c>
      <c r="T148" s="259">
        <v>0.1</v>
      </c>
      <c r="U148" s="259">
        <v>0.1</v>
      </c>
      <c r="V148" s="259">
        <v>0.1</v>
      </c>
      <c r="W148" s="259">
        <v>0.1</v>
      </c>
      <c r="X148" s="259">
        <v>0.1</v>
      </c>
      <c r="Y148" s="259">
        <v>0.1</v>
      </c>
      <c r="Z148" s="259">
        <v>0.1</v>
      </c>
      <c r="AA148" s="259">
        <v>0.1</v>
      </c>
      <c r="AB148" s="259">
        <v>0.1</v>
      </c>
      <c r="AC148" s="259">
        <v>0.1</v>
      </c>
      <c r="AD148" s="259">
        <v>0.1</v>
      </c>
      <c r="AE148" s="259">
        <v>0.1</v>
      </c>
      <c r="AF148" s="259">
        <v>0.1</v>
      </c>
      <c r="AG148" s="259">
        <v>0.1</v>
      </c>
      <c r="AH148" s="259">
        <v>0.1</v>
      </c>
      <c r="AI148" s="259">
        <v>0.1</v>
      </c>
      <c r="AJ148" s="259">
        <v>0.1</v>
      </c>
      <c r="AK148" s="259">
        <v>0.1</v>
      </c>
      <c r="AL148" s="259">
        <v>0.1</v>
      </c>
      <c r="AM148" s="259">
        <v>0.1</v>
      </c>
      <c r="AN148" s="259">
        <v>0.1</v>
      </c>
      <c r="AO148" s="259">
        <v>0.1</v>
      </c>
      <c r="AP148" s="260">
        <v>0.1</v>
      </c>
      <c r="AQ148" s="258">
        <v>0.1</v>
      </c>
      <c r="AR148" s="259">
        <v>0.1</v>
      </c>
      <c r="AS148" s="259">
        <v>0.1</v>
      </c>
      <c r="AT148" s="259">
        <v>0.1</v>
      </c>
      <c r="AU148" s="259">
        <v>0.1</v>
      </c>
      <c r="AV148" s="259">
        <v>0.1</v>
      </c>
      <c r="AW148" s="259">
        <v>0.1</v>
      </c>
      <c r="AX148" s="259">
        <v>0.1</v>
      </c>
      <c r="AY148" s="259">
        <v>0.1</v>
      </c>
      <c r="AZ148" s="259">
        <v>0.1</v>
      </c>
      <c r="BA148" s="259">
        <v>0.1</v>
      </c>
      <c r="BB148" s="259">
        <v>0.1</v>
      </c>
      <c r="BC148" s="259">
        <v>0.1</v>
      </c>
      <c r="BD148" s="259">
        <v>0.1</v>
      </c>
      <c r="BE148" s="259">
        <v>0.1</v>
      </c>
      <c r="BF148" s="259">
        <v>0.1</v>
      </c>
      <c r="BG148" s="259">
        <v>0.1</v>
      </c>
      <c r="BH148" s="259">
        <v>0.1</v>
      </c>
      <c r="BI148" s="259">
        <v>0.1</v>
      </c>
      <c r="BJ148" s="259">
        <v>0.1</v>
      </c>
      <c r="BK148" s="259">
        <v>0.1</v>
      </c>
      <c r="BL148" s="259">
        <v>0.1</v>
      </c>
      <c r="BM148" s="259">
        <v>0.1</v>
      </c>
      <c r="BN148" s="259">
        <v>0.1</v>
      </c>
      <c r="BO148" s="260">
        <v>0.1</v>
      </c>
      <c r="BS148">
        <v>145</v>
      </c>
      <c r="BT148" s="271">
        <v>3.71</v>
      </c>
      <c r="BU148" s="270">
        <v>2.0699999999999998</v>
      </c>
      <c r="BV148" s="2"/>
      <c r="BW148" s="2"/>
      <c r="BX148" s="2"/>
      <c r="BY148" s="258">
        <v>0.1</v>
      </c>
      <c r="BZ148" s="259">
        <v>0.1</v>
      </c>
      <c r="CA148" s="259">
        <v>0.1</v>
      </c>
      <c r="CB148" s="259">
        <v>0.1</v>
      </c>
      <c r="CC148" s="259">
        <v>0.1</v>
      </c>
      <c r="CD148" s="259">
        <v>0.1</v>
      </c>
      <c r="CE148" s="259">
        <v>0.1</v>
      </c>
      <c r="CF148" s="259">
        <v>0.1</v>
      </c>
      <c r="CG148" s="259">
        <v>0.1</v>
      </c>
      <c r="CH148" s="259">
        <v>0.1</v>
      </c>
      <c r="CI148" s="259">
        <v>0.1</v>
      </c>
      <c r="CJ148" s="259">
        <v>0.1</v>
      </c>
      <c r="CK148" s="259">
        <v>0.1</v>
      </c>
      <c r="CL148" s="259">
        <v>0.1</v>
      </c>
      <c r="CM148" s="259">
        <v>0.1</v>
      </c>
      <c r="CN148" s="259">
        <v>0.1</v>
      </c>
      <c r="CO148" s="259">
        <v>0.1</v>
      </c>
      <c r="CP148" s="259">
        <v>0.1</v>
      </c>
      <c r="CQ148" s="259">
        <v>0.1</v>
      </c>
      <c r="CR148" s="259">
        <v>0.1</v>
      </c>
      <c r="CS148" s="259">
        <v>0.1</v>
      </c>
      <c r="CT148" s="259">
        <v>0.1</v>
      </c>
      <c r="CU148" s="259">
        <v>0.1</v>
      </c>
      <c r="CV148" s="259">
        <v>0.1</v>
      </c>
      <c r="CW148" s="259">
        <v>0.1</v>
      </c>
      <c r="CX148" s="259">
        <v>0.1</v>
      </c>
      <c r="CY148" s="259">
        <v>0.1</v>
      </c>
      <c r="CZ148" s="259">
        <v>0.1</v>
      </c>
      <c r="DA148" s="259">
        <v>0.1</v>
      </c>
      <c r="DB148" s="259">
        <v>0.1</v>
      </c>
      <c r="DC148" s="259">
        <v>0.1</v>
      </c>
      <c r="DD148" s="259">
        <v>0.1</v>
      </c>
      <c r="DE148" s="259">
        <v>0.1</v>
      </c>
      <c r="DF148" s="259">
        <v>0.1</v>
      </c>
      <c r="DG148" s="259">
        <v>0.1</v>
      </c>
      <c r="DH148" s="259">
        <v>0.1</v>
      </c>
      <c r="DI148" s="259">
        <v>0.1</v>
      </c>
      <c r="DJ148" s="260">
        <v>0.1</v>
      </c>
      <c r="DK148" s="258">
        <v>0.1</v>
      </c>
      <c r="DL148" s="259">
        <v>0.1</v>
      </c>
      <c r="DM148" s="259">
        <v>0.1</v>
      </c>
      <c r="DN148" s="259">
        <v>0.1</v>
      </c>
      <c r="DO148" s="259">
        <v>0.1</v>
      </c>
      <c r="DP148" s="259">
        <v>0.1</v>
      </c>
      <c r="DQ148" s="259">
        <v>0.1</v>
      </c>
      <c r="DR148" s="259">
        <v>0.1</v>
      </c>
      <c r="DS148" s="259">
        <v>0.1</v>
      </c>
      <c r="DT148" s="259">
        <v>0.1</v>
      </c>
      <c r="DU148" s="259">
        <v>0.1</v>
      </c>
      <c r="DV148" s="259">
        <v>0.1</v>
      </c>
      <c r="DW148" s="259">
        <v>0.1</v>
      </c>
      <c r="DX148" s="259">
        <v>0.1</v>
      </c>
      <c r="DY148" s="259">
        <v>0.1</v>
      </c>
      <c r="DZ148" s="259">
        <v>0.1</v>
      </c>
      <c r="EA148" s="259">
        <v>0.1</v>
      </c>
      <c r="EB148" s="259">
        <v>0.1</v>
      </c>
      <c r="EC148" s="259">
        <v>0.1</v>
      </c>
      <c r="ED148" s="259">
        <v>0.1</v>
      </c>
      <c r="EE148" s="260">
        <v>0.1</v>
      </c>
      <c r="EF148">
        <v>0.1</v>
      </c>
      <c r="EG148">
        <f t="shared" si="10"/>
        <v>0.1</v>
      </c>
      <c r="EJ148">
        <v>145</v>
      </c>
      <c r="EN148">
        <v>0.1</v>
      </c>
      <c r="EO148">
        <v>0.1</v>
      </c>
      <c r="EP148">
        <v>0.1</v>
      </c>
      <c r="EQ148">
        <v>0.1</v>
      </c>
      <c r="ER148">
        <v>0.1</v>
      </c>
      <c r="ES148">
        <v>0.1</v>
      </c>
      <c r="ET148">
        <v>0.1</v>
      </c>
      <c r="EU148">
        <v>0.1</v>
      </c>
      <c r="EV148">
        <v>0.1</v>
      </c>
      <c r="EW148">
        <v>0.1</v>
      </c>
      <c r="EX148">
        <v>0.1</v>
      </c>
      <c r="EY148">
        <v>0.1</v>
      </c>
      <c r="EZ148">
        <v>0.1</v>
      </c>
      <c r="FA148">
        <v>0.1</v>
      </c>
      <c r="FB148">
        <v>0.1</v>
      </c>
      <c r="FC148">
        <v>0.1</v>
      </c>
      <c r="FD148">
        <v>0.1</v>
      </c>
      <c r="FE148">
        <v>0.1</v>
      </c>
      <c r="FF148">
        <v>0.1</v>
      </c>
      <c r="FG148">
        <v>0.1</v>
      </c>
      <c r="FH148">
        <v>0.1</v>
      </c>
      <c r="FI148">
        <v>0.1</v>
      </c>
      <c r="FJ148">
        <v>0.1</v>
      </c>
      <c r="FK148">
        <v>0.1</v>
      </c>
      <c r="FL148">
        <v>0.1</v>
      </c>
      <c r="FM148">
        <v>0.1</v>
      </c>
      <c r="FN148">
        <v>0.1</v>
      </c>
      <c r="FO148">
        <v>0.1</v>
      </c>
      <c r="FP148">
        <v>0.1</v>
      </c>
      <c r="FQ148">
        <v>0.1</v>
      </c>
      <c r="FU148">
        <v>145</v>
      </c>
      <c r="GB148">
        <v>0.1</v>
      </c>
      <c r="GC148">
        <v>0.1</v>
      </c>
      <c r="GD148">
        <v>0.1</v>
      </c>
      <c r="GE148">
        <v>0.1</v>
      </c>
      <c r="GF148">
        <v>0.1</v>
      </c>
      <c r="GG148">
        <v>0.1</v>
      </c>
      <c r="GH148">
        <v>0.1</v>
      </c>
      <c r="GI148">
        <v>0.1</v>
      </c>
      <c r="GJ148">
        <v>0.1</v>
      </c>
      <c r="GK148">
        <v>0.1</v>
      </c>
      <c r="GL148">
        <v>0.1</v>
      </c>
      <c r="GM148">
        <v>0.1</v>
      </c>
      <c r="GN148">
        <v>0.1</v>
      </c>
      <c r="GO148">
        <v>0.1</v>
      </c>
      <c r="GP148">
        <v>0.1</v>
      </c>
      <c r="GQ148">
        <v>0.1</v>
      </c>
      <c r="GR148">
        <v>0.1</v>
      </c>
      <c r="GS148">
        <v>0.1</v>
      </c>
      <c r="GT148">
        <v>0.1</v>
      </c>
      <c r="GU148">
        <v>0.1</v>
      </c>
      <c r="GV148">
        <v>0.1</v>
      </c>
      <c r="GW148">
        <v>0.1</v>
      </c>
      <c r="GX148">
        <v>0.1</v>
      </c>
      <c r="GY148">
        <v>0.1</v>
      </c>
      <c r="GZ148">
        <v>0.1</v>
      </c>
      <c r="HA148">
        <v>0.1</v>
      </c>
      <c r="HB148">
        <v>0.1</v>
      </c>
      <c r="HC148">
        <v>0.1</v>
      </c>
      <c r="HD148">
        <v>0.1</v>
      </c>
      <c r="HE148">
        <v>0.1</v>
      </c>
      <c r="HF148">
        <v>0.1</v>
      </c>
      <c r="HG148">
        <v>0.1</v>
      </c>
      <c r="HH148">
        <v>0.1</v>
      </c>
      <c r="HI148">
        <v>0.1</v>
      </c>
      <c r="HJ148">
        <v>0.1</v>
      </c>
      <c r="HK148">
        <v>0.1</v>
      </c>
      <c r="HL148">
        <v>0.1</v>
      </c>
      <c r="HM148">
        <v>0.1</v>
      </c>
      <c r="HN148">
        <v>0.1</v>
      </c>
      <c r="HO148">
        <v>0.1</v>
      </c>
    </row>
    <row r="149" spans="1:223" ht="15.75" thickBot="1" x14ac:dyDescent="0.3">
      <c r="A149">
        <v>146</v>
      </c>
      <c r="B149" s="269">
        <v>3.5</v>
      </c>
      <c r="C149" s="268">
        <v>2.5</v>
      </c>
      <c r="D149" s="2"/>
      <c r="E149" s="2"/>
      <c r="F149" s="2"/>
      <c r="G149" s="2"/>
      <c r="H149" s="258">
        <v>0.1</v>
      </c>
      <c r="I149" s="259">
        <v>0.1</v>
      </c>
      <c r="J149" s="259">
        <v>0.1</v>
      </c>
      <c r="K149" s="259">
        <v>0.1</v>
      </c>
      <c r="L149" s="259">
        <v>0.1</v>
      </c>
      <c r="M149" s="259">
        <v>0.1</v>
      </c>
      <c r="N149" s="259">
        <v>0.1</v>
      </c>
      <c r="O149" s="259">
        <v>0.1</v>
      </c>
      <c r="P149" s="259">
        <v>0.1</v>
      </c>
      <c r="Q149" s="259">
        <v>0.1</v>
      </c>
      <c r="R149" s="259">
        <v>0.1</v>
      </c>
      <c r="S149" s="259">
        <v>0.1</v>
      </c>
      <c r="T149" s="259">
        <v>0.1</v>
      </c>
      <c r="U149" s="259">
        <v>0.1</v>
      </c>
      <c r="V149" s="259">
        <v>0.1</v>
      </c>
      <c r="W149" s="259">
        <v>0.1</v>
      </c>
      <c r="X149" s="259">
        <v>0.1</v>
      </c>
      <c r="Y149" s="259">
        <v>0.1</v>
      </c>
      <c r="Z149" s="259">
        <v>0.1</v>
      </c>
      <c r="AA149" s="259">
        <v>0.1</v>
      </c>
      <c r="AB149" s="259">
        <v>0.1</v>
      </c>
      <c r="AC149" s="259">
        <v>0.1</v>
      </c>
      <c r="AD149" s="259">
        <v>0.1</v>
      </c>
      <c r="AE149" s="259">
        <v>0.1</v>
      </c>
      <c r="AF149" s="259">
        <v>0.1</v>
      </c>
      <c r="AG149" s="259">
        <v>0.1</v>
      </c>
      <c r="AH149" s="259">
        <v>0.1</v>
      </c>
      <c r="AI149" s="259">
        <v>0.1</v>
      </c>
      <c r="AJ149" s="259">
        <v>0.1</v>
      </c>
      <c r="AK149" s="259">
        <v>0.1</v>
      </c>
      <c r="AL149" s="259">
        <v>0.1</v>
      </c>
      <c r="AM149" s="259">
        <v>0.1</v>
      </c>
      <c r="AN149" s="259">
        <v>0.1</v>
      </c>
      <c r="AO149" s="259">
        <v>0.1</v>
      </c>
      <c r="AP149" s="260">
        <v>0.1</v>
      </c>
      <c r="AQ149" s="258">
        <v>0.1</v>
      </c>
      <c r="AR149" s="259">
        <v>0.1</v>
      </c>
      <c r="AS149" s="259">
        <v>0.1</v>
      </c>
      <c r="AT149" s="259">
        <v>0.1</v>
      </c>
      <c r="AU149" s="259">
        <v>0.1</v>
      </c>
      <c r="AV149" s="259">
        <v>0.1</v>
      </c>
      <c r="AW149" s="259">
        <v>0.1</v>
      </c>
      <c r="AX149" s="259">
        <v>0.1</v>
      </c>
      <c r="AY149" s="259">
        <v>0.1</v>
      </c>
      <c r="AZ149" s="259">
        <v>0.1</v>
      </c>
      <c r="BA149" s="259">
        <v>0.1</v>
      </c>
      <c r="BB149" s="259">
        <v>0.1</v>
      </c>
      <c r="BC149" s="259">
        <v>0.1</v>
      </c>
      <c r="BD149" s="259">
        <v>0.1</v>
      </c>
      <c r="BE149" s="259">
        <v>0.1</v>
      </c>
      <c r="BF149" s="259">
        <v>0.1</v>
      </c>
      <c r="BG149" s="259">
        <v>0.1</v>
      </c>
      <c r="BH149" s="259">
        <v>0.1</v>
      </c>
      <c r="BI149" s="259">
        <v>0.1</v>
      </c>
      <c r="BJ149" s="259">
        <v>0.1</v>
      </c>
      <c r="BK149" s="259">
        <v>0.1</v>
      </c>
      <c r="BL149" s="259">
        <v>0.1</v>
      </c>
      <c r="BM149" s="259">
        <v>0.1</v>
      </c>
      <c r="BN149" s="259">
        <v>0.1</v>
      </c>
      <c r="BO149" s="260">
        <v>0.1</v>
      </c>
      <c r="BS149">
        <v>146</v>
      </c>
      <c r="BT149" s="270">
        <v>3.7</v>
      </c>
      <c r="BU149" s="271">
        <v>2.0699999999999998</v>
      </c>
      <c r="BV149" s="2"/>
      <c r="BW149" s="2"/>
      <c r="BX149" s="2"/>
      <c r="BY149" s="258">
        <v>0.1</v>
      </c>
      <c r="BZ149" s="259">
        <v>0.1</v>
      </c>
      <c r="CA149" s="259">
        <v>0.1</v>
      </c>
      <c r="CB149" s="259">
        <v>0.1</v>
      </c>
      <c r="CC149" s="259">
        <v>0.1</v>
      </c>
      <c r="CD149" s="259">
        <v>0.1</v>
      </c>
      <c r="CE149" s="259">
        <v>0.1</v>
      </c>
      <c r="CF149" s="259">
        <v>0.1</v>
      </c>
      <c r="CG149" s="259">
        <v>0.1</v>
      </c>
      <c r="CH149" s="259">
        <v>0.1</v>
      </c>
      <c r="CI149" s="259">
        <v>0.1</v>
      </c>
      <c r="CJ149" s="259">
        <v>0.1</v>
      </c>
      <c r="CK149" s="259">
        <v>0.1</v>
      </c>
      <c r="CL149" s="259">
        <v>0.1</v>
      </c>
      <c r="CM149" s="259">
        <v>0.1</v>
      </c>
      <c r="CN149" s="259">
        <v>0.1</v>
      </c>
      <c r="CO149" s="259">
        <v>0.1</v>
      </c>
      <c r="CP149" s="259">
        <v>0.1</v>
      </c>
      <c r="CQ149" s="259">
        <v>0.1</v>
      </c>
      <c r="CR149" s="259">
        <v>0.1</v>
      </c>
      <c r="CS149" s="259">
        <v>0.1</v>
      </c>
      <c r="CT149" s="259">
        <v>0.1</v>
      </c>
      <c r="CU149" s="259">
        <v>0.1</v>
      </c>
      <c r="CV149" s="259">
        <v>0.1</v>
      </c>
      <c r="CW149" s="259">
        <v>0.1</v>
      </c>
      <c r="CX149" s="259">
        <v>0.1</v>
      </c>
      <c r="CY149" s="259">
        <v>0.1</v>
      </c>
      <c r="CZ149" s="259">
        <v>0.1</v>
      </c>
      <c r="DA149" s="259">
        <v>0.1</v>
      </c>
      <c r="DB149" s="259">
        <v>0.1</v>
      </c>
      <c r="DC149" s="259">
        <v>0.1</v>
      </c>
      <c r="DD149" s="259">
        <v>0.1</v>
      </c>
      <c r="DE149" s="259">
        <v>0.1</v>
      </c>
      <c r="DF149" s="259">
        <v>0.1</v>
      </c>
      <c r="DG149" s="259">
        <v>0.1</v>
      </c>
      <c r="DH149" s="259">
        <v>0.1</v>
      </c>
      <c r="DI149" s="260">
        <v>0.1</v>
      </c>
      <c r="DJ149" s="258">
        <v>0.1</v>
      </c>
      <c r="DK149" s="259">
        <v>0.1</v>
      </c>
      <c r="DL149" s="259">
        <v>0.1</v>
      </c>
      <c r="DM149" s="259">
        <v>0.1</v>
      </c>
      <c r="DN149" s="259">
        <v>0.1</v>
      </c>
      <c r="DO149" s="259">
        <v>0.1</v>
      </c>
      <c r="DP149" s="259">
        <v>0.1</v>
      </c>
      <c r="DQ149" s="259">
        <v>0.1</v>
      </c>
      <c r="DR149" s="259">
        <v>0.1</v>
      </c>
      <c r="DS149" s="259">
        <v>0.1</v>
      </c>
      <c r="DT149" s="259">
        <v>0.1</v>
      </c>
      <c r="DU149" s="259">
        <v>0.1</v>
      </c>
      <c r="DV149" s="259">
        <v>0.1</v>
      </c>
      <c r="DW149" s="259">
        <v>0.1</v>
      </c>
      <c r="DX149" s="259">
        <v>0.1</v>
      </c>
      <c r="DY149" s="259">
        <v>0.1</v>
      </c>
      <c r="DZ149" s="259">
        <v>0.1</v>
      </c>
      <c r="EA149" s="259">
        <v>0.1</v>
      </c>
      <c r="EB149" s="259">
        <v>0.1</v>
      </c>
      <c r="EC149" s="259">
        <v>0.1</v>
      </c>
      <c r="ED149" s="260">
        <v>0.1</v>
      </c>
      <c r="EE149">
        <v>0.1</v>
      </c>
      <c r="EF149">
        <v>0.1</v>
      </c>
      <c r="EG149">
        <f>SUM(EE149:EF149)</f>
        <v>0.2</v>
      </c>
      <c r="EJ149">
        <v>146</v>
      </c>
      <c r="EN149">
        <v>0.1</v>
      </c>
      <c r="EO149">
        <v>0.1</v>
      </c>
      <c r="EP149">
        <v>0.1</v>
      </c>
      <c r="EQ149">
        <v>0.1</v>
      </c>
      <c r="ER149">
        <v>0.1</v>
      </c>
      <c r="ES149">
        <v>0.1</v>
      </c>
      <c r="ET149">
        <v>0.1</v>
      </c>
      <c r="EU149">
        <v>0.1</v>
      </c>
      <c r="EV149">
        <v>0.1</v>
      </c>
      <c r="EW149">
        <v>0.1</v>
      </c>
      <c r="EX149">
        <v>0.1</v>
      </c>
      <c r="EY149">
        <v>0.1</v>
      </c>
      <c r="EZ149">
        <v>0.1</v>
      </c>
      <c r="FA149">
        <v>0.1</v>
      </c>
      <c r="FB149">
        <v>0.1</v>
      </c>
      <c r="FC149">
        <v>0.1</v>
      </c>
      <c r="FD149">
        <v>0.1</v>
      </c>
      <c r="FE149">
        <v>0.1</v>
      </c>
      <c r="FF149">
        <v>0.1</v>
      </c>
      <c r="FG149">
        <v>0.1</v>
      </c>
      <c r="FH149">
        <v>0.1</v>
      </c>
      <c r="FI149">
        <v>0.1</v>
      </c>
      <c r="FJ149">
        <v>0.1</v>
      </c>
      <c r="FK149">
        <v>0.1</v>
      </c>
      <c r="FL149">
        <v>0.1</v>
      </c>
      <c r="FM149">
        <v>0.1</v>
      </c>
      <c r="FN149">
        <v>0.1</v>
      </c>
      <c r="FO149">
        <v>0.1</v>
      </c>
      <c r="FP149">
        <v>0.1</v>
      </c>
      <c r="FQ149">
        <v>0.1</v>
      </c>
      <c r="FU149">
        <v>146</v>
      </c>
      <c r="GB149">
        <v>0.1</v>
      </c>
      <c r="GC149">
        <v>0.1</v>
      </c>
      <c r="GD149">
        <v>0.1</v>
      </c>
      <c r="GE149">
        <v>0.1</v>
      </c>
      <c r="GF149">
        <v>0.1</v>
      </c>
      <c r="GG149">
        <v>0.1</v>
      </c>
      <c r="GH149">
        <v>0.1</v>
      </c>
      <c r="GI149">
        <v>0.1</v>
      </c>
      <c r="GJ149">
        <v>0.1</v>
      </c>
      <c r="GK149">
        <v>0.1</v>
      </c>
      <c r="GL149">
        <v>0.1</v>
      </c>
      <c r="GM149">
        <v>0.1</v>
      </c>
      <c r="GN149">
        <v>0.1</v>
      </c>
      <c r="GO149">
        <v>0.1</v>
      </c>
      <c r="GP149">
        <v>0.1</v>
      </c>
      <c r="GQ149">
        <v>0.1</v>
      </c>
      <c r="GR149">
        <v>0.1</v>
      </c>
      <c r="GS149">
        <v>0.1</v>
      </c>
      <c r="GT149">
        <v>0.1</v>
      </c>
      <c r="GU149">
        <v>0.1</v>
      </c>
      <c r="GV149">
        <v>0.1</v>
      </c>
      <c r="GW149">
        <v>0.1</v>
      </c>
      <c r="GX149">
        <v>0.1</v>
      </c>
      <c r="GY149">
        <v>0.1</v>
      </c>
      <c r="GZ149">
        <v>0.1</v>
      </c>
      <c r="HA149">
        <v>0.1</v>
      </c>
      <c r="HB149">
        <v>0.1</v>
      </c>
      <c r="HC149">
        <v>0.1</v>
      </c>
      <c r="HD149">
        <v>0.1</v>
      </c>
      <c r="HE149">
        <v>0.1</v>
      </c>
      <c r="HF149">
        <v>0.1</v>
      </c>
      <c r="HG149">
        <v>0.1</v>
      </c>
      <c r="HH149">
        <v>0.1</v>
      </c>
      <c r="HI149">
        <v>0.1</v>
      </c>
      <c r="HJ149">
        <v>0.1</v>
      </c>
      <c r="HK149">
        <v>0.1</v>
      </c>
      <c r="HL149">
        <v>0.1</v>
      </c>
      <c r="HM149">
        <v>0.1</v>
      </c>
      <c r="HN149">
        <v>0.1</v>
      </c>
      <c r="HO149">
        <v>0.1</v>
      </c>
    </row>
    <row r="150" spans="1:223" ht="15.75" thickBot="1" x14ac:dyDescent="0.3">
      <c r="A150">
        <v>147</v>
      </c>
      <c r="B150" s="268">
        <v>3.5</v>
      </c>
      <c r="C150" s="269">
        <v>2.5</v>
      </c>
      <c r="D150" s="2"/>
      <c r="E150" s="2"/>
      <c r="F150" s="2"/>
      <c r="G150" s="2"/>
      <c r="H150" s="258">
        <v>0.1</v>
      </c>
      <c r="I150" s="259">
        <v>0.1</v>
      </c>
      <c r="J150" s="259">
        <v>0.1</v>
      </c>
      <c r="K150" s="259">
        <v>0.1</v>
      </c>
      <c r="L150" s="259">
        <v>0.1</v>
      </c>
      <c r="M150" s="259">
        <v>0.1</v>
      </c>
      <c r="N150" s="259">
        <v>0.1</v>
      </c>
      <c r="O150" s="259">
        <v>0.1</v>
      </c>
      <c r="P150" s="259">
        <v>0.1</v>
      </c>
      <c r="Q150" s="259">
        <v>0.1</v>
      </c>
      <c r="R150" s="259">
        <v>0.1</v>
      </c>
      <c r="S150" s="259">
        <v>0.1</v>
      </c>
      <c r="T150" s="259">
        <v>0.1</v>
      </c>
      <c r="U150" s="259">
        <v>0.1</v>
      </c>
      <c r="V150" s="259">
        <v>0.1</v>
      </c>
      <c r="W150" s="259">
        <v>0.1</v>
      </c>
      <c r="X150" s="259">
        <v>0.1</v>
      </c>
      <c r="Y150" s="259">
        <v>0.1</v>
      </c>
      <c r="Z150" s="259">
        <v>0.1</v>
      </c>
      <c r="AA150" s="259">
        <v>0.1</v>
      </c>
      <c r="AB150" s="259">
        <v>0.1</v>
      </c>
      <c r="AC150" s="259">
        <v>0.1</v>
      </c>
      <c r="AD150" s="259">
        <v>0.1</v>
      </c>
      <c r="AE150" s="259">
        <v>0.1</v>
      </c>
      <c r="AF150" s="259">
        <v>0.1</v>
      </c>
      <c r="AG150" s="259">
        <v>0.1</v>
      </c>
      <c r="AH150" s="259">
        <v>0.1</v>
      </c>
      <c r="AI150" s="259">
        <v>0.1</v>
      </c>
      <c r="AJ150" s="259">
        <v>0.1</v>
      </c>
      <c r="AK150" s="259">
        <v>0.1</v>
      </c>
      <c r="AL150" s="259">
        <v>0.1</v>
      </c>
      <c r="AM150" s="259">
        <v>0.1</v>
      </c>
      <c r="AN150" s="259">
        <v>0.1</v>
      </c>
      <c r="AO150" s="259">
        <v>0.1</v>
      </c>
      <c r="AP150" s="260">
        <v>0.1</v>
      </c>
      <c r="AQ150" s="258">
        <v>0.1</v>
      </c>
      <c r="AR150" s="259">
        <v>0.1</v>
      </c>
      <c r="AS150" s="259">
        <v>0.1</v>
      </c>
      <c r="AT150" s="259">
        <v>0.1</v>
      </c>
      <c r="AU150" s="259">
        <v>0.1</v>
      </c>
      <c r="AV150" s="259">
        <v>0.1</v>
      </c>
      <c r="AW150" s="259">
        <v>0.1</v>
      </c>
      <c r="AX150" s="259">
        <v>0.1</v>
      </c>
      <c r="AY150" s="259">
        <v>0.1</v>
      </c>
      <c r="AZ150" s="259">
        <v>0.1</v>
      </c>
      <c r="BA150" s="259">
        <v>0.1</v>
      </c>
      <c r="BB150" s="259">
        <v>0.1</v>
      </c>
      <c r="BC150" s="259">
        <v>0.1</v>
      </c>
      <c r="BD150" s="259">
        <v>0.1</v>
      </c>
      <c r="BE150" s="259">
        <v>0.1</v>
      </c>
      <c r="BF150" s="259">
        <v>0.1</v>
      </c>
      <c r="BG150" s="259">
        <v>0.1</v>
      </c>
      <c r="BH150" s="259">
        <v>0.1</v>
      </c>
      <c r="BI150" s="259">
        <v>0.1</v>
      </c>
      <c r="BJ150" s="259">
        <v>0.1</v>
      </c>
      <c r="BK150" s="259">
        <v>0.1</v>
      </c>
      <c r="BL150" s="259">
        <v>0.1</v>
      </c>
      <c r="BM150" s="259">
        <v>0.1</v>
      </c>
      <c r="BN150" s="259">
        <v>0.1</v>
      </c>
      <c r="BO150" s="260">
        <v>0.1</v>
      </c>
      <c r="BS150">
        <v>147</v>
      </c>
      <c r="BT150" s="271">
        <v>3.7</v>
      </c>
      <c r="BU150" s="270">
        <v>2.0699999999999998</v>
      </c>
      <c r="BV150" s="2"/>
      <c r="BW150" s="2"/>
      <c r="BX150" s="2"/>
      <c r="BY150" s="258">
        <v>0.1</v>
      </c>
      <c r="BZ150" s="259">
        <v>0.1</v>
      </c>
      <c r="CA150" s="259">
        <v>0.1</v>
      </c>
      <c r="CB150" s="259">
        <v>0.1</v>
      </c>
      <c r="CC150" s="259">
        <v>0.1</v>
      </c>
      <c r="CD150" s="259">
        <v>0.1</v>
      </c>
      <c r="CE150" s="259">
        <v>0.1</v>
      </c>
      <c r="CF150" s="259">
        <v>0.1</v>
      </c>
      <c r="CG150" s="259">
        <v>0.1</v>
      </c>
      <c r="CH150" s="259">
        <v>0.1</v>
      </c>
      <c r="CI150" s="259">
        <v>0.1</v>
      </c>
      <c r="CJ150" s="259">
        <v>0.1</v>
      </c>
      <c r="CK150" s="259">
        <v>0.1</v>
      </c>
      <c r="CL150" s="259">
        <v>0.1</v>
      </c>
      <c r="CM150" s="259">
        <v>0.1</v>
      </c>
      <c r="CN150" s="259">
        <v>0.1</v>
      </c>
      <c r="CO150" s="259">
        <v>0.1</v>
      </c>
      <c r="CP150" s="259">
        <v>0.1</v>
      </c>
      <c r="CQ150" s="259">
        <v>0.1</v>
      </c>
      <c r="CR150" s="259">
        <v>0.1</v>
      </c>
      <c r="CS150" s="259">
        <v>0.1</v>
      </c>
      <c r="CT150" s="259">
        <v>0.1</v>
      </c>
      <c r="CU150" s="259">
        <v>0.1</v>
      </c>
      <c r="CV150" s="259">
        <v>0.1</v>
      </c>
      <c r="CW150" s="259">
        <v>0.1</v>
      </c>
      <c r="CX150" s="259">
        <v>0.1</v>
      </c>
      <c r="CY150" s="259">
        <v>0.1</v>
      </c>
      <c r="CZ150" s="259">
        <v>0.1</v>
      </c>
      <c r="DA150" s="259">
        <v>0.1</v>
      </c>
      <c r="DB150" s="259">
        <v>0.1</v>
      </c>
      <c r="DC150" s="259">
        <v>0.1</v>
      </c>
      <c r="DD150" s="259">
        <v>0.1</v>
      </c>
      <c r="DE150" s="259">
        <v>0.1</v>
      </c>
      <c r="DF150" s="259">
        <v>0.1</v>
      </c>
      <c r="DG150" s="259">
        <v>0.1</v>
      </c>
      <c r="DH150" s="259">
        <v>0.1</v>
      </c>
      <c r="DI150" s="260">
        <v>0.1</v>
      </c>
      <c r="DJ150" s="258">
        <v>0.1</v>
      </c>
      <c r="DK150" s="259">
        <v>0.1</v>
      </c>
      <c r="DL150" s="259">
        <v>0.1</v>
      </c>
      <c r="DM150" s="259">
        <v>0.1</v>
      </c>
      <c r="DN150" s="259">
        <v>0.1</v>
      </c>
      <c r="DO150" s="259">
        <v>0.1</v>
      </c>
      <c r="DP150" s="259">
        <v>0.1</v>
      </c>
      <c r="DQ150" s="259">
        <v>0.1</v>
      </c>
      <c r="DR150" s="259">
        <v>0.1</v>
      </c>
      <c r="DS150" s="259">
        <v>0.1</v>
      </c>
      <c r="DT150" s="259">
        <v>0.1</v>
      </c>
      <c r="DU150" s="259">
        <v>0.1</v>
      </c>
      <c r="DV150" s="259">
        <v>0.1</v>
      </c>
      <c r="DW150" s="259">
        <v>0.1</v>
      </c>
      <c r="DX150" s="259">
        <v>0.1</v>
      </c>
      <c r="DY150" s="259">
        <v>0.1</v>
      </c>
      <c r="DZ150" s="259">
        <v>0.1</v>
      </c>
      <c r="EA150" s="259">
        <v>0.1</v>
      </c>
      <c r="EB150" s="259">
        <v>0.1</v>
      </c>
      <c r="EC150" s="259">
        <v>0.1</v>
      </c>
      <c r="ED150" s="260">
        <v>0.1</v>
      </c>
      <c r="EE150">
        <v>0.1</v>
      </c>
      <c r="EF150">
        <v>0.1</v>
      </c>
      <c r="EG150">
        <f>SUM(EE150:EF150)</f>
        <v>0.2</v>
      </c>
      <c r="EJ150">
        <v>147</v>
      </c>
      <c r="EN150">
        <v>0.1</v>
      </c>
      <c r="EO150">
        <v>0.1</v>
      </c>
      <c r="EP150">
        <v>0.1</v>
      </c>
      <c r="EQ150">
        <v>0.1</v>
      </c>
      <c r="ER150">
        <v>0.1</v>
      </c>
      <c r="ES150">
        <v>0.1</v>
      </c>
      <c r="ET150">
        <v>0.1</v>
      </c>
      <c r="EU150">
        <v>0.1</v>
      </c>
      <c r="EV150">
        <v>0.1</v>
      </c>
      <c r="EW150">
        <v>0.1</v>
      </c>
      <c r="EX150">
        <v>0.1</v>
      </c>
      <c r="EY150">
        <v>0.1</v>
      </c>
      <c r="EZ150">
        <v>0.1</v>
      </c>
      <c r="FA150">
        <v>0.1</v>
      </c>
      <c r="FB150">
        <v>0.1</v>
      </c>
      <c r="FC150">
        <v>0.1</v>
      </c>
      <c r="FD150">
        <v>0.1</v>
      </c>
      <c r="FE150">
        <v>0.1</v>
      </c>
      <c r="FF150">
        <v>0.1</v>
      </c>
      <c r="FG150">
        <v>0.1</v>
      </c>
      <c r="FH150">
        <v>0.1</v>
      </c>
      <c r="FI150">
        <v>0.1</v>
      </c>
      <c r="FJ150">
        <v>0.1</v>
      </c>
      <c r="FK150">
        <v>0.1</v>
      </c>
      <c r="FL150">
        <v>0.1</v>
      </c>
      <c r="FM150">
        <v>0.1</v>
      </c>
      <c r="FN150">
        <v>0.1</v>
      </c>
      <c r="FO150">
        <v>0.1</v>
      </c>
      <c r="FP150">
        <v>0.1</v>
      </c>
      <c r="FQ150">
        <v>0.1</v>
      </c>
      <c r="FU150">
        <v>147</v>
      </c>
      <c r="GB150">
        <v>0.1</v>
      </c>
      <c r="GC150">
        <v>0.1</v>
      </c>
      <c r="GD150">
        <v>0.1</v>
      </c>
      <c r="GE150">
        <v>0.1</v>
      </c>
      <c r="GF150">
        <v>0.1</v>
      </c>
      <c r="GG150">
        <v>0.1</v>
      </c>
      <c r="GH150">
        <v>0.1</v>
      </c>
      <c r="GI150">
        <v>0.1</v>
      </c>
      <c r="GJ150">
        <v>0.1</v>
      </c>
      <c r="GK150">
        <v>0.1</v>
      </c>
      <c r="GL150">
        <v>0.1</v>
      </c>
      <c r="GM150">
        <v>0.1</v>
      </c>
      <c r="GN150">
        <v>0.1</v>
      </c>
      <c r="GO150">
        <v>0.1</v>
      </c>
      <c r="GP150">
        <v>0.1</v>
      </c>
      <c r="GQ150">
        <v>0.1</v>
      </c>
      <c r="GR150">
        <v>0.1</v>
      </c>
      <c r="GS150">
        <v>0.1</v>
      </c>
      <c r="GT150">
        <v>0.1</v>
      </c>
      <c r="GU150">
        <v>0.1</v>
      </c>
      <c r="GV150">
        <v>0.1</v>
      </c>
      <c r="GW150">
        <v>0.1</v>
      </c>
      <c r="GX150">
        <v>0.1</v>
      </c>
      <c r="GY150">
        <v>0.1</v>
      </c>
      <c r="GZ150">
        <v>0.1</v>
      </c>
      <c r="HA150">
        <v>0.1</v>
      </c>
      <c r="HB150">
        <v>0.1</v>
      </c>
      <c r="HC150">
        <v>0.1</v>
      </c>
      <c r="HD150">
        <v>0.1</v>
      </c>
      <c r="HE150">
        <v>0.1</v>
      </c>
      <c r="HF150">
        <v>0.1</v>
      </c>
      <c r="HG150">
        <v>0.1</v>
      </c>
      <c r="HH150">
        <v>0.1</v>
      </c>
      <c r="HI150">
        <v>0.1</v>
      </c>
      <c r="HJ150">
        <v>0.1</v>
      </c>
      <c r="HK150">
        <v>0.1</v>
      </c>
      <c r="HL150">
        <v>0.1</v>
      </c>
      <c r="HM150">
        <v>0.1</v>
      </c>
      <c r="HN150">
        <v>0.1</v>
      </c>
      <c r="HO150">
        <v>0.1</v>
      </c>
    </row>
    <row r="151" spans="1:223" ht="15.75" thickBot="1" x14ac:dyDescent="0.3">
      <c r="A151">
        <v>148</v>
      </c>
      <c r="B151" s="269">
        <v>3.5</v>
      </c>
      <c r="C151" s="268">
        <v>2.5</v>
      </c>
      <c r="D151" s="2"/>
      <c r="E151" s="2"/>
      <c r="F151" s="2"/>
      <c r="G151" s="2"/>
      <c r="H151" s="258">
        <v>0.1</v>
      </c>
      <c r="I151" s="259">
        <v>0.1</v>
      </c>
      <c r="J151" s="259">
        <v>0.1</v>
      </c>
      <c r="K151" s="259">
        <v>0.1</v>
      </c>
      <c r="L151" s="259">
        <v>0.1</v>
      </c>
      <c r="M151" s="259">
        <v>0.1</v>
      </c>
      <c r="N151" s="259">
        <v>0.1</v>
      </c>
      <c r="O151" s="259">
        <v>0.1</v>
      </c>
      <c r="P151" s="259">
        <v>0.1</v>
      </c>
      <c r="Q151" s="259">
        <v>0.1</v>
      </c>
      <c r="R151" s="259">
        <v>0.1</v>
      </c>
      <c r="S151" s="259">
        <v>0.1</v>
      </c>
      <c r="T151" s="259">
        <v>0.1</v>
      </c>
      <c r="U151" s="259">
        <v>0.1</v>
      </c>
      <c r="V151" s="259">
        <v>0.1</v>
      </c>
      <c r="W151" s="259">
        <v>0.1</v>
      </c>
      <c r="X151" s="259">
        <v>0.1</v>
      </c>
      <c r="Y151" s="259">
        <v>0.1</v>
      </c>
      <c r="Z151" s="259">
        <v>0.1</v>
      </c>
      <c r="AA151" s="259">
        <v>0.1</v>
      </c>
      <c r="AB151" s="259">
        <v>0.1</v>
      </c>
      <c r="AC151" s="259">
        <v>0.1</v>
      </c>
      <c r="AD151" s="259">
        <v>0.1</v>
      </c>
      <c r="AE151" s="259">
        <v>0.1</v>
      </c>
      <c r="AF151" s="259">
        <v>0.1</v>
      </c>
      <c r="AG151" s="259">
        <v>0.1</v>
      </c>
      <c r="AH151" s="259">
        <v>0.1</v>
      </c>
      <c r="AI151" s="259">
        <v>0.1</v>
      </c>
      <c r="AJ151" s="259">
        <v>0.1</v>
      </c>
      <c r="AK151" s="259">
        <v>0.1</v>
      </c>
      <c r="AL151" s="259">
        <v>0.1</v>
      </c>
      <c r="AM151" s="259">
        <v>0.1</v>
      </c>
      <c r="AN151" s="259">
        <v>0.1</v>
      </c>
      <c r="AO151" s="259">
        <v>0.1</v>
      </c>
      <c r="AP151" s="260">
        <v>0.1</v>
      </c>
      <c r="AQ151" s="258">
        <v>0.1</v>
      </c>
      <c r="AR151" s="259">
        <v>0.1</v>
      </c>
      <c r="AS151" s="259">
        <v>0.1</v>
      </c>
      <c r="AT151" s="259">
        <v>0.1</v>
      </c>
      <c r="AU151" s="259">
        <v>0.1</v>
      </c>
      <c r="AV151" s="259">
        <v>0.1</v>
      </c>
      <c r="AW151" s="259">
        <v>0.1</v>
      </c>
      <c r="AX151" s="259">
        <v>0.1</v>
      </c>
      <c r="AY151" s="259">
        <v>0.1</v>
      </c>
      <c r="AZ151" s="259">
        <v>0.1</v>
      </c>
      <c r="BA151" s="259">
        <v>0.1</v>
      </c>
      <c r="BB151" s="259">
        <v>0.1</v>
      </c>
      <c r="BC151" s="259">
        <v>0.1</v>
      </c>
      <c r="BD151" s="259">
        <v>0.1</v>
      </c>
      <c r="BE151" s="259">
        <v>0.1</v>
      </c>
      <c r="BF151" s="259">
        <v>0.1</v>
      </c>
      <c r="BG151" s="259">
        <v>0.1</v>
      </c>
      <c r="BH151" s="259">
        <v>0.1</v>
      </c>
      <c r="BI151" s="259">
        <v>0.1</v>
      </c>
      <c r="BJ151" s="259">
        <v>0.1</v>
      </c>
      <c r="BK151" s="259">
        <v>0.1</v>
      </c>
      <c r="BL151" s="259">
        <v>0.1</v>
      </c>
      <c r="BM151" s="259">
        <v>0.1</v>
      </c>
      <c r="BN151" s="259">
        <v>0.1</v>
      </c>
      <c r="BO151" s="260">
        <v>0.1</v>
      </c>
      <c r="BS151">
        <v>148</v>
      </c>
      <c r="BT151" s="270">
        <v>3.68</v>
      </c>
      <c r="BU151" s="271">
        <v>2.0699999999999998</v>
      </c>
      <c r="BV151" s="2"/>
      <c r="BW151" s="2"/>
      <c r="BX151" s="2"/>
      <c r="BY151" s="258">
        <v>0.1</v>
      </c>
      <c r="BZ151" s="259">
        <v>0.1</v>
      </c>
      <c r="CA151" s="259">
        <v>0.1</v>
      </c>
      <c r="CB151" s="259">
        <v>0.1</v>
      </c>
      <c r="CC151" s="259">
        <v>0.1</v>
      </c>
      <c r="CD151" s="259">
        <v>0.1</v>
      </c>
      <c r="CE151" s="259">
        <v>0.1</v>
      </c>
      <c r="CF151" s="259">
        <v>0.1</v>
      </c>
      <c r="CG151" s="259">
        <v>0.1</v>
      </c>
      <c r="CH151" s="259">
        <v>0.1</v>
      </c>
      <c r="CI151" s="259">
        <v>0.1</v>
      </c>
      <c r="CJ151" s="259">
        <v>0.1</v>
      </c>
      <c r="CK151" s="259">
        <v>0.1</v>
      </c>
      <c r="CL151" s="259">
        <v>0.1</v>
      </c>
      <c r="CM151" s="259">
        <v>0.1</v>
      </c>
      <c r="CN151" s="259">
        <v>0.1</v>
      </c>
      <c r="CO151" s="259">
        <v>0.1</v>
      </c>
      <c r="CP151" s="259">
        <v>0.1</v>
      </c>
      <c r="CQ151" s="259">
        <v>0.1</v>
      </c>
      <c r="CR151" s="259">
        <v>0.1</v>
      </c>
      <c r="CS151" s="259">
        <v>0.1</v>
      </c>
      <c r="CT151" s="259">
        <v>0.1</v>
      </c>
      <c r="CU151" s="259">
        <v>0.1</v>
      </c>
      <c r="CV151" s="259">
        <v>0.1</v>
      </c>
      <c r="CW151" s="259">
        <v>0.1</v>
      </c>
      <c r="CX151" s="259">
        <v>0.1</v>
      </c>
      <c r="CY151" s="259">
        <v>0.1</v>
      </c>
      <c r="CZ151" s="259">
        <v>0.1</v>
      </c>
      <c r="DA151" s="259">
        <v>0.1</v>
      </c>
      <c r="DB151" s="259">
        <v>0.1</v>
      </c>
      <c r="DC151" s="259">
        <v>0.1</v>
      </c>
      <c r="DD151" s="259">
        <v>0.1</v>
      </c>
      <c r="DE151" s="259">
        <v>0.1</v>
      </c>
      <c r="DF151" s="259">
        <v>0.1</v>
      </c>
      <c r="DG151" s="259">
        <v>0.1</v>
      </c>
      <c r="DH151" s="259">
        <v>0.1</v>
      </c>
      <c r="DI151" s="260">
        <v>0.1</v>
      </c>
      <c r="DJ151" s="258">
        <v>0.1</v>
      </c>
      <c r="DK151" s="259">
        <v>0.1</v>
      </c>
      <c r="DL151" s="259">
        <v>0.1</v>
      </c>
      <c r="DM151" s="259">
        <v>0.1</v>
      </c>
      <c r="DN151" s="259">
        <v>0.1</v>
      </c>
      <c r="DO151" s="259">
        <v>0.1</v>
      </c>
      <c r="DP151" s="259">
        <v>0.1</v>
      </c>
      <c r="DQ151" s="259">
        <v>0.1</v>
      </c>
      <c r="DR151" s="259">
        <v>0.1</v>
      </c>
      <c r="DS151" s="259">
        <v>0.1</v>
      </c>
      <c r="DT151" s="259">
        <v>0.1</v>
      </c>
      <c r="DU151" s="259">
        <v>0.1</v>
      </c>
      <c r="DV151" s="259">
        <v>0.1</v>
      </c>
      <c r="DW151" s="259">
        <v>0.1</v>
      </c>
      <c r="DX151" s="259">
        <v>0.1</v>
      </c>
      <c r="DY151" s="259">
        <v>0.1</v>
      </c>
      <c r="DZ151" s="259">
        <v>0.1</v>
      </c>
      <c r="EA151" s="259">
        <v>0.1</v>
      </c>
      <c r="EB151" s="259">
        <v>0.1</v>
      </c>
      <c r="EC151" s="259">
        <v>0.1</v>
      </c>
      <c r="ED151" s="260">
        <v>0.1</v>
      </c>
      <c r="EE151">
        <v>0.1</v>
      </c>
      <c r="EF151">
        <v>0.1</v>
      </c>
      <c r="EG151">
        <f>SUM(EE151:EF151)</f>
        <v>0.2</v>
      </c>
      <c r="EJ151">
        <v>148</v>
      </c>
      <c r="EN151">
        <v>0.1</v>
      </c>
      <c r="EO151">
        <v>0.1</v>
      </c>
      <c r="EP151">
        <v>0.1</v>
      </c>
      <c r="EQ151">
        <v>0.1</v>
      </c>
      <c r="ER151">
        <v>0.1</v>
      </c>
      <c r="ES151">
        <v>0.1</v>
      </c>
      <c r="ET151">
        <v>0.1</v>
      </c>
      <c r="EU151">
        <v>0.1</v>
      </c>
      <c r="EV151">
        <v>0.1</v>
      </c>
      <c r="EW151">
        <v>0.1</v>
      </c>
      <c r="EX151">
        <v>0.1</v>
      </c>
      <c r="EY151">
        <v>0.1</v>
      </c>
      <c r="EZ151">
        <v>0.1</v>
      </c>
      <c r="FA151">
        <v>0.1</v>
      </c>
      <c r="FB151">
        <v>0.1</v>
      </c>
      <c r="FC151">
        <v>0.1</v>
      </c>
      <c r="FD151">
        <v>0.1</v>
      </c>
      <c r="FE151">
        <v>0.1</v>
      </c>
      <c r="FF151">
        <v>0.1</v>
      </c>
      <c r="FG151">
        <v>0.1</v>
      </c>
      <c r="FH151">
        <v>0.1</v>
      </c>
      <c r="FI151">
        <v>0.1</v>
      </c>
      <c r="FJ151">
        <v>0.1</v>
      </c>
      <c r="FK151">
        <v>0.1</v>
      </c>
      <c r="FL151">
        <v>0.1</v>
      </c>
      <c r="FM151">
        <v>0.1</v>
      </c>
      <c r="FN151">
        <v>0.1</v>
      </c>
      <c r="FO151">
        <v>0.1</v>
      </c>
      <c r="FP151">
        <v>0.1</v>
      </c>
      <c r="FQ151">
        <v>0.1</v>
      </c>
      <c r="FU151">
        <v>148</v>
      </c>
      <c r="GB151">
        <v>0.1</v>
      </c>
      <c r="GC151">
        <v>0.1</v>
      </c>
      <c r="GD151">
        <v>0.1</v>
      </c>
      <c r="GE151">
        <v>0.1</v>
      </c>
      <c r="GF151">
        <v>0.1</v>
      </c>
      <c r="GG151">
        <v>0.1</v>
      </c>
      <c r="GH151">
        <v>0.1</v>
      </c>
      <c r="GI151">
        <v>0.1</v>
      </c>
      <c r="GJ151">
        <v>0.1</v>
      </c>
      <c r="GK151">
        <v>0.1</v>
      </c>
      <c r="GL151">
        <v>0.1</v>
      </c>
      <c r="GM151">
        <v>0.1</v>
      </c>
      <c r="GN151">
        <v>0.1</v>
      </c>
      <c r="GO151">
        <v>0.1</v>
      </c>
      <c r="GP151">
        <v>0.1</v>
      </c>
      <c r="GQ151">
        <v>0.1</v>
      </c>
      <c r="GR151">
        <v>0.1</v>
      </c>
      <c r="GS151">
        <v>0.1</v>
      </c>
      <c r="GT151">
        <v>0.1</v>
      </c>
      <c r="GU151">
        <v>0.1</v>
      </c>
      <c r="GV151">
        <v>0.1</v>
      </c>
      <c r="GW151">
        <v>0.1</v>
      </c>
      <c r="GX151">
        <v>0.1</v>
      </c>
      <c r="GY151">
        <v>0.1</v>
      </c>
      <c r="GZ151">
        <v>0.1</v>
      </c>
      <c r="HA151">
        <v>0.1</v>
      </c>
      <c r="HB151">
        <v>0.1</v>
      </c>
      <c r="HC151">
        <v>0.1</v>
      </c>
      <c r="HD151">
        <v>0.1</v>
      </c>
      <c r="HE151">
        <v>0.1</v>
      </c>
      <c r="HF151">
        <v>0.1</v>
      </c>
      <c r="HG151">
        <v>0.1</v>
      </c>
      <c r="HH151">
        <v>0.1</v>
      </c>
      <c r="HI151">
        <v>0.1</v>
      </c>
      <c r="HJ151">
        <v>0.1</v>
      </c>
      <c r="HK151">
        <v>0.1</v>
      </c>
      <c r="HL151">
        <v>0.1</v>
      </c>
      <c r="HM151">
        <v>0.1</v>
      </c>
      <c r="HN151">
        <v>0.1</v>
      </c>
      <c r="HO151">
        <v>0.1</v>
      </c>
    </row>
    <row r="152" spans="1:223" ht="15.75" thickBot="1" x14ac:dyDescent="0.3">
      <c r="A152">
        <v>149</v>
      </c>
      <c r="B152" s="268">
        <v>3.5</v>
      </c>
      <c r="C152" s="269">
        <v>2.5</v>
      </c>
      <c r="D152" s="2"/>
      <c r="E152" s="2"/>
      <c r="F152" s="2"/>
      <c r="G152" s="2"/>
      <c r="H152" s="258">
        <v>0.1</v>
      </c>
      <c r="I152" s="259">
        <v>0.1</v>
      </c>
      <c r="J152" s="259">
        <v>0.1</v>
      </c>
      <c r="K152" s="259">
        <v>0.1</v>
      </c>
      <c r="L152" s="259">
        <v>0.1</v>
      </c>
      <c r="M152" s="259">
        <v>0.1</v>
      </c>
      <c r="N152" s="259">
        <v>0.1</v>
      </c>
      <c r="O152" s="259">
        <v>0.1</v>
      </c>
      <c r="P152" s="259">
        <v>0.1</v>
      </c>
      <c r="Q152" s="259">
        <v>0.1</v>
      </c>
      <c r="R152" s="259">
        <v>0.1</v>
      </c>
      <c r="S152" s="259">
        <v>0.1</v>
      </c>
      <c r="T152" s="259">
        <v>0.1</v>
      </c>
      <c r="U152" s="259">
        <v>0.1</v>
      </c>
      <c r="V152" s="259">
        <v>0.1</v>
      </c>
      <c r="W152" s="259">
        <v>0.1</v>
      </c>
      <c r="X152" s="259">
        <v>0.1</v>
      </c>
      <c r="Y152" s="259">
        <v>0.1</v>
      </c>
      <c r="Z152" s="259">
        <v>0.1</v>
      </c>
      <c r="AA152" s="259">
        <v>0.1</v>
      </c>
      <c r="AB152" s="259">
        <v>0.1</v>
      </c>
      <c r="AC152" s="259">
        <v>0.1</v>
      </c>
      <c r="AD152" s="259">
        <v>0.1</v>
      </c>
      <c r="AE152" s="259">
        <v>0.1</v>
      </c>
      <c r="AF152" s="259">
        <v>0.1</v>
      </c>
      <c r="AG152" s="259">
        <v>0.1</v>
      </c>
      <c r="AH152" s="259">
        <v>0.1</v>
      </c>
      <c r="AI152" s="259">
        <v>0.1</v>
      </c>
      <c r="AJ152" s="259">
        <v>0.1</v>
      </c>
      <c r="AK152" s="259">
        <v>0.1</v>
      </c>
      <c r="AL152" s="259">
        <v>0.1</v>
      </c>
      <c r="AM152" s="259">
        <v>0.1</v>
      </c>
      <c r="AN152" s="259">
        <v>0.1</v>
      </c>
      <c r="AO152" s="259">
        <v>0.1</v>
      </c>
      <c r="AP152" s="260">
        <v>0.1</v>
      </c>
      <c r="AQ152" s="258">
        <v>0.1</v>
      </c>
      <c r="AR152" s="259">
        <v>0.1</v>
      </c>
      <c r="AS152" s="259">
        <v>0.1</v>
      </c>
      <c r="AT152" s="259">
        <v>0.1</v>
      </c>
      <c r="AU152" s="259">
        <v>0.1</v>
      </c>
      <c r="AV152" s="259">
        <v>0.1</v>
      </c>
      <c r="AW152" s="259">
        <v>0.1</v>
      </c>
      <c r="AX152" s="259">
        <v>0.1</v>
      </c>
      <c r="AY152" s="259">
        <v>0.1</v>
      </c>
      <c r="AZ152" s="259">
        <v>0.1</v>
      </c>
      <c r="BA152" s="259">
        <v>0.1</v>
      </c>
      <c r="BB152" s="259">
        <v>0.1</v>
      </c>
      <c r="BC152" s="259">
        <v>0.1</v>
      </c>
      <c r="BD152" s="259">
        <v>0.1</v>
      </c>
      <c r="BE152" s="259">
        <v>0.1</v>
      </c>
      <c r="BF152" s="259">
        <v>0.1</v>
      </c>
      <c r="BG152" s="259">
        <v>0.1</v>
      </c>
      <c r="BH152" s="259">
        <v>0.1</v>
      </c>
      <c r="BI152" s="259">
        <v>0.1</v>
      </c>
      <c r="BJ152" s="259">
        <v>0.1</v>
      </c>
      <c r="BK152" s="259">
        <v>0.1</v>
      </c>
      <c r="BL152" s="259">
        <v>0.1</v>
      </c>
      <c r="BM152" s="259">
        <v>0.1</v>
      </c>
      <c r="BN152" s="259">
        <v>0.1</v>
      </c>
      <c r="BO152" s="260">
        <v>0.1</v>
      </c>
      <c r="BS152">
        <v>149</v>
      </c>
      <c r="BT152" s="271">
        <v>3.68</v>
      </c>
      <c r="BU152" s="270">
        <v>2.09</v>
      </c>
      <c r="BV152" s="2"/>
      <c r="BW152" s="2"/>
      <c r="BX152" s="2"/>
      <c r="BY152" s="258">
        <v>0.1</v>
      </c>
      <c r="BZ152" s="259">
        <v>0.1</v>
      </c>
      <c r="CA152" s="259">
        <v>0.1</v>
      </c>
      <c r="CB152" s="259">
        <v>0.1</v>
      </c>
      <c r="CC152" s="259">
        <v>0.1</v>
      </c>
      <c r="CD152" s="259">
        <v>0.1</v>
      </c>
      <c r="CE152" s="259">
        <v>0.1</v>
      </c>
      <c r="CF152" s="259">
        <v>0.1</v>
      </c>
      <c r="CG152" s="259">
        <v>0.1</v>
      </c>
      <c r="CH152" s="259">
        <v>0.1</v>
      </c>
      <c r="CI152" s="259">
        <v>0.1</v>
      </c>
      <c r="CJ152" s="259">
        <v>0.1</v>
      </c>
      <c r="CK152" s="259">
        <v>0.1</v>
      </c>
      <c r="CL152" s="259">
        <v>0.1</v>
      </c>
      <c r="CM152" s="259">
        <v>0.1</v>
      </c>
      <c r="CN152" s="259">
        <v>0.1</v>
      </c>
      <c r="CO152" s="259">
        <v>0.1</v>
      </c>
      <c r="CP152" s="259">
        <v>0.1</v>
      </c>
      <c r="CQ152" s="259">
        <v>0.1</v>
      </c>
      <c r="CR152" s="259">
        <v>0.1</v>
      </c>
      <c r="CS152" s="259">
        <v>0.1</v>
      </c>
      <c r="CT152" s="259">
        <v>0.1</v>
      </c>
      <c r="CU152" s="259">
        <v>0.1</v>
      </c>
      <c r="CV152" s="259">
        <v>0.1</v>
      </c>
      <c r="CW152" s="259">
        <v>0.1</v>
      </c>
      <c r="CX152" s="259">
        <v>0.1</v>
      </c>
      <c r="CY152" s="259">
        <v>0.1</v>
      </c>
      <c r="CZ152" s="259">
        <v>0.1</v>
      </c>
      <c r="DA152" s="259">
        <v>0.1</v>
      </c>
      <c r="DB152" s="259">
        <v>0.1</v>
      </c>
      <c r="DC152" s="259">
        <v>0.1</v>
      </c>
      <c r="DD152" s="259">
        <v>0.1</v>
      </c>
      <c r="DE152" s="259">
        <v>0.1</v>
      </c>
      <c r="DF152" s="259">
        <v>0.1</v>
      </c>
      <c r="DG152" s="259">
        <v>0.1</v>
      </c>
      <c r="DH152" s="259">
        <v>0.1</v>
      </c>
      <c r="DI152" s="260">
        <v>0.1</v>
      </c>
      <c r="DJ152" s="258">
        <v>0.1</v>
      </c>
      <c r="DK152" s="259">
        <v>0.1</v>
      </c>
      <c r="DL152" s="259">
        <v>0.1</v>
      </c>
      <c r="DM152" s="259">
        <v>0.1</v>
      </c>
      <c r="DN152" s="259">
        <v>0.1</v>
      </c>
      <c r="DO152" s="259">
        <v>0.1</v>
      </c>
      <c r="DP152" s="259">
        <v>0.1</v>
      </c>
      <c r="DQ152" s="259">
        <v>0.1</v>
      </c>
      <c r="DR152" s="259">
        <v>0.1</v>
      </c>
      <c r="DS152" s="259">
        <v>0.1</v>
      </c>
      <c r="DT152" s="259">
        <v>0.1</v>
      </c>
      <c r="DU152" s="259">
        <v>0.1</v>
      </c>
      <c r="DV152" s="259">
        <v>0.1</v>
      </c>
      <c r="DW152" s="259">
        <v>0.1</v>
      </c>
      <c r="DX152" s="259">
        <v>0.1</v>
      </c>
      <c r="DY152" s="259">
        <v>0.1</v>
      </c>
      <c r="DZ152" s="259">
        <v>0.1</v>
      </c>
      <c r="EA152" s="259">
        <v>0.1</v>
      </c>
      <c r="EB152" s="259">
        <v>0.1</v>
      </c>
      <c r="EC152" s="259">
        <v>0.1</v>
      </c>
      <c r="ED152" s="260">
        <v>0.1</v>
      </c>
      <c r="EE152">
        <v>0.1</v>
      </c>
      <c r="EF152">
        <v>0.1</v>
      </c>
      <c r="EG152">
        <f>SUM(EE152:EF152)</f>
        <v>0.2</v>
      </c>
      <c r="EJ152">
        <v>149</v>
      </c>
      <c r="EN152">
        <v>0.1</v>
      </c>
      <c r="EO152">
        <v>0.1</v>
      </c>
      <c r="EP152">
        <v>0.1</v>
      </c>
      <c r="EQ152">
        <v>0.1</v>
      </c>
      <c r="ER152">
        <v>0.1</v>
      </c>
      <c r="ES152">
        <v>0.1</v>
      </c>
      <c r="ET152">
        <v>0.1</v>
      </c>
      <c r="EU152">
        <v>0.1</v>
      </c>
      <c r="EV152">
        <v>0.1</v>
      </c>
      <c r="EW152">
        <v>0.1</v>
      </c>
      <c r="EX152">
        <v>0.1</v>
      </c>
      <c r="EY152">
        <v>0.1</v>
      </c>
      <c r="EZ152">
        <v>0.1</v>
      </c>
      <c r="FA152">
        <v>0.1</v>
      </c>
      <c r="FB152">
        <v>0.1</v>
      </c>
      <c r="FC152">
        <v>0.1</v>
      </c>
      <c r="FD152">
        <v>0.1</v>
      </c>
      <c r="FE152">
        <v>0.1</v>
      </c>
      <c r="FF152">
        <v>0.1</v>
      </c>
      <c r="FG152">
        <v>0.1</v>
      </c>
      <c r="FH152">
        <v>0.1</v>
      </c>
      <c r="FI152">
        <v>0.1</v>
      </c>
      <c r="FJ152">
        <v>0.1</v>
      </c>
      <c r="FK152">
        <v>0.1</v>
      </c>
      <c r="FL152">
        <v>0.1</v>
      </c>
      <c r="FM152">
        <v>0.1</v>
      </c>
      <c r="FN152">
        <v>0.1</v>
      </c>
      <c r="FO152">
        <v>0.1</v>
      </c>
      <c r="FP152">
        <v>0.1</v>
      </c>
      <c r="FQ152">
        <v>0.1</v>
      </c>
      <c r="FU152">
        <v>149</v>
      </c>
      <c r="GB152">
        <v>0.1</v>
      </c>
      <c r="GC152">
        <v>0.1</v>
      </c>
      <c r="GD152">
        <v>0.1</v>
      </c>
      <c r="GE152">
        <v>0.1</v>
      </c>
      <c r="GF152">
        <v>0.1</v>
      </c>
      <c r="GG152">
        <v>0.1</v>
      </c>
      <c r="GH152">
        <v>0.1</v>
      </c>
      <c r="GI152">
        <v>0.1</v>
      </c>
      <c r="GJ152">
        <v>0.1</v>
      </c>
      <c r="GK152">
        <v>0.1</v>
      </c>
      <c r="GL152">
        <v>0.1</v>
      </c>
      <c r="GM152">
        <v>0.1</v>
      </c>
      <c r="GN152">
        <v>0.1</v>
      </c>
      <c r="GO152">
        <v>0.1</v>
      </c>
      <c r="GP152">
        <v>0.1</v>
      </c>
      <c r="GQ152">
        <v>0.1</v>
      </c>
      <c r="GR152">
        <v>0.1</v>
      </c>
      <c r="GS152">
        <v>0.1</v>
      </c>
      <c r="GT152">
        <v>0.1</v>
      </c>
      <c r="GU152">
        <v>0.1</v>
      </c>
      <c r="GV152">
        <v>0.1</v>
      </c>
      <c r="GW152">
        <v>0.1</v>
      </c>
      <c r="GX152">
        <v>0.1</v>
      </c>
      <c r="GY152">
        <v>0.1</v>
      </c>
      <c r="GZ152">
        <v>0.1</v>
      </c>
      <c r="HA152">
        <v>0.1</v>
      </c>
      <c r="HB152">
        <v>0.1</v>
      </c>
      <c r="HC152">
        <v>0.1</v>
      </c>
      <c r="HD152">
        <v>0.1</v>
      </c>
      <c r="HE152">
        <v>0.1</v>
      </c>
      <c r="HF152">
        <v>0.1</v>
      </c>
      <c r="HG152">
        <v>0.1</v>
      </c>
      <c r="HH152">
        <v>0.1</v>
      </c>
      <c r="HI152">
        <v>0.1</v>
      </c>
      <c r="HJ152">
        <v>0.1</v>
      </c>
      <c r="HK152">
        <v>0.1</v>
      </c>
      <c r="HL152">
        <v>0.1</v>
      </c>
      <c r="HM152">
        <v>0.1</v>
      </c>
      <c r="HN152">
        <v>0.1</v>
      </c>
      <c r="HO152">
        <v>0.1</v>
      </c>
    </row>
    <row r="153" spans="1:223" ht="15.75" thickBot="1" x14ac:dyDescent="0.3">
      <c r="A153">
        <v>150</v>
      </c>
      <c r="B153" s="269">
        <v>3.5</v>
      </c>
      <c r="C153" s="268">
        <v>2.5</v>
      </c>
      <c r="D153" s="2"/>
      <c r="E153" s="2"/>
      <c r="F153" s="2"/>
      <c r="G153" s="2"/>
      <c r="H153" s="258">
        <v>0.1</v>
      </c>
      <c r="I153" s="259">
        <v>0.1</v>
      </c>
      <c r="J153" s="259">
        <v>0.1</v>
      </c>
      <c r="K153" s="259">
        <v>0.1</v>
      </c>
      <c r="L153" s="259">
        <v>0.1</v>
      </c>
      <c r="M153" s="259">
        <v>0.1</v>
      </c>
      <c r="N153" s="259">
        <v>0.1</v>
      </c>
      <c r="O153" s="259">
        <v>0.1</v>
      </c>
      <c r="P153" s="259">
        <v>0.1</v>
      </c>
      <c r="Q153" s="259">
        <v>0.1</v>
      </c>
      <c r="R153" s="259">
        <v>0.1</v>
      </c>
      <c r="S153" s="259">
        <v>0.1</v>
      </c>
      <c r="T153" s="259">
        <v>0.1</v>
      </c>
      <c r="U153" s="259">
        <v>0.1</v>
      </c>
      <c r="V153" s="259">
        <v>0.1</v>
      </c>
      <c r="W153" s="259">
        <v>0.1</v>
      </c>
      <c r="X153" s="259">
        <v>0.1</v>
      </c>
      <c r="Y153" s="259">
        <v>0.1</v>
      </c>
      <c r="Z153" s="259">
        <v>0.1</v>
      </c>
      <c r="AA153" s="259">
        <v>0.1</v>
      </c>
      <c r="AB153" s="259">
        <v>0.1</v>
      </c>
      <c r="AC153" s="259">
        <v>0.1</v>
      </c>
      <c r="AD153" s="259">
        <v>0.1</v>
      </c>
      <c r="AE153" s="259">
        <v>0.1</v>
      </c>
      <c r="AF153" s="259">
        <v>0.1</v>
      </c>
      <c r="AG153" s="259">
        <v>0.1</v>
      </c>
      <c r="AH153" s="259">
        <v>0.1</v>
      </c>
      <c r="AI153" s="259">
        <v>0.1</v>
      </c>
      <c r="AJ153" s="259">
        <v>0.1</v>
      </c>
      <c r="AK153" s="259">
        <v>0.1</v>
      </c>
      <c r="AL153" s="259">
        <v>0.1</v>
      </c>
      <c r="AM153" s="259">
        <v>0.1</v>
      </c>
      <c r="AN153" s="259">
        <v>0.1</v>
      </c>
      <c r="AO153" s="259">
        <v>0.1</v>
      </c>
      <c r="AP153" s="260">
        <v>0.1</v>
      </c>
      <c r="AQ153" s="258">
        <v>0.1</v>
      </c>
      <c r="AR153" s="259">
        <v>0.1</v>
      </c>
      <c r="AS153" s="259">
        <v>0.1</v>
      </c>
      <c r="AT153" s="259">
        <v>0.1</v>
      </c>
      <c r="AU153" s="259">
        <v>0.1</v>
      </c>
      <c r="AV153" s="259">
        <v>0.1</v>
      </c>
      <c r="AW153" s="259">
        <v>0.1</v>
      </c>
      <c r="AX153" s="259">
        <v>0.1</v>
      </c>
      <c r="AY153" s="259">
        <v>0.1</v>
      </c>
      <c r="AZ153" s="259">
        <v>0.1</v>
      </c>
      <c r="BA153" s="259">
        <v>0.1</v>
      </c>
      <c r="BB153" s="259">
        <v>0.1</v>
      </c>
      <c r="BC153" s="259">
        <v>0.1</v>
      </c>
      <c r="BD153" s="259">
        <v>0.1</v>
      </c>
      <c r="BE153" s="259">
        <v>0.1</v>
      </c>
      <c r="BF153" s="259">
        <v>0.1</v>
      </c>
      <c r="BG153" s="259">
        <v>0.1</v>
      </c>
      <c r="BH153" s="259">
        <v>0.1</v>
      </c>
      <c r="BI153" s="259">
        <v>0.1</v>
      </c>
      <c r="BJ153" s="259">
        <v>0.1</v>
      </c>
      <c r="BK153" s="259">
        <v>0.1</v>
      </c>
      <c r="BL153" s="259">
        <v>0.1</v>
      </c>
      <c r="BM153" s="259">
        <v>0.1</v>
      </c>
      <c r="BN153" s="259">
        <v>0.1</v>
      </c>
      <c r="BO153" s="260">
        <v>0.1</v>
      </c>
      <c r="BS153">
        <v>150</v>
      </c>
      <c r="BT153" s="270">
        <v>3.68</v>
      </c>
      <c r="BU153" s="271">
        <v>2.12</v>
      </c>
      <c r="BV153" s="2"/>
      <c r="BW153" s="2"/>
      <c r="BX153" s="2"/>
      <c r="BY153" s="258">
        <v>0.1</v>
      </c>
      <c r="BZ153" s="259">
        <v>0.1</v>
      </c>
      <c r="CA153" s="259">
        <v>0.1</v>
      </c>
      <c r="CB153" s="259">
        <v>0.1</v>
      </c>
      <c r="CC153" s="259">
        <v>0.1</v>
      </c>
      <c r="CD153" s="259">
        <v>0.1</v>
      </c>
      <c r="CE153" s="259">
        <v>0.1</v>
      </c>
      <c r="CF153" s="259">
        <v>0.1</v>
      </c>
      <c r="CG153" s="259">
        <v>0.1</v>
      </c>
      <c r="CH153" s="259">
        <v>0.1</v>
      </c>
      <c r="CI153" s="259">
        <v>0.1</v>
      </c>
      <c r="CJ153" s="259">
        <v>0.1</v>
      </c>
      <c r="CK153" s="259">
        <v>0.1</v>
      </c>
      <c r="CL153" s="259">
        <v>0.1</v>
      </c>
      <c r="CM153" s="259">
        <v>0.1</v>
      </c>
      <c r="CN153" s="259">
        <v>0.1</v>
      </c>
      <c r="CO153" s="259">
        <v>0.1</v>
      </c>
      <c r="CP153" s="259">
        <v>0.1</v>
      </c>
      <c r="CQ153" s="259">
        <v>0.1</v>
      </c>
      <c r="CR153" s="259">
        <v>0.1</v>
      </c>
      <c r="CS153" s="259">
        <v>0.1</v>
      </c>
      <c r="CT153" s="259">
        <v>0.1</v>
      </c>
      <c r="CU153" s="259">
        <v>0.1</v>
      </c>
      <c r="CV153" s="259">
        <v>0.1</v>
      </c>
      <c r="CW153" s="259">
        <v>0.1</v>
      </c>
      <c r="CX153" s="259">
        <v>0.1</v>
      </c>
      <c r="CY153" s="259">
        <v>0.1</v>
      </c>
      <c r="CZ153" s="259">
        <v>0.1</v>
      </c>
      <c r="DA153" s="259">
        <v>0.1</v>
      </c>
      <c r="DB153" s="259">
        <v>0.1</v>
      </c>
      <c r="DC153" s="259">
        <v>0.1</v>
      </c>
      <c r="DD153" s="259">
        <v>0.1</v>
      </c>
      <c r="DE153" s="259">
        <v>0.1</v>
      </c>
      <c r="DF153" s="259">
        <v>0.1</v>
      </c>
      <c r="DG153" s="259">
        <v>0.1</v>
      </c>
      <c r="DH153" s="259">
        <v>0.1</v>
      </c>
      <c r="DI153" s="260">
        <v>0.1</v>
      </c>
      <c r="DJ153" s="258">
        <v>0.1</v>
      </c>
      <c r="DK153" s="259">
        <v>0.1</v>
      </c>
      <c r="DL153" s="259">
        <v>0.1</v>
      </c>
      <c r="DM153" s="259">
        <v>0.1</v>
      </c>
      <c r="DN153" s="259">
        <v>0.1</v>
      </c>
      <c r="DO153" s="259">
        <v>0.1</v>
      </c>
      <c r="DP153" s="259">
        <v>0.1</v>
      </c>
      <c r="DQ153" s="259">
        <v>0.1</v>
      </c>
      <c r="DR153" s="259">
        <v>0.1</v>
      </c>
      <c r="DS153" s="259">
        <v>0.1</v>
      </c>
      <c r="DT153" s="259">
        <v>0.1</v>
      </c>
      <c r="DU153" s="259">
        <v>0.1</v>
      </c>
      <c r="DV153" s="259">
        <v>0.1</v>
      </c>
      <c r="DW153" s="259">
        <v>0.1</v>
      </c>
      <c r="DX153" s="259">
        <v>0.1</v>
      </c>
      <c r="DY153" s="259">
        <v>0.1</v>
      </c>
      <c r="DZ153" s="259">
        <v>0.1</v>
      </c>
      <c r="EA153" s="259">
        <v>0.1</v>
      </c>
      <c r="EB153" s="259">
        <v>0.1</v>
      </c>
      <c r="EC153" s="259">
        <v>0.1</v>
      </c>
      <c r="ED153" s="259">
        <v>0.1</v>
      </c>
      <c r="EE153" s="260">
        <v>0.1</v>
      </c>
      <c r="EF153">
        <v>0.1</v>
      </c>
      <c r="EG153">
        <f t="shared" ref="EG153:EG159" si="12">SUM(EF153)</f>
        <v>0.1</v>
      </c>
      <c r="EJ153">
        <v>150</v>
      </c>
      <c r="EN153">
        <v>0.1</v>
      </c>
      <c r="EO153">
        <v>0.1</v>
      </c>
      <c r="EP153">
        <v>0.1</v>
      </c>
      <c r="EQ153">
        <v>0.1</v>
      </c>
      <c r="ER153">
        <v>0.1</v>
      </c>
      <c r="ES153">
        <v>0.1</v>
      </c>
      <c r="ET153">
        <v>0.1</v>
      </c>
      <c r="EU153">
        <v>0.1</v>
      </c>
      <c r="EV153">
        <v>0.1</v>
      </c>
      <c r="EW153">
        <v>0.1</v>
      </c>
      <c r="EX153">
        <v>0.1</v>
      </c>
      <c r="EY153">
        <v>0.1</v>
      </c>
      <c r="EZ153">
        <v>0.1</v>
      </c>
      <c r="FA153">
        <v>0.1</v>
      </c>
      <c r="FB153">
        <v>0.1</v>
      </c>
      <c r="FC153">
        <v>0.1</v>
      </c>
      <c r="FD153">
        <v>0.1</v>
      </c>
      <c r="FE153">
        <v>0.1</v>
      </c>
      <c r="FF153">
        <v>0.1</v>
      </c>
      <c r="FG153">
        <v>0.1</v>
      </c>
      <c r="FH153">
        <v>0.1</v>
      </c>
      <c r="FI153">
        <v>0.1</v>
      </c>
      <c r="FJ153">
        <v>0.1</v>
      </c>
      <c r="FK153">
        <v>0.1</v>
      </c>
      <c r="FL153">
        <v>0.1</v>
      </c>
      <c r="FM153">
        <v>0.1</v>
      </c>
      <c r="FN153">
        <v>0.1</v>
      </c>
      <c r="FO153">
        <v>0.1</v>
      </c>
      <c r="FP153">
        <v>0.1</v>
      </c>
      <c r="FQ153">
        <v>0.1</v>
      </c>
      <c r="FU153">
        <v>150</v>
      </c>
      <c r="GB153">
        <v>0.1</v>
      </c>
      <c r="GC153">
        <v>0.1</v>
      </c>
      <c r="GD153">
        <v>0.1</v>
      </c>
      <c r="GE153">
        <v>0.1</v>
      </c>
      <c r="GF153">
        <v>0.1</v>
      </c>
      <c r="GG153">
        <v>0.1</v>
      </c>
      <c r="GH153">
        <v>0.1</v>
      </c>
      <c r="GI153">
        <v>0.1</v>
      </c>
      <c r="GJ153">
        <v>0.1</v>
      </c>
      <c r="GK153">
        <v>0.1</v>
      </c>
      <c r="GL153">
        <v>0.1</v>
      </c>
      <c r="GM153">
        <v>0.1</v>
      </c>
      <c r="GN153">
        <v>0.1</v>
      </c>
      <c r="GO153">
        <v>0.1</v>
      </c>
      <c r="GP153">
        <v>0.1</v>
      </c>
      <c r="GQ153">
        <v>0.1</v>
      </c>
      <c r="GR153">
        <v>0.1</v>
      </c>
      <c r="GS153">
        <v>0.1</v>
      </c>
      <c r="GT153">
        <v>0.1</v>
      </c>
      <c r="GU153">
        <v>0.1</v>
      </c>
      <c r="GV153">
        <v>0.1</v>
      </c>
      <c r="GW153">
        <v>0.1</v>
      </c>
      <c r="GX153">
        <v>0.1</v>
      </c>
      <c r="GY153">
        <v>0.1</v>
      </c>
      <c r="GZ153">
        <v>0.1</v>
      </c>
      <c r="HA153">
        <v>0.1</v>
      </c>
      <c r="HB153">
        <v>0.1</v>
      </c>
      <c r="HC153">
        <v>0.1</v>
      </c>
      <c r="HD153">
        <v>0.1</v>
      </c>
      <c r="HE153">
        <v>0.1</v>
      </c>
      <c r="HF153">
        <v>0.1</v>
      </c>
      <c r="HG153">
        <v>0.1</v>
      </c>
      <c r="HH153">
        <v>0.1</v>
      </c>
      <c r="HI153">
        <v>0.1</v>
      </c>
      <c r="HJ153">
        <v>0.1</v>
      </c>
      <c r="HK153">
        <v>0.1</v>
      </c>
      <c r="HL153">
        <v>0.1</v>
      </c>
      <c r="HM153">
        <v>0.1</v>
      </c>
      <c r="HN153">
        <v>0.1</v>
      </c>
      <c r="HO153">
        <v>0.1</v>
      </c>
    </row>
    <row r="154" spans="1:223" ht="15.75" thickBot="1" x14ac:dyDescent="0.3">
      <c r="A154">
        <v>151</v>
      </c>
      <c r="B154" s="268">
        <v>3.5</v>
      </c>
      <c r="C154" s="269">
        <v>2.5</v>
      </c>
      <c r="D154" s="2"/>
      <c r="E154" s="2"/>
      <c r="F154" s="2"/>
      <c r="G154" s="2"/>
      <c r="H154" s="258">
        <v>0.1</v>
      </c>
      <c r="I154" s="259">
        <v>0.1</v>
      </c>
      <c r="J154" s="259">
        <v>0.1</v>
      </c>
      <c r="K154" s="259">
        <v>0.1</v>
      </c>
      <c r="L154" s="259">
        <v>0.1</v>
      </c>
      <c r="M154" s="259">
        <v>0.1</v>
      </c>
      <c r="N154" s="259">
        <v>0.1</v>
      </c>
      <c r="O154" s="259">
        <v>0.1</v>
      </c>
      <c r="P154" s="259">
        <v>0.1</v>
      </c>
      <c r="Q154" s="259">
        <v>0.1</v>
      </c>
      <c r="R154" s="259">
        <v>0.1</v>
      </c>
      <c r="S154" s="259">
        <v>0.1</v>
      </c>
      <c r="T154" s="259">
        <v>0.1</v>
      </c>
      <c r="U154" s="259">
        <v>0.1</v>
      </c>
      <c r="V154" s="259">
        <v>0.1</v>
      </c>
      <c r="W154" s="259">
        <v>0.1</v>
      </c>
      <c r="X154" s="259">
        <v>0.1</v>
      </c>
      <c r="Y154" s="259">
        <v>0.1</v>
      </c>
      <c r="Z154" s="259">
        <v>0.1</v>
      </c>
      <c r="AA154" s="259">
        <v>0.1</v>
      </c>
      <c r="AB154" s="259">
        <v>0.1</v>
      </c>
      <c r="AC154" s="259">
        <v>0.1</v>
      </c>
      <c r="AD154" s="259">
        <v>0.1</v>
      </c>
      <c r="AE154" s="259">
        <v>0.1</v>
      </c>
      <c r="AF154" s="259">
        <v>0.1</v>
      </c>
      <c r="AG154" s="259">
        <v>0.1</v>
      </c>
      <c r="AH154" s="259">
        <v>0.1</v>
      </c>
      <c r="AI154" s="259">
        <v>0.1</v>
      </c>
      <c r="AJ154" s="259">
        <v>0.1</v>
      </c>
      <c r="AK154" s="259">
        <v>0.1</v>
      </c>
      <c r="AL154" s="259">
        <v>0.1</v>
      </c>
      <c r="AM154" s="259">
        <v>0.1</v>
      </c>
      <c r="AN154" s="259">
        <v>0.1</v>
      </c>
      <c r="AO154" s="259">
        <v>0.1</v>
      </c>
      <c r="AP154" s="260">
        <v>0.1</v>
      </c>
      <c r="AQ154" s="258">
        <v>0.1</v>
      </c>
      <c r="AR154" s="259">
        <v>0.1</v>
      </c>
      <c r="AS154" s="259">
        <v>0.1</v>
      </c>
      <c r="AT154" s="259">
        <v>0.1</v>
      </c>
      <c r="AU154" s="259">
        <v>0.1</v>
      </c>
      <c r="AV154" s="259">
        <v>0.1</v>
      </c>
      <c r="AW154" s="259">
        <v>0.1</v>
      </c>
      <c r="AX154" s="259">
        <v>0.1</v>
      </c>
      <c r="AY154" s="259">
        <v>0.1</v>
      </c>
      <c r="AZ154" s="259">
        <v>0.1</v>
      </c>
      <c r="BA154" s="259">
        <v>0.1</v>
      </c>
      <c r="BB154" s="259">
        <v>0.1</v>
      </c>
      <c r="BC154" s="259">
        <v>0.1</v>
      </c>
      <c r="BD154" s="259">
        <v>0.1</v>
      </c>
      <c r="BE154" s="259">
        <v>0.1</v>
      </c>
      <c r="BF154" s="259">
        <v>0.1</v>
      </c>
      <c r="BG154" s="259">
        <v>0.1</v>
      </c>
      <c r="BH154" s="259">
        <v>0.1</v>
      </c>
      <c r="BI154" s="259">
        <v>0.1</v>
      </c>
      <c r="BJ154" s="259">
        <v>0.1</v>
      </c>
      <c r="BK154" s="259">
        <v>0.1</v>
      </c>
      <c r="BL154" s="259">
        <v>0.1</v>
      </c>
      <c r="BM154" s="259">
        <v>0.1</v>
      </c>
      <c r="BN154" s="259">
        <v>0.1</v>
      </c>
      <c r="BO154" s="260">
        <v>0.1</v>
      </c>
      <c r="BS154">
        <v>151</v>
      </c>
      <c r="BT154" s="271">
        <v>3.68</v>
      </c>
      <c r="BU154" s="270">
        <v>2.13</v>
      </c>
      <c r="BV154" s="2"/>
      <c r="BW154" s="2"/>
      <c r="BX154" s="2"/>
      <c r="BY154" s="258">
        <v>0.1</v>
      </c>
      <c r="BZ154" s="259">
        <v>0.1</v>
      </c>
      <c r="CA154" s="259">
        <v>0.1</v>
      </c>
      <c r="CB154" s="259">
        <v>0.1</v>
      </c>
      <c r="CC154" s="259">
        <v>0.1</v>
      </c>
      <c r="CD154" s="259">
        <v>0.1</v>
      </c>
      <c r="CE154" s="259">
        <v>0.1</v>
      </c>
      <c r="CF154" s="259">
        <v>0.1</v>
      </c>
      <c r="CG154" s="259">
        <v>0.1</v>
      </c>
      <c r="CH154" s="259">
        <v>0.1</v>
      </c>
      <c r="CI154" s="259">
        <v>0.1</v>
      </c>
      <c r="CJ154" s="259">
        <v>0.1</v>
      </c>
      <c r="CK154" s="259">
        <v>0.1</v>
      </c>
      <c r="CL154" s="259">
        <v>0.1</v>
      </c>
      <c r="CM154" s="259">
        <v>0.1</v>
      </c>
      <c r="CN154" s="259">
        <v>0.1</v>
      </c>
      <c r="CO154" s="259">
        <v>0.1</v>
      </c>
      <c r="CP154" s="259">
        <v>0.1</v>
      </c>
      <c r="CQ154" s="259">
        <v>0.1</v>
      </c>
      <c r="CR154" s="259">
        <v>0.1</v>
      </c>
      <c r="CS154" s="259">
        <v>0.1</v>
      </c>
      <c r="CT154" s="259">
        <v>0.1</v>
      </c>
      <c r="CU154" s="259">
        <v>0.1</v>
      </c>
      <c r="CV154" s="259">
        <v>0.1</v>
      </c>
      <c r="CW154" s="259">
        <v>0.1</v>
      </c>
      <c r="CX154" s="259">
        <v>0.1</v>
      </c>
      <c r="CY154" s="259">
        <v>0.1</v>
      </c>
      <c r="CZ154" s="259">
        <v>0.1</v>
      </c>
      <c r="DA154" s="259">
        <v>0.1</v>
      </c>
      <c r="DB154" s="259">
        <v>0.1</v>
      </c>
      <c r="DC154" s="259">
        <v>0.1</v>
      </c>
      <c r="DD154" s="259">
        <v>0.1</v>
      </c>
      <c r="DE154" s="259">
        <v>0.1</v>
      </c>
      <c r="DF154" s="259">
        <v>0.1</v>
      </c>
      <c r="DG154" s="259">
        <v>0.1</v>
      </c>
      <c r="DH154" s="259">
        <v>0.1</v>
      </c>
      <c r="DI154" s="260">
        <v>0.1</v>
      </c>
      <c r="DJ154" s="258">
        <v>0.1</v>
      </c>
      <c r="DK154" s="259">
        <v>0.1</v>
      </c>
      <c r="DL154" s="259">
        <v>0.1</v>
      </c>
      <c r="DM154" s="259">
        <v>0.1</v>
      </c>
      <c r="DN154" s="259">
        <v>0.1</v>
      </c>
      <c r="DO154" s="259">
        <v>0.1</v>
      </c>
      <c r="DP154" s="259">
        <v>0.1</v>
      </c>
      <c r="DQ154" s="259">
        <v>0.1</v>
      </c>
      <c r="DR154" s="259">
        <v>0.1</v>
      </c>
      <c r="DS154" s="259">
        <v>0.1</v>
      </c>
      <c r="DT154" s="259">
        <v>0.1</v>
      </c>
      <c r="DU154" s="259">
        <v>0.1</v>
      </c>
      <c r="DV154" s="259">
        <v>0.1</v>
      </c>
      <c r="DW154" s="259">
        <v>0.1</v>
      </c>
      <c r="DX154" s="259">
        <v>0.1</v>
      </c>
      <c r="DY154" s="259">
        <v>0.1</v>
      </c>
      <c r="DZ154" s="259">
        <v>0.1</v>
      </c>
      <c r="EA154" s="259">
        <v>0.1</v>
      </c>
      <c r="EB154" s="259">
        <v>0.1</v>
      </c>
      <c r="EC154" s="259">
        <v>0.1</v>
      </c>
      <c r="ED154" s="259">
        <v>0.1</v>
      </c>
      <c r="EE154" s="260">
        <v>0.1</v>
      </c>
      <c r="EF154">
        <v>0.1</v>
      </c>
      <c r="EG154">
        <f t="shared" si="12"/>
        <v>0.1</v>
      </c>
      <c r="EJ154">
        <v>151</v>
      </c>
      <c r="EN154">
        <v>0.1</v>
      </c>
      <c r="EO154">
        <v>0.1</v>
      </c>
      <c r="EP154">
        <v>0.1</v>
      </c>
      <c r="EQ154">
        <v>0.1</v>
      </c>
      <c r="ER154">
        <v>0.1</v>
      </c>
      <c r="ES154">
        <v>0.1</v>
      </c>
      <c r="ET154">
        <v>0.1</v>
      </c>
      <c r="EU154">
        <v>0.1</v>
      </c>
      <c r="EV154">
        <v>0.1</v>
      </c>
      <c r="EW154">
        <v>0.1</v>
      </c>
      <c r="EX154">
        <v>0.1</v>
      </c>
      <c r="EY154">
        <v>0.1</v>
      </c>
      <c r="EZ154">
        <v>0.1</v>
      </c>
      <c r="FA154">
        <v>0.1</v>
      </c>
      <c r="FB154">
        <v>0.1</v>
      </c>
      <c r="FC154">
        <v>0.1</v>
      </c>
      <c r="FD154">
        <v>0.1</v>
      </c>
      <c r="FE154">
        <v>0.1</v>
      </c>
      <c r="FF154">
        <v>0.1</v>
      </c>
      <c r="FG154">
        <v>0.1</v>
      </c>
      <c r="FH154">
        <v>0.1</v>
      </c>
      <c r="FI154">
        <v>0.1</v>
      </c>
      <c r="FJ154">
        <v>0.1</v>
      </c>
      <c r="FK154">
        <v>0.1</v>
      </c>
      <c r="FL154">
        <v>0.1</v>
      </c>
      <c r="FM154">
        <v>0.1</v>
      </c>
      <c r="FN154">
        <v>0.1</v>
      </c>
      <c r="FO154">
        <v>0.1</v>
      </c>
      <c r="FP154">
        <v>0.1</v>
      </c>
      <c r="FQ154">
        <v>0.1</v>
      </c>
      <c r="FU154">
        <v>151</v>
      </c>
      <c r="GB154">
        <v>0.1</v>
      </c>
      <c r="GC154">
        <v>0.1</v>
      </c>
      <c r="GD154">
        <v>0.1</v>
      </c>
      <c r="GE154">
        <v>0.1</v>
      </c>
      <c r="GF154">
        <v>0.1</v>
      </c>
      <c r="GG154">
        <v>0.1</v>
      </c>
      <c r="GH154">
        <v>0.1</v>
      </c>
      <c r="GI154">
        <v>0.1</v>
      </c>
      <c r="GJ154">
        <v>0.1</v>
      </c>
      <c r="GK154">
        <v>0.1</v>
      </c>
      <c r="GL154">
        <v>0.1</v>
      </c>
      <c r="GM154">
        <v>0.1</v>
      </c>
      <c r="GN154">
        <v>0.1</v>
      </c>
      <c r="GO154">
        <v>0.1</v>
      </c>
      <c r="GP154">
        <v>0.1</v>
      </c>
      <c r="GQ154">
        <v>0.1</v>
      </c>
      <c r="GR154">
        <v>0.1</v>
      </c>
      <c r="GS154">
        <v>0.1</v>
      </c>
      <c r="GT154">
        <v>0.1</v>
      </c>
      <c r="GU154">
        <v>0.1</v>
      </c>
      <c r="GV154">
        <v>0.1</v>
      </c>
      <c r="GW154">
        <v>0.1</v>
      </c>
      <c r="GX154">
        <v>0.1</v>
      </c>
      <c r="GY154">
        <v>0.1</v>
      </c>
      <c r="GZ154">
        <v>0.1</v>
      </c>
      <c r="HA154">
        <v>0.1</v>
      </c>
      <c r="HB154">
        <v>0.1</v>
      </c>
      <c r="HC154">
        <v>0.1</v>
      </c>
      <c r="HD154">
        <v>0.1</v>
      </c>
      <c r="HE154">
        <v>0.1</v>
      </c>
      <c r="HF154">
        <v>0.1</v>
      </c>
      <c r="HG154">
        <v>0.1</v>
      </c>
      <c r="HH154">
        <v>0.1</v>
      </c>
      <c r="HI154">
        <v>0.1</v>
      </c>
      <c r="HJ154">
        <v>0.1</v>
      </c>
      <c r="HK154">
        <v>0.1</v>
      </c>
      <c r="HL154">
        <v>0.1</v>
      </c>
      <c r="HM154">
        <v>0.1</v>
      </c>
      <c r="HN154">
        <v>0.1</v>
      </c>
      <c r="HO154">
        <v>0.1</v>
      </c>
    </row>
    <row r="155" spans="1:223" ht="15.75" thickBot="1" x14ac:dyDescent="0.3">
      <c r="A155">
        <v>152</v>
      </c>
      <c r="B155" s="269">
        <v>3.5</v>
      </c>
      <c r="C155" s="268">
        <v>2.5</v>
      </c>
      <c r="D155" s="2"/>
      <c r="E155" s="2"/>
      <c r="F155" s="2"/>
      <c r="G155" s="2"/>
      <c r="H155" s="258">
        <v>0.1</v>
      </c>
      <c r="I155" s="259">
        <v>0.1</v>
      </c>
      <c r="J155" s="259">
        <v>0.1</v>
      </c>
      <c r="K155" s="259">
        <v>0.1</v>
      </c>
      <c r="L155" s="259">
        <v>0.1</v>
      </c>
      <c r="M155" s="259">
        <v>0.1</v>
      </c>
      <c r="N155" s="259">
        <v>0.1</v>
      </c>
      <c r="O155" s="259">
        <v>0.1</v>
      </c>
      <c r="P155" s="259">
        <v>0.1</v>
      </c>
      <c r="Q155" s="259">
        <v>0.1</v>
      </c>
      <c r="R155" s="259">
        <v>0.1</v>
      </c>
      <c r="S155" s="259">
        <v>0.1</v>
      </c>
      <c r="T155" s="259">
        <v>0.1</v>
      </c>
      <c r="U155" s="259">
        <v>0.1</v>
      </c>
      <c r="V155" s="259">
        <v>0.1</v>
      </c>
      <c r="W155" s="259">
        <v>0.1</v>
      </c>
      <c r="X155" s="259">
        <v>0.1</v>
      </c>
      <c r="Y155" s="259">
        <v>0.1</v>
      </c>
      <c r="Z155" s="259">
        <v>0.1</v>
      </c>
      <c r="AA155" s="259">
        <v>0.1</v>
      </c>
      <c r="AB155" s="259">
        <v>0.1</v>
      </c>
      <c r="AC155" s="259">
        <v>0.1</v>
      </c>
      <c r="AD155" s="259">
        <v>0.1</v>
      </c>
      <c r="AE155" s="259">
        <v>0.1</v>
      </c>
      <c r="AF155" s="259">
        <v>0.1</v>
      </c>
      <c r="AG155" s="259">
        <v>0.1</v>
      </c>
      <c r="AH155" s="259">
        <v>0.1</v>
      </c>
      <c r="AI155" s="259">
        <v>0.1</v>
      </c>
      <c r="AJ155" s="259">
        <v>0.1</v>
      </c>
      <c r="AK155" s="259">
        <v>0.1</v>
      </c>
      <c r="AL155" s="259">
        <v>0.1</v>
      </c>
      <c r="AM155" s="259">
        <v>0.1</v>
      </c>
      <c r="AN155" s="259">
        <v>0.1</v>
      </c>
      <c r="AO155" s="259">
        <v>0.1</v>
      </c>
      <c r="AP155" s="260">
        <v>0.1</v>
      </c>
      <c r="AQ155" s="258">
        <v>0.1</v>
      </c>
      <c r="AR155" s="259">
        <v>0.1</v>
      </c>
      <c r="AS155" s="259">
        <v>0.1</v>
      </c>
      <c r="AT155" s="259">
        <v>0.1</v>
      </c>
      <c r="AU155" s="259">
        <v>0.1</v>
      </c>
      <c r="AV155" s="259">
        <v>0.1</v>
      </c>
      <c r="AW155" s="259">
        <v>0.1</v>
      </c>
      <c r="AX155" s="259">
        <v>0.1</v>
      </c>
      <c r="AY155" s="259">
        <v>0.1</v>
      </c>
      <c r="AZ155" s="259">
        <v>0.1</v>
      </c>
      <c r="BA155" s="259">
        <v>0.1</v>
      </c>
      <c r="BB155" s="259">
        <v>0.1</v>
      </c>
      <c r="BC155" s="259">
        <v>0.1</v>
      </c>
      <c r="BD155" s="259">
        <v>0.1</v>
      </c>
      <c r="BE155" s="259">
        <v>0.1</v>
      </c>
      <c r="BF155" s="259">
        <v>0.1</v>
      </c>
      <c r="BG155" s="259">
        <v>0.1</v>
      </c>
      <c r="BH155" s="259">
        <v>0.1</v>
      </c>
      <c r="BI155" s="259">
        <v>0.1</v>
      </c>
      <c r="BJ155" s="259">
        <v>0.1</v>
      </c>
      <c r="BK155" s="259">
        <v>0.1</v>
      </c>
      <c r="BL155" s="259">
        <v>0.1</v>
      </c>
      <c r="BM155" s="259">
        <v>0.1</v>
      </c>
      <c r="BN155" s="259">
        <v>0.1</v>
      </c>
      <c r="BO155" s="260">
        <v>0.1</v>
      </c>
      <c r="BQ155" s="2"/>
      <c r="BS155">
        <v>152</v>
      </c>
      <c r="BT155" s="270">
        <v>3.66</v>
      </c>
      <c r="BU155" s="271">
        <v>2.1800000000000002</v>
      </c>
      <c r="BV155" s="2"/>
      <c r="BW155" s="2"/>
      <c r="BX155" s="2"/>
      <c r="BY155" s="258">
        <v>0.1</v>
      </c>
      <c r="BZ155" s="259">
        <v>0.1</v>
      </c>
      <c r="CA155" s="259">
        <v>0.1</v>
      </c>
      <c r="CB155" s="259">
        <v>0.1</v>
      </c>
      <c r="CC155" s="259">
        <v>0.1</v>
      </c>
      <c r="CD155" s="259">
        <v>0.1</v>
      </c>
      <c r="CE155" s="259">
        <v>0.1</v>
      </c>
      <c r="CF155" s="259">
        <v>0.1</v>
      </c>
      <c r="CG155" s="259">
        <v>0.1</v>
      </c>
      <c r="CH155" s="259">
        <v>0.1</v>
      </c>
      <c r="CI155" s="259">
        <v>0.1</v>
      </c>
      <c r="CJ155" s="259">
        <v>0.1</v>
      </c>
      <c r="CK155" s="259">
        <v>0.1</v>
      </c>
      <c r="CL155" s="259">
        <v>0.1</v>
      </c>
      <c r="CM155" s="259">
        <v>0.1</v>
      </c>
      <c r="CN155" s="259">
        <v>0.1</v>
      </c>
      <c r="CO155" s="259">
        <v>0.1</v>
      </c>
      <c r="CP155" s="259">
        <v>0.1</v>
      </c>
      <c r="CQ155" s="259">
        <v>0.1</v>
      </c>
      <c r="CR155" s="259">
        <v>0.1</v>
      </c>
      <c r="CS155" s="259">
        <v>0.1</v>
      </c>
      <c r="CT155" s="259">
        <v>0.1</v>
      </c>
      <c r="CU155" s="259">
        <v>0.1</v>
      </c>
      <c r="CV155" s="259">
        <v>0.1</v>
      </c>
      <c r="CW155" s="259">
        <v>0.1</v>
      </c>
      <c r="CX155" s="259">
        <v>0.1</v>
      </c>
      <c r="CY155" s="259">
        <v>0.1</v>
      </c>
      <c r="CZ155" s="259">
        <v>0.1</v>
      </c>
      <c r="DA155" s="259">
        <v>0.1</v>
      </c>
      <c r="DB155" s="259">
        <v>0.1</v>
      </c>
      <c r="DC155" s="259">
        <v>0.1</v>
      </c>
      <c r="DD155" s="259">
        <v>0.1</v>
      </c>
      <c r="DE155" s="259">
        <v>0.1</v>
      </c>
      <c r="DF155" s="259">
        <v>0.1</v>
      </c>
      <c r="DG155" s="259">
        <v>0.1</v>
      </c>
      <c r="DH155" s="259">
        <v>0.1</v>
      </c>
      <c r="DI155" s="260">
        <v>0.1</v>
      </c>
      <c r="DJ155" s="258">
        <v>0.1</v>
      </c>
      <c r="DK155" s="259">
        <v>0.1</v>
      </c>
      <c r="DL155" s="259">
        <v>0.1</v>
      </c>
      <c r="DM155" s="259">
        <v>0.1</v>
      </c>
      <c r="DN155" s="259">
        <v>0.1</v>
      </c>
      <c r="DO155" s="259">
        <v>0.1</v>
      </c>
      <c r="DP155" s="259">
        <v>0.1</v>
      </c>
      <c r="DQ155" s="259">
        <v>0.1</v>
      </c>
      <c r="DR155" s="259">
        <v>0.1</v>
      </c>
      <c r="DS155" s="259">
        <v>0.1</v>
      </c>
      <c r="DT155" s="259">
        <v>0.1</v>
      </c>
      <c r="DU155" s="259">
        <v>0.1</v>
      </c>
      <c r="DV155" s="259">
        <v>0.1</v>
      </c>
      <c r="DW155" s="259">
        <v>0.1</v>
      </c>
      <c r="DX155" s="259">
        <v>0.1</v>
      </c>
      <c r="DY155" s="259">
        <v>0.1</v>
      </c>
      <c r="DZ155" s="259">
        <v>0.1</v>
      </c>
      <c r="EA155" s="259">
        <v>0.1</v>
      </c>
      <c r="EB155" s="259">
        <v>0.1</v>
      </c>
      <c r="EC155" s="259">
        <v>0.1</v>
      </c>
      <c r="ED155" s="259">
        <v>0.1</v>
      </c>
      <c r="EE155" s="260">
        <v>0.1</v>
      </c>
      <c r="EF155">
        <v>0.1</v>
      </c>
      <c r="EG155">
        <f t="shared" si="12"/>
        <v>0.1</v>
      </c>
      <c r="EJ155">
        <v>152</v>
      </c>
      <c r="EN155">
        <v>0.1</v>
      </c>
      <c r="EO155">
        <v>0.1</v>
      </c>
      <c r="EP155">
        <v>0.1</v>
      </c>
      <c r="EQ155">
        <v>0.1</v>
      </c>
      <c r="ER155">
        <v>0.1</v>
      </c>
      <c r="ES155">
        <v>0.1</v>
      </c>
      <c r="ET155">
        <v>0.1</v>
      </c>
      <c r="EU155">
        <v>0.1</v>
      </c>
      <c r="EV155">
        <v>0.1</v>
      </c>
      <c r="EW155">
        <v>0.1</v>
      </c>
      <c r="EX155">
        <v>0.1</v>
      </c>
      <c r="EY155">
        <v>0.1</v>
      </c>
      <c r="EZ155">
        <v>0.1</v>
      </c>
      <c r="FA155">
        <v>0.1</v>
      </c>
      <c r="FB155">
        <v>0.1</v>
      </c>
      <c r="FC155">
        <v>0.1</v>
      </c>
      <c r="FD155">
        <v>0.1</v>
      </c>
      <c r="FE155">
        <v>0.1</v>
      </c>
      <c r="FF155">
        <v>0.1</v>
      </c>
      <c r="FG155">
        <v>0.1</v>
      </c>
      <c r="FH155">
        <v>0.1</v>
      </c>
      <c r="FI155">
        <v>0.1</v>
      </c>
      <c r="FJ155">
        <v>0.1</v>
      </c>
      <c r="FK155">
        <v>0.1</v>
      </c>
      <c r="FL155">
        <v>0.1</v>
      </c>
      <c r="FM155">
        <v>0.1</v>
      </c>
      <c r="FN155">
        <v>0.1</v>
      </c>
      <c r="FO155">
        <v>0.1</v>
      </c>
      <c r="FP155">
        <v>0.1</v>
      </c>
      <c r="FQ155">
        <v>0.1</v>
      </c>
      <c r="FU155">
        <v>152</v>
      </c>
      <c r="GB155">
        <v>0.1</v>
      </c>
      <c r="GC155">
        <v>0.1</v>
      </c>
      <c r="GD155">
        <v>0.1</v>
      </c>
      <c r="GE155">
        <v>0.1</v>
      </c>
      <c r="GF155">
        <v>0.1</v>
      </c>
      <c r="GG155">
        <v>0.1</v>
      </c>
      <c r="GH155">
        <v>0.1</v>
      </c>
      <c r="GI155">
        <v>0.1</v>
      </c>
      <c r="GJ155">
        <v>0.1</v>
      </c>
      <c r="GK155">
        <v>0.1</v>
      </c>
      <c r="GL155">
        <v>0.1</v>
      </c>
      <c r="GM155">
        <v>0.1</v>
      </c>
      <c r="GN155">
        <v>0.1</v>
      </c>
      <c r="GO155">
        <v>0.1</v>
      </c>
      <c r="GP155">
        <v>0.1</v>
      </c>
      <c r="GQ155">
        <v>0.1</v>
      </c>
      <c r="GR155">
        <v>0.1</v>
      </c>
      <c r="GS155">
        <v>0.1</v>
      </c>
      <c r="GT155">
        <v>0.1</v>
      </c>
      <c r="GU155">
        <v>0.1</v>
      </c>
      <c r="GV155">
        <v>0.1</v>
      </c>
      <c r="GW155">
        <v>0.1</v>
      </c>
      <c r="GX155">
        <v>0.1</v>
      </c>
      <c r="GY155">
        <v>0.1</v>
      </c>
      <c r="GZ155">
        <v>0.1</v>
      </c>
      <c r="HA155">
        <v>0.1</v>
      </c>
      <c r="HB155">
        <v>0.1</v>
      </c>
      <c r="HC155">
        <v>0.1</v>
      </c>
      <c r="HD155">
        <v>0.1</v>
      </c>
      <c r="HE155">
        <v>0.1</v>
      </c>
      <c r="HF155">
        <v>0.1</v>
      </c>
      <c r="HG155">
        <v>0.1</v>
      </c>
      <c r="HH155">
        <v>0.1</v>
      </c>
      <c r="HI155">
        <v>0.1</v>
      </c>
      <c r="HJ155">
        <v>0.1</v>
      </c>
      <c r="HK155">
        <v>0.1</v>
      </c>
      <c r="HL155">
        <v>0.1</v>
      </c>
      <c r="HM155">
        <v>0.1</v>
      </c>
      <c r="HN155">
        <v>0.1</v>
      </c>
      <c r="HO155">
        <v>0.1</v>
      </c>
    </row>
    <row r="156" spans="1:223" ht="15.75" thickBot="1" x14ac:dyDescent="0.3">
      <c r="A156">
        <v>153</v>
      </c>
      <c r="B156" s="268">
        <v>3.48</v>
      </c>
      <c r="C156" s="269">
        <v>2.5</v>
      </c>
      <c r="D156" s="2"/>
      <c r="E156" s="2"/>
      <c r="F156" s="2"/>
      <c r="G156" s="2"/>
      <c r="H156" s="258">
        <v>0.1</v>
      </c>
      <c r="I156" s="259">
        <v>0.1</v>
      </c>
      <c r="J156" s="259">
        <v>0.1</v>
      </c>
      <c r="K156" s="259">
        <v>0.1</v>
      </c>
      <c r="L156" s="259">
        <v>0.1</v>
      </c>
      <c r="M156" s="259">
        <v>0.1</v>
      </c>
      <c r="N156" s="259">
        <v>0.1</v>
      </c>
      <c r="O156" s="259">
        <v>0.1</v>
      </c>
      <c r="P156" s="259">
        <v>0.1</v>
      </c>
      <c r="Q156" s="259">
        <v>0.1</v>
      </c>
      <c r="R156" s="259">
        <v>0.1</v>
      </c>
      <c r="S156" s="259">
        <v>0.1</v>
      </c>
      <c r="T156" s="259">
        <v>0.1</v>
      </c>
      <c r="U156" s="259">
        <v>0.1</v>
      </c>
      <c r="V156" s="259">
        <v>0.1</v>
      </c>
      <c r="W156" s="259">
        <v>0.1</v>
      </c>
      <c r="X156" s="259">
        <v>0.1</v>
      </c>
      <c r="Y156" s="259">
        <v>0.1</v>
      </c>
      <c r="Z156" s="259">
        <v>0.1</v>
      </c>
      <c r="AA156" s="259">
        <v>0.1</v>
      </c>
      <c r="AB156" s="259">
        <v>0.1</v>
      </c>
      <c r="AC156" s="259">
        <v>0.1</v>
      </c>
      <c r="AD156" s="259">
        <v>0.1</v>
      </c>
      <c r="AE156" s="259">
        <v>0.1</v>
      </c>
      <c r="AF156" s="259">
        <v>0.1</v>
      </c>
      <c r="AG156" s="259">
        <v>0.1</v>
      </c>
      <c r="AH156" s="259">
        <v>0.1</v>
      </c>
      <c r="AI156" s="259">
        <v>0.1</v>
      </c>
      <c r="AJ156" s="259">
        <v>0.1</v>
      </c>
      <c r="AK156" s="259">
        <v>0.1</v>
      </c>
      <c r="AL156" s="259">
        <v>0.1</v>
      </c>
      <c r="AM156" s="259">
        <v>0.1</v>
      </c>
      <c r="AN156" s="259">
        <v>0.1</v>
      </c>
      <c r="AO156" s="259">
        <v>0.1</v>
      </c>
      <c r="AP156" s="260">
        <v>0.1</v>
      </c>
      <c r="AQ156" s="258">
        <v>0.1</v>
      </c>
      <c r="AR156" s="259">
        <v>0.1</v>
      </c>
      <c r="AS156" s="259">
        <v>0.1</v>
      </c>
      <c r="AT156" s="259">
        <v>0.1</v>
      </c>
      <c r="AU156" s="259">
        <v>0.1</v>
      </c>
      <c r="AV156" s="259">
        <v>0.1</v>
      </c>
      <c r="AW156" s="259">
        <v>0.1</v>
      </c>
      <c r="AX156" s="259">
        <v>0.1</v>
      </c>
      <c r="AY156" s="259">
        <v>0.1</v>
      </c>
      <c r="AZ156" s="259">
        <v>0.1</v>
      </c>
      <c r="BA156" s="259">
        <v>0.1</v>
      </c>
      <c r="BB156" s="259">
        <v>0.1</v>
      </c>
      <c r="BC156" s="259">
        <v>0.1</v>
      </c>
      <c r="BD156" s="259">
        <v>0.1</v>
      </c>
      <c r="BE156" s="259">
        <v>0.1</v>
      </c>
      <c r="BF156" s="259">
        <v>0.1</v>
      </c>
      <c r="BG156" s="259">
        <v>0.1</v>
      </c>
      <c r="BH156" s="259">
        <v>0.1</v>
      </c>
      <c r="BI156" s="259">
        <v>0.1</v>
      </c>
      <c r="BJ156" s="259">
        <v>0.1</v>
      </c>
      <c r="BK156" s="259">
        <v>0.1</v>
      </c>
      <c r="BL156" s="259">
        <v>0.1</v>
      </c>
      <c r="BM156" s="259">
        <v>0.1</v>
      </c>
      <c r="BN156" s="259">
        <v>0.1</v>
      </c>
      <c r="BO156" s="260">
        <v>0.1</v>
      </c>
      <c r="BS156">
        <v>153</v>
      </c>
      <c r="BT156" s="271">
        <v>3.66</v>
      </c>
      <c r="BU156" s="270">
        <v>2.2000000000000002</v>
      </c>
      <c r="BV156" s="2"/>
      <c r="BW156" s="2"/>
      <c r="BX156" s="2"/>
      <c r="BY156" s="258">
        <v>0.1</v>
      </c>
      <c r="BZ156" s="259">
        <v>0.1</v>
      </c>
      <c r="CA156" s="259">
        <v>0.1</v>
      </c>
      <c r="CB156" s="259">
        <v>0.1</v>
      </c>
      <c r="CC156" s="259">
        <v>0.1</v>
      </c>
      <c r="CD156" s="259">
        <v>0.1</v>
      </c>
      <c r="CE156" s="259">
        <v>0.1</v>
      </c>
      <c r="CF156" s="259">
        <v>0.1</v>
      </c>
      <c r="CG156" s="259">
        <v>0.1</v>
      </c>
      <c r="CH156" s="259">
        <v>0.1</v>
      </c>
      <c r="CI156" s="259">
        <v>0.1</v>
      </c>
      <c r="CJ156" s="259">
        <v>0.1</v>
      </c>
      <c r="CK156" s="259">
        <v>0.1</v>
      </c>
      <c r="CL156" s="259">
        <v>0.1</v>
      </c>
      <c r="CM156" s="259">
        <v>0.1</v>
      </c>
      <c r="CN156" s="259">
        <v>0.1</v>
      </c>
      <c r="CO156" s="259">
        <v>0.1</v>
      </c>
      <c r="CP156" s="259">
        <v>0.1</v>
      </c>
      <c r="CQ156" s="259">
        <v>0.1</v>
      </c>
      <c r="CR156" s="259">
        <v>0.1</v>
      </c>
      <c r="CS156" s="259">
        <v>0.1</v>
      </c>
      <c r="CT156" s="259">
        <v>0.1</v>
      </c>
      <c r="CU156" s="259">
        <v>0.1</v>
      </c>
      <c r="CV156" s="259">
        <v>0.1</v>
      </c>
      <c r="CW156" s="259">
        <v>0.1</v>
      </c>
      <c r="CX156" s="259">
        <v>0.1</v>
      </c>
      <c r="CY156" s="259">
        <v>0.1</v>
      </c>
      <c r="CZ156" s="259">
        <v>0.1</v>
      </c>
      <c r="DA156" s="259">
        <v>0.1</v>
      </c>
      <c r="DB156" s="259">
        <v>0.1</v>
      </c>
      <c r="DC156" s="259">
        <v>0.1</v>
      </c>
      <c r="DD156" s="259">
        <v>0.1</v>
      </c>
      <c r="DE156" s="259">
        <v>0.1</v>
      </c>
      <c r="DF156" s="259">
        <v>0.1</v>
      </c>
      <c r="DG156" s="259">
        <v>0.1</v>
      </c>
      <c r="DH156" s="259">
        <v>0.1</v>
      </c>
      <c r="DI156" s="260">
        <v>0.1</v>
      </c>
      <c r="DJ156" s="258">
        <v>0.1</v>
      </c>
      <c r="DK156" s="259">
        <v>0.1</v>
      </c>
      <c r="DL156" s="259">
        <v>0.1</v>
      </c>
      <c r="DM156" s="259">
        <v>0.1</v>
      </c>
      <c r="DN156" s="259">
        <v>0.1</v>
      </c>
      <c r="DO156" s="259">
        <v>0.1</v>
      </c>
      <c r="DP156" s="259">
        <v>0.1</v>
      </c>
      <c r="DQ156" s="259">
        <v>0.1</v>
      </c>
      <c r="DR156" s="259">
        <v>0.1</v>
      </c>
      <c r="DS156" s="259">
        <v>0.1</v>
      </c>
      <c r="DT156" s="259">
        <v>0.1</v>
      </c>
      <c r="DU156" s="259">
        <v>0.1</v>
      </c>
      <c r="DV156" s="259">
        <v>0.1</v>
      </c>
      <c r="DW156" s="259">
        <v>0.1</v>
      </c>
      <c r="DX156" s="259">
        <v>0.1</v>
      </c>
      <c r="DY156" s="259">
        <v>0.1</v>
      </c>
      <c r="DZ156" s="259">
        <v>0.1</v>
      </c>
      <c r="EA156" s="259">
        <v>0.1</v>
      </c>
      <c r="EB156" s="259">
        <v>0.1</v>
      </c>
      <c r="EC156" s="259">
        <v>0.1</v>
      </c>
      <c r="ED156" s="259">
        <v>0.1</v>
      </c>
      <c r="EE156" s="260">
        <v>0.1</v>
      </c>
      <c r="EF156">
        <v>0.1</v>
      </c>
      <c r="EG156">
        <f t="shared" si="12"/>
        <v>0.1</v>
      </c>
      <c r="EJ156">
        <v>153</v>
      </c>
      <c r="EN156">
        <v>0.1</v>
      </c>
      <c r="EO156">
        <v>0.1</v>
      </c>
      <c r="EP156">
        <v>0.1</v>
      </c>
      <c r="EQ156">
        <v>0.1</v>
      </c>
      <c r="ER156">
        <v>0.1</v>
      </c>
      <c r="ES156">
        <v>0.1</v>
      </c>
      <c r="ET156">
        <v>0.1</v>
      </c>
      <c r="EU156">
        <v>0.1</v>
      </c>
      <c r="EV156">
        <v>0.1</v>
      </c>
      <c r="EW156">
        <v>0.1</v>
      </c>
      <c r="EX156">
        <v>0.1</v>
      </c>
      <c r="EY156">
        <v>0.1</v>
      </c>
      <c r="EZ156">
        <v>0.1</v>
      </c>
      <c r="FA156">
        <v>0.1</v>
      </c>
      <c r="FB156">
        <v>0.1</v>
      </c>
      <c r="FC156">
        <v>0.1</v>
      </c>
      <c r="FD156">
        <v>0.1</v>
      </c>
      <c r="FE156">
        <v>0.1</v>
      </c>
      <c r="FF156">
        <v>0.1</v>
      </c>
      <c r="FG156">
        <v>0.1</v>
      </c>
      <c r="FH156">
        <v>0.1</v>
      </c>
      <c r="FI156">
        <v>0.1</v>
      </c>
      <c r="FJ156">
        <v>0.1</v>
      </c>
      <c r="FK156">
        <v>0.1</v>
      </c>
      <c r="FL156">
        <v>0.1</v>
      </c>
      <c r="FM156">
        <v>0.1</v>
      </c>
      <c r="FN156">
        <v>0.1</v>
      </c>
      <c r="FO156">
        <v>0.1</v>
      </c>
      <c r="FP156">
        <v>0.1</v>
      </c>
      <c r="FQ156">
        <v>0.1</v>
      </c>
      <c r="FU156">
        <v>153</v>
      </c>
      <c r="GB156">
        <v>0.1</v>
      </c>
      <c r="GC156">
        <v>0.1</v>
      </c>
      <c r="GD156">
        <v>0.1</v>
      </c>
      <c r="GE156">
        <v>0.1</v>
      </c>
      <c r="GF156">
        <v>0.1</v>
      </c>
      <c r="GG156">
        <v>0.1</v>
      </c>
      <c r="GH156">
        <v>0.1</v>
      </c>
      <c r="GI156">
        <v>0.1</v>
      </c>
      <c r="GJ156">
        <v>0.1</v>
      </c>
      <c r="GK156">
        <v>0.1</v>
      </c>
      <c r="GL156">
        <v>0.1</v>
      </c>
      <c r="GM156">
        <v>0.1</v>
      </c>
      <c r="GN156">
        <v>0.1</v>
      </c>
      <c r="GO156">
        <v>0.1</v>
      </c>
      <c r="GP156">
        <v>0.1</v>
      </c>
      <c r="GQ156">
        <v>0.1</v>
      </c>
      <c r="GR156">
        <v>0.1</v>
      </c>
      <c r="GS156">
        <v>0.1</v>
      </c>
      <c r="GT156">
        <v>0.1</v>
      </c>
      <c r="GU156">
        <v>0.1</v>
      </c>
      <c r="GV156">
        <v>0.1</v>
      </c>
      <c r="GW156">
        <v>0.1</v>
      </c>
      <c r="GX156">
        <v>0.1</v>
      </c>
      <c r="GY156">
        <v>0.1</v>
      </c>
      <c r="GZ156">
        <v>0.1</v>
      </c>
      <c r="HA156">
        <v>0.1</v>
      </c>
      <c r="HB156">
        <v>0.1</v>
      </c>
      <c r="HC156">
        <v>0.1</v>
      </c>
      <c r="HD156">
        <v>0.1</v>
      </c>
      <c r="HE156">
        <v>0.1</v>
      </c>
      <c r="HF156">
        <v>0.1</v>
      </c>
      <c r="HG156">
        <v>0.1</v>
      </c>
      <c r="HH156">
        <v>0.1</v>
      </c>
      <c r="HI156">
        <v>0.1</v>
      </c>
      <c r="HJ156">
        <v>0.1</v>
      </c>
      <c r="HK156">
        <v>0.1</v>
      </c>
      <c r="HL156">
        <v>0.1</v>
      </c>
      <c r="HM156">
        <v>0.1</v>
      </c>
      <c r="HN156">
        <v>0.1</v>
      </c>
      <c r="HO156">
        <v>0.1</v>
      </c>
    </row>
    <row r="157" spans="1:223" ht="15.75" thickBot="1" x14ac:dyDescent="0.3">
      <c r="A157">
        <v>154</v>
      </c>
      <c r="B157" s="269">
        <v>3.44</v>
      </c>
      <c r="C157" s="268">
        <v>2.5</v>
      </c>
      <c r="D157" s="2"/>
      <c r="E157" s="2"/>
      <c r="F157" s="2"/>
      <c r="G157" s="2"/>
      <c r="H157" s="258">
        <v>0.1</v>
      </c>
      <c r="I157" s="259">
        <v>0.1</v>
      </c>
      <c r="J157" s="259">
        <v>0.1</v>
      </c>
      <c r="K157" s="259">
        <v>0.1</v>
      </c>
      <c r="L157" s="259">
        <v>0.1</v>
      </c>
      <c r="M157" s="259">
        <v>0.1</v>
      </c>
      <c r="N157" s="259">
        <v>0.1</v>
      </c>
      <c r="O157" s="259">
        <v>0.1</v>
      </c>
      <c r="P157" s="259">
        <v>0.1</v>
      </c>
      <c r="Q157" s="259">
        <v>0.1</v>
      </c>
      <c r="R157" s="259">
        <v>0.1</v>
      </c>
      <c r="S157" s="259">
        <v>0.1</v>
      </c>
      <c r="T157" s="259">
        <v>0.1</v>
      </c>
      <c r="U157" s="259">
        <v>0.1</v>
      </c>
      <c r="V157" s="259">
        <v>0.1</v>
      </c>
      <c r="W157" s="259">
        <v>0.1</v>
      </c>
      <c r="X157" s="259">
        <v>0.1</v>
      </c>
      <c r="Y157" s="259">
        <v>0.1</v>
      </c>
      <c r="Z157" s="259">
        <v>0.1</v>
      </c>
      <c r="AA157" s="259">
        <v>0.1</v>
      </c>
      <c r="AB157" s="259">
        <v>0.1</v>
      </c>
      <c r="AC157" s="259">
        <v>0.1</v>
      </c>
      <c r="AD157" s="259">
        <v>0.1</v>
      </c>
      <c r="AE157" s="259">
        <v>0.1</v>
      </c>
      <c r="AF157" s="259">
        <v>0.1</v>
      </c>
      <c r="AG157" s="259">
        <v>0.1</v>
      </c>
      <c r="AH157" s="259">
        <v>0.1</v>
      </c>
      <c r="AI157" s="259">
        <v>0.1</v>
      </c>
      <c r="AJ157" s="259">
        <v>0.1</v>
      </c>
      <c r="AK157" s="259">
        <v>0.1</v>
      </c>
      <c r="AL157" s="259">
        <v>0.1</v>
      </c>
      <c r="AM157" s="259">
        <v>0.1</v>
      </c>
      <c r="AN157" s="259">
        <v>0.1</v>
      </c>
      <c r="AO157" s="259">
        <v>0.1</v>
      </c>
      <c r="AP157" s="260">
        <v>0.1</v>
      </c>
      <c r="AQ157" s="258">
        <v>0.1</v>
      </c>
      <c r="AR157" s="259">
        <v>0.1</v>
      </c>
      <c r="AS157" s="259">
        <v>0.1</v>
      </c>
      <c r="AT157" s="259">
        <v>0.1</v>
      </c>
      <c r="AU157" s="259">
        <v>0.1</v>
      </c>
      <c r="AV157" s="259">
        <v>0.1</v>
      </c>
      <c r="AW157" s="259">
        <v>0.1</v>
      </c>
      <c r="AX157" s="259">
        <v>0.1</v>
      </c>
      <c r="AY157" s="259">
        <v>0.1</v>
      </c>
      <c r="AZ157" s="259">
        <v>0.1</v>
      </c>
      <c r="BA157" s="259">
        <v>0.1</v>
      </c>
      <c r="BB157" s="259">
        <v>0.1</v>
      </c>
      <c r="BC157" s="259">
        <v>0.1</v>
      </c>
      <c r="BD157" s="259">
        <v>0.1</v>
      </c>
      <c r="BE157" s="259">
        <v>0.1</v>
      </c>
      <c r="BF157" s="259">
        <v>0.1</v>
      </c>
      <c r="BG157" s="259">
        <v>0.1</v>
      </c>
      <c r="BH157" s="259">
        <v>0.1</v>
      </c>
      <c r="BI157" s="259">
        <v>0.1</v>
      </c>
      <c r="BJ157" s="259">
        <v>0.1</v>
      </c>
      <c r="BK157" s="259">
        <v>0.1</v>
      </c>
      <c r="BL157" s="259">
        <v>0.1</v>
      </c>
      <c r="BM157" s="259">
        <v>0.1</v>
      </c>
      <c r="BN157" s="259">
        <v>0.1</v>
      </c>
      <c r="BO157" s="260">
        <v>0.1</v>
      </c>
      <c r="BS157">
        <v>154</v>
      </c>
      <c r="BT157" s="270">
        <v>3.66</v>
      </c>
      <c r="BU157" s="271">
        <v>2.2000000000000002</v>
      </c>
      <c r="BV157" s="2"/>
      <c r="BW157" s="2"/>
      <c r="BX157" s="2"/>
      <c r="BY157" s="258">
        <v>0.1</v>
      </c>
      <c r="BZ157" s="259">
        <v>0.1</v>
      </c>
      <c r="CA157" s="259">
        <v>0.1</v>
      </c>
      <c r="CB157" s="259">
        <v>0.1</v>
      </c>
      <c r="CC157" s="259">
        <v>0.1</v>
      </c>
      <c r="CD157" s="259">
        <v>0.1</v>
      </c>
      <c r="CE157" s="259">
        <v>0.1</v>
      </c>
      <c r="CF157" s="259">
        <v>0.1</v>
      </c>
      <c r="CG157" s="259">
        <v>0.1</v>
      </c>
      <c r="CH157" s="259">
        <v>0.1</v>
      </c>
      <c r="CI157" s="259">
        <v>0.1</v>
      </c>
      <c r="CJ157" s="259">
        <v>0.1</v>
      </c>
      <c r="CK157" s="259">
        <v>0.1</v>
      </c>
      <c r="CL157" s="259">
        <v>0.1</v>
      </c>
      <c r="CM157" s="259">
        <v>0.1</v>
      </c>
      <c r="CN157" s="259">
        <v>0.1</v>
      </c>
      <c r="CO157" s="259">
        <v>0.1</v>
      </c>
      <c r="CP157" s="259">
        <v>0.1</v>
      </c>
      <c r="CQ157" s="259">
        <v>0.1</v>
      </c>
      <c r="CR157" s="259">
        <v>0.1</v>
      </c>
      <c r="CS157" s="259">
        <v>0.1</v>
      </c>
      <c r="CT157" s="259">
        <v>0.1</v>
      </c>
      <c r="CU157" s="259">
        <v>0.1</v>
      </c>
      <c r="CV157" s="259">
        <v>0.1</v>
      </c>
      <c r="CW157" s="259">
        <v>0.1</v>
      </c>
      <c r="CX157" s="259">
        <v>0.1</v>
      </c>
      <c r="CY157" s="259">
        <v>0.1</v>
      </c>
      <c r="CZ157" s="259">
        <v>0.1</v>
      </c>
      <c r="DA157" s="259">
        <v>0.1</v>
      </c>
      <c r="DB157" s="259">
        <v>0.1</v>
      </c>
      <c r="DC157" s="259">
        <v>0.1</v>
      </c>
      <c r="DD157" s="259">
        <v>0.1</v>
      </c>
      <c r="DE157" s="259">
        <v>0.1</v>
      </c>
      <c r="DF157" s="259">
        <v>0.1</v>
      </c>
      <c r="DG157" s="259">
        <v>0.1</v>
      </c>
      <c r="DH157" s="259">
        <v>0.1</v>
      </c>
      <c r="DI157" s="260">
        <v>0.1</v>
      </c>
      <c r="DJ157" s="258">
        <v>0.1</v>
      </c>
      <c r="DK157" s="259">
        <v>0.1</v>
      </c>
      <c r="DL157" s="259">
        <v>0.1</v>
      </c>
      <c r="DM157" s="259">
        <v>0.1</v>
      </c>
      <c r="DN157" s="259">
        <v>0.1</v>
      </c>
      <c r="DO157" s="259">
        <v>0.1</v>
      </c>
      <c r="DP157" s="259">
        <v>0.1</v>
      </c>
      <c r="DQ157" s="259">
        <v>0.1</v>
      </c>
      <c r="DR157" s="259">
        <v>0.1</v>
      </c>
      <c r="DS157" s="259">
        <v>0.1</v>
      </c>
      <c r="DT157" s="259">
        <v>0.1</v>
      </c>
      <c r="DU157" s="259">
        <v>0.1</v>
      </c>
      <c r="DV157" s="259">
        <v>0.1</v>
      </c>
      <c r="DW157" s="259">
        <v>0.1</v>
      </c>
      <c r="DX157" s="259">
        <v>0.1</v>
      </c>
      <c r="DY157" s="259">
        <v>0.1</v>
      </c>
      <c r="DZ157" s="259">
        <v>0.1</v>
      </c>
      <c r="EA157" s="259">
        <v>0.1</v>
      </c>
      <c r="EB157" s="259">
        <v>0.1</v>
      </c>
      <c r="EC157" s="259">
        <v>0.1</v>
      </c>
      <c r="ED157" s="259">
        <v>0.1</v>
      </c>
      <c r="EE157" s="260">
        <v>0.1</v>
      </c>
      <c r="EF157">
        <v>0.1</v>
      </c>
      <c r="EG157">
        <f t="shared" si="12"/>
        <v>0.1</v>
      </c>
      <c r="EJ157">
        <v>154</v>
      </c>
      <c r="EN157">
        <v>0.1</v>
      </c>
      <c r="EO157">
        <v>0.1</v>
      </c>
      <c r="EP157">
        <v>0.1</v>
      </c>
      <c r="EQ157">
        <v>0.1</v>
      </c>
      <c r="ER157">
        <v>0.1</v>
      </c>
      <c r="ES157">
        <v>0.1</v>
      </c>
      <c r="ET157">
        <v>0.1</v>
      </c>
      <c r="EU157">
        <v>0.1</v>
      </c>
      <c r="EV157">
        <v>0.1</v>
      </c>
      <c r="EW157">
        <v>0.1</v>
      </c>
      <c r="EX157">
        <v>0.1</v>
      </c>
      <c r="EY157">
        <v>0.1</v>
      </c>
      <c r="EZ157">
        <v>0.1</v>
      </c>
      <c r="FA157">
        <v>0.1</v>
      </c>
      <c r="FB157">
        <v>0.1</v>
      </c>
      <c r="FC157">
        <v>0.1</v>
      </c>
      <c r="FD157">
        <v>0.1</v>
      </c>
      <c r="FE157">
        <v>0.1</v>
      </c>
      <c r="FF157">
        <v>0.1</v>
      </c>
      <c r="FG157">
        <v>0.1</v>
      </c>
      <c r="FH157">
        <v>0.1</v>
      </c>
      <c r="FI157">
        <v>0.1</v>
      </c>
      <c r="FJ157">
        <v>0.1</v>
      </c>
      <c r="FK157">
        <v>0.1</v>
      </c>
      <c r="FL157">
        <v>0.1</v>
      </c>
      <c r="FM157">
        <v>0.1</v>
      </c>
      <c r="FN157">
        <v>0.1</v>
      </c>
      <c r="FO157">
        <v>0.1</v>
      </c>
      <c r="FP157">
        <v>0.1</v>
      </c>
      <c r="FQ157">
        <v>0.1</v>
      </c>
      <c r="FU157">
        <v>154</v>
      </c>
      <c r="GB157">
        <v>0.1</v>
      </c>
      <c r="GC157">
        <v>0.1</v>
      </c>
      <c r="GD157">
        <v>0.1</v>
      </c>
      <c r="GE157">
        <v>0.1</v>
      </c>
      <c r="GF157">
        <v>0.1</v>
      </c>
      <c r="GG157">
        <v>0.1</v>
      </c>
      <c r="GH157">
        <v>0.1</v>
      </c>
      <c r="GI157">
        <v>0.1</v>
      </c>
      <c r="GJ157">
        <v>0.1</v>
      </c>
      <c r="GK157">
        <v>0.1</v>
      </c>
      <c r="GL157">
        <v>0.1</v>
      </c>
      <c r="GM157">
        <v>0.1</v>
      </c>
      <c r="GN157">
        <v>0.1</v>
      </c>
      <c r="GO157">
        <v>0.1</v>
      </c>
      <c r="GP157">
        <v>0.1</v>
      </c>
      <c r="GQ157">
        <v>0.1</v>
      </c>
      <c r="GR157">
        <v>0.1</v>
      </c>
      <c r="GS157">
        <v>0.1</v>
      </c>
      <c r="GT157">
        <v>0.1</v>
      </c>
      <c r="GU157">
        <v>0.1</v>
      </c>
      <c r="GV157">
        <v>0.1</v>
      </c>
      <c r="GW157">
        <v>0.1</v>
      </c>
      <c r="GX157">
        <v>0.1</v>
      </c>
      <c r="GY157">
        <v>0.1</v>
      </c>
      <c r="GZ157">
        <v>0.1</v>
      </c>
      <c r="HA157">
        <v>0.1</v>
      </c>
      <c r="HB157">
        <v>0.1</v>
      </c>
      <c r="HC157">
        <v>0.1</v>
      </c>
      <c r="HD157">
        <v>0.1</v>
      </c>
      <c r="HE157">
        <v>0.1</v>
      </c>
      <c r="HF157">
        <v>0.1</v>
      </c>
      <c r="HG157">
        <v>0.1</v>
      </c>
      <c r="HH157">
        <v>0.1</v>
      </c>
      <c r="HI157">
        <v>0.1</v>
      </c>
      <c r="HJ157">
        <v>0.1</v>
      </c>
      <c r="HK157">
        <v>0.1</v>
      </c>
      <c r="HL157">
        <v>0.1</v>
      </c>
      <c r="HM157">
        <v>0.1</v>
      </c>
      <c r="HN157">
        <v>0.1</v>
      </c>
      <c r="HO157">
        <v>0.1</v>
      </c>
    </row>
    <row r="158" spans="1:223" ht="15.75" thickBot="1" x14ac:dyDescent="0.3">
      <c r="A158">
        <v>155</v>
      </c>
      <c r="B158" s="268">
        <v>3.25</v>
      </c>
      <c r="C158" s="269">
        <v>2.5</v>
      </c>
      <c r="D158" s="2"/>
      <c r="E158" s="2"/>
      <c r="F158" s="2"/>
      <c r="G158" s="2"/>
      <c r="H158" s="258">
        <v>0.1</v>
      </c>
      <c r="I158" s="259">
        <v>0.1</v>
      </c>
      <c r="J158" s="259">
        <v>0.1</v>
      </c>
      <c r="K158" s="259">
        <v>0.1</v>
      </c>
      <c r="L158" s="259">
        <v>0.1</v>
      </c>
      <c r="M158" s="259">
        <v>0.1</v>
      </c>
      <c r="N158" s="259">
        <v>0.1</v>
      </c>
      <c r="O158" s="259">
        <v>0.1</v>
      </c>
      <c r="P158" s="259">
        <v>0.1</v>
      </c>
      <c r="Q158" s="259">
        <v>0.1</v>
      </c>
      <c r="R158" s="259">
        <v>0.1</v>
      </c>
      <c r="S158" s="259">
        <v>0.1</v>
      </c>
      <c r="T158" s="259">
        <v>0.1</v>
      </c>
      <c r="U158" s="259">
        <v>0.1</v>
      </c>
      <c r="V158" s="259">
        <v>0.1</v>
      </c>
      <c r="W158" s="259">
        <v>0.1</v>
      </c>
      <c r="X158" s="259">
        <v>0.1</v>
      </c>
      <c r="Y158" s="259">
        <v>0.1</v>
      </c>
      <c r="Z158" s="259">
        <v>0.1</v>
      </c>
      <c r="AA158" s="259">
        <v>0.1</v>
      </c>
      <c r="AB158" s="259">
        <v>0.1</v>
      </c>
      <c r="AC158" s="259">
        <v>0.1</v>
      </c>
      <c r="AD158" s="259">
        <v>0.1</v>
      </c>
      <c r="AE158" s="259">
        <v>0.1</v>
      </c>
      <c r="AF158" s="259">
        <v>0.1</v>
      </c>
      <c r="AG158" s="259">
        <v>0.1</v>
      </c>
      <c r="AH158" s="259">
        <v>0.1</v>
      </c>
      <c r="AI158" s="259">
        <v>0.1</v>
      </c>
      <c r="AJ158" s="259">
        <v>0.1</v>
      </c>
      <c r="AK158" s="259">
        <v>0.1</v>
      </c>
      <c r="AL158" s="259">
        <v>0.1</v>
      </c>
      <c r="AM158" s="259">
        <v>0.1</v>
      </c>
      <c r="AN158" s="260">
        <v>0.1</v>
      </c>
      <c r="AO158" s="258">
        <v>0.1</v>
      </c>
      <c r="AP158" s="259">
        <v>0.1</v>
      </c>
      <c r="AQ158" s="259">
        <v>0.1</v>
      </c>
      <c r="AR158" s="259">
        <v>0.1</v>
      </c>
      <c r="AS158" s="259">
        <v>0.1</v>
      </c>
      <c r="AT158" s="259">
        <v>0.1</v>
      </c>
      <c r="AU158" s="259">
        <v>0.1</v>
      </c>
      <c r="AV158" s="259">
        <v>0.1</v>
      </c>
      <c r="AW158" s="259">
        <v>0.1</v>
      </c>
      <c r="AX158" s="259">
        <v>0.1</v>
      </c>
      <c r="AY158" s="259">
        <v>0.1</v>
      </c>
      <c r="AZ158" s="259">
        <v>0.1</v>
      </c>
      <c r="BA158" s="259">
        <v>0.1</v>
      </c>
      <c r="BB158" s="259">
        <v>0.1</v>
      </c>
      <c r="BC158" s="259">
        <v>0.1</v>
      </c>
      <c r="BD158" s="259">
        <v>0.1</v>
      </c>
      <c r="BE158" s="259">
        <v>0.1</v>
      </c>
      <c r="BF158" s="259">
        <v>0.1</v>
      </c>
      <c r="BG158" s="259">
        <v>0.1</v>
      </c>
      <c r="BH158" s="259">
        <v>0.1</v>
      </c>
      <c r="BI158" s="259">
        <v>0.1</v>
      </c>
      <c r="BJ158" s="259">
        <v>0.1</v>
      </c>
      <c r="BK158" s="259">
        <v>0.1</v>
      </c>
      <c r="BL158" s="259">
        <v>0.1</v>
      </c>
      <c r="BM158" s="260">
        <v>0.1</v>
      </c>
      <c r="BN158">
        <v>0.1</v>
      </c>
      <c r="BO158">
        <v>0.1</v>
      </c>
      <c r="BP158">
        <f>SUM(BN158:BO158)</f>
        <v>0.2</v>
      </c>
      <c r="BS158">
        <v>155</v>
      </c>
      <c r="BT158" s="271">
        <v>3.65</v>
      </c>
      <c r="BU158" s="270">
        <v>2.2000000000000002</v>
      </c>
      <c r="BV158" s="2"/>
      <c r="BW158" s="2"/>
      <c r="BX158" s="2"/>
      <c r="BY158" s="258">
        <v>0.1</v>
      </c>
      <c r="BZ158" s="259">
        <v>0.1</v>
      </c>
      <c r="CA158" s="259">
        <v>0.1</v>
      </c>
      <c r="CB158" s="259">
        <v>0.1</v>
      </c>
      <c r="CC158" s="259">
        <v>0.1</v>
      </c>
      <c r="CD158" s="259">
        <v>0.1</v>
      </c>
      <c r="CE158" s="259">
        <v>0.1</v>
      </c>
      <c r="CF158" s="259">
        <v>0.1</v>
      </c>
      <c r="CG158" s="259">
        <v>0.1</v>
      </c>
      <c r="CH158" s="259">
        <v>0.1</v>
      </c>
      <c r="CI158" s="259">
        <v>0.1</v>
      </c>
      <c r="CJ158" s="259">
        <v>0.1</v>
      </c>
      <c r="CK158" s="259">
        <v>0.1</v>
      </c>
      <c r="CL158" s="259">
        <v>0.1</v>
      </c>
      <c r="CM158" s="259">
        <v>0.1</v>
      </c>
      <c r="CN158" s="259">
        <v>0.1</v>
      </c>
      <c r="CO158" s="259">
        <v>0.1</v>
      </c>
      <c r="CP158" s="259">
        <v>0.1</v>
      </c>
      <c r="CQ158" s="259">
        <v>0.1</v>
      </c>
      <c r="CR158" s="259">
        <v>0.1</v>
      </c>
      <c r="CS158" s="259">
        <v>0.1</v>
      </c>
      <c r="CT158" s="259">
        <v>0.1</v>
      </c>
      <c r="CU158" s="259">
        <v>0.1</v>
      </c>
      <c r="CV158" s="259">
        <v>0.1</v>
      </c>
      <c r="CW158" s="259">
        <v>0.1</v>
      </c>
      <c r="CX158" s="259">
        <v>0.1</v>
      </c>
      <c r="CY158" s="259">
        <v>0.1</v>
      </c>
      <c r="CZ158" s="259">
        <v>0.1</v>
      </c>
      <c r="DA158" s="259">
        <v>0.1</v>
      </c>
      <c r="DB158" s="259">
        <v>0.1</v>
      </c>
      <c r="DC158" s="259">
        <v>0.1</v>
      </c>
      <c r="DD158" s="259">
        <v>0.1</v>
      </c>
      <c r="DE158" s="259">
        <v>0.1</v>
      </c>
      <c r="DF158" s="259">
        <v>0.1</v>
      </c>
      <c r="DG158" s="259">
        <v>0.1</v>
      </c>
      <c r="DH158" s="259">
        <v>0.1</v>
      </c>
      <c r="DI158" s="260">
        <v>0.1</v>
      </c>
      <c r="DJ158" s="258">
        <v>0.1</v>
      </c>
      <c r="DK158" s="259">
        <v>0.1</v>
      </c>
      <c r="DL158" s="259">
        <v>0.1</v>
      </c>
      <c r="DM158" s="259">
        <v>0.1</v>
      </c>
      <c r="DN158" s="259">
        <v>0.1</v>
      </c>
      <c r="DO158" s="259">
        <v>0.1</v>
      </c>
      <c r="DP158" s="259">
        <v>0.1</v>
      </c>
      <c r="DQ158" s="259">
        <v>0.1</v>
      </c>
      <c r="DR158" s="259">
        <v>0.1</v>
      </c>
      <c r="DS158" s="259">
        <v>0.1</v>
      </c>
      <c r="DT158" s="259">
        <v>0.1</v>
      </c>
      <c r="DU158" s="259">
        <v>0.1</v>
      </c>
      <c r="DV158" s="259">
        <v>0.1</v>
      </c>
      <c r="DW158" s="259">
        <v>0.1</v>
      </c>
      <c r="DX158" s="259">
        <v>0.1</v>
      </c>
      <c r="DY158" s="259">
        <v>0.1</v>
      </c>
      <c r="DZ158" s="259">
        <v>0.1</v>
      </c>
      <c r="EA158" s="259">
        <v>0.1</v>
      </c>
      <c r="EB158" s="259">
        <v>0.1</v>
      </c>
      <c r="EC158" s="259">
        <v>0.1</v>
      </c>
      <c r="ED158" s="259">
        <v>0.1</v>
      </c>
      <c r="EE158" s="260">
        <v>0.1</v>
      </c>
      <c r="EF158">
        <v>0.1</v>
      </c>
      <c r="EG158">
        <f t="shared" si="12"/>
        <v>0.1</v>
      </c>
      <c r="EJ158">
        <v>155</v>
      </c>
      <c r="EN158">
        <v>0.1</v>
      </c>
      <c r="EO158">
        <v>0.1</v>
      </c>
      <c r="EP158">
        <v>0.1</v>
      </c>
      <c r="EQ158">
        <v>0.1</v>
      </c>
      <c r="ER158">
        <v>0.1</v>
      </c>
      <c r="ES158">
        <v>0.1</v>
      </c>
      <c r="ET158">
        <v>0.1</v>
      </c>
      <c r="EU158">
        <v>0.1</v>
      </c>
      <c r="EV158">
        <v>0.1</v>
      </c>
      <c r="EW158">
        <v>0.1</v>
      </c>
      <c r="EX158">
        <v>0.1</v>
      </c>
      <c r="EY158">
        <v>0.1</v>
      </c>
      <c r="EZ158">
        <v>0.1</v>
      </c>
      <c r="FA158">
        <v>0.1</v>
      </c>
      <c r="FB158">
        <v>0.1</v>
      </c>
      <c r="FC158">
        <v>0.1</v>
      </c>
      <c r="FD158">
        <v>0.1</v>
      </c>
      <c r="FE158">
        <v>0.1</v>
      </c>
      <c r="FF158">
        <v>0.1</v>
      </c>
      <c r="FG158">
        <v>0.1</v>
      </c>
      <c r="FH158">
        <v>0.1</v>
      </c>
      <c r="FI158">
        <v>0.1</v>
      </c>
      <c r="FJ158">
        <v>0.1</v>
      </c>
      <c r="FK158">
        <v>0.1</v>
      </c>
      <c r="FL158">
        <v>0.1</v>
      </c>
      <c r="FM158">
        <v>0.1</v>
      </c>
      <c r="FN158">
        <v>0.1</v>
      </c>
      <c r="FO158">
        <v>0.1</v>
      </c>
      <c r="FP158">
        <v>0.1</v>
      </c>
      <c r="FQ158">
        <v>0.1</v>
      </c>
      <c r="FU158">
        <v>155</v>
      </c>
      <c r="GB158">
        <v>0.1</v>
      </c>
      <c r="GC158">
        <v>0.1</v>
      </c>
      <c r="GD158">
        <v>0.1</v>
      </c>
      <c r="GE158">
        <v>0.1</v>
      </c>
      <c r="GF158">
        <v>0.1</v>
      </c>
      <c r="GG158">
        <v>0.1</v>
      </c>
      <c r="GH158">
        <v>0.1</v>
      </c>
      <c r="GI158">
        <v>0.1</v>
      </c>
      <c r="GJ158">
        <v>0.1</v>
      </c>
      <c r="GK158">
        <v>0.1</v>
      </c>
      <c r="GL158">
        <v>0.1</v>
      </c>
      <c r="GM158">
        <v>0.1</v>
      </c>
      <c r="GN158">
        <v>0.1</v>
      </c>
      <c r="GO158">
        <v>0.1</v>
      </c>
      <c r="GP158">
        <v>0.1</v>
      </c>
      <c r="GQ158">
        <v>0.1</v>
      </c>
      <c r="GR158">
        <v>0.1</v>
      </c>
      <c r="GS158">
        <v>0.1</v>
      </c>
      <c r="GT158">
        <v>0.1</v>
      </c>
      <c r="GU158">
        <v>0.1</v>
      </c>
      <c r="GV158">
        <v>0.1</v>
      </c>
      <c r="GW158">
        <v>0.1</v>
      </c>
      <c r="GX158">
        <v>0.1</v>
      </c>
      <c r="GY158">
        <v>0.1</v>
      </c>
      <c r="GZ158">
        <v>0.1</v>
      </c>
      <c r="HA158">
        <v>0.1</v>
      </c>
      <c r="HB158">
        <v>0.1</v>
      </c>
      <c r="HC158">
        <v>0.1</v>
      </c>
      <c r="HD158">
        <v>0.1</v>
      </c>
      <c r="HE158">
        <v>0.1</v>
      </c>
      <c r="HF158">
        <v>0.1</v>
      </c>
      <c r="HG158">
        <v>0.1</v>
      </c>
      <c r="HH158">
        <v>0.1</v>
      </c>
      <c r="HI158">
        <v>0.1</v>
      </c>
      <c r="HJ158">
        <v>0.1</v>
      </c>
      <c r="HK158">
        <v>0.1</v>
      </c>
      <c r="HL158">
        <v>0.1</v>
      </c>
      <c r="HM158">
        <v>0.1</v>
      </c>
      <c r="HN158">
        <v>0.1</v>
      </c>
      <c r="HO158">
        <v>0.1</v>
      </c>
    </row>
    <row r="159" spans="1:223" ht="15.75" thickBot="1" x14ac:dyDescent="0.3">
      <c r="A159">
        <v>156</v>
      </c>
      <c r="B159" s="269">
        <v>3.25</v>
      </c>
      <c r="C159" s="268">
        <v>2.5</v>
      </c>
      <c r="D159" s="2"/>
      <c r="E159" s="2"/>
      <c r="F159" s="2"/>
      <c r="G159" s="2"/>
      <c r="H159" s="258">
        <v>0.1</v>
      </c>
      <c r="I159" s="259">
        <v>0.1</v>
      </c>
      <c r="J159" s="259">
        <v>0.1</v>
      </c>
      <c r="K159" s="259">
        <v>0.1</v>
      </c>
      <c r="L159" s="259">
        <v>0.1</v>
      </c>
      <c r="M159" s="259">
        <v>0.1</v>
      </c>
      <c r="N159" s="259">
        <v>0.1</v>
      </c>
      <c r="O159" s="259">
        <v>0.1</v>
      </c>
      <c r="P159" s="259">
        <v>0.1</v>
      </c>
      <c r="Q159" s="259">
        <v>0.1</v>
      </c>
      <c r="R159" s="259">
        <v>0.1</v>
      </c>
      <c r="S159" s="259">
        <v>0.1</v>
      </c>
      <c r="T159" s="259">
        <v>0.1</v>
      </c>
      <c r="U159" s="259">
        <v>0.1</v>
      </c>
      <c r="V159" s="259">
        <v>0.1</v>
      </c>
      <c r="W159" s="259">
        <v>0.1</v>
      </c>
      <c r="X159" s="259">
        <v>0.1</v>
      </c>
      <c r="Y159" s="259">
        <v>0.1</v>
      </c>
      <c r="Z159" s="259">
        <v>0.1</v>
      </c>
      <c r="AA159" s="259">
        <v>0.1</v>
      </c>
      <c r="AB159" s="259">
        <v>0.1</v>
      </c>
      <c r="AC159" s="259">
        <v>0.1</v>
      </c>
      <c r="AD159" s="259">
        <v>0.1</v>
      </c>
      <c r="AE159" s="259">
        <v>0.1</v>
      </c>
      <c r="AF159" s="259">
        <v>0.1</v>
      </c>
      <c r="AG159" s="259">
        <v>0.1</v>
      </c>
      <c r="AH159" s="259">
        <v>0.1</v>
      </c>
      <c r="AI159" s="259">
        <v>0.1</v>
      </c>
      <c r="AJ159" s="259">
        <v>0.1</v>
      </c>
      <c r="AK159" s="259">
        <v>0.1</v>
      </c>
      <c r="AL159" s="259">
        <v>0.1</v>
      </c>
      <c r="AM159" s="259">
        <v>0.1</v>
      </c>
      <c r="AN159" s="260">
        <v>0.1</v>
      </c>
      <c r="AO159" s="258">
        <v>0.1</v>
      </c>
      <c r="AP159" s="259">
        <v>0.1</v>
      </c>
      <c r="AQ159" s="259">
        <v>0.1</v>
      </c>
      <c r="AR159" s="259">
        <v>0.1</v>
      </c>
      <c r="AS159" s="259">
        <v>0.1</v>
      </c>
      <c r="AT159" s="259">
        <v>0.1</v>
      </c>
      <c r="AU159" s="259">
        <v>0.1</v>
      </c>
      <c r="AV159" s="259">
        <v>0.1</v>
      </c>
      <c r="AW159" s="259">
        <v>0.1</v>
      </c>
      <c r="AX159" s="259">
        <v>0.1</v>
      </c>
      <c r="AY159" s="259">
        <v>0.1</v>
      </c>
      <c r="AZ159" s="259">
        <v>0.1</v>
      </c>
      <c r="BA159" s="259">
        <v>0.1</v>
      </c>
      <c r="BB159" s="259">
        <v>0.1</v>
      </c>
      <c r="BC159" s="259">
        <v>0.1</v>
      </c>
      <c r="BD159" s="259">
        <v>0.1</v>
      </c>
      <c r="BE159" s="259">
        <v>0.1</v>
      </c>
      <c r="BF159" s="259">
        <v>0.1</v>
      </c>
      <c r="BG159" s="259">
        <v>0.1</v>
      </c>
      <c r="BH159" s="259">
        <v>0.1</v>
      </c>
      <c r="BI159" s="259">
        <v>0.1</v>
      </c>
      <c r="BJ159" s="259">
        <v>0.1</v>
      </c>
      <c r="BK159" s="259">
        <v>0.1</v>
      </c>
      <c r="BL159" s="259">
        <v>0.1</v>
      </c>
      <c r="BM159" s="260">
        <v>0.1</v>
      </c>
      <c r="BN159">
        <v>0.1</v>
      </c>
      <c r="BO159">
        <v>0.1</v>
      </c>
      <c r="BP159">
        <f t="shared" ref="BP159:BP165" si="13">SUM(BN159:BO159)</f>
        <v>0.2</v>
      </c>
      <c r="BS159">
        <v>156</v>
      </c>
      <c r="BT159" s="270">
        <v>3.65</v>
      </c>
      <c r="BU159" s="271">
        <v>2.2000000000000002</v>
      </c>
      <c r="BV159" s="2"/>
      <c r="BW159" s="2"/>
      <c r="BX159" s="2"/>
      <c r="BY159" s="258">
        <v>0.1</v>
      </c>
      <c r="BZ159" s="259">
        <v>0.1</v>
      </c>
      <c r="CA159" s="259">
        <v>0.1</v>
      </c>
      <c r="CB159" s="259">
        <v>0.1</v>
      </c>
      <c r="CC159" s="259">
        <v>0.1</v>
      </c>
      <c r="CD159" s="259">
        <v>0.1</v>
      </c>
      <c r="CE159" s="259">
        <v>0.1</v>
      </c>
      <c r="CF159" s="259">
        <v>0.1</v>
      </c>
      <c r="CG159" s="259">
        <v>0.1</v>
      </c>
      <c r="CH159" s="259">
        <v>0.1</v>
      </c>
      <c r="CI159" s="259">
        <v>0.1</v>
      </c>
      <c r="CJ159" s="259">
        <v>0.1</v>
      </c>
      <c r="CK159" s="259">
        <v>0.1</v>
      </c>
      <c r="CL159" s="259">
        <v>0.1</v>
      </c>
      <c r="CM159" s="259">
        <v>0.1</v>
      </c>
      <c r="CN159" s="259">
        <v>0.1</v>
      </c>
      <c r="CO159" s="259">
        <v>0.1</v>
      </c>
      <c r="CP159" s="259">
        <v>0.1</v>
      </c>
      <c r="CQ159" s="259">
        <v>0.1</v>
      </c>
      <c r="CR159" s="259">
        <v>0.1</v>
      </c>
      <c r="CS159" s="259">
        <v>0.1</v>
      </c>
      <c r="CT159" s="259">
        <v>0.1</v>
      </c>
      <c r="CU159" s="259">
        <v>0.1</v>
      </c>
      <c r="CV159" s="259">
        <v>0.1</v>
      </c>
      <c r="CW159" s="259">
        <v>0.1</v>
      </c>
      <c r="CX159" s="259">
        <v>0.1</v>
      </c>
      <c r="CY159" s="259">
        <v>0.1</v>
      </c>
      <c r="CZ159" s="259">
        <v>0.1</v>
      </c>
      <c r="DA159" s="259">
        <v>0.1</v>
      </c>
      <c r="DB159" s="259">
        <v>0.1</v>
      </c>
      <c r="DC159" s="259">
        <v>0.1</v>
      </c>
      <c r="DD159" s="259">
        <v>0.1</v>
      </c>
      <c r="DE159" s="259">
        <v>0.1</v>
      </c>
      <c r="DF159" s="259">
        <v>0.1</v>
      </c>
      <c r="DG159" s="259">
        <v>0.1</v>
      </c>
      <c r="DH159" s="259">
        <v>0.1</v>
      </c>
      <c r="DI159" s="260">
        <v>0.1</v>
      </c>
      <c r="DJ159" s="258">
        <v>0.1</v>
      </c>
      <c r="DK159" s="259">
        <v>0.1</v>
      </c>
      <c r="DL159" s="259">
        <v>0.1</v>
      </c>
      <c r="DM159" s="259">
        <v>0.1</v>
      </c>
      <c r="DN159" s="259">
        <v>0.1</v>
      </c>
      <c r="DO159" s="259">
        <v>0.1</v>
      </c>
      <c r="DP159" s="259">
        <v>0.1</v>
      </c>
      <c r="DQ159" s="259">
        <v>0.1</v>
      </c>
      <c r="DR159" s="259">
        <v>0.1</v>
      </c>
      <c r="DS159" s="259">
        <v>0.1</v>
      </c>
      <c r="DT159" s="259">
        <v>0.1</v>
      </c>
      <c r="DU159" s="259">
        <v>0.1</v>
      </c>
      <c r="DV159" s="259">
        <v>0.1</v>
      </c>
      <c r="DW159" s="259">
        <v>0.1</v>
      </c>
      <c r="DX159" s="259">
        <v>0.1</v>
      </c>
      <c r="DY159" s="259">
        <v>0.1</v>
      </c>
      <c r="DZ159" s="259">
        <v>0.1</v>
      </c>
      <c r="EA159" s="259">
        <v>0.1</v>
      </c>
      <c r="EB159" s="259">
        <v>0.1</v>
      </c>
      <c r="EC159" s="259">
        <v>0.1</v>
      </c>
      <c r="ED159" s="259">
        <v>0.1</v>
      </c>
      <c r="EE159" s="260">
        <v>0.1</v>
      </c>
      <c r="EF159">
        <v>0.1</v>
      </c>
      <c r="EG159">
        <f t="shared" si="12"/>
        <v>0.1</v>
      </c>
      <c r="EJ159">
        <v>156</v>
      </c>
      <c r="EN159">
        <v>0.1</v>
      </c>
      <c r="EO159">
        <v>0.1</v>
      </c>
      <c r="EP159">
        <v>0.1</v>
      </c>
      <c r="EQ159">
        <v>0.1</v>
      </c>
      <c r="ER159">
        <v>0.1</v>
      </c>
      <c r="ES159">
        <v>0.1</v>
      </c>
      <c r="ET159">
        <v>0.1</v>
      </c>
      <c r="EU159">
        <v>0.1</v>
      </c>
      <c r="EV159">
        <v>0.1</v>
      </c>
      <c r="EW159">
        <v>0.1</v>
      </c>
      <c r="EX159">
        <v>0.1</v>
      </c>
      <c r="EY159">
        <v>0.1</v>
      </c>
      <c r="EZ159">
        <v>0.1</v>
      </c>
      <c r="FA159">
        <v>0.1</v>
      </c>
      <c r="FB159">
        <v>0.1</v>
      </c>
      <c r="FC159">
        <v>0.1</v>
      </c>
      <c r="FD159">
        <v>0.1</v>
      </c>
      <c r="FE159">
        <v>0.1</v>
      </c>
      <c r="FF159">
        <v>0.1</v>
      </c>
      <c r="FG159">
        <v>0.1</v>
      </c>
      <c r="FH159">
        <v>0.1</v>
      </c>
      <c r="FI159">
        <v>0.1</v>
      </c>
      <c r="FJ159">
        <v>0.1</v>
      </c>
      <c r="FK159">
        <v>0.1</v>
      </c>
      <c r="FL159">
        <v>0.1</v>
      </c>
      <c r="FM159">
        <v>0.1</v>
      </c>
      <c r="FN159">
        <v>0.1</v>
      </c>
      <c r="FO159">
        <v>0.1</v>
      </c>
      <c r="FP159">
        <v>0.1</v>
      </c>
      <c r="FQ159">
        <v>0.1</v>
      </c>
      <c r="FU159">
        <v>156</v>
      </c>
      <c r="GB159">
        <v>0.1</v>
      </c>
      <c r="GC159">
        <v>0.1</v>
      </c>
      <c r="GD159">
        <v>0.1</v>
      </c>
      <c r="GE159">
        <v>0.1</v>
      </c>
      <c r="GF159">
        <v>0.1</v>
      </c>
      <c r="GG159">
        <v>0.1</v>
      </c>
      <c r="GH159">
        <v>0.1</v>
      </c>
      <c r="GI159">
        <v>0.1</v>
      </c>
      <c r="GJ159">
        <v>0.1</v>
      </c>
      <c r="GK159">
        <v>0.1</v>
      </c>
      <c r="GL159">
        <v>0.1</v>
      </c>
      <c r="GM159">
        <v>0.1</v>
      </c>
      <c r="GN159">
        <v>0.1</v>
      </c>
      <c r="GO159">
        <v>0.1</v>
      </c>
      <c r="GP159">
        <v>0.1</v>
      </c>
      <c r="GQ159">
        <v>0.1</v>
      </c>
      <c r="GR159">
        <v>0.1</v>
      </c>
      <c r="GS159">
        <v>0.1</v>
      </c>
      <c r="GT159">
        <v>0.1</v>
      </c>
      <c r="GU159">
        <v>0.1</v>
      </c>
      <c r="GV159">
        <v>0.1</v>
      </c>
      <c r="GW159">
        <v>0.1</v>
      </c>
      <c r="GX159">
        <v>0.1</v>
      </c>
      <c r="GY159">
        <v>0.1</v>
      </c>
      <c r="GZ159">
        <v>0.1</v>
      </c>
      <c r="HA159">
        <v>0.1</v>
      </c>
      <c r="HB159">
        <v>0.1</v>
      </c>
      <c r="HC159">
        <v>0.1</v>
      </c>
      <c r="HD159">
        <v>0.1</v>
      </c>
      <c r="HE159">
        <v>0.1</v>
      </c>
      <c r="HF159">
        <v>0.1</v>
      </c>
      <c r="HG159">
        <v>0.1</v>
      </c>
      <c r="HH159">
        <v>0.1</v>
      </c>
      <c r="HI159">
        <v>0.1</v>
      </c>
      <c r="HJ159">
        <v>0.1</v>
      </c>
      <c r="HK159">
        <v>0.1</v>
      </c>
      <c r="HL159">
        <v>0.1</v>
      </c>
      <c r="HM159">
        <v>0.1</v>
      </c>
      <c r="HN159">
        <v>0.1</v>
      </c>
      <c r="HO159">
        <v>0.1</v>
      </c>
    </row>
    <row r="160" spans="1:223" ht="15.75" thickBot="1" x14ac:dyDescent="0.3">
      <c r="A160">
        <v>157</v>
      </c>
      <c r="B160" s="268">
        <v>3.25</v>
      </c>
      <c r="C160" s="269">
        <v>2.46</v>
      </c>
      <c r="D160" s="2"/>
      <c r="E160" s="2"/>
      <c r="F160" s="2"/>
      <c r="G160" s="2"/>
      <c r="H160" s="258">
        <v>0.1</v>
      </c>
      <c r="I160" s="259">
        <v>0.1</v>
      </c>
      <c r="J160" s="259">
        <v>0.1</v>
      </c>
      <c r="K160" s="259">
        <v>0.1</v>
      </c>
      <c r="L160" s="259">
        <v>0.1</v>
      </c>
      <c r="M160" s="259">
        <v>0.1</v>
      </c>
      <c r="N160" s="259">
        <v>0.1</v>
      </c>
      <c r="O160" s="259">
        <v>0.1</v>
      </c>
      <c r="P160" s="259">
        <v>0.1</v>
      </c>
      <c r="Q160" s="259">
        <v>0.1</v>
      </c>
      <c r="R160" s="259">
        <v>0.1</v>
      </c>
      <c r="S160" s="259">
        <v>0.1</v>
      </c>
      <c r="T160" s="259">
        <v>0.1</v>
      </c>
      <c r="U160" s="259">
        <v>0.1</v>
      </c>
      <c r="V160" s="259">
        <v>0.1</v>
      </c>
      <c r="W160" s="259">
        <v>0.1</v>
      </c>
      <c r="X160" s="259">
        <v>0.1</v>
      </c>
      <c r="Y160" s="259">
        <v>0.1</v>
      </c>
      <c r="Z160" s="259">
        <v>0.1</v>
      </c>
      <c r="AA160" s="259">
        <v>0.1</v>
      </c>
      <c r="AB160" s="259">
        <v>0.1</v>
      </c>
      <c r="AC160" s="259">
        <v>0.1</v>
      </c>
      <c r="AD160" s="259">
        <v>0.1</v>
      </c>
      <c r="AE160" s="259">
        <v>0.1</v>
      </c>
      <c r="AF160" s="259">
        <v>0.1</v>
      </c>
      <c r="AG160" s="259">
        <v>0.1</v>
      </c>
      <c r="AH160" s="259">
        <v>0.1</v>
      </c>
      <c r="AI160" s="259">
        <v>0.1</v>
      </c>
      <c r="AJ160" s="259">
        <v>0.1</v>
      </c>
      <c r="AK160" s="259">
        <v>0.1</v>
      </c>
      <c r="AL160" s="259">
        <v>0.1</v>
      </c>
      <c r="AM160" s="259">
        <v>0.1</v>
      </c>
      <c r="AN160" s="260">
        <v>0.1</v>
      </c>
      <c r="AO160" s="258">
        <v>0.1</v>
      </c>
      <c r="AP160" s="259">
        <v>0.1</v>
      </c>
      <c r="AQ160" s="259">
        <v>0.1</v>
      </c>
      <c r="AR160" s="259">
        <v>0.1</v>
      </c>
      <c r="AS160" s="259">
        <v>0.1</v>
      </c>
      <c r="AT160" s="259">
        <v>0.1</v>
      </c>
      <c r="AU160" s="259">
        <v>0.1</v>
      </c>
      <c r="AV160" s="259">
        <v>0.1</v>
      </c>
      <c r="AW160" s="259">
        <v>0.1</v>
      </c>
      <c r="AX160" s="259">
        <v>0.1</v>
      </c>
      <c r="AY160" s="259">
        <v>0.1</v>
      </c>
      <c r="AZ160" s="259">
        <v>0.1</v>
      </c>
      <c r="BA160" s="259">
        <v>0.1</v>
      </c>
      <c r="BB160" s="259">
        <v>0.1</v>
      </c>
      <c r="BC160" s="259">
        <v>0.1</v>
      </c>
      <c r="BD160" s="259">
        <v>0.1</v>
      </c>
      <c r="BE160" s="259">
        <v>0.1</v>
      </c>
      <c r="BF160" s="259">
        <v>0.1</v>
      </c>
      <c r="BG160" s="259">
        <v>0.1</v>
      </c>
      <c r="BH160" s="259">
        <v>0.1</v>
      </c>
      <c r="BI160" s="259">
        <v>0.1</v>
      </c>
      <c r="BJ160" s="259">
        <v>0.1</v>
      </c>
      <c r="BK160" s="259">
        <v>0.1</v>
      </c>
      <c r="BL160" s="259">
        <v>0.1</v>
      </c>
      <c r="BM160" s="260">
        <v>0.1</v>
      </c>
      <c r="BN160">
        <v>0.1</v>
      </c>
      <c r="BO160">
        <v>0.1</v>
      </c>
      <c r="BP160">
        <f t="shared" si="13"/>
        <v>0.2</v>
      </c>
      <c r="BS160">
        <v>157</v>
      </c>
      <c r="BT160" s="271">
        <v>3.64</v>
      </c>
      <c r="BU160" s="270">
        <v>2.2200000000000002</v>
      </c>
      <c r="BV160" s="2"/>
      <c r="BW160" s="2"/>
      <c r="BX160" s="2"/>
      <c r="BY160" s="258">
        <v>0.1</v>
      </c>
      <c r="BZ160" s="259">
        <v>0.1</v>
      </c>
      <c r="CA160" s="259">
        <v>0.1</v>
      </c>
      <c r="CB160" s="259">
        <v>0.1</v>
      </c>
      <c r="CC160" s="259">
        <v>0.1</v>
      </c>
      <c r="CD160" s="259">
        <v>0.1</v>
      </c>
      <c r="CE160" s="259">
        <v>0.1</v>
      </c>
      <c r="CF160" s="259">
        <v>0.1</v>
      </c>
      <c r="CG160" s="259">
        <v>0.1</v>
      </c>
      <c r="CH160" s="259">
        <v>0.1</v>
      </c>
      <c r="CI160" s="259">
        <v>0.1</v>
      </c>
      <c r="CJ160" s="259">
        <v>0.1</v>
      </c>
      <c r="CK160" s="259">
        <v>0.1</v>
      </c>
      <c r="CL160" s="259">
        <v>0.1</v>
      </c>
      <c r="CM160" s="259">
        <v>0.1</v>
      </c>
      <c r="CN160" s="259">
        <v>0.1</v>
      </c>
      <c r="CO160" s="259">
        <v>0.1</v>
      </c>
      <c r="CP160" s="259">
        <v>0.1</v>
      </c>
      <c r="CQ160" s="259">
        <v>0.1</v>
      </c>
      <c r="CR160" s="259">
        <v>0.1</v>
      </c>
      <c r="CS160" s="259">
        <v>0.1</v>
      </c>
      <c r="CT160" s="259">
        <v>0.1</v>
      </c>
      <c r="CU160" s="259">
        <v>0.1</v>
      </c>
      <c r="CV160" s="259">
        <v>0.1</v>
      </c>
      <c r="CW160" s="259">
        <v>0.1</v>
      </c>
      <c r="CX160" s="259">
        <v>0.1</v>
      </c>
      <c r="CY160" s="259">
        <v>0.1</v>
      </c>
      <c r="CZ160" s="259">
        <v>0.1</v>
      </c>
      <c r="DA160" s="259">
        <v>0.1</v>
      </c>
      <c r="DB160" s="259">
        <v>0.1</v>
      </c>
      <c r="DC160" s="259">
        <v>0.1</v>
      </c>
      <c r="DD160" s="259">
        <v>0.1</v>
      </c>
      <c r="DE160" s="259">
        <v>0.1</v>
      </c>
      <c r="DF160" s="259">
        <v>0.1</v>
      </c>
      <c r="DG160" s="259">
        <v>0.1</v>
      </c>
      <c r="DH160" s="259">
        <v>0.1</v>
      </c>
      <c r="DI160" s="260">
        <v>0.1</v>
      </c>
      <c r="DJ160" s="258">
        <v>0.1</v>
      </c>
      <c r="DK160" s="259">
        <v>0.1</v>
      </c>
      <c r="DL160" s="259">
        <v>0.1</v>
      </c>
      <c r="DM160" s="259">
        <v>0.1</v>
      </c>
      <c r="DN160" s="259">
        <v>0.1</v>
      </c>
      <c r="DO160" s="259">
        <v>0.1</v>
      </c>
      <c r="DP160" s="259">
        <v>0.1</v>
      </c>
      <c r="DQ160" s="259">
        <v>0.1</v>
      </c>
      <c r="DR160" s="259">
        <v>0.1</v>
      </c>
      <c r="DS160" s="259">
        <v>0.1</v>
      </c>
      <c r="DT160" s="259">
        <v>0.1</v>
      </c>
      <c r="DU160" s="259">
        <v>0.1</v>
      </c>
      <c r="DV160" s="259">
        <v>0.1</v>
      </c>
      <c r="DW160" s="259">
        <v>0.1</v>
      </c>
      <c r="DX160" s="259">
        <v>0.1</v>
      </c>
      <c r="DY160" s="259">
        <v>0.1</v>
      </c>
      <c r="DZ160" s="259">
        <v>0.1</v>
      </c>
      <c r="EA160" s="259">
        <v>0.1</v>
      </c>
      <c r="EB160" s="259">
        <v>0.1</v>
      </c>
      <c r="EC160" s="259">
        <v>0.1</v>
      </c>
      <c r="ED160" s="259">
        <v>0.1</v>
      </c>
      <c r="EE160" s="259">
        <v>0.1</v>
      </c>
      <c r="EF160" s="260">
        <v>0.1</v>
      </c>
      <c r="EJ160">
        <v>157</v>
      </c>
      <c r="EN160">
        <v>0.1</v>
      </c>
      <c r="EO160">
        <v>0.1</v>
      </c>
      <c r="EP160">
        <v>0.1</v>
      </c>
      <c r="EQ160">
        <v>0.1</v>
      </c>
      <c r="ER160">
        <v>0.1</v>
      </c>
      <c r="ES160">
        <v>0.1</v>
      </c>
      <c r="ET160">
        <v>0.1</v>
      </c>
      <c r="EU160">
        <v>0.1</v>
      </c>
      <c r="EV160">
        <v>0.1</v>
      </c>
      <c r="EW160">
        <v>0.1</v>
      </c>
      <c r="EX160">
        <v>0.1</v>
      </c>
      <c r="EY160">
        <v>0.1</v>
      </c>
      <c r="EZ160">
        <v>0.1</v>
      </c>
      <c r="FA160">
        <v>0.1</v>
      </c>
      <c r="FB160">
        <v>0.1</v>
      </c>
      <c r="FC160">
        <v>0.1</v>
      </c>
      <c r="FD160">
        <v>0.1</v>
      </c>
      <c r="FE160">
        <v>0.1</v>
      </c>
      <c r="FF160">
        <v>0.1</v>
      </c>
      <c r="FG160">
        <v>0.1</v>
      </c>
      <c r="FH160">
        <v>0.1</v>
      </c>
      <c r="FI160">
        <v>0.1</v>
      </c>
      <c r="FJ160">
        <v>0.1</v>
      </c>
      <c r="FK160">
        <v>0.1</v>
      </c>
      <c r="FL160">
        <v>0.1</v>
      </c>
      <c r="FM160">
        <v>0.1</v>
      </c>
      <c r="FN160">
        <v>0.1</v>
      </c>
      <c r="FO160">
        <v>0.1</v>
      </c>
      <c r="FP160">
        <v>0.1</v>
      </c>
      <c r="FQ160">
        <v>0.1</v>
      </c>
      <c r="FU160">
        <v>157</v>
      </c>
      <c r="GB160">
        <v>0.1</v>
      </c>
      <c r="GC160">
        <v>0.1</v>
      </c>
      <c r="GD160">
        <v>0.1</v>
      </c>
      <c r="GE160">
        <v>0.1</v>
      </c>
      <c r="GF160">
        <v>0.1</v>
      </c>
      <c r="GG160">
        <v>0.1</v>
      </c>
      <c r="GH160">
        <v>0.1</v>
      </c>
      <c r="GI160">
        <v>0.1</v>
      </c>
      <c r="GJ160">
        <v>0.1</v>
      </c>
      <c r="GK160">
        <v>0.1</v>
      </c>
      <c r="GL160">
        <v>0.1</v>
      </c>
      <c r="GM160">
        <v>0.1</v>
      </c>
      <c r="GN160">
        <v>0.1</v>
      </c>
      <c r="GO160">
        <v>0.1</v>
      </c>
      <c r="GP160">
        <v>0.1</v>
      </c>
      <c r="GQ160">
        <v>0.1</v>
      </c>
      <c r="GR160">
        <v>0.1</v>
      </c>
      <c r="GS160">
        <v>0.1</v>
      </c>
      <c r="GT160">
        <v>0.1</v>
      </c>
      <c r="GU160">
        <v>0.1</v>
      </c>
      <c r="GV160">
        <v>0.1</v>
      </c>
      <c r="GW160">
        <v>0.1</v>
      </c>
      <c r="GX160">
        <v>0.1</v>
      </c>
      <c r="GY160">
        <v>0.1</v>
      </c>
      <c r="GZ160">
        <v>0.1</v>
      </c>
      <c r="HA160">
        <v>0.1</v>
      </c>
      <c r="HB160">
        <v>0.1</v>
      </c>
      <c r="HC160">
        <v>0.1</v>
      </c>
      <c r="HD160">
        <v>0.1</v>
      </c>
      <c r="HE160">
        <v>0.1</v>
      </c>
      <c r="HF160">
        <v>0.1</v>
      </c>
      <c r="HG160">
        <v>0.1</v>
      </c>
      <c r="HH160">
        <v>0.1</v>
      </c>
      <c r="HI160">
        <v>0.1</v>
      </c>
      <c r="HJ160">
        <v>0.1</v>
      </c>
      <c r="HK160">
        <v>0.1</v>
      </c>
      <c r="HL160">
        <v>0.1</v>
      </c>
      <c r="HM160">
        <v>0.1</v>
      </c>
      <c r="HN160">
        <v>0.1</v>
      </c>
      <c r="HO160">
        <v>0.1</v>
      </c>
    </row>
    <row r="161" spans="1:223" ht="15.75" thickBot="1" x14ac:dyDescent="0.3">
      <c r="A161">
        <v>158</v>
      </c>
      <c r="B161" s="269">
        <v>3.25</v>
      </c>
      <c r="C161" s="268">
        <v>2.41</v>
      </c>
      <c r="D161" s="2"/>
      <c r="E161" s="2"/>
      <c r="F161" s="2"/>
      <c r="G161" s="2"/>
      <c r="H161" s="258">
        <v>0.1</v>
      </c>
      <c r="I161" s="259">
        <v>0.1</v>
      </c>
      <c r="J161" s="259">
        <v>0.1</v>
      </c>
      <c r="K161" s="259">
        <v>0.1</v>
      </c>
      <c r="L161" s="259">
        <v>0.1</v>
      </c>
      <c r="M161" s="259">
        <v>0.1</v>
      </c>
      <c r="N161" s="259">
        <v>0.1</v>
      </c>
      <c r="O161" s="259">
        <v>0.1</v>
      </c>
      <c r="P161" s="259">
        <v>0.1</v>
      </c>
      <c r="Q161" s="259">
        <v>0.1</v>
      </c>
      <c r="R161" s="259">
        <v>0.1</v>
      </c>
      <c r="S161" s="259">
        <v>0.1</v>
      </c>
      <c r="T161" s="259">
        <v>0.1</v>
      </c>
      <c r="U161" s="259">
        <v>0.1</v>
      </c>
      <c r="V161" s="259">
        <v>0.1</v>
      </c>
      <c r="W161" s="259">
        <v>0.1</v>
      </c>
      <c r="X161" s="259">
        <v>0.1</v>
      </c>
      <c r="Y161" s="259">
        <v>0.1</v>
      </c>
      <c r="Z161" s="259">
        <v>0.1</v>
      </c>
      <c r="AA161" s="259">
        <v>0.1</v>
      </c>
      <c r="AB161" s="259">
        <v>0.1</v>
      </c>
      <c r="AC161" s="259">
        <v>0.1</v>
      </c>
      <c r="AD161" s="259">
        <v>0.1</v>
      </c>
      <c r="AE161" s="259">
        <v>0.1</v>
      </c>
      <c r="AF161" s="259">
        <v>0.1</v>
      </c>
      <c r="AG161" s="259">
        <v>0.1</v>
      </c>
      <c r="AH161" s="259">
        <v>0.1</v>
      </c>
      <c r="AI161" s="259">
        <v>0.1</v>
      </c>
      <c r="AJ161" s="259">
        <v>0.1</v>
      </c>
      <c r="AK161" s="259">
        <v>0.1</v>
      </c>
      <c r="AL161" s="259">
        <v>0.1</v>
      </c>
      <c r="AM161" s="259">
        <v>0.1</v>
      </c>
      <c r="AN161" s="260">
        <v>0.1</v>
      </c>
      <c r="AO161" s="258">
        <v>0.1</v>
      </c>
      <c r="AP161" s="259">
        <v>0.1</v>
      </c>
      <c r="AQ161" s="259">
        <v>0.1</v>
      </c>
      <c r="AR161" s="259">
        <v>0.1</v>
      </c>
      <c r="AS161" s="259">
        <v>0.1</v>
      </c>
      <c r="AT161" s="259">
        <v>0.1</v>
      </c>
      <c r="AU161" s="259">
        <v>0.1</v>
      </c>
      <c r="AV161" s="259">
        <v>0.1</v>
      </c>
      <c r="AW161" s="259">
        <v>0.1</v>
      </c>
      <c r="AX161" s="259">
        <v>0.1</v>
      </c>
      <c r="AY161" s="259">
        <v>0.1</v>
      </c>
      <c r="AZ161" s="259">
        <v>0.1</v>
      </c>
      <c r="BA161" s="259">
        <v>0.1</v>
      </c>
      <c r="BB161" s="259">
        <v>0.1</v>
      </c>
      <c r="BC161" s="259">
        <v>0.1</v>
      </c>
      <c r="BD161" s="259">
        <v>0.1</v>
      </c>
      <c r="BE161" s="259">
        <v>0.1</v>
      </c>
      <c r="BF161" s="259">
        <v>0.1</v>
      </c>
      <c r="BG161" s="259">
        <v>0.1</v>
      </c>
      <c r="BH161" s="259">
        <v>0.1</v>
      </c>
      <c r="BI161" s="259">
        <v>0.1</v>
      </c>
      <c r="BJ161" s="259">
        <v>0.1</v>
      </c>
      <c r="BK161" s="259">
        <v>0.1</v>
      </c>
      <c r="BL161" s="259">
        <v>0.1</v>
      </c>
      <c r="BM161" s="260">
        <v>0.1</v>
      </c>
      <c r="BN161">
        <v>0.1</v>
      </c>
      <c r="BO161">
        <v>0.1</v>
      </c>
      <c r="BP161">
        <f t="shared" si="13"/>
        <v>0.2</v>
      </c>
      <c r="BS161">
        <v>158</v>
      </c>
      <c r="BT161" s="270">
        <v>3.64</v>
      </c>
      <c r="BU161" s="271">
        <v>2.2200000000000002</v>
      </c>
      <c r="BV161" s="2"/>
      <c r="BW161" s="2"/>
      <c r="BX161" s="2"/>
      <c r="BY161" s="258">
        <v>0.1</v>
      </c>
      <c r="BZ161" s="259">
        <v>0.1</v>
      </c>
      <c r="CA161" s="259">
        <v>0.1</v>
      </c>
      <c r="CB161" s="259">
        <v>0.1</v>
      </c>
      <c r="CC161" s="259">
        <v>0.1</v>
      </c>
      <c r="CD161" s="259">
        <v>0.1</v>
      </c>
      <c r="CE161" s="259">
        <v>0.1</v>
      </c>
      <c r="CF161" s="259">
        <v>0.1</v>
      </c>
      <c r="CG161" s="259">
        <v>0.1</v>
      </c>
      <c r="CH161" s="259">
        <v>0.1</v>
      </c>
      <c r="CI161" s="259">
        <v>0.1</v>
      </c>
      <c r="CJ161" s="259">
        <v>0.1</v>
      </c>
      <c r="CK161" s="259">
        <v>0.1</v>
      </c>
      <c r="CL161" s="259">
        <v>0.1</v>
      </c>
      <c r="CM161" s="259">
        <v>0.1</v>
      </c>
      <c r="CN161" s="259">
        <v>0.1</v>
      </c>
      <c r="CO161" s="259">
        <v>0.1</v>
      </c>
      <c r="CP161" s="259">
        <v>0.1</v>
      </c>
      <c r="CQ161" s="259">
        <v>0.1</v>
      </c>
      <c r="CR161" s="259">
        <v>0.1</v>
      </c>
      <c r="CS161" s="259">
        <v>0.1</v>
      </c>
      <c r="CT161" s="259">
        <v>0.1</v>
      </c>
      <c r="CU161" s="259">
        <v>0.1</v>
      </c>
      <c r="CV161" s="259">
        <v>0.1</v>
      </c>
      <c r="CW161" s="259">
        <v>0.1</v>
      </c>
      <c r="CX161" s="259">
        <v>0.1</v>
      </c>
      <c r="CY161" s="259">
        <v>0.1</v>
      </c>
      <c r="CZ161" s="259">
        <v>0.1</v>
      </c>
      <c r="DA161" s="259">
        <v>0.1</v>
      </c>
      <c r="DB161" s="259">
        <v>0.1</v>
      </c>
      <c r="DC161" s="259">
        <v>0.1</v>
      </c>
      <c r="DD161" s="259">
        <v>0.1</v>
      </c>
      <c r="DE161" s="259">
        <v>0.1</v>
      </c>
      <c r="DF161" s="259">
        <v>0.1</v>
      </c>
      <c r="DG161" s="259">
        <v>0.1</v>
      </c>
      <c r="DH161" s="259">
        <v>0.1</v>
      </c>
      <c r="DI161" s="260">
        <v>0.1</v>
      </c>
      <c r="DJ161" s="258">
        <v>0.1</v>
      </c>
      <c r="DK161" s="259">
        <v>0.1</v>
      </c>
      <c r="DL161" s="259">
        <v>0.1</v>
      </c>
      <c r="DM161" s="259">
        <v>0.1</v>
      </c>
      <c r="DN161" s="259">
        <v>0.1</v>
      </c>
      <c r="DO161" s="259">
        <v>0.1</v>
      </c>
      <c r="DP161" s="259">
        <v>0.1</v>
      </c>
      <c r="DQ161" s="259">
        <v>0.1</v>
      </c>
      <c r="DR161" s="259">
        <v>0.1</v>
      </c>
      <c r="DS161" s="259">
        <v>0.1</v>
      </c>
      <c r="DT161" s="259">
        <v>0.1</v>
      </c>
      <c r="DU161" s="259">
        <v>0.1</v>
      </c>
      <c r="DV161" s="259">
        <v>0.1</v>
      </c>
      <c r="DW161" s="259">
        <v>0.1</v>
      </c>
      <c r="DX161" s="259">
        <v>0.1</v>
      </c>
      <c r="DY161" s="259">
        <v>0.1</v>
      </c>
      <c r="DZ161" s="259">
        <v>0.1</v>
      </c>
      <c r="EA161" s="259">
        <v>0.1</v>
      </c>
      <c r="EB161" s="259">
        <v>0.1</v>
      </c>
      <c r="EC161" s="259">
        <v>0.1</v>
      </c>
      <c r="ED161" s="259">
        <v>0.1</v>
      </c>
      <c r="EE161" s="259">
        <v>0.1</v>
      </c>
      <c r="EF161" s="260">
        <v>0.1</v>
      </c>
      <c r="EJ161">
        <v>158</v>
      </c>
      <c r="EN161">
        <v>0.1</v>
      </c>
      <c r="EO161">
        <v>0.1</v>
      </c>
      <c r="EP161">
        <v>0.1</v>
      </c>
      <c r="EQ161">
        <v>0.1</v>
      </c>
      <c r="ER161">
        <v>0.1</v>
      </c>
      <c r="ES161">
        <v>0.1</v>
      </c>
      <c r="ET161">
        <v>0.1</v>
      </c>
      <c r="EU161">
        <v>0.1</v>
      </c>
      <c r="EV161">
        <v>0.1</v>
      </c>
      <c r="EW161">
        <v>0.1</v>
      </c>
      <c r="EX161">
        <v>0.1</v>
      </c>
      <c r="EY161">
        <v>0.1</v>
      </c>
      <c r="EZ161">
        <v>0.1</v>
      </c>
      <c r="FA161">
        <v>0.1</v>
      </c>
      <c r="FB161">
        <v>0.1</v>
      </c>
      <c r="FC161">
        <v>0.1</v>
      </c>
      <c r="FD161">
        <v>0.1</v>
      </c>
      <c r="FE161">
        <v>0.1</v>
      </c>
      <c r="FF161">
        <v>0.1</v>
      </c>
      <c r="FG161">
        <v>0.1</v>
      </c>
      <c r="FH161">
        <v>0.1</v>
      </c>
      <c r="FI161">
        <v>0.1</v>
      </c>
      <c r="FJ161">
        <v>0.1</v>
      </c>
      <c r="FK161">
        <v>0.1</v>
      </c>
      <c r="FL161">
        <v>0.1</v>
      </c>
      <c r="FM161">
        <v>0.1</v>
      </c>
      <c r="FN161">
        <v>0.1</v>
      </c>
      <c r="FO161">
        <v>0.1</v>
      </c>
      <c r="FP161">
        <v>0.1</v>
      </c>
      <c r="FQ161">
        <v>0.1</v>
      </c>
      <c r="FU161">
        <v>158</v>
      </c>
      <c r="GB161">
        <v>0.1</v>
      </c>
      <c r="GC161">
        <v>0.1</v>
      </c>
      <c r="GD161">
        <v>0.1</v>
      </c>
      <c r="GE161">
        <v>0.1</v>
      </c>
      <c r="GF161">
        <v>0.1</v>
      </c>
      <c r="GG161">
        <v>0.1</v>
      </c>
      <c r="GH161">
        <v>0.1</v>
      </c>
      <c r="GI161">
        <v>0.1</v>
      </c>
      <c r="GJ161">
        <v>0.1</v>
      </c>
      <c r="GK161">
        <v>0.1</v>
      </c>
      <c r="GL161">
        <v>0.1</v>
      </c>
      <c r="GM161">
        <v>0.1</v>
      </c>
      <c r="GN161">
        <v>0.1</v>
      </c>
      <c r="GO161">
        <v>0.1</v>
      </c>
      <c r="GP161">
        <v>0.1</v>
      </c>
      <c r="GQ161">
        <v>0.1</v>
      </c>
      <c r="GR161">
        <v>0.1</v>
      </c>
      <c r="GS161">
        <v>0.1</v>
      </c>
      <c r="GT161">
        <v>0.1</v>
      </c>
      <c r="GU161">
        <v>0.1</v>
      </c>
      <c r="GV161">
        <v>0.1</v>
      </c>
      <c r="GW161">
        <v>0.1</v>
      </c>
      <c r="GX161">
        <v>0.1</v>
      </c>
      <c r="GY161">
        <v>0.1</v>
      </c>
      <c r="GZ161">
        <v>0.1</v>
      </c>
      <c r="HA161">
        <v>0.1</v>
      </c>
      <c r="HB161">
        <v>0.1</v>
      </c>
      <c r="HC161">
        <v>0.1</v>
      </c>
      <c r="HD161">
        <v>0.1</v>
      </c>
      <c r="HE161">
        <v>0.1</v>
      </c>
      <c r="HF161">
        <v>0.1</v>
      </c>
      <c r="HG161">
        <v>0.1</v>
      </c>
      <c r="HH161">
        <v>0.1</v>
      </c>
      <c r="HI161">
        <v>0.1</v>
      </c>
      <c r="HJ161">
        <v>0.1</v>
      </c>
      <c r="HK161">
        <v>0.1</v>
      </c>
      <c r="HL161">
        <v>0.1</v>
      </c>
      <c r="HM161">
        <v>0.1</v>
      </c>
      <c r="HN161">
        <v>0.1</v>
      </c>
      <c r="HO161">
        <v>0.1</v>
      </c>
    </row>
    <row r="162" spans="1:223" ht="15.75" thickBot="1" x14ac:dyDescent="0.3">
      <c r="A162">
        <v>159</v>
      </c>
      <c r="B162" s="268">
        <v>3.23</v>
      </c>
      <c r="C162" s="268">
        <v>2.58</v>
      </c>
      <c r="D162" s="2"/>
      <c r="E162" s="2"/>
      <c r="F162" s="2"/>
      <c r="G162" s="2"/>
      <c r="H162" s="258">
        <v>0.1</v>
      </c>
      <c r="I162" s="259">
        <v>0.1</v>
      </c>
      <c r="J162" s="259">
        <v>0.1</v>
      </c>
      <c r="K162" s="259">
        <v>0.1</v>
      </c>
      <c r="L162" s="259">
        <v>0.1</v>
      </c>
      <c r="M162" s="259">
        <v>0.1</v>
      </c>
      <c r="N162" s="259">
        <v>0.1</v>
      </c>
      <c r="O162" s="259">
        <v>0.1</v>
      </c>
      <c r="P162" s="259">
        <v>0.1</v>
      </c>
      <c r="Q162" s="259">
        <v>0.1</v>
      </c>
      <c r="R162" s="259">
        <v>0.1</v>
      </c>
      <c r="S162" s="259">
        <v>0.1</v>
      </c>
      <c r="T162" s="259">
        <v>0.1</v>
      </c>
      <c r="U162" s="259">
        <v>0.1</v>
      </c>
      <c r="V162" s="259">
        <v>0.1</v>
      </c>
      <c r="W162" s="259">
        <v>0.1</v>
      </c>
      <c r="X162" s="259">
        <v>0.1</v>
      </c>
      <c r="Y162" s="259">
        <v>0.1</v>
      </c>
      <c r="Z162" s="259">
        <v>0.1</v>
      </c>
      <c r="AA162" s="259">
        <v>0.1</v>
      </c>
      <c r="AB162" s="259">
        <v>0.1</v>
      </c>
      <c r="AC162" s="259">
        <v>0.1</v>
      </c>
      <c r="AD162" s="259">
        <v>0.1</v>
      </c>
      <c r="AE162" s="259">
        <v>0.1</v>
      </c>
      <c r="AF162" s="259">
        <v>0.1</v>
      </c>
      <c r="AG162" s="259">
        <v>0.1</v>
      </c>
      <c r="AH162" s="259">
        <v>0.1</v>
      </c>
      <c r="AI162" s="259">
        <v>0.1</v>
      </c>
      <c r="AJ162" s="259">
        <v>0.1</v>
      </c>
      <c r="AK162" s="259">
        <v>0.1</v>
      </c>
      <c r="AL162" s="259">
        <v>0.1</v>
      </c>
      <c r="AM162" s="259">
        <v>0.1</v>
      </c>
      <c r="AN162" s="260">
        <v>0.1</v>
      </c>
      <c r="AO162" s="258">
        <v>0.1</v>
      </c>
      <c r="AP162" s="259">
        <v>0.1</v>
      </c>
      <c r="AQ162" s="259">
        <v>0.1</v>
      </c>
      <c r="AR162" s="259">
        <v>0.1</v>
      </c>
      <c r="AS162" s="259">
        <v>0.1</v>
      </c>
      <c r="AT162" s="259">
        <v>0.1</v>
      </c>
      <c r="AU162" s="259">
        <v>0.1</v>
      </c>
      <c r="AV162" s="259">
        <v>0.1</v>
      </c>
      <c r="AW162" s="259">
        <v>0.1</v>
      </c>
      <c r="AX162" s="259">
        <v>0.1</v>
      </c>
      <c r="AY162" s="259">
        <v>0.1</v>
      </c>
      <c r="AZ162" s="259">
        <v>0.1</v>
      </c>
      <c r="BA162" s="259">
        <v>0.1</v>
      </c>
      <c r="BB162" s="259">
        <v>0.1</v>
      </c>
      <c r="BC162" s="259">
        <v>0.1</v>
      </c>
      <c r="BD162" s="259">
        <v>0.1</v>
      </c>
      <c r="BE162" s="259">
        <v>0.1</v>
      </c>
      <c r="BF162" s="259">
        <v>0.1</v>
      </c>
      <c r="BG162" s="259">
        <v>0.1</v>
      </c>
      <c r="BH162" s="259">
        <v>0.1</v>
      </c>
      <c r="BI162" s="259">
        <v>0.1</v>
      </c>
      <c r="BJ162" s="259">
        <v>0.1</v>
      </c>
      <c r="BK162" s="259">
        <v>0.1</v>
      </c>
      <c r="BL162" s="259">
        <v>0.1</v>
      </c>
      <c r="BM162" s="259">
        <v>0.1</v>
      </c>
      <c r="BN162" s="260">
        <v>0.1</v>
      </c>
      <c r="BO162">
        <v>0.1</v>
      </c>
      <c r="BP162">
        <f>SUM(BO162)</f>
        <v>0.1</v>
      </c>
      <c r="BS162">
        <v>159</v>
      </c>
      <c r="BT162" s="271">
        <v>3.64</v>
      </c>
      <c r="BU162" s="270">
        <v>2.2200000000000002</v>
      </c>
      <c r="BV162" s="2"/>
      <c r="BW162" s="2"/>
      <c r="BX162" s="2"/>
      <c r="BY162" s="258">
        <v>0.1</v>
      </c>
      <c r="BZ162" s="259">
        <v>0.1</v>
      </c>
      <c r="CA162" s="259">
        <v>0.1</v>
      </c>
      <c r="CB162" s="259">
        <v>0.1</v>
      </c>
      <c r="CC162" s="259">
        <v>0.1</v>
      </c>
      <c r="CD162" s="259">
        <v>0.1</v>
      </c>
      <c r="CE162" s="259">
        <v>0.1</v>
      </c>
      <c r="CF162" s="259">
        <v>0.1</v>
      </c>
      <c r="CG162" s="259">
        <v>0.1</v>
      </c>
      <c r="CH162" s="259">
        <v>0.1</v>
      </c>
      <c r="CI162" s="259">
        <v>0.1</v>
      </c>
      <c r="CJ162" s="259">
        <v>0.1</v>
      </c>
      <c r="CK162" s="259">
        <v>0.1</v>
      </c>
      <c r="CL162" s="259">
        <v>0.1</v>
      </c>
      <c r="CM162" s="259">
        <v>0.1</v>
      </c>
      <c r="CN162" s="259">
        <v>0.1</v>
      </c>
      <c r="CO162" s="259">
        <v>0.1</v>
      </c>
      <c r="CP162" s="259">
        <v>0.1</v>
      </c>
      <c r="CQ162" s="259">
        <v>0.1</v>
      </c>
      <c r="CR162" s="259">
        <v>0.1</v>
      </c>
      <c r="CS162" s="259">
        <v>0.1</v>
      </c>
      <c r="CT162" s="259">
        <v>0.1</v>
      </c>
      <c r="CU162" s="259">
        <v>0.1</v>
      </c>
      <c r="CV162" s="259">
        <v>0.1</v>
      </c>
      <c r="CW162" s="259">
        <v>0.1</v>
      </c>
      <c r="CX162" s="259">
        <v>0.1</v>
      </c>
      <c r="CY162" s="259">
        <v>0.1</v>
      </c>
      <c r="CZ162" s="259">
        <v>0.1</v>
      </c>
      <c r="DA162" s="259">
        <v>0.1</v>
      </c>
      <c r="DB162" s="259">
        <v>0.1</v>
      </c>
      <c r="DC162" s="259">
        <v>0.1</v>
      </c>
      <c r="DD162" s="259">
        <v>0.1</v>
      </c>
      <c r="DE162" s="259">
        <v>0.1</v>
      </c>
      <c r="DF162" s="259">
        <v>0.1</v>
      </c>
      <c r="DG162" s="259">
        <v>0.1</v>
      </c>
      <c r="DH162" s="259">
        <v>0.1</v>
      </c>
      <c r="DI162" s="260">
        <v>0.1</v>
      </c>
      <c r="DJ162" s="258">
        <v>0.1</v>
      </c>
      <c r="DK162" s="259">
        <v>0.1</v>
      </c>
      <c r="DL162" s="259">
        <v>0.1</v>
      </c>
      <c r="DM162" s="259">
        <v>0.1</v>
      </c>
      <c r="DN162" s="259">
        <v>0.1</v>
      </c>
      <c r="DO162" s="259">
        <v>0.1</v>
      </c>
      <c r="DP162" s="259">
        <v>0.1</v>
      </c>
      <c r="DQ162" s="259">
        <v>0.1</v>
      </c>
      <c r="DR162" s="259">
        <v>0.1</v>
      </c>
      <c r="DS162" s="259">
        <v>0.1</v>
      </c>
      <c r="DT162" s="259">
        <v>0.1</v>
      </c>
      <c r="DU162" s="259">
        <v>0.1</v>
      </c>
      <c r="DV162" s="259">
        <v>0.1</v>
      </c>
      <c r="DW162" s="259">
        <v>0.1</v>
      </c>
      <c r="DX162" s="259">
        <v>0.1</v>
      </c>
      <c r="DY162" s="259">
        <v>0.1</v>
      </c>
      <c r="DZ162" s="259">
        <v>0.1</v>
      </c>
      <c r="EA162" s="259">
        <v>0.1</v>
      </c>
      <c r="EB162" s="259">
        <v>0.1</v>
      </c>
      <c r="EC162" s="259">
        <v>0.1</v>
      </c>
      <c r="ED162" s="259">
        <v>0.1</v>
      </c>
      <c r="EE162" s="259">
        <v>0.1</v>
      </c>
      <c r="EF162" s="260">
        <v>0.1</v>
      </c>
      <c r="EJ162">
        <v>159</v>
      </c>
      <c r="EN162">
        <v>0.1</v>
      </c>
      <c r="EO162">
        <v>0.1</v>
      </c>
      <c r="EP162">
        <v>0.1</v>
      </c>
      <c r="EQ162">
        <v>0.1</v>
      </c>
      <c r="ER162">
        <v>0.1</v>
      </c>
      <c r="ES162">
        <v>0.1</v>
      </c>
      <c r="ET162">
        <v>0.1</v>
      </c>
      <c r="EU162">
        <v>0.1</v>
      </c>
      <c r="EV162">
        <v>0.1</v>
      </c>
      <c r="EW162">
        <v>0.1</v>
      </c>
      <c r="EX162">
        <v>0.1</v>
      </c>
      <c r="EY162">
        <v>0.1</v>
      </c>
      <c r="EZ162">
        <v>0.1</v>
      </c>
      <c r="FA162">
        <v>0.1</v>
      </c>
      <c r="FB162">
        <v>0.1</v>
      </c>
      <c r="FC162">
        <v>0.1</v>
      </c>
      <c r="FD162">
        <v>0.1</v>
      </c>
      <c r="FE162">
        <v>0.1</v>
      </c>
      <c r="FF162">
        <v>0.1</v>
      </c>
      <c r="FG162">
        <v>0.1</v>
      </c>
      <c r="FH162">
        <v>0.1</v>
      </c>
      <c r="FI162">
        <v>0.1</v>
      </c>
      <c r="FJ162">
        <v>0.1</v>
      </c>
      <c r="FK162">
        <v>0.1</v>
      </c>
      <c r="FL162">
        <v>0.1</v>
      </c>
      <c r="FM162">
        <v>0.1</v>
      </c>
      <c r="FN162">
        <v>0.1</v>
      </c>
      <c r="FO162">
        <v>0.1</v>
      </c>
      <c r="FP162">
        <v>0.1</v>
      </c>
      <c r="FQ162">
        <v>0.1</v>
      </c>
      <c r="FU162">
        <v>159</v>
      </c>
      <c r="GB162">
        <v>0.1</v>
      </c>
      <c r="GC162">
        <v>0.1</v>
      </c>
      <c r="GD162">
        <v>0.1</v>
      </c>
      <c r="GE162">
        <v>0.1</v>
      </c>
      <c r="GF162">
        <v>0.1</v>
      </c>
      <c r="GG162">
        <v>0.1</v>
      </c>
      <c r="GH162">
        <v>0.1</v>
      </c>
      <c r="GI162">
        <v>0.1</v>
      </c>
      <c r="GJ162">
        <v>0.1</v>
      </c>
      <c r="GK162">
        <v>0.1</v>
      </c>
      <c r="GL162">
        <v>0.1</v>
      </c>
      <c r="GM162">
        <v>0.1</v>
      </c>
      <c r="GN162">
        <v>0.1</v>
      </c>
      <c r="GO162">
        <v>0.1</v>
      </c>
      <c r="GP162">
        <v>0.1</v>
      </c>
      <c r="GQ162">
        <v>0.1</v>
      </c>
      <c r="GR162">
        <v>0.1</v>
      </c>
      <c r="GS162">
        <v>0.1</v>
      </c>
      <c r="GT162">
        <v>0.1</v>
      </c>
      <c r="GU162">
        <v>0.1</v>
      </c>
      <c r="GV162">
        <v>0.1</v>
      </c>
      <c r="GW162">
        <v>0.1</v>
      </c>
      <c r="GX162">
        <v>0.1</v>
      </c>
      <c r="GY162">
        <v>0.1</v>
      </c>
      <c r="GZ162">
        <v>0.1</v>
      </c>
      <c r="HA162">
        <v>0.1</v>
      </c>
      <c r="HB162">
        <v>0.1</v>
      </c>
      <c r="HC162">
        <v>0.1</v>
      </c>
      <c r="HD162">
        <v>0.1</v>
      </c>
      <c r="HE162">
        <v>0.1</v>
      </c>
      <c r="HF162">
        <v>0.1</v>
      </c>
      <c r="HG162">
        <v>0.1</v>
      </c>
      <c r="HH162">
        <v>0.1</v>
      </c>
      <c r="HI162">
        <v>0.1</v>
      </c>
      <c r="HJ162">
        <v>0.1</v>
      </c>
      <c r="HK162">
        <v>0.1</v>
      </c>
      <c r="HL162">
        <v>0.1</v>
      </c>
      <c r="HM162">
        <v>0.1</v>
      </c>
      <c r="HN162">
        <v>0.1</v>
      </c>
      <c r="HO162">
        <v>0.1</v>
      </c>
    </row>
    <row r="163" spans="1:223" ht="15.75" thickBot="1" x14ac:dyDescent="0.3">
      <c r="A163">
        <v>160</v>
      </c>
      <c r="B163" s="269">
        <v>3.2</v>
      </c>
      <c r="C163" s="269">
        <v>2.58</v>
      </c>
      <c r="D163" s="2"/>
      <c r="E163" s="2"/>
      <c r="F163" s="2"/>
      <c r="G163" s="2"/>
      <c r="H163" s="258">
        <v>0.1</v>
      </c>
      <c r="I163" s="259">
        <v>0.1</v>
      </c>
      <c r="J163" s="259">
        <v>0.1</v>
      </c>
      <c r="K163" s="259">
        <v>0.1</v>
      </c>
      <c r="L163" s="259">
        <v>0.1</v>
      </c>
      <c r="M163" s="259">
        <v>0.1</v>
      </c>
      <c r="N163" s="259">
        <v>0.1</v>
      </c>
      <c r="O163" s="259">
        <v>0.1</v>
      </c>
      <c r="P163" s="259">
        <v>0.1</v>
      </c>
      <c r="Q163" s="259">
        <v>0.1</v>
      </c>
      <c r="R163" s="259">
        <v>0.1</v>
      </c>
      <c r="S163" s="259">
        <v>0.1</v>
      </c>
      <c r="T163" s="259">
        <v>0.1</v>
      </c>
      <c r="U163" s="259">
        <v>0.1</v>
      </c>
      <c r="V163" s="259">
        <v>0.1</v>
      </c>
      <c r="W163" s="259">
        <v>0.1</v>
      </c>
      <c r="X163" s="259">
        <v>0.1</v>
      </c>
      <c r="Y163" s="259">
        <v>0.1</v>
      </c>
      <c r="Z163" s="259">
        <v>0.1</v>
      </c>
      <c r="AA163" s="259">
        <v>0.1</v>
      </c>
      <c r="AB163" s="259">
        <v>0.1</v>
      </c>
      <c r="AC163" s="259">
        <v>0.1</v>
      </c>
      <c r="AD163" s="259">
        <v>0.1</v>
      </c>
      <c r="AE163" s="259">
        <v>0.1</v>
      </c>
      <c r="AF163" s="259">
        <v>0.1</v>
      </c>
      <c r="AG163" s="259">
        <v>0.1</v>
      </c>
      <c r="AH163" s="259">
        <v>0.1</v>
      </c>
      <c r="AI163" s="259">
        <v>0.1</v>
      </c>
      <c r="AJ163" s="259">
        <v>0.1</v>
      </c>
      <c r="AK163" s="259">
        <v>0.1</v>
      </c>
      <c r="AL163" s="259">
        <v>0.1</v>
      </c>
      <c r="AM163" s="260">
        <v>0.1</v>
      </c>
      <c r="AN163" s="258">
        <v>0.1</v>
      </c>
      <c r="AO163" s="259">
        <v>0.1</v>
      </c>
      <c r="AP163" s="259">
        <v>0.1</v>
      </c>
      <c r="AQ163" s="259">
        <v>0.1</v>
      </c>
      <c r="AR163" s="259">
        <v>0.1</v>
      </c>
      <c r="AS163" s="259">
        <v>0.1</v>
      </c>
      <c r="AT163" s="259">
        <v>0.1</v>
      </c>
      <c r="AU163" s="259">
        <v>0.1</v>
      </c>
      <c r="AV163" s="259">
        <v>0.1</v>
      </c>
      <c r="AW163" s="259">
        <v>0.1</v>
      </c>
      <c r="AX163" s="259">
        <v>0.1</v>
      </c>
      <c r="AY163" s="259">
        <v>0.1</v>
      </c>
      <c r="AZ163" s="259">
        <v>0.1</v>
      </c>
      <c r="BA163" s="259">
        <v>0.1</v>
      </c>
      <c r="BB163" s="259">
        <v>0.1</v>
      </c>
      <c r="BC163" s="259">
        <v>0.1</v>
      </c>
      <c r="BD163" s="259">
        <v>0.1</v>
      </c>
      <c r="BE163" s="259">
        <v>0.1</v>
      </c>
      <c r="BF163" s="259">
        <v>0.1</v>
      </c>
      <c r="BG163" s="259">
        <v>0.1</v>
      </c>
      <c r="BH163" s="259">
        <v>0.1</v>
      </c>
      <c r="BI163" s="259">
        <v>0.1</v>
      </c>
      <c r="BJ163" s="259">
        <v>0.1</v>
      </c>
      <c r="BK163" s="259">
        <v>0.1</v>
      </c>
      <c r="BL163" s="259">
        <v>0.1</v>
      </c>
      <c r="BM163" s="260">
        <v>0.1</v>
      </c>
      <c r="BN163">
        <v>0.1</v>
      </c>
      <c r="BO163">
        <v>0.1</v>
      </c>
      <c r="BP163">
        <f t="shared" si="13"/>
        <v>0.2</v>
      </c>
      <c r="BS163">
        <v>160</v>
      </c>
      <c r="BT163" s="270">
        <v>3.64</v>
      </c>
      <c r="BU163" s="271">
        <v>2.2200000000000002</v>
      </c>
      <c r="BV163" s="2"/>
      <c r="BW163" s="2"/>
      <c r="BX163" s="2"/>
      <c r="BY163" s="258">
        <v>0.1</v>
      </c>
      <c r="BZ163" s="259">
        <v>0.1</v>
      </c>
      <c r="CA163" s="259">
        <v>0.1</v>
      </c>
      <c r="CB163" s="259">
        <v>0.1</v>
      </c>
      <c r="CC163" s="259">
        <v>0.1</v>
      </c>
      <c r="CD163" s="259">
        <v>0.1</v>
      </c>
      <c r="CE163" s="259">
        <v>0.1</v>
      </c>
      <c r="CF163" s="259">
        <v>0.1</v>
      </c>
      <c r="CG163" s="259">
        <v>0.1</v>
      </c>
      <c r="CH163" s="259">
        <v>0.1</v>
      </c>
      <c r="CI163" s="259">
        <v>0.1</v>
      </c>
      <c r="CJ163" s="259">
        <v>0.1</v>
      </c>
      <c r="CK163" s="259">
        <v>0.1</v>
      </c>
      <c r="CL163" s="259">
        <v>0.1</v>
      </c>
      <c r="CM163" s="259">
        <v>0.1</v>
      </c>
      <c r="CN163" s="259">
        <v>0.1</v>
      </c>
      <c r="CO163" s="259">
        <v>0.1</v>
      </c>
      <c r="CP163" s="259">
        <v>0.1</v>
      </c>
      <c r="CQ163" s="259">
        <v>0.1</v>
      </c>
      <c r="CR163" s="259">
        <v>0.1</v>
      </c>
      <c r="CS163" s="259">
        <v>0.1</v>
      </c>
      <c r="CT163" s="259">
        <v>0.1</v>
      </c>
      <c r="CU163" s="259">
        <v>0.1</v>
      </c>
      <c r="CV163" s="259">
        <v>0.1</v>
      </c>
      <c r="CW163" s="259">
        <v>0.1</v>
      </c>
      <c r="CX163" s="259">
        <v>0.1</v>
      </c>
      <c r="CY163" s="259">
        <v>0.1</v>
      </c>
      <c r="CZ163" s="259">
        <v>0.1</v>
      </c>
      <c r="DA163" s="259">
        <v>0.1</v>
      </c>
      <c r="DB163" s="259">
        <v>0.1</v>
      </c>
      <c r="DC163" s="259">
        <v>0.1</v>
      </c>
      <c r="DD163" s="259">
        <v>0.1</v>
      </c>
      <c r="DE163" s="259">
        <v>0.1</v>
      </c>
      <c r="DF163" s="259">
        <v>0.1</v>
      </c>
      <c r="DG163" s="259">
        <v>0.1</v>
      </c>
      <c r="DH163" s="259">
        <v>0.1</v>
      </c>
      <c r="DI163" s="260">
        <v>0.1</v>
      </c>
      <c r="DJ163" s="258">
        <v>0.1</v>
      </c>
      <c r="DK163" s="259">
        <v>0.1</v>
      </c>
      <c r="DL163" s="259">
        <v>0.1</v>
      </c>
      <c r="DM163" s="259">
        <v>0.1</v>
      </c>
      <c r="DN163" s="259">
        <v>0.1</v>
      </c>
      <c r="DO163" s="259">
        <v>0.1</v>
      </c>
      <c r="DP163" s="259">
        <v>0.1</v>
      </c>
      <c r="DQ163" s="259">
        <v>0.1</v>
      </c>
      <c r="DR163" s="259">
        <v>0.1</v>
      </c>
      <c r="DS163" s="259">
        <v>0.1</v>
      </c>
      <c r="DT163" s="259">
        <v>0.1</v>
      </c>
      <c r="DU163" s="259">
        <v>0.1</v>
      </c>
      <c r="DV163" s="259">
        <v>0.1</v>
      </c>
      <c r="DW163" s="259">
        <v>0.1</v>
      </c>
      <c r="DX163" s="259">
        <v>0.1</v>
      </c>
      <c r="DY163" s="259">
        <v>0.1</v>
      </c>
      <c r="DZ163" s="259">
        <v>0.1</v>
      </c>
      <c r="EA163" s="259">
        <v>0.1</v>
      </c>
      <c r="EB163" s="259">
        <v>0.1</v>
      </c>
      <c r="EC163" s="259">
        <v>0.1</v>
      </c>
      <c r="ED163" s="259">
        <v>0.1</v>
      </c>
      <c r="EE163" s="259">
        <v>0.1</v>
      </c>
      <c r="EF163" s="260">
        <v>0.1</v>
      </c>
      <c r="EJ163">
        <v>160</v>
      </c>
      <c r="EN163">
        <v>0.1</v>
      </c>
      <c r="EO163">
        <v>0.1</v>
      </c>
      <c r="EP163">
        <v>0.1</v>
      </c>
      <c r="EQ163">
        <v>0.1</v>
      </c>
      <c r="ER163">
        <v>0.1</v>
      </c>
      <c r="ES163">
        <v>0.1</v>
      </c>
      <c r="ET163">
        <v>0.1</v>
      </c>
      <c r="EU163">
        <v>0.1</v>
      </c>
      <c r="EV163">
        <v>0.1</v>
      </c>
      <c r="EW163">
        <v>0.1</v>
      </c>
      <c r="EX163">
        <v>0.1</v>
      </c>
      <c r="EY163">
        <v>0.1</v>
      </c>
      <c r="EZ163">
        <v>0.1</v>
      </c>
      <c r="FA163">
        <v>0.1</v>
      </c>
      <c r="FB163">
        <v>0.1</v>
      </c>
      <c r="FC163">
        <v>0.1</v>
      </c>
      <c r="FD163">
        <v>0.1</v>
      </c>
      <c r="FE163">
        <v>0.1</v>
      </c>
      <c r="FF163">
        <v>0.1</v>
      </c>
      <c r="FG163">
        <v>0.1</v>
      </c>
      <c r="FH163">
        <v>0.1</v>
      </c>
      <c r="FI163">
        <v>0.1</v>
      </c>
      <c r="FJ163">
        <v>0.1</v>
      </c>
      <c r="FK163">
        <v>0.1</v>
      </c>
      <c r="FL163">
        <v>0.1</v>
      </c>
      <c r="FM163">
        <v>0.1</v>
      </c>
      <c r="FN163">
        <v>0.1</v>
      </c>
      <c r="FO163">
        <v>0.1</v>
      </c>
      <c r="FP163">
        <v>0.1</v>
      </c>
      <c r="FQ163">
        <v>0.1</v>
      </c>
      <c r="FU163">
        <v>160</v>
      </c>
      <c r="GB163">
        <v>0.1</v>
      </c>
      <c r="GC163">
        <v>0.1</v>
      </c>
      <c r="GD163">
        <v>0.1</v>
      </c>
      <c r="GE163">
        <v>0.1</v>
      </c>
      <c r="GF163">
        <v>0.1</v>
      </c>
      <c r="GG163">
        <v>0.1</v>
      </c>
      <c r="GH163">
        <v>0.1</v>
      </c>
      <c r="GI163">
        <v>0.1</v>
      </c>
      <c r="GJ163">
        <v>0.1</v>
      </c>
      <c r="GK163">
        <v>0.1</v>
      </c>
      <c r="GL163">
        <v>0.1</v>
      </c>
      <c r="GM163">
        <v>0.1</v>
      </c>
      <c r="GN163">
        <v>0.1</v>
      </c>
      <c r="GO163">
        <v>0.1</v>
      </c>
      <c r="GP163">
        <v>0.1</v>
      </c>
      <c r="GQ163">
        <v>0.1</v>
      </c>
      <c r="GR163">
        <v>0.1</v>
      </c>
      <c r="GS163">
        <v>0.1</v>
      </c>
      <c r="GT163">
        <v>0.1</v>
      </c>
      <c r="GU163">
        <v>0.1</v>
      </c>
      <c r="GV163">
        <v>0.1</v>
      </c>
      <c r="GW163">
        <v>0.1</v>
      </c>
      <c r="GX163">
        <v>0.1</v>
      </c>
      <c r="GY163">
        <v>0.1</v>
      </c>
      <c r="GZ163">
        <v>0.1</v>
      </c>
      <c r="HA163">
        <v>0.1</v>
      </c>
      <c r="HB163">
        <v>0.1</v>
      </c>
      <c r="HC163">
        <v>0.1</v>
      </c>
      <c r="HD163">
        <v>0.1</v>
      </c>
      <c r="HE163">
        <v>0.1</v>
      </c>
      <c r="HF163">
        <v>0.1</v>
      </c>
      <c r="HG163">
        <v>0.1</v>
      </c>
      <c r="HH163">
        <v>0.1</v>
      </c>
      <c r="HI163">
        <v>0.1</v>
      </c>
      <c r="HJ163">
        <v>0.1</v>
      </c>
      <c r="HK163">
        <v>0.1</v>
      </c>
      <c r="HL163">
        <v>0.1</v>
      </c>
      <c r="HM163">
        <v>0.1</v>
      </c>
      <c r="HN163">
        <v>0.1</v>
      </c>
      <c r="HO163">
        <v>0.1</v>
      </c>
    </row>
    <row r="164" spans="1:223" ht="15.75" thickBot="1" x14ac:dyDescent="0.3">
      <c r="A164">
        <v>161</v>
      </c>
      <c r="B164" s="268">
        <v>3.2</v>
      </c>
      <c r="C164" s="268">
        <v>2.58</v>
      </c>
      <c r="D164" s="2"/>
      <c r="E164" s="2"/>
      <c r="F164" s="2"/>
      <c r="G164" s="2"/>
      <c r="H164" s="258">
        <v>0.1</v>
      </c>
      <c r="I164" s="259">
        <v>0.1</v>
      </c>
      <c r="J164" s="259">
        <v>0.1</v>
      </c>
      <c r="K164" s="259">
        <v>0.1</v>
      </c>
      <c r="L164" s="259">
        <v>0.1</v>
      </c>
      <c r="M164" s="259">
        <v>0.1</v>
      </c>
      <c r="N164" s="259">
        <v>0.1</v>
      </c>
      <c r="O164" s="259">
        <v>0.1</v>
      </c>
      <c r="P164" s="259">
        <v>0.1</v>
      </c>
      <c r="Q164" s="259">
        <v>0.1</v>
      </c>
      <c r="R164" s="259">
        <v>0.1</v>
      </c>
      <c r="S164" s="259">
        <v>0.1</v>
      </c>
      <c r="T164" s="259">
        <v>0.1</v>
      </c>
      <c r="U164" s="259">
        <v>0.1</v>
      </c>
      <c r="V164" s="259">
        <v>0.1</v>
      </c>
      <c r="W164" s="259">
        <v>0.1</v>
      </c>
      <c r="X164" s="259">
        <v>0.1</v>
      </c>
      <c r="Y164" s="259">
        <v>0.1</v>
      </c>
      <c r="Z164" s="259">
        <v>0.1</v>
      </c>
      <c r="AA164" s="259">
        <v>0.1</v>
      </c>
      <c r="AB164" s="259">
        <v>0.1</v>
      </c>
      <c r="AC164" s="259">
        <v>0.1</v>
      </c>
      <c r="AD164" s="259">
        <v>0.1</v>
      </c>
      <c r="AE164" s="259">
        <v>0.1</v>
      </c>
      <c r="AF164" s="259">
        <v>0.1</v>
      </c>
      <c r="AG164" s="259">
        <v>0.1</v>
      </c>
      <c r="AH164" s="259">
        <v>0.1</v>
      </c>
      <c r="AI164" s="259">
        <v>0.1</v>
      </c>
      <c r="AJ164" s="259">
        <v>0.1</v>
      </c>
      <c r="AK164" s="259">
        <v>0.1</v>
      </c>
      <c r="AL164" s="259">
        <v>0.1</v>
      </c>
      <c r="AM164" s="260">
        <v>0.1</v>
      </c>
      <c r="AN164" s="258">
        <v>0.1</v>
      </c>
      <c r="AO164" s="259">
        <v>0.1</v>
      </c>
      <c r="AP164" s="259">
        <v>0.1</v>
      </c>
      <c r="AQ164" s="259">
        <v>0.1</v>
      </c>
      <c r="AR164" s="259">
        <v>0.1</v>
      </c>
      <c r="AS164" s="259">
        <v>0.1</v>
      </c>
      <c r="AT164" s="259">
        <v>0.1</v>
      </c>
      <c r="AU164" s="259">
        <v>0.1</v>
      </c>
      <c r="AV164" s="259">
        <v>0.1</v>
      </c>
      <c r="AW164" s="259">
        <v>0.1</v>
      </c>
      <c r="AX164" s="259">
        <v>0.1</v>
      </c>
      <c r="AY164" s="259">
        <v>0.1</v>
      </c>
      <c r="AZ164" s="259">
        <v>0.1</v>
      </c>
      <c r="BA164" s="259">
        <v>0.1</v>
      </c>
      <c r="BB164" s="259">
        <v>0.1</v>
      </c>
      <c r="BC164" s="259">
        <v>0.1</v>
      </c>
      <c r="BD164" s="259">
        <v>0.1</v>
      </c>
      <c r="BE164" s="259">
        <v>0.1</v>
      </c>
      <c r="BF164" s="259">
        <v>0.1</v>
      </c>
      <c r="BG164" s="259">
        <v>0.1</v>
      </c>
      <c r="BH164" s="259">
        <v>0.1</v>
      </c>
      <c r="BI164" s="259">
        <v>0.1</v>
      </c>
      <c r="BJ164" s="259">
        <v>0.1</v>
      </c>
      <c r="BK164" s="259">
        <v>0.1</v>
      </c>
      <c r="BL164" s="259">
        <v>0.1</v>
      </c>
      <c r="BM164" s="260">
        <v>0.1</v>
      </c>
      <c r="BN164">
        <v>0.1</v>
      </c>
      <c r="BO164">
        <v>0.1</v>
      </c>
      <c r="BP164">
        <f t="shared" si="13"/>
        <v>0.2</v>
      </c>
      <c r="BS164">
        <v>161</v>
      </c>
      <c r="BT164" s="271">
        <v>3.61</v>
      </c>
      <c r="BU164" s="270">
        <v>2.2200000000000002</v>
      </c>
      <c r="BV164" s="2"/>
      <c r="BW164" s="2"/>
      <c r="BX164" s="2"/>
      <c r="BY164" s="258">
        <v>0.1</v>
      </c>
      <c r="BZ164" s="259">
        <v>0.1</v>
      </c>
      <c r="CA164" s="259">
        <v>0.1</v>
      </c>
      <c r="CB164" s="259">
        <v>0.1</v>
      </c>
      <c r="CC164" s="259">
        <v>0.1</v>
      </c>
      <c r="CD164" s="259">
        <v>0.1</v>
      </c>
      <c r="CE164" s="259">
        <v>0.1</v>
      </c>
      <c r="CF164" s="259">
        <v>0.1</v>
      </c>
      <c r="CG164" s="259">
        <v>0.1</v>
      </c>
      <c r="CH164" s="259">
        <v>0.1</v>
      </c>
      <c r="CI164" s="259">
        <v>0.1</v>
      </c>
      <c r="CJ164" s="259">
        <v>0.1</v>
      </c>
      <c r="CK164" s="259">
        <v>0.1</v>
      </c>
      <c r="CL164" s="259">
        <v>0.1</v>
      </c>
      <c r="CM164" s="259">
        <v>0.1</v>
      </c>
      <c r="CN164" s="259">
        <v>0.1</v>
      </c>
      <c r="CO164" s="259">
        <v>0.1</v>
      </c>
      <c r="CP164" s="259">
        <v>0.1</v>
      </c>
      <c r="CQ164" s="259">
        <v>0.1</v>
      </c>
      <c r="CR164" s="259">
        <v>0.1</v>
      </c>
      <c r="CS164" s="259">
        <v>0.1</v>
      </c>
      <c r="CT164" s="259">
        <v>0.1</v>
      </c>
      <c r="CU164" s="259">
        <v>0.1</v>
      </c>
      <c r="CV164" s="259">
        <v>0.1</v>
      </c>
      <c r="CW164" s="259">
        <v>0.1</v>
      </c>
      <c r="CX164" s="259">
        <v>0.1</v>
      </c>
      <c r="CY164" s="259">
        <v>0.1</v>
      </c>
      <c r="CZ164" s="259">
        <v>0.1</v>
      </c>
      <c r="DA164" s="259">
        <v>0.1</v>
      </c>
      <c r="DB164" s="259">
        <v>0.1</v>
      </c>
      <c r="DC164" s="259">
        <v>0.1</v>
      </c>
      <c r="DD164" s="259">
        <v>0.1</v>
      </c>
      <c r="DE164" s="259">
        <v>0.1</v>
      </c>
      <c r="DF164" s="259">
        <v>0.1</v>
      </c>
      <c r="DG164" s="259">
        <v>0.1</v>
      </c>
      <c r="DH164" s="259">
        <v>0.1</v>
      </c>
      <c r="DI164" s="260">
        <v>0.1</v>
      </c>
      <c r="DJ164" s="258">
        <v>0.1</v>
      </c>
      <c r="DK164" s="259">
        <v>0.1</v>
      </c>
      <c r="DL164" s="259">
        <v>0.1</v>
      </c>
      <c r="DM164" s="259">
        <v>0.1</v>
      </c>
      <c r="DN164" s="259">
        <v>0.1</v>
      </c>
      <c r="DO164" s="259">
        <v>0.1</v>
      </c>
      <c r="DP164" s="259">
        <v>0.1</v>
      </c>
      <c r="DQ164" s="259">
        <v>0.1</v>
      </c>
      <c r="DR164" s="259">
        <v>0.1</v>
      </c>
      <c r="DS164" s="259">
        <v>0.1</v>
      </c>
      <c r="DT164" s="259">
        <v>0.1</v>
      </c>
      <c r="DU164" s="259">
        <v>0.1</v>
      </c>
      <c r="DV164" s="259">
        <v>0.1</v>
      </c>
      <c r="DW164" s="259">
        <v>0.1</v>
      </c>
      <c r="DX164" s="259">
        <v>0.1</v>
      </c>
      <c r="DY164" s="259">
        <v>0.1</v>
      </c>
      <c r="DZ164" s="259">
        <v>0.1</v>
      </c>
      <c r="EA164" s="259">
        <v>0.1</v>
      </c>
      <c r="EB164" s="259">
        <v>0.1</v>
      </c>
      <c r="EC164" s="259">
        <v>0.1</v>
      </c>
      <c r="ED164" s="259">
        <v>0.1</v>
      </c>
      <c r="EE164" s="259">
        <v>0.1</v>
      </c>
      <c r="EF164" s="260">
        <v>0.1</v>
      </c>
      <c r="EJ164">
        <v>161</v>
      </c>
      <c r="EN164">
        <v>0.1</v>
      </c>
      <c r="EO164">
        <v>0.1</v>
      </c>
      <c r="EP164">
        <v>0.1</v>
      </c>
      <c r="EQ164">
        <v>0.1</v>
      </c>
      <c r="ER164">
        <v>0.1</v>
      </c>
      <c r="ES164">
        <v>0.1</v>
      </c>
      <c r="ET164">
        <v>0.1</v>
      </c>
      <c r="EU164">
        <v>0.1</v>
      </c>
      <c r="EV164">
        <v>0.1</v>
      </c>
      <c r="EW164">
        <v>0.1</v>
      </c>
      <c r="EX164">
        <v>0.1</v>
      </c>
      <c r="EY164">
        <v>0.1</v>
      </c>
      <c r="EZ164">
        <v>0.1</v>
      </c>
      <c r="FA164">
        <v>0.1</v>
      </c>
      <c r="FB164">
        <v>0.1</v>
      </c>
      <c r="FC164">
        <v>0.1</v>
      </c>
      <c r="FD164">
        <v>0.1</v>
      </c>
      <c r="FE164">
        <v>0.1</v>
      </c>
      <c r="FF164">
        <v>0.1</v>
      </c>
      <c r="FG164">
        <v>0.1</v>
      </c>
      <c r="FH164">
        <v>0.1</v>
      </c>
      <c r="FI164">
        <v>0.1</v>
      </c>
      <c r="FJ164">
        <v>0.1</v>
      </c>
      <c r="FK164">
        <v>0.1</v>
      </c>
      <c r="FL164">
        <v>0.1</v>
      </c>
      <c r="FM164">
        <v>0.1</v>
      </c>
      <c r="FN164">
        <v>0.1</v>
      </c>
      <c r="FO164">
        <v>0.1</v>
      </c>
      <c r="FP164">
        <v>0.1</v>
      </c>
      <c r="FQ164">
        <v>0.1</v>
      </c>
      <c r="FU164">
        <v>161</v>
      </c>
      <c r="GB164">
        <v>0.1</v>
      </c>
      <c r="GC164">
        <v>0.1</v>
      </c>
      <c r="GD164">
        <v>0.1</v>
      </c>
      <c r="GE164">
        <v>0.1</v>
      </c>
      <c r="GF164">
        <v>0.1</v>
      </c>
      <c r="GG164">
        <v>0.1</v>
      </c>
      <c r="GH164">
        <v>0.1</v>
      </c>
      <c r="GI164">
        <v>0.1</v>
      </c>
      <c r="GJ164">
        <v>0.1</v>
      </c>
      <c r="GK164">
        <v>0.1</v>
      </c>
      <c r="GL164">
        <v>0.1</v>
      </c>
      <c r="GM164">
        <v>0.1</v>
      </c>
      <c r="GN164">
        <v>0.1</v>
      </c>
      <c r="GO164">
        <v>0.1</v>
      </c>
      <c r="GP164">
        <v>0.1</v>
      </c>
      <c r="GQ164">
        <v>0.1</v>
      </c>
      <c r="GR164">
        <v>0.1</v>
      </c>
      <c r="GS164">
        <v>0.1</v>
      </c>
      <c r="GT164">
        <v>0.1</v>
      </c>
      <c r="GU164">
        <v>0.1</v>
      </c>
      <c r="GV164">
        <v>0.1</v>
      </c>
      <c r="GW164">
        <v>0.1</v>
      </c>
      <c r="GX164">
        <v>0.1</v>
      </c>
      <c r="GY164">
        <v>0.1</v>
      </c>
      <c r="GZ164">
        <v>0.1</v>
      </c>
      <c r="HA164">
        <v>0.1</v>
      </c>
      <c r="HB164">
        <v>0.1</v>
      </c>
      <c r="HC164">
        <v>0.1</v>
      </c>
      <c r="HD164">
        <v>0.1</v>
      </c>
      <c r="HE164">
        <v>0.1</v>
      </c>
      <c r="HF164">
        <v>0.1</v>
      </c>
      <c r="HG164">
        <v>0.1</v>
      </c>
      <c r="HH164">
        <v>0.1</v>
      </c>
      <c r="HI164">
        <v>0.1</v>
      </c>
      <c r="HJ164">
        <v>0.1</v>
      </c>
      <c r="HK164">
        <v>0.1</v>
      </c>
      <c r="HL164">
        <v>0.1</v>
      </c>
      <c r="HM164">
        <v>0.1</v>
      </c>
      <c r="HN164">
        <v>0.1</v>
      </c>
      <c r="HO164">
        <v>0.1</v>
      </c>
    </row>
    <row r="165" spans="1:223" ht="15.75" thickBot="1" x14ac:dyDescent="0.3">
      <c r="A165">
        <v>162</v>
      </c>
      <c r="B165" s="269">
        <v>3.2</v>
      </c>
      <c r="C165" s="269">
        <v>2.57</v>
      </c>
      <c r="D165" s="2"/>
      <c r="E165" s="2"/>
      <c r="F165" s="2"/>
      <c r="G165" s="2"/>
      <c r="H165" s="258">
        <v>0.1</v>
      </c>
      <c r="I165" s="259">
        <v>0.1</v>
      </c>
      <c r="J165" s="259">
        <v>0.1</v>
      </c>
      <c r="K165" s="259">
        <v>0.1</v>
      </c>
      <c r="L165" s="259">
        <v>0.1</v>
      </c>
      <c r="M165" s="259">
        <v>0.1</v>
      </c>
      <c r="N165" s="259">
        <v>0.1</v>
      </c>
      <c r="O165" s="259">
        <v>0.1</v>
      </c>
      <c r="P165" s="259">
        <v>0.1</v>
      </c>
      <c r="Q165" s="259">
        <v>0.1</v>
      </c>
      <c r="R165" s="259">
        <v>0.1</v>
      </c>
      <c r="S165" s="259">
        <v>0.1</v>
      </c>
      <c r="T165" s="259">
        <v>0.1</v>
      </c>
      <c r="U165" s="259">
        <v>0.1</v>
      </c>
      <c r="V165" s="259">
        <v>0.1</v>
      </c>
      <c r="W165" s="259">
        <v>0.1</v>
      </c>
      <c r="X165" s="259">
        <v>0.1</v>
      </c>
      <c r="Y165" s="259">
        <v>0.1</v>
      </c>
      <c r="Z165" s="259">
        <v>0.1</v>
      </c>
      <c r="AA165" s="259">
        <v>0.1</v>
      </c>
      <c r="AB165" s="259">
        <v>0.1</v>
      </c>
      <c r="AC165" s="259">
        <v>0.1</v>
      </c>
      <c r="AD165" s="259">
        <v>0.1</v>
      </c>
      <c r="AE165" s="259">
        <v>0.1</v>
      </c>
      <c r="AF165" s="259">
        <v>0.1</v>
      </c>
      <c r="AG165" s="259">
        <v>0.1</v>
      </c>
      <c r="AH165" s="259">
        <v>0.1</v>
      </c>
      <c r="AI165" s="259">
        <v>0.1</v>
      </c>
      <c r="AJ165" s="259">
        <v>0.1</v>
      </c>
      <c r="AK165" s="259">
        <v>0.1</v>
      </c>
      <c r="AL165" s="259">
        <v>0.1</v>
      </c>
      <c r="AM165" s="260">
        <v>0.1</v>
      </c>
      <c r="AN165" s="258">
        <v>0.1</v>
      </c>
      <c r="AO165" s="259">
        <v>0.1</v>
      </c>
      <c r="AP165" s="259">
        <v>0.1</v>
      </c>
      <c r="AQ165" s="259">
        <v>0.1</v>
      </c>
      <c r="AR165" s="259">
        <v>0.1</v>
      </c>
      <c r="AS165" s="259">
        <v>0.1</v>
      </c>
      <c r="AT165" s="259">
        <v>0.1</v>
      </c>
      <c r="AU165" s="259">
        <v>0.1</v>
      </c>
      <c r="AV165" s="259">
        <v>0.1</v>
      </c>
      <c r="AW165" s="259">
        <v>0.1</v>
      </c>
      <c r="AX165" s="259">
        <v>0.1</v>
      </c>
      <c r="AY165" s="259">
        <v>0.1</v>
      </c>
      <c r="AZ165" s="259">
        <v>0.1</v>
      </c>
      <c r="BA165" s="259">
        <v>0.1</v>
      </c>
      <c r="BB165" s="259">
        <v>0.1</v>
      </c>
      <c r="BC165" s="259">
        <v>0.1</v>
      </c>
      <c r="BD165" s="259">
        <v>0.1</v>
      </c>
      <c r="BE165" s="259">
        <v>0.1</v>
      </c>
      <c r="BF165" s="259">
        <v>0.1</v>
      </c>
      <c r="BG165" s="259">
        <v>0.1</v>
      </c>
      <c r="BH165" s="259">
        <v>0.1</v>
      </c>
      <c r="BI165" s="259">
        <v>0.1</v>
      </c>
      <c r="BJ165" s="259">
        <v>0.1</v>
      </c>
      <c r="BK165" s="259">
        <v>0.1</v>
      </c>
      <c r="BL165" s="259">
        <v>0.1</v>
      </c>
      <c r="BM165" s="260">
        <v>0.1</v>
      </c>
      <c r="BN165">
        <v>0.1</v>
      </c>
      <c r="BO165">
        <v>0.1</v>
      </c>
      <c r="BP165">
        <f t="shared" si="13"/>
        <v>0.2</v>
      </c>
      <c r="BS165">
        <v>162</v>
      </c>
      <c r="BT165" s="270">
        <v>3.6</v>
      </c>
      <c r="BU165" s="271">
        <v>2.2200000000000002</v>
      </c>
      <c r="BV165" s="2"/>
      <c r="BW165" s="2"/>
      <c r="BX165" s="2"/>
      <c r="BY165" s="258">
        <v>0.1</v>
      </c>
      <c r="BZ165" s="259">
        <v>0.1</v>
      </c>
      <c r="CA165" s="259">
        <v>0.1</v>
      </c>
      <c r="CB165" s="259">
        <v>0.1</v>
      </c>
      <c r="CC165" s="259">
        <v>0.1</v>
      </c>
      <c r="CD165" s="259">
        <v>0.1</v>
      </c>
      <c r="CE165" s="259">
        <v>0.1</v>
      </c>
      <c r="CF165" s="259">
        <v>0.1</v>
      </c>
      <c r="CG165" s="259">
        <v>0.1</v>
      </c>
      <c r="CH165" s="259">
        <v>0.1</v>
      </c>
      <c r="CI165" s="259">
        <v>0.1</v>
      </c>
      <c r="CJ165" s="259">
        <v>0.1</v>
      </c>
      <c r="CK165" s="259">
        <v>0.1</v>
      </c>
      <c r="CL165" s="259">
        <v>0.1</v>
      </c>
      <c r="CM165" s="259">
        <v>0.1</v>
      </c>
      <c r="CN165" s="259">
        <v>0.1</v>
      </c>
      <c r="CO165" s="259">
        <v>0.1</v>
      </c>
      <c r="CP165" s="259">
        <v>0.1</v>
      </c>
      <c r="CQ165" s="259">
        <v>0.1</v>
      </c>
      <c r="CR165" s="259">
        <v>0.1</v>
      </c>
      <c r="CS165" s="259">
        <v>0.1</v>
      </c>
      <c r="CT165" s="259">
        <v>0.1</v>
      </c>
      <c r="CU165" s="259">
        <v>0.1</v>
      </c>
      <c r="CV165" s="259">
        <v>0.1</v>
      </c>
      <c r="CW165" s="259">
        <v>0.1</v>
      </c>
      <c r="CX165" s="259">
        <v>0.1</v>
      </c>
      <c r="CY165" s="259">
        <v>0.1</v>
      </c>
      <c r="CZ165" s="259">
        <v>0.1</v>
      </c>
      <c r="DA165" s="259">
        <v>0.1</v>
      </c>
      <c r="DB165" s="259">
        <v>0.1</v>
      </c>
      <c r="DC165" s="259">
        <v>0.1</v>
      </c>
      <c r="DD165" s="259">
        <v>0.1</v>
      </c>
      <c r="DE165" s="259">
        <v>0.1</v>
      </c>
      <c r="DF165" s="259">
        <v>0.1</v>
      </c>
      <c r="DG165" s="259">
        <v>0.1</v>
      </c>
      <c r="DH165" s="260">
        <v>0.1</v>
      </c>
      <c r="DI165" s="258">
        <v>0.1</v>
      </c>
      <c r="DJ165" s="259">
        <v>0.1</v>
      </c>
      <c r="DK165" s="259">
        <v>0.1</v>
      </c>
      <c r="DL165" s="259">
        <v>0.1</v>
      </c>
      <c r="DM165" s="259">
        <v>0.1</v>
      </c>
      <c r="DN165" s="259">
        <v>0.1</v>
      </c>
      <c r="DO165" s="259">
        <v>0.1</v>
      </c>
      <c r="DP165" s="259">
        <v>0.1</v>
      </c>
      <c r="DQ165" s="259">
        <v>0.1</v>
      </c>
      <c r="DR165" s="259">
        <v>0.1</v>
      </c>
      <c r="DS165" s="259">
        <v>0.1</v>
      </c>
      <c r="DT165" s="259">
        <v>0.1</v>
      </c>
      <c r="DU165" s="259">
        <v>0.1</v>
      </c>
      <c r="DV165" s="259">
        <v>0.1</v>
      </c>
      <c r="DW165" s="259">
        <v>0.1</v>
      </c>
      <c r="DX165" s="259">
        <v>0.1</v>
      </c>
      <c r="DY165" s="259">
        <v>0.1</v>
      </c>
      <c r="DZ165" s="259">
        <v>0.1</v>
      </c>
      <c r="EA165" s="259">
        <v>0.1</v>
      </c>
      <c r="EB165" s="259">
        <v>0.1</v>
      </c>
      <c r="EC165" s="259">
        <v>0.1</v>
      </c>
      <c r="ED165" s="259">
        <v>0.1</v>
      </c>
      <c r="EE165" s="260">
        <v>0.1</v>
      </c>
      <c r="EF165">
        <v>0.1</v>
      </c>
      <c r="EG165">
        <f t="shared" ref="EG165:EG175" si="14">SUM(EF165)</f>
        <v>0.1</v>
      </c>
      <c r="EJ165">
        <v>162</v>
      </c>
      <c r="EN165">
        <v>0.1</v>
      </c>
      <c r="EO165">
        <v>0.1</v>
      </c>
      <c r="EP165">
        <v>0.1</v>
      </c>
      <c r="EQ165">
        <v>0.1</v>
      </c>
      <c r="ER165">
        <v>0.1</v>
      </c>
      <c r="ES165">
        <v>0.1</v>
      </c>
      <c r="ET165">
        <v>0.1</v>
      </c>
      <c r="EU165">
        <v>0.1</v>
      </c>
      <c r="EV165">
        <v>0.1</v>
      </c>
      <c r="EW165">
        <v>0.1</v>
      </c>
      <c r="EX165">
        <v>0.1</v>
      </c>
      <c r="EY165">
        <v>0.1</v>
      </c>
      <c r="EZ165">
        <v>0.1</v>
      </c>
      <c r="FA165">
        <v>0.1</v>
      </c>
      <c r="FB165">
        <v>0.1</v>
      </c>
      <c r="FC165">
        <v>0.1</v>
      </c>
      <c r="FD165">
        <v>0.1</v>
      </c>
      <c r="FE165">
        <v>0.1</v>
      </c>
      <c r="FF165">
        <v>0.1</v>
      </c>
      <c r="FG165">
        <v>0.1</v>
      </c>
      <c r="FH165">
        <v>0.1</v>
      </c>
      <c r="FI165">
        <v>0.1</v>
      </c>
      <c r="FJ165">
        <v>0.1</v>
      </c>
      <c r="FK165">
        <v>0.1</v>
      </c>
      <c r="FL165">
        <v>0.1</v>
      </c>
      <c r="FM165">
        <v>0.1</v>
      </c>
      <c r="FN165">
        <v>0.1</v>
      </c>
      <c r="FO165">
        <v>0.1</v>
      </c>
      <c r="FP165">
        <v>0.1</v>
      </c>
      <c r="FQ165">
        <v>0.1</v>
      </c>
      <c r="FU165">
        <v>162</v>
      </c>
      <c r="GB165">
        <v>0.1</v>
      </c>
      <c r="GC165">
        <v>0.1</v>
      </c>
      <c r="GD165">
        <v>0.1</v>
      </c>
      <c r="GE165">
        <v>0.1</v>
      </c>
      <c r="GF165">
        <v>0.1</v>
      </c>
      <c r="GG165">
        <v>0.1</v>
      </c>
      <c r="GH165">
        <v>0.1</v>
      </c>
      <c r="GI165">
        <v>0.1</v>
      </c>
      <c r="GJ165">
        <v>0.1</v>
      </c>
      <c r="GK165">
        <v>0.1</v>
      </c>
      <c r="GL165">
        <v>0.1</v>
      </c>
      <c r="GM165">
        <v>0.1</v>
      </c>
      <c r="GN165">
        <v>0.1</v>
      </c>
      <c r="GO165">
        <v>0.1</v>
      </c>
      <c r="GP165">
        <v>0.1</v>
      </c>
      <c r="GQ165">
        <v>0.1</v>
      </c>
      <c r="GR165">
        <v>0.1</v>
      </c>
      <c r="GS165">
        <v>0.1</v>
      </c>
      <c r="GT165">
        <v>0.1</v>
      </c>
      <c r="GU165">
        <v>0.1</v>
      </c>
      <c r="GV165">
        <v>0.1</v>
      </c>
      <c r="GW165">
        <v>0.1</v>
      </c>
      <c r="GX165">
        <v>0.1</v>
      </c>
      <c r="GY165">
        <v>0.1</v>
      </c>
      <c r="GZ165">
        <v>0.1</v>
      </c>
      <c r="HA165">
        <v>0.1</v>
      </c>
      <c r="HB165">
        <v>0.1</v>
      </c>
      <c r="HC165">
        <v>0.1</v>
      </c>
      <c r="HD165">
        <v>0.1</v>
      </c>
      <c r="HE165">
        <v>0.1</v>
      </c>
      <c r="HF165">
        <v>0.1</v>
      </c>
      <c r="HG165">
        <v>0.1</v>
      </c>
      <c r="HH165">
        <v>0.1</v>
      </c>
      <c r="HI165">
        <v>0.1</v>
      </c>
      <c r="HJ165">
        <v>0.1</v>
      </c>
      <c r="HK165">
        <v>0.1</v>
      </c>
      <c r="HL165">
        <v>0.1</v>
      </c>
      <c r="HM165">
        <v>0.1</v>
      </c>
      <c r="HN165">
        <v>0.1</v>
      </c>
      <c r="HO165">
        <v>0.1</v>
      </c>
    </row>
    <row r="166" spans="1:223" ht="15.75" thickBot="1" x14ac:dyDescent="0.3">
      <c r="A166">
        <v>163</v>
      </c>
      <c r="B166" s="268">
        <v>3.2</v>
      </c>
      <c r="C166" s="269">
        <v>2.68</v>
      </c>
      <c r="D166" s="2"/>
      <c r="E166" s="2"/>
      <c r="F166" s="2"/>
      <c r="G166" s="2"/>
      <c r="H166" s="258">
        <v>0.1</v>
      </c>
      <c r="I166" s="259">
        <v>0.1</v>
      </c>
      <c r="J166" s="259">
        <v>0.1</v>
      </c>
      <c r="K166" s="259">
        <v>0.1</v>
      </c>
      <c r="L166" s="259">
        <v>0.1</v>
      </c>
      <c r="M166" s="259">
        <v>0.1</v>
      </c>
      <c r="N166" s="259">
        <v>0.1</v>
      </c>
      <c r="O166" s="259">
        <v>0.1</v>
      </c>
      <c r="P166" s="259">
        <v>0.1</v>
      </c>
      <c r="Q166" s="259">
        <v>0.1</v>
      </c>
      <c r="R166" s="259">
        <v>0.1</v>
      </c>
      <c r="S166" s="259">
        <v>0.1</v>
      </c>
      <c r="T166" s="259">
        <v>0.1</v>
      </c>
      <c r="U166" s="259">
        <v>0.1</v>
      </c>
      <c r="V166" s="259">
        <v>0.1</v>
      </c>
      <c r="W166" s="259">
        <v>0.1</v>
      </c>
      <c r="X166" s="259">
        <v>0.1</v>
      </c>
      <c r="Y166" s="259">
        <v>0.1</v>
      </c>
      <c r="Z166" s="259">
        <v>0.1</v>
      </c>
      <c r="AA166" s="259">
        <v>0.1</v>
      </c>
      <c r="AB166" s="259">
        <v>0.1</v>
      </c>
      <c r="AC166" s="259">
        <v>0.1</v>
      </c>
      <c r="AD166" s="259">
        <v>0.1</v>
      </c>
      <c r="AE166" s="259">
        <v>0.1</v>
      </c>
      <c r="AF166" s="259">
        <v>0.1</v>
      </c>
      <c r="AG166" s="259">
        <v>0.1</v>
      </c>
      <c r="AH166" s="259">
        <v>0.1</v>
      </c>
      <c r="AI166" s="259">
        <v>0.1</v>
      </c>
      <c r="AJ166" s="259">
        <v>0.1</v>
      </c>
      <c r="AK166" s="259">
        <v>0.1</v>
      </c>
      <c r="AL166" s="259">
        <v>0.1</v>
      </c>
      <c r="AM166" s="260">
        <v>0.1</v>
      </c>
      <c r="AN166" s="258">
        <v>0.1</v>
      </c>
      <c r="AO166" s="259">
        <v>0.1</v>
      </c>
      <c r="AP166" s="259">
        <v>0.1</v>
      </c>
      <c r="AQ166" s="259">
        <v>0.1</v>
      </c>
      <c r="AR166" s="259">
        <v>0.1</v>
      </c>
      <c r="AS166" s="259">
        <v>0.1</v>
      </c>
      <c r="AT166" s="259">
        <v>0.1</v>
      </c>
      <c r="AU166" s="259">
        <v>0.1</v>
      </c>
      <c r="AV166" s="259">
        <v>0.1</v>
      </c>
      <c r="AW166" s="259">
        <v>0.1</v>
      </c>
      <c r="AX166" s="259">
        <v>0.1</v>
      </c>
      <c r="AY166" s="259">
        <v>0.1</v>
      </c>
      <c r="AZ166" s="259">
        <v>0.1</v>
      </c>
      <c r="BA166" s="259">
        <v>0.1</v>
      </c>
      <c r="BB166" s="259">
        <v>0.1</v>
      </c>
      <c r="BC166" s="259">
        <v>0.1</v>
      </c>
      <c r="BD166" s="259">
        <v>0.1</v>
      </c>
      <c r="BE166" s="259">
        <v>0.1</v>
      </c>
      <c r="BF166" s="259">
        <v>0.1</v>
      </c>
      <c r="BG166" s="259">
        <v>0.1</v>
      </c>
      <c r="BH166" s="259">
        <v>0.1</v>
      </c>
      <c r="BI166" s="259">
        <v>0.1</v>
      </c>
      <c r="BJ166" s="259">
        <v>0.1</v>
      </c>
      <c r="BK166" s="259">
        <v>0.1</v>
      </c>
      <c r="BL166" s="259">
        <v>0.1</v>
      </c>
      <c r="BM166" s="259">
        <v>0.1</v>
      </c>
      <c r="BN166" s="260">
        <v>0.1</v>
      </c>
      <c r="BO166">
        <v>0.1</v>
      </c>
      <c r="BP166">
        <f>SUM(BO166)</f>
        <v>0.1</v>
      </c>
      <c r="BS166">
        <v>163</v>
      </c>
      <c r="BT166" s="271">
        <v>3.6</v>
      </c>
      <c r="BU166" s="270">
        <v>2.2200000000000002</v>
      </c>
      <c r="BV166" s="2"/>
      <c r="BW166" s="2"/>
      <c r="BX166" s="2"/>
      <c r="BY166" s="258">
        <v>0.1</v>
      </c>
      <c r="BZ166" s="259">
        <v>0.1</v>
      </c>
      <c r="CA166" s="259">
        <v>0.1</v>
      </c>
      <c r="CB166" s="259">
        <v>0.1</v>
      </c>
      <c r="CC166" s="259">
        <v>0.1</v>
      </c>
      <c r="CD166" s="259">
        <v>0.1</v>
      </c>
      <c r="CE166" s="259">
        <v>0.1</v>
      </c>
      <c r="CF166" s="259">
        <v>0.1</v>
      </c>
      <c r="CG166" s="259">
        <v>0.1</v>
      </c>
      <c r="CH166" s="259">
        <v>0.1</v>
      </c>
      <c r="CI166" s="259">
        <v>0.1</v>
      </c>
      <c r="CJ166" s="259">
        <v>0.1</v>
      </c>
      <c r="CK166" s="259">
        <v>0.1</v>
      </c>
      <c r="CL166" s="259">
        <v>0.1</v>
      </c>
      <c r="CM166" s="259">
        <v>0.1</v>
      </c>
      <c r="CN166" s="259">
        <v>0.1</v>
      </c>
      <c r="CO166" s="259">
        <v>0.1</v>
      </c>
      <c r="CP166" s="259">
        <v>0.1</v>
      </c>
      <c r="CQ166" s="259">
        <v>0.1</v>
      </c>
      <c r="CR166" s="259">
        <v>0.1</v>
      </c>
      <c r="CS166" s="259">
        <v>0.1</v>
      </c>
      <c r="CT166" s="259">
        <v>0.1</v>
      </c>
      <c r="CU166" s="259">
        <v>0.1</v>
      </c>
      <c r="CV166" s="259">
        <v>0.1</v>
      </c>
      <c r="CW166" s="259">
        <v>0.1</v>
      </c>
      <c r="CX166" s="259">
        <v>0.1</v>
      </c>
      <c r="CY166" s="259">
        <v>0.1</v>
      </c>
      <c r="CZ166" s="259">
        <v>0.1</v>
      </c>
      <c r="DA166" s="259">
        <v>0.1</v>
      </c>
      <c r="DB166" s="259">
        <v>0.1</v>
      </c>
      <c r="DC166" s="259">
        <v>0.1</v>
      </c>
      <c r="DD166" s="259">
        <v>0.1</v>
      </c>
      <c r="DE166" s="259">
        <v>0.1</v>
      </c>
      <c r="DF166" s="259">
        <v>0.1</v>
      </c>
      <c r="DG166" s="259">
        <v>0.1</v>
      </c>
      <c r="DH166" s="260">
        <v>0.1</v>
      </c>
      <c r="DI166" s="258">
        <v>0.1</v>
      </c>
      <c r="DJ166" s="259">
        <v>0.1</v>
      </c>
      <c r="DK166" s="259">
        <v>0.1</v>
      </c>
      <c r="DL166" s="259">
        <v>0.1</v>
      </c>
      <c r="DM166" s="259">
        <v>0.1</v>
      </c>
      <c r="DN166" s="259">
        <v>0.1</v>
      </c>
      <c r="DO166" s="259">
        <v>0.1</v>
      </c>
      <c r="DP166" s="259">
        <v>0.1</v>
      </c>
      <c r="DQ166" s="259">
        <v>0.1</v>
      </c>
      <c r="DR166" s="259">
        <v>0.1</v>
      </c>
      <c r="DS166" s="259">
        <v>0.1</v>
      </c>
      <c r="DT166" s="259">
        <v>0.1</v>
      </c>
      <c r="DU166" s="259">
        <v>0.1</v>
      </c>
      <c r="DV166" s="259">
        <v>0.1</v>
      </c>
      <c r="DW166" s="259">
        <v>0.1</v>
      </c>
      <c r="DX166" s="259">
        <v>0.1</v>
      </c>
      <c r="DY166" s="259">
        <v>0.1</v>
      </c>
      <c r="DZ166" s="259">
        <v>0.1</v>
      </c>
      <c r="EA166" s="259">
        <v>0.1</v>
      </c>
      <c r="EB166" s="259">
        <v>0.1</v>
      </c>
      <c r="EC166" s="259">
        <v>0.1</v>
      </c>
      <c r="ED166" s="259">
        <v>0.1</v>
      </c>
      <c r="EE166" s="260">
        <v>0.1</v>
      </c>
      <c r="EF166">
        <v>0.1</v>
      </c>
      <c r="EG166">
        <f t="shared" si="14"/>
        <v>0.1</v>
      </c>
      <c r="EJ166">
        <v>163</v>
      </c>
      <c r="EN166">
        <v>0.1</v>
      </c>
      <c r="EO166">
        <v>0.1</v>
      </c>
      <c r="EP166">
        <v>0.1</v>
      </c>
      <c r="EQ166">
        <v>0.1</v>
      </c>
      <c r="ER166">
        <v>0.1</v>
      </c>
      <c r="ES166">
        <v>0.1</v>
      </c>
      <c r="ET166">
        <v>0.1</v>
      </c>
      <c r="EU166">
        <v>0.1</v>
      </c>
      <c r="EV166">
        <v>0.1</v>
      </c>
      <c r="EW166">
        <v>0.1</v>
      </c>
      <c r="EX166">
        <v>0.1</v>
      </c>
      <c r="EY166">
        <v>0.1</v>
      </c>
      <c r="EZ166">
        <v>0.1</v>
      </c>
      <c r="FA166">
        <v>0.1</v>
      </c>
      <c r="FB166">
        <v>0.1</v>
      </c>
      <c r="FC166">
        <v>0.1</v>
      </c>
      <c r="FD166">
        <v>0.1</v>
      </c>
      <c r="FE166">
        <v>0.1</v>
      </c>
      <c r="FF166">
        <v>0.1</v>
      </c>
      <c r="FG166">
        <v>0.1</v>
      </c>
      <c r="FH166">
        <v>0.1</v>
      </c>
      <c r="FI166">
        <v>0.1</v>
      </c>
      <c r="FJ166">
        <v>0.1</v>
      </c>
      <c r="FK166">
        <v>0.1</v>
      </c>
      <c r="FL166">
        <v>0.1</v>
      </c>
      <c r="FM166">
        <v>0.1</v>
      </c>
      <c r="FN166">
        <v>0.1</v>
      </c>
      <c r="FO166">
        <v>0.1</v>
      </c>
      <c r="FP166">
        <v>0.1</v>
      </c>
      <c r="FQ166">
        <v>0.1</v>
      </c>
      <c r="FU166">
        <v>163</v>
      </c>
      <c r="GB166">
        <v>0.1</v>
      </c>
      <c r="GC166">
        <v>0.1</v>
      </c>
      <c r="GD166">
        <v>0.1</v>
      </c>
      <c r="GE166">
        <v>0.1</v>
      </c>
      <c r="GF166">
        <v>0.1</v>
      </c>
      <c r="GG166">
        <v>0.1</v>
      </c>
      <c r="GH166">
        <v>0.1</v>
      </c>
      <c r="GI166">
        <v>0.1</v>
      </c>
      <c r="GJ166">
        <v>0.1</v>
      </c>
      <c r="GK166">
        <v>0.1</v>
      </c>
      <c r="GL166">
        <v>0.1</v>
      </c>
      <c r="GM166">
        <v>0.1</v>
      </c>
      <c r="GN166">
        <v>0.1</v>
      </c>
      <c r="GO166">
        <v>0.1</v>
      </c>
      <c r="GP166">
        <v>0.1</v>
      </c>
      <c r="GQ166">
        <v>0.1</v>
      </c>
      <c r="GR166">
        <v>0.1</v>
      </c>
      <c r="GS166">
        <v>0.1</v>
      </c>
      <c r="GT166">
        <v>0.1</v>
      </c>
      <c r="GU166">
        <v>0.1</v>
      </c>
      <c r="GV166">
        <v>0.1</v>
      </c>
      <c r="GW166">
        <v>0.1</v>
      </c>
      <c r="GX166">
        <v>0.1</v>
      </c>
      <c r="GY166">
        <v>0.1</v>
      </c>
      <c r="GZ166">
        <v>0.1</v>
      </c>
      <c r="HA166">
        <v>0.1</v>
      </c>
      <c r="HB166">
        <v>0.1</v>
      </c>
      <c r="HC166">
        <v>0.1</v>
      </c>
      <c r="HD166">
        <v>0.1</v>
      </c>
      <c r="HE166">
        <v>0.1</v>
      </c>
      <c r="HF166">
        <v>0.1</v>
      </c>
      <c r="HG166">
        <v>0.1</v>
      </c>
      <c r="HH166">
        <v>0.1</v>
      </c>
      <c r="HI166">
        <v>0.1</v>
      </c>
      <c r="HJ166">
        <v>0.1</v>
      </c>
      <c r="HK166">
        <v>0.1</v>
      </c>
      <c r="HL166">
        <v>0.1</v>
      </c>
      <c r="HM166">
        <v>0.1</v>
      </c>
      <c r="HN166">
        <v>0.1</v>
      </c>
      <c r="HO166">
        <v>0.1</v>
      </c>
    </row>
    <row r="167" spans="1:223" ht="15.75" thickBot="1" x14ac:dyDescent="0.3">
      <c r="A167">
        <v>164</v>
      </c>
      <c r="B167" s="269">
        <v>3.2</v>
      </c>
      <c r="C167" s="268">
        <v>2.68</v>
      </c>
      <c r="D167" s="2"/>
      <c r="E167" s="2"/>
      <c r="F167" s="2"/>
      <c r="G167" s="2"/>
      <c r="H167" s="258">
        <v>0.1</v>
      </c>
      <c r="I167" s="259">
        <v>0.1</v>
      </c>
      <c r="J167" s="259">
        <v>0.1</v>
      </c>
      <c r="K167" s="259">
        <v>0.1</v>
      </c>
      <c r="L167" s="259">
        <v>0.1</v>
      </c>
      <c r="M167" s="259">
        <v>0.1</v>
      </c>
      <c r="N167" s="259">
        <v>0.1</v>
      </c>
      <c r="O167" s="259">
        <v>0.1</v>
      </c>
      <c r="P167" s="259">
        <v>0.1</v>
      </c>
      <c r="Q167" s="259">
        <v>0.1</v>
      </c>
      <c r="R167" s="259">
        <v>0.1</v>
      </c>
      <c r="S167" s="259">
        <v>0.1</v>
      </c>
      <c r="T167" s="259">
        <v>0.1</v>
      </c>
      <c r="U167" s="259">
        <v>0.1</v>
      </c>
      <c r="V167" s="259">
        <v>0.1</v>
      </c>
      <c r="W167" s="259">
        <v>0.1</v>
      </c>
      <c r="X167" s="259">
        <v>0.1</v>
      </c>
      <c r="Y167" s="259">
        <v>0.1</v>
      </c>
      <c r="Z167" s="259">
        <v>0.1</v>
      </c>
      <c r="AA167" s="259">
        <v>0.1</v>
      </c>
      <c r="AB167" s="259">
        <v>0.1</v>
      </c>
      <c r="AC167" s="259">
        <v>0.1</v>
      </c>
      <c r="AD167" s="259">
        <v>0.1</v>
      </c>
      <c r="AE167" s="259">
        <v>0.1</v>
      </c>
      <c r="AF167" s="259">
        <v>0.1</v>
      </c>
      <c r="AG167" s="259">
        <v>0.1</v>
      </c>
      <c r="AH167" s="259">
        <v>0.1</v>
      </c>
      <c r="AI167" s="259">
        <v>0.1</v>
      </c>
      <c r="AJ167" s="259">
        <v>0.1</v>
      </c>
      <c r="AK167" s="259">
        <v>0.1</v>
      </c>
      <c r="AL167" s="259">
        <v>0.1</v>
      </c>
      <c r="AM167" s="260">
        <v>0.1</v>
      </c>
      <c r="AN167" s="258">
        <v>0.1</v>
      </c>
      <c r="AO167" s="259">
        <v>0.1</v>
      </c>
      <c r="AP167" s="259">
        <v>0.1</v>
      </c>
      <c r="AQ167" s="259">
        <v>0.1</v>
      </c>
      <c r="AR167" s="259">
        <v>0.1</v>
      </c>
      <c r="AS167" s="259">
        <v>0.1</v>
      </c>
      <c r="AT167" s="259">
        <v>0.1</v>
      </c>
      <c r="AU167" s="259">
        <v>0.1</v>
      </c>
      <c r="AV167" s="259">
        <v>0.1</v>
      </c>
      <c r="AW167" s="259">
        <v>0.1</v>
      </c>
      <c r="AX167" s="259">
        <v>0.1</v>
      </c>
      <c r="AY167" s="259">
        <v>0.1</v>
      </c>
      <c r="AZ167" s="259">
        <v>0.1</v>
      </c>
      <c r="BA167" s="259">
        <v>0.1</v>
      </c>
      <c r="BB167" s="259">
        <v>0.1</v>
      </c>
      <c r="BC167" s="259">
        <v>0.1</v>
      </c>
      <c r="BD167" s="259">
        <v>0.1</v>
      </c>
      <c r="BE167" s="259">
        <v>0.1</v>
      </c>
      <c r="BF167" s="259">
        <v>0.1</v>
      </c>
      <c r="BG167" s="259">
        <v>0.1</v>
      </c>
      <c r="BH167" s="259">
        <v>0.1</v>
      </c>
      <c r="BI167" s="259">
        <v>0.1</v>
      </c>
      <c r="BJ167" s="259">
        <v>0.1</v>
      </c>
      <c r="BK167" s="259">
        <v>0.1</v>
      </c>
      <c r="BL167" s="259">
        <v>0.1</v>
      </c>
      <c r="BM167" s="259">
        <v>0.1</v>
      </c>
      <c r="BN167" s="260">
        <v>0.1</v>
      </c>
      <c r="BO167">
        <v>0.1</v>
      </c>
      <c r="BP167">
        <f t="shared" ref="BP167:BP176" si="15">SUM(BO167)</f>
        <v>0.1</v>
      </c>
      <c r="BS167">
        <v>164</v>
      </c>
      <c r="BT167" s="270">
        <v>3.6</v>
      </c>
      <c r="BU167" s="271">
        <v>2.2400000000000002</v>
      </c>
      <c r="BV167" s="2"/>
      <c r="BW167" s="2"/>
      <c r="BX167" s="2"/>
      <c r="BY167" s="258">
        <v>0.1</v>
      </c>
      <c r="BZ167" s="259">
        <v>0.1</v>
      </c>
      <c r="CA167" s="259">
        <v>0.1</v>
      </c>
      <c r="CB167" s="259">
        <v>0.1</v>
      </c>
      <c r="CC167" s="259">
        <v>0.1</v>
      </c>
      <c r="CD167" s="259">
        <v>0.1</v>
      </c>
      <c r="CE167" s="259">
        <v>0.1</v>
      </c>
      <c r="CF167" s="259">
        <v>0.1</v>
      </c>
      <c r="CG167" s="259">
        <v>0.1</v>
      </c>
      <c r="CH167" s="259">
        <v>0.1</v>
      </c>
      <c r="CI167" s="259">
        <v>0.1</v>
      </c>
      <c r="CJ167" s="259">
        <v>0.1</v>
      </c>
      <c r="CK167" s="259">
        <v>0.1</v>
      </c>
      <c r="CL167" s="259">
        <v>0.1</v>
      </c>
      <c r="CM167" s="259">
        <v>0.1</v>
      </c>
      <c r="CN167" s="259">
        <v>0.1</v>
      </c>
      <c r="CO167" s="259">
        <v>0.1</v>
      </c>
      <c r="CP167" s="259">
        <v>0.1</v>
      </c>
      <c r="CQ167" s="259">
        <v>0.1</v>
      </c>
      <c r="CR167" s="259">
        <v>0.1</v>
      </c>
      <c r="CS167" s="259">
        <v>0.1</v>
      </c>
      <c r="CT167" s="259">
        <v>0.1</v>
      </c>
      <c r="CU167" s="259">
        <v>0.1</v>
      </c>
      <c r="CV167" s="259">
        <v>0.1</v>
      </c>
      <c r="CW167" s="259">
        <v>0.1</v>
      </c>
      <c r="CX167" s="259">
        <v>0.1</v>
      </c>
      <c r="CY167" s="259">
        <v>0.1</v>
      </c>
      <c r="CZ167" s="259">
        <v>0.1</v>
      </c>
      <c r="DA167" s="259">
        <v>0.1</v>
      </c>
      <c r="DB167" s="259">
        <v>0.1</v>
      </c>
      <c r="DC167" s="259">
        <v>0.1</v>
      </c>
      <c r="DD167" s="259">
        <v>0.1</v>
      </c>
      <c r="DE167" s="259">
        <v>0.1</v>
      </c>
      <c r="DF167" s="259">
        <v>0.1</v>
      </c>
      <c r="DG167" s="259">
        <v>0.1</v>
      </c>
      <c r="DH167" s="260">
        <v>0.1</v>
      </c>
      <c r="DI167" s="258">
        <v>0.1</v>
      </c>
      <c r="DJ167" s="259">
        <v>0.1</v>
      </c>
      <c r="DK167" s="259">
        <v>0.1</v>
      </c>
      <c r="DL167" s="259">
        <v>0.1</v>
      </c>
      <c r="DM167" s="259">
        <v>0.1</v>
      </c>
      <c r="DN167" s="259">
        <v>0.1</v>
      </c>
      <c r="DO167" s="259">
        <v>0.1</v>
      </c>
      <c r="DP167" s="259">
        <v>0.1</v>
      </c>
      <c r="DQ167" s="259">
        <v>0.1</v>
      </c>
      <c r="DR167" s="259">
        <v>0.1</v>
      </c>
      <c r="DS167" s="259">
        <v>0.1</v>
      </c>
      <c r="DT167" s="259">
        <v>0.1</v>
      </c>
      <c r="DU167" s="259">
        <v>0.1</v>
      </c>
      <c r="DV167" s="259">
        <v>0.1</v>
      </c>
      <c r="DW167" s="259">
        <v>0.1</v>
      </c>
      <c r="DX167" s="259">
        <v>0.1</v>
      </c>
      <c r="DY167" s="259">
        <v>0.1</v>
      </c>
      <c r="DZ167" s="259">
        <v>0.1</v>
      </c>
      <c r="EA167" s="259">
        <v>0.1</v>
      </c>
      <c r="EB167" s="259">
        <v>0.1</v>
      </c>
      <c r="EC167" s="259">
        <v>0.1</v>
      </c>
      <c r="ED167" s="259">
        <v>0.1</v>
      </c>
      <c r="EE167" s="260">
        <v>0.1</v>
      </c>
      <c r="EF167">
        <v>0.1</v>
      </c>
      <c r="EG167">
        <f t="shared" si="14"/>
        <v>0.1</v>
      </c>
      <c r="EJ167">
        <v>164</v>
      </c>
      <c r="EN167">
        <v>0.1</v>
      </c>
      <c r="EO167">
        <v>0.1</v>
      </c>
      <c r="EP167">
        <v>0.1</v>
      </c>
      <c r="EQ167">
        <v>0.1</v>
      </c>
      <c r="ER167">
        <v>0.1</v>
      </c>
      <c r="ES167">
        <v>0.1</v>
      </c>
      <c r="ET167">
        <v>0.1</v>
      </c>
      <c r="EU167">
        <v>0.1</v>
      </c>
      <c r="EV167">
        <v>0.1</v>
      </c>
      <c r="EW167">
        <v>0.1</v>
      </c>
      <c r="EX167">
        <v>0.1</v>
      </c>
      <c r="EY167">
        <v>0.1</v>
      </c>
      <c r="EZ167">
        <v>0.1</v>
      </c>
      <c r="FA167">
        <v>0.1</v>
      </c>
      <c r="FB167">
        <v>0.1</v>
      </c>
      <c r="FC167">
        <v>0.1</v>
      </c>
      <c r="FD167">
        <v>0.1</v>
      </c>
      <c r="FE167">
        <v>0.1</v>
      </c>
      <c r="FF167">
        <v>0.1</v>
      </c>
      <c r="FG167">
        <v>0.1</v>
      </c>
      <c r="FH167">
        <v>0.1</v>
      </c>
      <c r="FI167">
        <v>0.1</v>
      </c>
      <c r="FJ167">
        <v>0.1</v>
      </c>
      <c r="FK167">
        <v>0.1</v>
      </c>
      <c r="FL167">
        <v>0.1</v>
      </c>
      <c r="FM167">
        <v>0.1</v>
      </c>
      <c r="FN167">
        <v>0.1</v>
      </c>
      <c r="FO167">
        <v>0.1</v>
      </c>
      <c r="FP167">
        <v>0.1</v>
      </c>
      <c r="FQ167">
        <v>0.1</v>
      </c>
      <c r="FU167">
        <v>164</v>
      </c>
      <c r="GB167">
        <v>0.1</v>
      </c>
      <c r="GC167">
        <v>0.1</v>
      </c>
      <c r="GD167">
        <v>0.1</v>
      </c>
      <c r="GE167">
        <v>0.1</v>
      </c>
      <c r="GF167">
        <v>0.1</v>
      </c>
      <c r="GG167">
        <v>0.1</v>
      </c>
      <c r="GH167">
        <v>0.1</v>
      </c>
      <c r="GI167">
        <v>0.1</v>
      </c>
      <c r="GJ167">
        <v>0.1</v>
      </c>
      <c r="GK167">
        <v>0.1</v>
      </c>
      <c r="GL167">
        <v>0.1</v>
      </c>
      <c r="GM167">
        <v>0.1</v>
      </c>
      <c r="GN167">
        <v>0.1</v>
      </c>
      <c r="GO167">
        <v>0.1</v>
      </c>
      <c r="GP167">
        <v>0.1</v>
      </c>
      <c r="GQ167">
        <v>0.1</v>
      </c>
      <c r="GR167">
        <v>0.1</v>
      </c>
      <c r="GS167">
        <v>0.1</v>
      </c>
      <c r="GT167">
        <v>0.1</v>
      </c>
      <c r="GU167">
        <v>0.1</v>
      </c>
      <c r="GV167">
        <v>0.1</v>
      </c>
      <c r="GW167">
        <v>0.1</v>
      </c>
      <c r="GX167">
        <v>0.1</v>
      </c>
      <c r="GY167">
        <v>0.1</v>
      </c>
      <c r="GZ167">
        <v>0.1</v>
      </c>
      <c r="HA167">
        <v>0.1</v>
      </c>
      <c r="HB167">
        <v>0.1</v>
      </c>
      <c r="HC167">
        <v>0.1</v>
      </c>
      <c r="HD167">
        <v>0.1</v>
      </c>
      <c r="HE167">
        <v>0.1</v>
      </c>
      <c r="HF167">
        <v>0.1</v>
      </c>
      <c r="HG167">
        <v>0.1</v>
      </c>
      <c r="HH167">
        <v>0.1</v>
      </c>
      <c r="HI167">
        <v>0.1</v>
      </c>
      <c r="HJ167">
        <v>0.1</v>
      </c>
      <c r="HK167">
        <v>0.1</v>
      </c>
      <c r="HL167">
        <v>0.1</v>
      </c>
      <c r="HM167">
        <v>0.1</v>
      </c>
      <c r="HN167">
        <v>0.1</v>
      </c>
      <c r="HO167">
        <v>0.1</v>
      </c>
    </row>
    <row r="168" spans="1:223" ht="15.75" thickBot="1" x14ac:dyDescent="0.3">
      <c r="A168">
        <v>165</v>
      </c>
      <c r="B168" s="268">
        <v>3.16</v>
      </c>
      <c r="C168" s="269">
        <v>2.68</v>
      </c>
      <c r="D168" s="2"/>
      <c r="E168" s="2"/>
      <c r="F168" s="2"/>
      <c r="G168" s="2"/>
      <c r="H168" s="258">
        <v>0.1</v>
      </c>
      <c r="I168" s="259">
        <v>0.1</v>
      </c>
      <c r="J168" s="259">
        <v>0.1</v>
      </c>
      <c r="K168" s="259">
        <v>0.1</v>
      </c>
      <c r="L168" s="259">
        <v>0.1</v>
      </c>
      <c r="M168" s="259">
        <v>0.1</v>
      </c>
      <c r="N168" s="259">
        <v>0.1</v>
      </c>
      <c r="O168" s="259">
        <v>0.1</v>
      </c>
      <c r="P168" s="259">
        <v>0.1</v>
      </c>
      <c r="Q168" s="259">
        <v>0.1</v>
      </c>
      <c r="R168" s="259">
        <v>0.1</v>
      </c>
      <c r="S168" s="259">
        <v>0.1</v>
      </c>
      <c r="T168" s="259">
        <v>0.1</v>
      </c>
      <c r="U168" s="259">
        <v>0.1</v>
      </c>
      <c r="V168" s="259">
        <v>0.1</v>
      </c>
      <c r="W168" s="259">
        <v>0.1</v>
      </c>
      <c r="X168" s="259">
        <v>0.1</v>
      </c>
      <c r="Y168" s="259">
        <v>0.1</v>
      </c>
      <c r="Z168" s="259">
        <v>0.1</v>
      </c>
      <c r="AA168" s="259">
        <v>0.1</v>
      </c>
      <c r="AB168" s="259">
        <v>0.1</v>
      </c>
      <c r="AC168" s="259">
        <v>0.1</v>
      </c>
      <c r="AD168" s="259">
        <v>0.1</v>
      </c>
      <c r="AE168" s="259">
        <v>0.1</v>
      </c>
      <c r="AF168" s="259">
        <v>0.1</v>
      </c>
      <c r="AG168" s="259">
        <v>0.1</v>
      </c>
      <c r="AH168" s="259">
        <v>0.1</v>
      </c>
      <c r="AI168" s="259">
        <v>0.1</v>
      </c>
      <c r="AJ168" s="259">
        <v>0.1</v>
      </c>
      <c r="AK168" s="259">
        <v>0.1</v>
      </c>
      <c r="AL168" s="259">
        <v>0.1</v>
      </c>
      <c r="AM168" s="260">
        <v>0.1</v>
      </c>
      <c r="AN168" s="258">
        <v>0.1</v>
      </c>
      <c r="AO168" s="259">
        <v>0.1</v>
      </c>
      <c r="AP168" s="259">
        <v>0.1</v>
      </c>
      <c r="AQ168" s="259">
        <v>0.1</v>
      </c>
      <c r="AR168" s="259">
        <v>0.1</v>
      </c>
      <c r="AS168" s="259">
        <v>0.1</v>
      </c>
      <c r="AT168" s="259">
        <v>0.1</v>
      </c>
      <c r="AU168" s="259">
        <v>0.1</v>
      </c>
      <c r="AV168" s="259">
        <v>0.1</v>
      </c>
      <c r="AW168" s="259">
        <v>0.1</v>
      </c>
      <c r="AX168" s="259">
        <v>0.1</v>
      </c>
      <c r="AY168" s="259">
        <v>0.1</v>
      </c>
      <c r="AZ168" s="259">
        <v>0.1</v>
      </c>
      <c r="BA168" s="259">
        <v>0.1</v>
      </c>
      <c r="BB168" s="259">
        <v>0.1</v>
      </c>
      <c r="BC168" s="259">
        <v>0.1</v>
      </c>
      <c r="BD168" s="259">
        <v>0.1</v>
      </c>
      <c r="BE168" s="259">
        <v>0.1</v>
      </c>
      <c r="BF168" s="259">
        <v>0.1</v>
      </c>
      <c r="BG168" s="259">
        <v>0.1</v>
      </c>
      <c r="BH168" s="259">
        <v>0.1</v>
      </c>
      <c r="BI168" s="259">
        <v>0.1</v>
      </c>
      <c r="BJ168" s="259">
        <v>0.1</v>
      </c>
      <c r="BK168" s="259">
        <v>0.1</v>
      </c>
      <c r="BL168" s="259">
        <v>0.1</v>
      </c>
      <c r="BM168" s="259">
        <v>0.1</v>
      </c>
      <c r="BN168" s="260">
        <v>0.1</v>
      </c>
      <c r="BO168">
        <v>0.1</v>
      </c>
      <c r="BP168">
        <f t="shared" si="15"/>
        <v>0.1</v>
      </c>
      <c r="BS168">
        <v>165</v>
      </c>
      <c r="BT168" s="271">
        <v>3.6</v>
      </c>
      <c r="BU168" s="270">
        <v>2.2400000000000002</v>
      </c>
      <c r="BV168" s="2"/>
      <c r="BW168" s="2"/>
      <c r="BX168" s="2"/>
      <c r="BY168" s="258">
        <v>0.1</v>
      </c>
      <c r="BZ168" s="259">
        <v>0.1</v>
      </c>
      <c r="CA168" s="259">
        <v>0.1</v>
      </c>
      <c r="CB168" s="259">
        <v>0.1</v>
      </c>
      <c r="CC168" s="259">
        <v>0.1</v>
      </c>
      <c r="CD168" s="259">
        <v>0.1</v>
      </c>
      <c r="CE168" s="259">
        <v>0.1</v>
      </c>
      <c r="CF168" s="259">
        <v>0.1</v>
      </c>
      <c r="CG168" s="259">
        <v>0.1</v>
      </c>
      <c r="CH168" s="259">
        <v>0.1</v>
      </c>
      <c r="CI168" s="259">
        <v>0.1</v>
      </c>
      <c r="CJ168" s="259">
        <v>0.1</v>
      </c>
      <c r="CK168" s="259">
        <v>0.1</v>
      </c>
      <c r="CL168" s="259">
        <v>0.1</v>
      </c>
      <c r="CM168" s="259">
        <v>0.1</v>
      </c>
      <c r="CN168" s="259">
        <v>0.1</v>
      </c>
      <c r="CO168" s="259">
        <v>0.1</v>
      </c>
      <c r="CP168" s="259">
        <v>0.1</v>
      </c>
      <c r="CQ168" s="259">
        <v>0.1</v>
      </c>
      <c r="CR168" s="259">
        <v>0.1</v>
      </c>
      <c r="CS168" s="259">
        <v>0.1</v>
      </c>
      <c r="CT168" s="259">
        <v>0.1</v>
      </c>
      <c r="CU168" s="259">
        <v>0.1</v>
      </c>
      <c r="CV168" s="259">
        <v>0.1</v>
      </c>
      <c r="CW168" s="259">
        <v>0.1</v>
      </c>
      <c r="CX168" s="259">
        <v>0.1</v>
      </c>
      <c r="CY168" s="259">
        <v>0.1</v>
      </c>
      <c r="CZ168" s="259">
        <v>0.1</v>
      </c>
      <c r="DA168" s="259">
        <v>0.1</v>
      </c>
      <c r="DB168" s="259">
        <v>0.1</v>
      </c>
      <c r="DC168" s="259">
        <v>0.1</v>
      </c>
      <c r="DD168" s="259">
        <v>0.1</v>
      </c>
      <c r="DE168" s="259">
        <v>0.1</v>
      </c>
      <c r="DF168" s="259">
        <v>0.1</v>
      </c>
      <c r="DG168" s="259">
        <v>0.1</v>
      </c>
      <c r="DH168" s="260">
        <v>0.1</v>
      </c>
      <c r="DI168" s="258">
        <v>0.1</v>
      </c>
      <c r="DJ168" s="259">
        <v>0.1</v>
      </c>
      <c r="DK168" s="259">
        <v>0.1</v>
      </c>
      <c r="DL168" s="259">
        <v>0.1</v>
      </c>
      <c r="DM168" s="259">
        <v>0.1</v>
      </c>
      <c r="DN168" s="259">
        <v>0.1</v>
      </c>
      <c r="DO168" s="259">
        <v>0.1</v>
      </c>
      <c r="DP168" s="259">
        <v>0.1</v>
      </c>
      <c r="DQ168" s="259">
        <v>0.1</v>
      </c>
      <c r="DR168" s="259">
        <v>0.1</v>
      </c>
      <c r="DS168" s="259">
        <v>0.1</v>
      </c>
      <c r="DT168" s="259">
        <v>0.1</v>
      </c>
      <c r="DU168" s="259">
        <v>0.1</v>
      </c>
      <c r="DV168" s="259">
        <v>0.1</v>
      </c>
      <c r="DW168" s="259">
        <v>0.1</v>
      </c>
      <c r="DX168" s="259">
        <v>0.1</v>
      </c>
      <c r="DY168" s="259">
        <v>0.1</v>
      </c>
      <c r="DZ168" s="259">
        <v>0.1</v>
      </c>
      <c r="EA168" s="259">
        <v>0.1</v>
      </c>
      <c r="EB168" s="259">
        <v>0.1</v>
      </c>
      <c r="EC168" s="259">
        <v>0.1</v>
      </c>
      <c r="ED168" s="259">
        <v>0.1</v>
      </c>
      <c r="EE168" s="260">
        <v>0.1</v>
      </c>
      <c r="EF168">
        <v>0.1</v>
      </c>
      <c r="EG168">
        <f t="shared" si="14"/>
        <v>0.1</v>
      </c>
      <c r="EJ168">
        <v>165</v>
      </c>
      <c r="EN168">
        <v>0.1</v>
      </c>
      <c r="EO168">
        <v>0.1</v>
      </c>
      <c r="EP168">
        <v>0.1</v>
      </c>
      <c r="EQ168">
        <v>0.1</v>
      </c>
      <c r="ER168">
        <v>0.1</v>
      </c>
      <c r="ES168">
        <v>0.1</v>
      </c>
      <c r="ET168">
        <v>0.1</v>
      </c>
      <c r="EU168">
        <v>0.1</v>
      </c>
      <c r="EV168">
        <v>0.1</v>
      </c>
      <c r="EW168">
        <v>0.1</v>
      </c>
      <c r="EX168">
        <v>0.1</v>
      </c>
      <c r="EY168">
        <v>0.1</v>
      </c>
      <c r="EZ168">
        <v>0.1</v>
      </c>
      <c r="FA168">
        <v>0.1</v>
      </c>
      <c r="FB168">
        <v>0.1</v>
      </c>
      <c r="FC168">
        <v>0.1</v>
      </c>
      <c r="FD168">
        <v>0.1</v>
      </c>
      <c r="FE168">
        <v>0.1</v>
      </c>
      <c r="FF168">
        <v>0.1</v>
      </c>
      <c r="FG168">
        <v>0.1</v>
      </c>
      <c r="FH168">
        <v>0.1</v>
      </c>
      <c r="FI168">
        <v>0.1</v>
      </c>
      <c r="FJ168">
        <v>0.1</v>
      </c>
      <c r="FK168">
        <v>0.1</v>
      </c>
      <c r="FL168">
        <v>0.1</v>
      </c>
      <c r="FM168">
        <v>0.1</v>
      </c>
      <c r="FN168">
        <v>0.1</v>
      </c>
      <c r="FO168">
        <v>0.1</v>
      </c>
      <c r="FP168">
        <v>0.1</v>
      </c>
      <c r="FQ168">
        <v>0.1</v>
      </c>
      <c r="FU168">
        <v>165</v>
      </c>
      <c r="GB168">
        <v>0.1</v>
      </c>
      <c r="GC168">
        <v>0.1</v>
      </c>
      <c r="GD168">
        <v>0.1</v>
      </c>
      <c r="GE168">
        <v>0.1</v>
      </c>
      <c r="GF168">
        <v>0.1</v>
      </c>
      <c r="GG168">
        <v>0.1</v>
      </c>
      <c r="GH168">
        <v>0.1</v>
      </c>
      <c r="GI168">
        <v>0.1</v>
      </c>
      <c r="GJ168">
        <v>0.1</v>
      </c>
      <c r="GK168">
        <v>0.1</v>
      </c>
      <c r="GL168">
        <v>0.1</v>
      </c>
      <c r="GM168">
        <v>0.1</v>
      </c>
      <c r="GN168">
        <v>0.1</v>
      </c>
      <c r="GO168">
        <v>0.1</v>
      </c>
      <c r="GP168">
        <v>0.1</v>
      </c>
      <c r="GQ168">
        <v>0.1</v>
      </c>
      <c r="GR168">
        <v>0.1</v>
      </c>
      <c r="GS168">
        <v>0.1</v>
      </c>
      <c r="GT168">
        <v>0.1</v>
      </c>
      <c r="GU168">
        <v>0.1</v>
      </c>
      <c r="GV168">
        <v>0.1</v>
      </c>
      <c r="GW168">
        <v>0.1</v>
      </c>
      <c r="GX168">
        <v>0.1</v>
      </c>
      <c r="GY168">
        <v>0.1</v>
      </c>
      <c r="GZ168">
        <v>0.1</v>
      </c>
      <c r="HA168">
        <v>0.1</v>
      </c>
      <c r="HB168">
        <v>0.1</v>
      </c>
      <c r="HC168">
        <v>0.1</v>
      </c>
      <c r="HD168">
        <v>0.1</v>
      </c>
      <c r="HE168">
        <v>0.1</v>
      </c>
      <c r="HF168">
        <v>0.1</v>
      </c>
      <c r="HG168">
        <v>0.1</v>
      </c>
      <c r="HH168">
        <v>0.1</v>
      </c>
      <c r="HI168">
        <v>0.1</v>
      </c>
      <c r="HJ168">
        <v>0.1</v>
      </c>
      <c r="HK168">
        <v>0.1</v>
      </c>
      <c r="HL168">
        <v>0.1</v>
      </c>
      <c r="HM168">
        <v>0.1</v>
      </c>
      <c r="HN168">
        <v>0.1</v>
      </c>
      <c r="HO168">
        <v>0.1</v>
      </c>
    </row>
    <row r="169" spans="1:223" ht="15.75" thickBot="1" x14ac:dyDescent="0.3">
      <c r="A169">
        <v>166</v>
      </c>
      <c r="B169" s="269">
        <v>3.16</v>
      </c>
      <c r="C169" s="268">
        <v>2.67</v>
      </c>
      <c r="D169" s="2"/>
      <c r="E169" s="2"/>
      <c r="F169" s="2"/>
      <c r="G169" s="2"/>
      <c r="H169" s="258">
        <v>0.1</v>
      </c>
      <c r="I169" s="259">
        <v>0.1</v>
      </c>
      <c r="J169" s="259">
        <v>0.1</v>
      </c>
      <c r="K169" s="259">
        <v>0.1</v>
      </c>
      <c r="L169" s="259">
        <v>0.1</v>
      </c>
      <c r="M169" s="259">
        <v>0.1</v>
      </c>
      <c r="N169" s="259">
        <v>0.1</v>
      </c>
      <c r="O169" s="259">
        <v>0.1</v>
      </c>
      <c r="P169" s="259">
        <v>0.1</v>
      </c>
      <c r="Q169" s="259">
        <v>0.1</v>
      </c>
      <c r="R169" s="259">
        <v>0.1</v>
      </c>
      <c r="S169" s="259">
        <v>0.1</v>
      </c>
      <c r="T169" s="259">
        <v>0.1</v>
      </c>
      <c r="U169" s="259">
        <v>0.1</v>
      </c>
      <c r="V169" s="259">
        <v>0.1</v>
      </c>
      <c r="W169" s="259">
        <v>0.1</v>
      </c>
      <c r="X169" s="259">
        <v>0.1</v>
      </c>
      <c r="Y169" s="259">
        <v>0.1</v>
      </c>
      <c r="Z169" s="259">
        <v>0.1</v>
      </c>
      <c r="AA169" s="259">
        <v>0.1</v>
      </c>
      <c r="AB169" s="259">
        <v>0.1</v>
      </c>
      <c r="AC169" s="259">
        <v>0.1</v>
      </c>
      <c r="AD169" s="259">
        <v>0.1</v>
      </c>
      <c r="AE169" s="259">
        <v>0.1</v>
      </c>
      <c r="AF169" s="259">
        <v>0.1</v>
      </c>
      <c r="AG169" s="259">
        <v>0.1</v>
      </c>
      <c r="AH169" s="259">
        <v>0.1</v>
      </c>
      <c r="AI169" s="259">
        <v>0.1</v>
      </c>
      <c r="AJ169" s="259">
        <v>0.1</v>
      </c>
      <c r="AK169" s="259">
        <v>0.1</v>
      </c>
      <c r="AL169" s="259">
        <v>0.1</v>
      </c>
      <c r="AM169" s="260">
        <v>0.1</v>
      </c>
      <c r="AN169" s="258">
        <v>0.1</v>
      </c>
      <c r="AO169" s="259">
        <v>0.1</v>
      </c>
      <c r="AP169" s="259">
        <v>0.1</v>
      </c>
      <c r="AQ169" s="259">
        <v>0.1</v>
      </c>
      <c r="AR169" s="259">
        <v>0.1</v>
      </c>
      <c r="AS169" s="259">
        <v>0.1</v>
      </c>
      <c r="AT169" s="259">
        <v>0.1</v>
      </c>
      <c r="AU169" s="259">
        <v>0.1</v>
      </c>
      <c r="AV169" s="259">
        <v>0.1</v>
      </c>
      <c r="AW169" s="259">
        <v>0.1</v>
      </c>
      <c r="AX169" s="259">
        <v>0.1</v>
      </c>
      <c r="AY169" s="259">
        <v>0.1</v>
      </c>
      <c r="AZ169" s="259">
        <v>0.1</v>
      </c>
      <c r="BA169" s="259">
        <v>0.1</v>
      </c>
      <c r="BB169" s="259">
        <v>0.1</v>
      </c>
      <c r="BC169" s="259">
        <v>0.1</v>
      </c>
      <c r="BD169" s="259">
        <v>0.1</v>
      </c>
      <c r="BE169" s="259">
        <v>0.1</v>
      </c>
      <c r="BF169" s="259">
        <v>0.1</v>
      </c>
      <c r="BG169" s="259">
        <v>0.1</v>
      </c>
      <c r="BH169" s="259">
        <v>0.1</v>
      </c>
      <c r="BI169" s="259">
        <v>0.1</v>
      </c>
      <c r="BJ169" s="259">
        <v>0.1</v>
      </c>
      <c r="BK169" s="259">
        <v>0.1</v>
      </c>
      <c r="BL169" s="259">
        <v>0.1</v>
      </c>
      <c r="BM169" s="259">
        <v>0.1</v>
      </c>
      <c r="BN169" s="260">
        <v>0.1</v>
      </c>
      <c r="BO169">
        <v>0.1</v>
      </c>
      <c r="BP169">
        <f t="shared" si="15"/>
        <v>0.1</v>
      </c>
      <c r="BS169">
        <v>166</v>
      </c>
      <c r="BT169" s="270">
        <v>3.6</v>
      </c>
      <c r="BU169" s="271">
        <v>2.2400000000000002</v>
      </c>
      <c r="BV169" s="2"/>
      <c r="BW169" s="2"/>
      <c r="BX169" s="2"/>
      <c r="BY169" s="258">
        <v>0.1</v>
      </c>
      <c r="BZ169" s="259">
        <v>0.1</v>
      </c>
      <c r="CA169" s="259">
        <v>0.1</v>
      </c>
      <c r="CB169" s="259">
        <v>0.1</v>
      </c>
      <c r="CC169" s="259">
        <v>0.1</v>
      </c>
      <c r="CD169" s="259">
        <v>0.1</v>
      </c>
      <c r="CE169" s="259">
        <v>0.1</v>
      </c>
      <c r="CF169" s="259">
        <v>0.1</v>
      </c>
      <c r="CG169" s="259">
        <v>0.1</v>
      </c>
      <c r="CH169" s="259">
        <v>0.1</v>
      </c>
      <c r="CI169" s="259">
        <v>0.1</v>
      </c>
      <c r="CJ169" s="259">
        <v>0.1</v>
      </c>
      <c r="CK169" s="259">
        <v>0.1</v>
      </c>
      <c r="CL169" s="259">
        <v>0.1</v>
      </c>
      <c r="CM169" s="259">
        <v>0.1</v>
      </c>
      <c r="CN169" s="259">
        <v>0.1</v>
      </c>
      <c r="CO169" s="259">
        <v>0.1</v>
      </c>
      <c r="CP169" s="259">
        <v>0.1</v>
      </c>
      <c r="CQ169" s="259">
        <v>0.1</v>
      </c>
      <c r="CR169" s="259">
        <v>0.1</v>
      </c>
      <c r="CS169" s="259">
        <v>0.1</v>
      </c>
      <c r="CT169" s="259">
        <v>0.1</v>
      </c>
      <c r="CU169" s="259">
        <v>0.1</v>
      </c>
      <c r="CV169" s="259">
        <v>0.1</v>
      </c>
      <c r="CW169" s="259">
        <v>0.1</v>
      </c>
      <c r="CX169" s="259">
        <v>0.1</v>
      </c>
      <c r="CY169" s="259">
        <v>0.1</v>
      </c>
      <c r="CZ169" s="259">
        <v>0.1</v>
      </c>
      <c r="DA169" s="259">
        <v>0.1</v>
      </c>
      <c r="DB169" s="259">
        <v>0.1</v>
      </c>
      <c r="DC169" s="259">
        <v>0.1</v>
      </c>
      <c r="DD169" s="259">
        <v>0.1</v>
      </c>
      <c r="DE169" s="259">
        <v>0.1</v>
      </c>
      <c r="DF169" s="259">
        <v>0.1</v>
      </c>
      <c r="DG169" s="259">
        <v>0.1</v>
      </c>
      <c r="DH169" s="260">
        <v>0.1</v>
      </c>
      <c r="DI169" s="258">
        <v>0.1</v>
      </c>
      <c r="DJ169" s="259">
        <v>0.1</v>
      </c>
      <c r="DK169" s="259">
        <v>0.1</v>
      </c>
      <c r="DL169" s="259">
        <v>0.1</v>
      </c>
      <c r="DM169" s="259">
        <v>0.1</v>
      </c>
      <c r="DN169" s="259">
        <v>0.1</v>
      </c>
      <c r="DO169" s="259">
        <v>0.1</v>
      </c>
      <c r="DP169" s="259">
        <v>0.1</v>
      </c>
      <c r="DQ169" s="259">
        <v>0.1</v>
      </c>
      <c r="DR169" s="259">
        <v>0.1</v>
      </c>
      <c r="DS169" s="259">
        <v>0.1</v>
      </c>
      <c r="DT169" s="259">
        <v>0.1</v>
      </c>
      <c r="DU169" s="259">
        <v>0.1</v>
      </c>
      <c r="DV169" s="259">
        <v>0.1</v>
      </c>
      <c r="DW169" s="259">
        <v>0.1</v>
      </c>
      <c r="DX169" s="259">
        <v>0.1</v>
      </c>
      <c r="DY169" s="259">
        <v>0.1</v>
      </c>
      <c r="DZ169" s="259">
        <v>0.1</v>
      </c>
      <c r="EA169" s="259">
        <v>0.1</v>
      </c>
      <c r="EB169" s="259">
        <v>0.1</v>
      </c>
      <c r="EC169" s="259">
        <v>0.1</v>
      </c>
      <c r="ED169" s="259">
        <v>0.1</v>
      </c>
      <c r="EE169" s="260">
        <v>0.1</v>
      </c>
      <c r="EF169">
        <v>0.1</v>
      </c>
      <c r="EG169">
        <f t="shared" si="14"/>
        <v>0.1</v>
      </c>
      <c r="EJ169">
        <v>166</v>
      </c>
      <c r="EN169">
        <v>0.1</v>
      </c>
      <c r="EO169">
        <v>0.1</v>
      </c>
      <c r="EP169">
        <v>0.1</v>
      </c>
      <c r="EQ169">
        <v>0.1</v>
      </c>
      <c r="ER169">
        <v>0.1</v>
      </c>
      <c r="ES169">
        <v>0.1</v>
      </c>
      <c r="ET169">
        <v>0.1</v>
      </c>
      <c r="EU169">
        <v>0.1</v>
      </c>
      <c r="EV169">
        <v>0.1</v>
      </c>
      <c r="EW169">
        <v>0.1</v>
      </c>
      <c r="EX169">
        <v>0.1</v>
      </c>
      <c r="EY169">
        <v>0.1</v>
      </c>
      <c r="EZ169">
        <v>0.1</v>
      </c>
      <c r="FA169">
        <v>0.1</v>
      </c>
      <c r="FB169">
        <v>0.1</v>
      </c>
      <c r="FC169">
        <v>0.1</v>
      </c>
      <c r="FD169">
        <v>0.1</v>
      </c>
      <c r="FE169">
        <v>0.1</v>
      </c>
      <c r="FF169">
        <v>0.1</v>
      </c>
      <c r="FG169">
        <v>0.1</v>
      </c>
      <c r="FH169">
        <v>0.1</v>
      </c>
      <c r="FI169">
        <v>0.1</v>
      </c>
      <c r="FJ169">
        <v>0.1</v>
      </c>
      <c r="FK169">
        <v>0.1</v>
      </c>
      <c r="FL169">
        <v>0.1</v>
      </c>
      <c r="FM169">
        <v>0.1</v>
      </c>
      <c r="FN169">
        <v>0.1</v>
      </c>
      <c r="FO169">
        <v>0.1</v>
      </c>
      <c r="FP169">
        <v>0.1</v>
      </c>
      <c r="FQ169">
        <v>0.1</v>
      </c>
      <c r="FU169">
        <v>166</v>
      </c>
      <c r="GB169">
        <v>0.1</v>
      </c>
      <c r="GC169">
        <v>0.1</v>
      </c>
      <c r="GD169">
        <v>0.1</v>
      </c>
      <c r="GE169">
        <v>0.1</v>
      </c>
      <c r="GF169">
        <v>0.1</v>
      </c>
      <c r="GG169">
        <v>0.1</v>
      </c>
      <c r="GH169">
        <v>0.1</v>
      </c>
      <c r="GI169">
        <v>0.1</v>
      </c>
      <c r="GJ169">
        <v>0.1</v>
      </c>
      <c r="GK169">
        <v>0.1</v>
      </c>
      <c r="GL169">
        <v>0.1</v>
      </c>
      <c r="GM169">
        <v>0.1</v>
      </c>
      <c r="GN169">
        <v>0.1</v>
      </c>
      <c r="GO169">
        <v>0.1</v>
      </c>
      <c r="GP169">
        <v>0.1</v>
      </c>
      <c r="GQ169">
        <v>0.1</v>
      </c>
      <c r="GR169">
        <v>0.1</v>
      </c>
      <c r="GS169">
        <v>0.1</v>
      </c>
      <c r="GT169">
        <v>0.1</v>
      </c>
      <c r="GU169">
        <v>0.1</v>
      </c>
      <c r="GV169">
        <v>0.1</v>
      </c>
      <c r="GW169">
        <v>0.1</v>
      </c>
      <c r="GX169">
        <v>0.1</v>
      </c>
      <c r="GY169">
        <v>0.1</v>
      </c>
      <c r="GZ169">
        <v>0.1</v>
      </c>
      <c r="HA169">
        <v>0.1</v>
      </c>
      <c r="HB169">
        <v>0.1</v>
      </c>
      <c r="HC169">
        <v>0.1</v>
      </c>
      <c r="HD169">
        <v>0.1</v>
      </c>
      <c r="HE169">
        <v>0.1</v>
      </c>
      <c r="HF169">
        <v>0.1</v>
      </c>
      <c r="HG169">
        <v>0.1</v>
      </c>
      <c r="HH169">
        <v>0.1</v>
      </c>
      <c r="HI169">
        <v>0.1</v>
      </c>
      <c r="HJ169">
        <v>0.1</v>
      </c>
      <c r="HK169">
        <v>0.1</v>
      </c>
      <c r="HL169">
        <v>0.1</v>
      </c>
      <c r="HM169">
        <v>0.1</v>
      </c>
      <c r="HN169">
        <v>0.1</v>
      </c>
      <c r="HO169">
        <v>0.1</v>
      </c>
    </row>
    <row r="170" spans="1:223" ht="15.75" thickBot="1" x14ac:dyDescent="0.3">
      <c r="A170">
        <v>167</v>
      </c>
      <c r="B170" s="268">
        <v>3.16</v>
      </c>
      <c r="C170" s="269">
        <v>2.67</v>
      </c>
      <c r="D170" s="2"/>
      <c r="E170" s="2"/>
      <c r="F170" s="2"/>
      <c r="G170" s="2"/>
      <c r="H170" s="258">
        <v>0.1</v>
      </c>
      <c r="I170" s="259">
        <v>0.1</v>
      </c>
      <c r="J170" s="259">
        <v>0.1</v>
      </c>
      <c r="K170" s="259">
        <v>0.1</v>
      </c>
      <c r="L170" s="259">
        <v>0.1</v>
      </c>
      <c r="M170" s="259">
        <v>0.1</v>
      </c>
      <c r="N170" s="259">
        <v>0.1</v>
      </c>
      <c r="O170" s="259">
        <v>0.1</v>
      </c>
      <c r="P170" s="259">
        <v>0.1</v>
      </c>
      <c r="Q170" s="259">
        <v>0.1</v>
      </c>
      <c r="R170" s="259">
        <v>0.1</v>
      </c>
      <c r="S170" s="259">
        <v>0.1</v>
      </c>
      <c r="T170" s="259">
        <v>0.1</v>
      </c>
      <c r="U170" s="259">
        <v>0.1</v>
      </c>
      <c r="V170" s="259">
        <v>0.1</v>
      </c>
      <c r="W170" s="259">
        <v>0.1</v>
      </c>
      <c r="X170" s="259">
        <v>0.1</v>
      </c>
      <c r="Y170" s="259">
        <v>0.1</v>
      </c>
      <c r="Z170" s="259">
        <v>0.1</v>
      </c>
      <c r="AA170" s="259">
        <v>0.1</v>
      </c>
      <c r="AB170" s="259">
        <v>0.1</v>
      </c>
      <c r="AC170" s="259">
        <v>0.1</v>
      </c>
      <c r="AD170" s="259">
        <v>0.1</v>
      </c>
      <c r="AE170" s="259">
        <v>0.1</v>
      </c>
      <c r="AF170" s="259">
        <v>0.1</v>
      </c>
      <c r="AG170" s="259">
        <v>0.1</v>
      </c>
      <c r="AH170" s="259">
        <v>0.1</v>
      </c>
      <c r="AI170" s="259">
        <v>0.1</v>
      </c>
      <c r="AJ170" s="259">
        <v>0.1</v>
      </c>
      <c r="AK170" s="259">
        <v>0.1</v>
      </c>
      <c r="AL170" s="259">
        <v>0.1</v>
      </c>
      <c r="AM170" s="260">
        <v>0.1</v>
      </c>
      <c r="AN170" s="258">
        <v>0.1</v>
      </c>
      <c r="AO170" s="259">
        <v>0.1</v>
      </c>
      <c r="AP170" s="259">
        <v>0.1</v>
      </c>
      <c r="AQ170" s="259">
        <v>0.1</v>
      </c>
      <c r="AR170" s="259">
        <v>0.1</v>
      </c>
      <c r="AS170" s="259">
        <v>0.1</v>
      </c>
      <c r="AT170" s="259">
        <v>0.1</v>
      </c>
      <c r="AU170" s="259">
        <v>0.1</v>
      </c>
      <c r="AV170" s="259">
        <v>0.1</v>
      </c>
      <c r="AW170" s="259">
        <v>0.1</v>
      </c>
      <c r="AX170" s="259">
        <v>0.1</v>
      </c>
      <c r="AY170" s="259">
        <v>0.1</v>
      </c>
      <c r="AZ170" s="259">
        <v>0.1</v>
      </c>
      <c r="BA170" s="259">
        <v>0.1</v>
      </c>
      <c r="BB170" s="259">
        <v>0.1</v>
      </c>
      <c r="BC170" s="259">
        <v>0.1</v>
      </c>
      <c r="BD170" s="259">
        <v>0.1</v>
      </c>
      <c r="BE170" s="259">
        <v>0.1</v>
      </c>
      <c r="BF170" s="259">
        <v>0.1</v>
      </c>
      <c r="BG170" s="259">
        <v>0.1</v>
      </c>
      <c r="BH170" s="259">
        <v>0.1</v>
      </c>
      <c r="BI170" s="259">
        <v>0.1</v>
      </c>
      <c r="BJ170" s="259">
        <v>0.1</v>
      </c>
      <c r="BK170" s="259">
        <v>0.1</v>
      </c>
      <c r="BL170" s="259">
        <v>0.1</v>
      </c>
      <c r="BM170" s="259">
        <v>0.1</v>
      </c>
      <c r="BN170" s="260">
        <v>0.1</v>
      </c>
      <c r="BO170">
        <v>0.1</v>
      </c>
      <c r="BP170">
        <f t="shared" si="15"/>
        <v>0.1</v>
      </c>
      <c r="BS170">
        <v>167</v>
      </c>
      <c r="BT170" s="271">
        <v>3.6</v>
      </c>
      <c r="BU170" s="270">
        <v>2.2400000000000002</v>
      </c>
      <c r="BV170" s="2"/>
      <c r="BW170" s="2"/>
      <c r="BX170" s="2"/>
      <c r="BY170" s="258">
        <v>0.1</v>
      </c>
      <c r="BZ170" s="259">
        <v>0.1</v>
      </c>
      <c r="CA170" s="259">
        <v>0.1</v>
      </c>
      <c r="CB170" s="259">
        <v>0.1</v>
      </c>
      <c r="CC170" s="259">
        <v>0.1</v>
      </c>
      <c r="CD170" s="259">
        <v>0.1</v>
      </c>
      <c r="CE170" s="259">
        <v>0.1</v>
      </c>
      <c r="CF170" s="259">
        <v>0.1</v>
      </c>
      <c r="CG170" s="259">
        <v>0.1</v>
      </c>
      <c r="CH170" s="259">
        <v>0.1</v>
      </c>
      <c r="CI170" s="259">
        <v>0.1</v>
      </c>
      <c r="CJ170" s="259">
        <v>0.1</v>
      </c>
      <c r="CK170" s="259">
        <v>0.1</v>
      </c>
      <c r="CL170" s="259">
        <v>0.1</v>
      </c>
      <c r="CM170" s="259">
        <v>0.1</v>
      </c>
      <c r="CN170" s="259">
        <v>0.1</v>
      </c>
      <c r="CO170" s="259">
        <v>0.1</v>
      </c>
      <c r="CP170" s="259">
        <v>0.1</v>
      </c>
      <c r="CQ170" s="259">
        <v>0.1</v>
      </c>
      <c r="CR170" s="259">
        <v>0.1</v>
      </c>
      <c r="CS170" s="259">
        <v>0.1</v>
      </c>
      <c r="CT170" s="259">
        <v>0.1</v>
      </c>
      <c r="CU170" s="259">
        <v>0.1</v>
      </c>
      <c r="CV170" s="259">
        <v>0.1</v>
      </c>
      <c r="CW170" s="259">
        <v>0.1</v>
      </c>
      <c r="CX170" s="259">
        <v>0.1</v>
      </c>
      <c r="CY170" s="259">
        <v>0.1</v>
      </c>
      <c r="CZ170" s="259">
        <v>0.1</v>
      </c>
      <c r="DA170" s="259">
        <v>0.1</v>
      </c>
      <c r="DB170" s="259">
        <v>0.1</v>
      </c>
      <c r="DC170" s="259">
        <v>0.1</v>
      </c>
      <c r="DD170" s="259">
        <v>0.1</v>
      </c>
      <c r="DE170" s="259">
        <v>0.1</v>
      </c>
      <c r="DF170" s="259">
        <v>0.1</v>
      </c>
      <c r="DG170" s="259">
        <v>0.1</v>
      </c>
      <c r="DH170" s="260">
        <v>0.1</v>
      </c>
      <c r="DI170" s="258">
        <v>0.1</v>
      </c>
      <c r="DJ170" s="259">
        <v>0.1</v>
      </c>
      <c r="DK170" s="259">
        <v>0.1</v>
      </c>
      <c r="DL170" s="259">
        <v>0.1</v>
      </c>
      <c r="DM170" s="259">
        <v>0.1</v>
      </c>
      <c r="DN170" s="259">
        <v>0.1</v>
      </c>
      <c r="DO170" s="259">
        <v>0.1</v>
      </c>
      <c r="DP170" s="259">
        <v>0.1</v>
      </c>
      <c r="DQ170" s="259">
        <v>0.1</v>
      </c>
      <c r="DR170" s="259">
        <v>0.1</v>
      </c>
      <c r="DS170" s="259">
        <v>0.1</v>
      </c>
      <c r="DT170" s="259">
        <v>0.1</v>
      </c>
      <c r="DU170" s="259">
        <v>0.1</v>
      </c>
      <c r="DV170" s="259">
        <v>0.1</v>
      </c>
      <c r="DW170" s="259">
        <v>0.1</v>
      </c>
      <c r="DX170" s="259">
        <v>0.1</v>
      </c>
      <c r="DY170" s="259">
        <v>0.1</v>
      </c>
      <c r="DZ170" s="259">
        <v>0.1</v>
      </c>
      <c r="EA170" s="259">
        <v>0.1</v>
      </c>
      <c r="EB170" s="259">
        <v>0.1</v>
      </c>
      <c r="EC170" s="259">
        <v>0.1</v>
      </c>
      <c r="ED170" s="259">
        <v>0.1</v>
      </c>
      <c r="EE170" s="260">
        <v>0.1</v>
      </c>
      <c r="EF170">
        <v>0.1</v>
      </c>
      <c r="EG170">
        <f t="shared" si="14"/>
        <v>0.1</v>
      </c>
      <c r="EJ170">
        <v>167</v>
      </c>
      <c r="EN170">
        <v>0.1</v>
      </c>
      <c r="EO170">
        <v>0.1</v>
      </c>
      <c r="EP170">
        <v>0.1</v>
      </c>
      <c r="EQ170">
        <v>0.1</v>
      </c>
      <c r="ER170">
        <v>0.1</v>
      </c>
      <c r="ES170">
        <v>0.1</v>
      </c>
      <c r="ET170">
        <v>0.1</v>
      </c>
      <c r="EU170">
        <v>0.1</v>
      </c>
      <c r="EV170">
        <v>0.1</v>
      </c>
      <c r="EW170">
        <v>0.1</v>
      </c>
      <c r="EX170">
        <v>0.1</v>
      </c>
      <c r="EY170">
        <v>0.1</v>
      </c>
      <c r="EZ170">
        <v>0.1</v>
      </c>
      <c r="FA170">
        <v>0.1</v>
      </c>
      <c r="FB170">
        <v>0.1</v>
      </c>
      <c r="FC170">
        <v>0.1</v>
      </c>
      <c r="FD170">
        <v>0.1</v>
      </c>
      <c r="FE170">
        <v>0.1</v>
      </c>
      <c r="FF170">
        <v>0.1</v>
      </c>
      <c r="FG170">
        <v>0.1</v>
      </c>
      <c r="FH170">
        <v>0.1</v>
      </c>
      <c r="FI170">
        <v>0.1</v>
      </c>
      <c r="FJ170">
        <v>0.1</v>
      </c>
      <c r="FK170">
        <v>0.1</v>
      </c>
      <c r="FL170">
        <v>0.1</v>
      </c>
      <c r="FM170">
        <v>0.1</v>
      </c>
      <c r="FN170">
        <v>0.1</v>
      </c>
      <c r="FO170">
        <v>0.1</v>
      </c>
      <c r="FP170">
        <v>0.1</v>
      </c>
      <c r="FQ170">
        <v>0.1</v>
      </c>
      <c r="FU170">
        <v>167</v>
      </c>
      <c r="GB170">
        <v>0.1</v>
      </c>
      <c r="GC170">
        <v>0.1</v>
      </c>
      <c r="GD170">
        <v>0.1</v>
      </c>
      <c r="GE170">
        <v>0.1</v>
      </c>
      <c r="GF170">
        <v>0.1</v>
      </c>
      <c r="GG170">
        <v>0.1</v>
      </c>
      <c r="GH170">
        <v>0.1</v>
      </c>
      <c r="GI170">
        <v>0.1</v>
      </c>
      <c r="GJ170">
        <v>0.1</v>
      </c>
      <c r="GK170">
        <v>0.1</v>
      </c>
      <c r="GL170">
        <v>0.1</v>
      </c>
      <c r="GM170">
        <v>0.1</v>
      </c>
      <c r="GN170">
        <v>0.1</v>
      </c>
      <c r="GO170">
        <v>0.1</v>
      </c>
      <c r="GP170">
        <v>0.1</v>
      </c>
      <c r="GQ170">
        <v>0.1</v>
      </c>
      <c r="GR170">
        <v>0.1</v>
      </c>
      <c r="GS170">
        <v>0.1</v>
      </c>
      <c r="GT170">
        <v>0.1</v>
      </c>
      <c r="GU170">
        <v>0.1</v>
      </c>
      <c r="GV170">
        <v>0.1</v>
      </c>
      <c r="GW170">
        <v>0.1</v>
      </c>
      <c r="GX170">
        <v>0.1</v>
      </c>
      <c r="GY170">
        <v>0.1</v>
      </c>
      <c r="GZ170">
        <v>0.1</v>
      </c>
      <c r="HA170">
        <v>0.1</v>
      </c>
      <c r="HB170">
        <v>0.1</v>
      </c>
      <c r="HC170">
        <v>0.1</v>
      </c>
      <c r="HD170">
        <v>0.1</v>
      </c>
      <c r="HE170">
        <v>0.1</v>
      </c>
      <c r="HF170">
        <v>0.1</v>
      </c>
      <c r="HG170">
        <v>0.1</v>
      </c>
      <c r="HH170">
        <v>0.1</v>
      </c>
      <c r="HI170">
        <v>0.1</v>
      </c>
      <c r="HJ170">
        <v>0.1</v>
      </c>
      <c r="HK170">
        <v>0.1</v>
      </c>
      <c r="HL170">
        <v>0.1</v>
      </c>
      <c r="HM170">
        <v>0.1</v>
      </c>
      <c r="HN170">
        <v>0.1</v>
      </c>
      <c r="HO170">
        <v>0.1</v>
      </c>
    </row>
    <row r="171" spans="1:223" ht="15.75" thickBot="1" x14ac:dyDescent="0.3">
      <c r="A171">
        <v>168</v>
      </c>
      <c r="B171" s="269">
        <v>3.16</v>
      </c>
      <c r="C171" s="268">
        <v>2.67</v>
      </c>
      <c r="D171" s="2"/>
      <c r="E171" s="2"/>
      <c r="F171" s="2"/>
      <c r="G171" s="2"/>
      <c r="H171" s="258">
        <v>0.1</v>
      </c>
      <c r="I171" s="259">
        <v>0.1</v>
      </c>
      <c r="J171" s="259">
        <v>0.1</v>
      </c>
      <c r="K171" s="259">
        <v>0.1</v>
      </c>
      <c r="L171" s="259">
        <v>0.1</v>
      </c>
      <c r="M171" s="259">
        <v>0.1</v>
      </c>
      <c r="N171" s="259">
        <v>0.1</v>
      </c>
      <c r="O171" s="259">
        <v>0.1</v>
      </c>
      <c r="P171" s="259">
        <v>0.1</v>
      </c>
      <c r="Q171" s="259">
        <v>0.1</v>
      </c>
      <c r="R171" s="259">
        <v>0.1</v>
      </c>
      <c r="S171" s="259">
        <v>0.1</v>
      </c>
      <c r="T171" s="259">
        <v>0.1</v>
      </c>
      <c r="U171" s="259">
        <v>0.1</v>
      </c>
      <c r="V171" s="259">
        <v>0.1</v>
      </c>
      <c r="W171" s="259">
        <v>0.1</v>
      </c>
      <c r="X171" s="259">
        <v>0.1</v>
      </c>
      <c r="Y171" s="259">
        <v>0.1</v>
      </c>
      <c r="Z171" s="259">
        <v>0.1</v>
      </c>
      <c r="AA171" s="259">
        <v>0.1</v>
      </c>
      <c r="AB171" s="259">
        <v>0.1</v>
      </c>
      <c r="AC171" s="259">
        <v>0.1</v>
      </c>
      <c r="AD171" s="259">
        <v>0.1</v>
      </c>
      <c r="AE171" s="259">
        <v>0.1</v>
      </c>
      <c r="AF171" s="259">
        <v>0.1</v>
      </c>
      <c r="AG171" s="259">
        <v>0.1</v>
      </c>
      <c r="AH171" s="259">
        <v>0.1</v>
      </c>
      <c r="AI171" s="259">
        <v>0.1</v>
      </c>
      <c r="AJ171" s="259">
        <v>0.1</v>
      </c>
      <c r="AK171" s="259">
        <v>0.1</v>
      </c>
      <c r="AL171" s="259">
        <v>0.1</v>
      </c>
      <c r="AM171" s="260">
        <v>0.1</v>
      </c>
      <c r="AN171" s="258">
        <v>0.1</v>
      </c>
      <c r="AO171" s="259">
        <v>0.1</v>
      </c>
      <c r="AP171" s="259">
        <v>0.1</v>
      </c>
      <c r="AQ171" s="259">
        <v>0.1</v>
      </c>
      <c r="AR171" s="259">
        <v>0.1</v>
      </c>
      <c r="AS171" s="259">
        <v>0.1</v>
      </c>
      <c r="AT171" s="259">
        <v>0.1</v>
      </c>
      <c r="AU171" s="259">
        <v>0.1</v>
      </c>
      <c r="AV171" s="259">
        <v>0.1</v>
      </c>
      <c r="AW171" s="259">
        <v>0.1</v>
      </c>
      <c r="AX171" s="259">
        <v>0.1</v>
      </c>
      <c r="AY171" s="259">
        <v>0.1</v>
      </c>
      <c r="AZ171" s="259">
        <v>0.1</v>
      </c>
      <c r="BA171" s="259">
        <v>0.1</v>
      </c>
      <c r="BB171" s="259">
        <v>0.1</v>
      </c>
      <c r="BC171" s="259">
        <v>0.1</v>
      </c>
      <c r="BD171" s="259">
        <v>0.1</v>
      </c>
      <c r="BE171" s="259">
        <v>0.1</v>
      </c>
      <c r="BF171" s="259">
        <v>0.1</v>
      </c>
      <c r="BG171" s="259">
        <v>0.1</v>
      </c>
      <c r="BH171" s="259">
        <v>0.1</v>
      </c>
      <c r="BI171" s="259">
        <v>0.1</v>
      </c>
      <c r="BJ171" s="259">
        <v>0.1</v>
      </c>
      <c r="BK171" s="259">
        <v>0.1</v>
      </c>
      <c r="BL171" s="259">
        <v>0.1</v>
      </c>
      <c r="BM171" s="259">
        <v>0.1</v>
      </c>
      <c r="BN171" s="260">
        <v>0.1</v>
      </c>
      <c r="BO171">
        <v>0.1</v>
      </c>
      <c r="BP171">
        <f t="shared" si="15"/>
        <v>0.1</v>
      </c>
      <c r="BS171">
        <v>168</v>
      </c>
      <c r="BT171" s="270">
        <v>3.6</v>
      </c>
      <c r="BU171" s="271">
        <v>2.2799999999999998</v>
      </c>
      <c r="BV171" s="2"/>
      <c r="BW171" s="2"/>
      <c r="BX171" s="2"/>
      <c r="BY171" s="258">
        <v>0.1</v>
      </c>
      <c r="BZ171" s="259">
        <v>0.1</v>
      </c>
      <c r="CA171" s="259">
        <v>0.1</v>
      </c>
      <c r="CB171" s="259">
        <v>0.1</v>
      </c>
      <c r="CC171" s="259">
        <v>0.1</v>
      </c>
      <c r="CD171" s="259">
        <v>0.1</v>
      </c>
      <c r="CE171" s="259">
        <v>0.1</v>
      </c>
      <c r="CF171" s="259">
        <v>0.1</v>
      </c>
      <c r="CG171" s="259">
        <v>0.1</v>
      </c>
      <c r="CH171" s="259">
        <v>0.1</v>
      </c>
      <c r="CI171" s="259">
        <v>0.1</v>
      </c>
      <c r="CJ171" s="259">
        <v>0.1</v>
      </c>
      <c r="CK171" s="259">
        <v>0.1</v>
      </c>
      <c r="CL171" s="259">
        <v>0.1</v>
      </c>
      <c r="CM171" s="259">
        <v>0.1</v>
      </c>
      <c r="CN171" s="259">
        <v>0.1</v>
      </c>
      <c r="CO171" s="259">
        <v>0.1</v>
      </c>
      <c r="CP171" s="259">
        <v>0.1</v>
      </c>
      <c r="CQ171" s="259">
        <v>0.1</v>
      </c>
      <c r="CR171" s="259">
        <v>0.1</v>
      </c>
      <c r="CS171" s="259">
        <v>0.1</v>
      </c>
      <c r="CT171" s="259">
        <v>0.1</v>
      </c>
      <c r="CU171" s="259">
        <v>0.1</v>
      </c>
      <c r="CV171" s="259">
        <v>0.1</v>
      </c>
      <c r="CW171" s="259">
        <v>0.1</v>
      </c>
      <c r="CX171" s="259">
        <v>0.1</v>
      </c>
      <c r="CY171" s="259">
        <v>0.1</v>
      </c>
      <c r="CZ171" s="259">
        <v>0.1</v>
      </c>
      <c r="DA171" s="259">
        <v>0.1</v>
      </c>
      <c r="DB171" s="259">
        <v>0.1</v>
      </c>
      <c r="DC171" s="259">
        <v>0.1</v>
      </c>
      <c r="DD171" s="259">
        <v>0.1</v>
      </c>
      <c r="DE171" s="259">
        <v>0.1</v>
      </c>
      <c r="DF171" s="259">
        <v>0.1</v>
      </c>
      <c r="DG171" s="259">
        <v>0.1</v>
      </c>
      <c r="DH171" s="260">
        <v>0.1</v>
      </c>
      <c r="DI171" s="258">
        <v>0.1</v>
      </c>
      <c r="DJ171" s="259">
        <v>0.1</v>
      </c>
      <c r="DK171" s="259">
        <v>0.1</v>
      </c>
      <c r="DL171" s="259">
        <v>0.1</v>
      </c>
      <c r="DM171" s="259">
        <v>0.1</v>
      </c>
      <c r="DN171" s="259">
        <v>0.1</v>
      </c>
      <c r="DO171" s="259">
        <v>0.1</v>
      </c>
      <c r="DP171" s="259">
        <v>0.1</v>
      </c>
      <c r="DQ171" s="259">
        <v>0.1</v>
      </c>
      <c r="DR171" s="259">
        <v>0.1</v>
      </c>
      <c r="DS171" s="259">
        <v>0.1</v>
      </c>
      <c r="DT171" s="259">
        <v>0.1</v>
      </c>
      <c r="DU171" s="259">
        <v>0.1</v>
      </c>
      <c r="DV171" s="259">
        <v>0.1</v>
      </c>
      <c r="DW171" s="259">
        <v>0.1</v>
      </c>
      <c r="DX171" s="259">
        <v>0.1</v>
      </c>
      <c r="DY171" s="259">
        <v>0.1</v>
      </c>
      <c r="DZ171" s="259">
        <v>0.1</v>
      </c>
      <c r="EA171" s="259">
        <v>0.1</v>
      </c>
      <c r="EB171" s="259">
        <v>0.1</v>
      </c>
      <c r="EC171" s="259">
        <v>0.1</v>
      </c>
      <c r="ED171" s="259">
        <v>0.1</v>
      </c>
      <c r="EE171" s="260">
        <v>0.1</v>
      </c>
      <c r="EF171">
        <v>0.1</v>
      </c>
      <c r="EG171">
        <f t="shared" si="14"/>
        <v>0.1</v>
      </c>
      <c r="EJ171">
        <v>168</v>
      </c>
      <c r="EN171">
        <v>0.1</v>
      </c>
      <c r="EO171">
        <v>0.1</v>
      </c>
      <c r="EP171">
        <v>0.1</v>
      </c>
      <c r="EQ171">
        <v>0.1</v>
      </c>
      <c r="ER171">
        <v>0.1</v>
      </c>
      <c r="ES171">
        <v>0.1</v>
      </c>
      <c r="ET171">
        <v>0.1</v>
      </c>
      <c r="EU171">
        <v>0.1</v>
      </c>
      <c r="EV171">
        <v>0.1</v>
      </c>
      <c r="EW171">
        <v>0.1</v>
      </c>
      <c r="EX171">
        <v>0.1</v>
      </c>
      <c r="EY171">
        <v>0.1</v>
      </c>
      <c r="EZ171">
        <v>0.1</v>
      </c>
      <c r="FA171">
        <v>0.1</v>
      </c>
      <c r="FB171">
        <v>0.1</v>
      </c>
      <c r="FC171">
        <v>0.1</v>
      </c>
      <c r="FD171">
        <v>0.1</v>
      </c>
      <c r="FE171">
        <v>0.1</v>
      </c>
      <c r="FF171">
        <v>0.1</v>
      </c>
      <c r="FG171">
        <v>0.1</v>
      </c>
      <c r="FH171">
        <v>0.1</v>
      </c>
      <c r="FI171">
        <v>0.1</v>
      </c>
      <c r="FJ171">
        <v>0.1</v>
      </c>
      <c r="FK171">
        <v>0.1</v>
      </c>
      <c r="FL171">
        <v>0.1</v>
      </c>
      <c r="FM171">
        <v>0.1</v>
      </c>
      <c r="FN171">
        <v>0.1</v>
      </c>
      <c r="FO171">
        <v>0.1</v>
      </c>
      <c r="FP171">
        <v>0.1</v>
      </c>
      <c r="FQ171">
        <v>0.1</v>
      </c>
      <c r="FU171">
        <v>168</v>
      </c>
      <c r="GB171">
        <v>0.1</v>
      </c>
      <c r="GC171">
        <v>0.1</v>
      </c>
      <c r="GD171">
        <v>0.1</v>
      </c>
      <c r="GE171">
        <v>0.1</v>
      </c>
      <c r="GF171">
        <v>0.1</v>
      </c>
      <c r="GG171">
        <v>0.1</v>
      </c>
      <c r="GH171">
        <v>0.1</v>
      </c>
      <c r="GI171">
        <v>0.1</v>
      </c>
      <c r="GJ171">
        <v>0.1</v>
      </c>
      <c r="GK171">
        <v>0.1</v>
      </c>
      <c r="GL171">
        <v>0.1</v>
      </c>
      <c r="GM171">
        <v>0.1</v>
      </c>
      <c r="GN171">
        <v>0.1</v>
      </c>
      <c r="GO171">
        <v>0.1</v>
      </c>
      <c r="GP171">
        <v>0.1</v>
      </c>
      <c r="GQ171">
        <v>0.1</v>
      </c>
      <c r="GR171">
        <v>0.1</v>
      </c>
      <c r="GS171">
        <v>0.1</v>
      </c>
      <c r="GT171">
        <v>0.1</v>
      </c>
      <c r="GU171">
        <v>0.1</v>
      </c>
      <c r="GV171">
        <v>0.1</v>
      </c>
      <c r="GW171">
        <v>0.1</v>
      </c>
      <c r="GX171">
        <v>0.1</v>
      </c>
      <c r="GY171">
        <v>0.1</v>
      </c>
      <c r="GZ171">
        <v>0.1</v>
      </c>
      <c r="HA171">
        <v>0.1</v>
      </c>
      <c r="HB171">
        <v>0.1</v>
      </c>
      <c r="HC171">
        <v>0.1</v>
      </c>
      <c r="HD171">
        <v>0.1</v>
      </c>
      <c r="HE171">
        <v>0.1</v>
      </c>
      <c r="HF171">
        <v>0.1</v>
      </c>
      <c r="HG171">
        <v>0.1</v>
      </c>
      <c r="HH171">
        <v>0.1</v>
      </c>
      <c r="HI171">
        <v>0.1</v>
      </c>
      <c r="HJ171">
        <v>0.1</v>
      </c>
      <c r="HK171">
        <v>0.1</v>
      </c>
      <c r="HL171">
        <v>0.1</v>
      </c>
      <c r="HM171">
        <v>0.1</v>
      </c>
      <c r="HN171">
        <v>0.1</v>
      </c>
      <c r="HO171">
        <v>0.1</v>
      </c>
    </row>
    <row r="172" spans="1:223" ht="15.75" thickBot="1" x14ac:dyDescent="0.3">
      <c r="A172">
        <v>169</v>
      </c>
      <c r="B172" s="268">
        <v>3.16</v>
      </c>
      <c r="C172" s="269">
        <v>2.61</v>
      </c>
      <c r="D172" s="2"/>
      <c r="E172" s="2"/>
      <c r="F172" s="2"/>
      <c r="G172" s="2"/>
      <c r="H172" s="258">
        <v>0.1</v>
      </c>
      <c r="I172" s="259">
        <v>0.1</v>
      </c>
      <c r="J172" s="259">
        <v>0.1</v>
      </c>
      <c r="K172" s="259">
        <v>0.1</v>
      </c>
      <c r="L172" s="259">
        <v>0.1</v>
      </c>
      <c r="M172" s="259">
        <v>0.1</v>
      </c>
      <c r="N172" s="259">
        <v>0.1</v>
      </c>
      <c r="O172" s="259">
        <v>0.1</v>
      </c>
      <c r="P172" s="259">
        <v>0.1</v>
      </c>
      <c r="Q172" s="259">
        <v>0.1</v>
      </c>
      <c r="R172" s="259">
        <v>0.1</v>
      </c>
      <c r="S172" s="259">
        <v>0.1</v>
      </c>
      <c r="T172" s="259">
        <v>0.1</v>
      </c>
      <c r="U172" s="259">
        <v>0.1</v>
      </c>
      <c r="V172" s="259">
        <v>0.1</v>
      </c>
      <c r="W172" s="259">
        <v>0.1</v>
      </c>
      <c r="X172" s="259">
        <v>0.1</v>
      </c>
      <c r="Y172" s="259">
        <v>0.1</v>
      </c>
      <c r="Z172" s="259">
        <v>0.1</v>
      </c>
      <c r="AA172" s="259">
        <v>0.1</v>
      </c>
      <c r="AB172" s="259">
        <v>0.1</v>
      </c>
      <c r="AC172" s="259">
        <v>0.1</v>
      </c>
      <c r="AD172" s="259">
        <v>0.1</v>
      </c>
      <c r="AE172" s="259">
        <v>0.1</v>
      </c>
      <c r="AF172" s="259">
        <v>0.1</v>
      </c>
      <c r="AG172" s="259">
        <v>0.1</v>
      </c>
      <c r="AH172" s="259">
        <v>0.1</v>
      </c>
      <c r="AI172" s="259">
        <v>0.1</v>
      </c>
      <c r="AJ172" s="259">
        <v>0.1</v>
      </c>
      <c r="AK172" s="259">
        <v>0.1</v>
      </c>
      <c r="AL172" s="259">
        <v>0.1</v>
      </c>
      <c r="AM172" s="260">
        <v>0.1</v>
      </c>
      <c r="AN172" s="258">
        <v>0.1</v>
      </c>
      <c r="AO172" s="259">
        <v>0.1</v>
      </c>
      <c r="AP172" s="259">
        <v>0.1</v>
      </c>
      <c r="AQ172" s="259">
        <v>0.1</v>
      </c>
      <c r="AR172" s="259">
        <v>0.1</v>
      </c>
      <c r="AS172" s="259">
        <v>0.1</v>
      </c>
      <c r="AT172" s="259">
        <v>0.1</v>
      </c>
      <c r="AU172" s="259">
        <v>0.1</v>
      </c>
      <c r="AV172" s="259">
        <v>0.1</v>
      </c>
      <c r="AW172" s="259">
        <v>0.1</v>
      </c>
      <c r="AX172" s="259">
        <v>0.1</v>
      </c>
      <c r="AY172" s="259">
        <v>0.1</v>
      </c>
      <c r="AZ172" s="259">
        <v>0.1</v>
      </c>
      <c r="BA172" s="259">
        <v>0.1</v>
      </c>
      <c r="BB172" s="259">
        <v>0.1</v>
      </c>
      <c r="BC172" s="259">
        <v>0.1</v>
      </c>
      <c r="BD172" s="259">
        <v>0.1</v>
      </c>
      <c r="BE172" s="259">
        <v>0.1</v>
      </c>
      <c r="BF172" s="259">
        <v>0.1</v>
      </c>
      <c r="BG172" s="259">
        <v>0.1</v>
      </c>
      <c r="BH172" s="259">
        <v>0.1</v>
      </c>
      <c r="BI172" s="259">
        <v>0.1</v>
      </c>
      <c r="BJ172" s="259">
        <v>0.1</v>
      </c>
      <c r="BK172" s="259">
        <v>0.1</v>
      </c>
      <c r="BL172" s="259">
        <v>0.1</v>
      </c>
      <c r="BM172" s="259">
        <v>0.1</v>
      </c>
      <c r="BN172" s="260">
        <v>0.1</v>
      </c>
      <c r="BO172">
        <v>0.1</v>
      </c>
      <c r="BP172">
        <f t="shared" si="15"/>
        <v>0.1</v>
      </c>
      <c r="BS172">
        <v>169</v>
      </c>
      <c r="BT172" s="271">
        <v>3.56</v>
      </c>
      <c r="BU172" s="270">
        <v>2.2799999999999998</v>
      </c>
      <c r="BV172" s="2"/>
      <c r="BW172" s="2"/>
      <c r="BX172" s="2"/>
      <c r="BY172" s="258">
        <v>0.1</v>
      </c>
      <c r="BZ172" s="259">
        <v>0.1</v>
      </c>
      <c r="CA172" s="259">
        <v>0.1</v>
      </c>
      <c r="CB172" s="259">
        <v>0.1</v>
      </c>
      <c r="CC172" s="259">
        <v>0.1</v>
      </c>
      <c r="CD172" s="259">
        <v>0.1</v>
      </c>
      <c r="CE172" s="259">
        <v>0.1</v>
      </c>
      <c r="CF172" s="259">
        <v>0.1</v>
      </c>
      <c r="CG172" s="259">
        <v>0.1</v>
      </c>
      <c r="CH172" s="259">
        <v>0.1</v>
      </c>
      <c r="CI172" s="259">
        <v>0.1</v>
      </c>
      <c r="CJ172" s="259">
        <v>0.1</v>
      </c>
      <c r="CK172" s="259">
        <v>0.1</v>
      </c>
      <c r="CL172" s="259">
        <v>0.1</v>
      </c>
      <c r="CM172" s="259">
        <v>0.1</v>
      </c>
      <c r="CN172" s="259">
        <v>0.1</v>
      </c>
      <c r="CO172" s="259">
        <v>0.1</v>
      </c>
      <c r="CP172" s="259">
        <v>0.1</v>
      </c>
      <c r="CQ172" s="259">
        <v>0.1</v>
      </c>
      <c r="CR172" s="259">
        <v>0.1</v>
      </c>
      <c r="CS172" s="259">
        <v>0.1</v>
      </c>
      <c r="CT172" s="259">
        <v>0.1</v>
      </c>
      <c r="CU172" s="259">
        <v>0.1</v>
      </c>
      <c r="CV172" s="259">
        <v>0.1</v>
      </c>
      <c r="CW172" s="259">
        <v>0.1</v>
      </c>
      <c r="CX172" s="259">
        <v>0.1</v>
      </c>
      <c r="CY172" s="259">
        <v>0.1</v>
      </c>
      <c r="CZ172" s="259">
        <v>0.1</v>
      </c>
      <c r="DA172" s="259">
        <v>0.1</v>
      </c>
      <c r="DB172" s="259">
        <v>0.1</v>
      </c>
      <c r="DC172" s="259">
        <v>0.1</v>
      </c>
      <c r="DD172" s="259">
        <v>0.1</v>
      </c>
      <c r="DE172" s="259">
        <v>0.1</v>
      </c>
      <c r="DF172" s="259">
        <v>0.1</v>
      </c>
      <c r="DG172" s="259">
        <v>0.1</v>
      </c>
      <c r="DH172" s="260">
        <v>0.1</v>
      </c>
      <c r="DI172" s="258">
        <v>0.1</v>
      </c>
      <c r="DJ172" s="259">
        <v>0.1</v>
      </c>
      <c r="DK172" s="259">
        <v>0.1</v>
      </c>
      <c r="DL172" s="259">
        <v>0.1</v>
      </c>
      <c r="DM172" s="259">
        <v>0.1</v>
      </c>
      <c r="DN172" s="259">
        <v>0.1</v>
      </c>
      <c r="DO172" s="259">
        <v>0.1</v>
      </c>
      <c r="DP172" s="259">
        <v>0.1</v>
      </c>
      <c r="DQ172" s="259">
        <v>0.1</v>
      </c>
      <c r="DR172" s="259">
        <v>0.1</v>
      </c>
      <c r="DS172" s="259">
        <v>0.1</v>
      </c>
      <c r="DT172" s="259">
        <v>0.1</v>
      </c>
      <c r="DU172" s="259">
        <v>0.1</v>
      </c>
      <c r="DV172" s="259">
        <v>0.1</v>
      </c>
      <c r="DW172" s="259">
        <v>0.1</v>
      </c>
      <c r="DX172" s="259">
        <v>0.1</v>
      </c>
      <c r="DY172" s="259">
        <v>0.1</v>
      </c>
      <c r="DZ172" s="259">
        <v>0.1</v>
      </c>
      <c r="EA172" s="259">
        <v>0.1</v>
      </c>
      <c r="EB172" s="259">
        <v>0.1</v>
      </c>
      <c r="EC172" s="259">
        <v>0.1</v>
      </c>
      <c r="ED172" s="259">
        <v>0.1</v>
      </c>
      <c r="EE172" s="260">
        <v>0.1</v>
      </c>
      <c r="EF172">
        <v>0.1</v>
      </c>
      <c r="EG172">
        <f t="shared" si="14"/>
        <v>0.1</v>
      </c>
      <c r="EJ172">
        <v>169</v>
      </c>
      <c r="EN172">
        <v>0.1</v>
      </c>
      <c r="EO172">
        <v>0.1</v>
      </c>
      <c r="EP172">
        <v>0.1</v>
      </c>
      <c r="EQ172">
        <v>0.1</v>
      </c>
      <c r="ER172">
        <v>0.1</v>
      </c>
      <c r="ES172">
        <v>0.1</v>
      </c>
      <c r="ET172">
        <v>0.1</v>
      </c>
      <c r="EU172">
        <v>0.1</v>
      </c>
      <c r="EV172">
        <v>0.1</v>
      </c>
      <c r="EW172">
        <v>0.1</v>
      </c>
      <c r="EX172">
        <v>0.1</v>
      </c>
      <c r="EY172">
        <v>0.1</v>
      </c>
      <c r="EZ172">
        <v>0.1</v>
      </c>
      <c r="FA172">
        <v>0.1</v>
      </c>
      <c r="FB172">
        <v>0.1</v>
      </c>
      <c r="FC172">
        <v>0.1</v>
      </c>
      <c r="FD172">
        <v>0.1</v>
      </c>
      <c r="FE172">
        <v>0.1</v>
      </c>
      <c r="FF172">
        <v>0.1</v>
      </c>
      <c r="FG172">
        <v>0.1</v>
      </c>
      <c r="FH172">
        <v>0.1</v>
      </c>
      <c r="FI172">
        <v>0.1</v>
      </c>
      <c r="FJ172">
        <v>0.1</v>
      </c>
      <c r="FK172">
        <v>0.1</v>
      </c>
      <c r="FL172">
        <v>0.1</v>
      </c>
      <c r="FM172">
        <v>0.1</v>
      </c>
      <c r="FN172">
        <v>0.1</v>
      </c>
      <c r="FO172">
        <v>0.1</v>
      </c>
      <c r="FP172">
        <v>0.1</v>
      </c>
      <c r="FQ172">
        <v>0.1</v>
      </c>
      <c r="FU172">
        <v>169</v>
      </c>
      <c r="GB172">
        <v>0.1</v>
      </c>
      <c r="GC172">
        <v>0.1</v>
      </c>
      <c r="GD172">
        <v>0.1</v>
      </c>
      <c r="GE172">
        <v>0.1</v>
      </c>
      <c r="GF172">
        <v>0.1</v>
      </c>
      <c r="GG172">
        <v>0.1</v>
      </c>
      <c r="GH172">
        <v>0.1</v>
      </c>
      <c r="GI172">
        <v>0.1</v>
      </c>
      <c r="GJ172">
        <v>0.1</v>
      </c>
      <c r="GK172">
        <v>0.1</v>
      </c>
      <c r="GL172">
        <v>0.1</v>
      </c>
      <c r="GM172">
        <v>0.1</v>
      </c>
      <c r="GN172">
        <v>0.1</v>
      </c>
      <c r="GO172">
        <v>0.1</v>
      </c>
      <c r="GP172">
        <v>0.1</v>
      </c>
      <c r="GQ172">
        <v>0.1</v>
      </c>
      <c r="GR172">
        <v>0.1</v>
      </c>
      <c r="GS172">
        <v>0.1</v>
      </c>
      <c r="GT172">
        <v>0.1</v>
      </c>
      <c r="GU172">
        <v>0.1</v>
      </c>
      <c r="GV172">
        <v>0.1</v>
      </c>
      <c r="GW172">
        <v>0.1</v>
      </c>
      <c r="GX172">
        <v>0.1</v>
      </c>
      <c r="GY172">
        <v>0.1</v>
      </c>
      <c r="GZ172">
        <v>0.1</v>
      </c>
      <c r="HA172">
        <v>0.1</v>
      </c>
      <c r="HB172">
        <v>0.1</v>
      </c>
      <c r="HC172">
        <v>0.1</v>
      </c>
      <c r="HD172">
        <v>0.1</v>
      </c>
      <c r="HE172">
        <v>0.1</v>
      </c>
      <c r="HF172">
        <v>0.1</v>
      </c>
      <c r="HG172">
        <v>0.1</v>
      </c>
      <c r="HH172">
        <v>0.1</v>
      </c>
      <c r="HI172">
        <v>0.1</v>
      </c>
      <c r="HJ172">
        <v>0.1</v>
      </c>
      <c r="HK172">
        <v>0.1</v>
      </c>
      <c r="HL172">
        <v>0.1</v>
      </c>
      <c r="HM172">
        <v>0.1</v>
      </c>
      <c r="HN172">
        <v>0.1</v>
      </c>
      <c r="HO172">
        <v>0.1</v>
      </c>
    </row>
    <row r="173" spans="1:223" ht="15.75" thickBot="1" x14ac:dyDescent="0.3">
      <c r="A173">
        <v>170</v>
      </c>
      <c r="B173" s="269">
        <v>3.14</v>
      </c>
      <c r="C173" s="268">
        <v>2.61</v>
      </c>
      <c r="D173" s="2"/>
      <c r="E173" s="2"/>
      <c r="F173" s="2"/>
      <c r="G173" s="2"/>
      <c r="H173" s="258">
        <v>0.1</v>
      </c>
      <c r="I173" s="259">
        <v>0.1</v>
      </c>
      <c r="J173" s="259">
        <v>0.1</v>
      </c>
      <c r="K173" s="259">
        <v>0.1</v>
      </c>
      <c r="L173" s="259">
        <v>0.1</v>
      </c>
      <c r="M173" s="259">
        <v>0.1</v>
      </c>
      <c r="N173" s="259">
        <v>0.1</v>
      </c>
      <c r="O173" s="259">
        <v>0.1</v>
      </c>
      <c r="P173" s="259">
        <v>0.1</v>
      </c>
      <c r="Q173" s="259">
        <v>0.1</v>
      </c>
      <c r="R173" s="259">
        <v>0.1</v>
      </c>
      <c r="S173" s="259">
        <v>0.1</v>
      </c>
      <c r="T173" s="259">
        <v>0.1</v>
      </c>
      <c r="U173" s="259">
        <v>0.1</v>
      </c>
      <c r="V173" s="259">
        <v>0.1</v>
      </c>
      <c r="W173" s="259">
        <v>0.1</v>
      </c>
      <c r="X173" s="259">
        <v>0.1</v>
      </c>
      <c r="Y173" s="259">
        <v>0.1</v>
      </c>
      <c r="Z173" s="259">
        <v>0.1</v>
      </c>
      <c r="AA173" s="259">
        <v>0.1</v>
      </c>
      <c r="AB173" s="259">
        <v>0.1</v>
      </c>
      <c r="AC173" s="259">
        <v>0.1</v>
      </c>
      <c r="AD173" s="259">
        <v>0.1</v>
      </c>
      <c r="AE173" s="259">
        <v>0.1</v>
      </c>
      <c r="AF173" s="259">
        <v>0.1</v>
      </c>
      <c r="AG173" s="259">
        <v>0.1</v>
      </c>
      <c r="AH173" s="259">
        <v>0.1</v>
      </c>
      <c r="AI173" s="259">
        <v>0.1</v>
      </c>
      <c r="AJ173" s="259">
        <v>0.1</v>
      </c>
      <c r="AK173" s="259">
        <v>0.1</v>
      </c>
      <c r="AL173" s="259">
        <v>0.1</v>
      </c>
      <c r="AM173" s="260">
        <v>0.1</v>
      </c>
      <c r="AN173" s="258">
        <v>0.1</v>
      </c>
      <c r="AO173" s="259">
        <v>0.1</v>
      </c>
      <c r="AP173" s="259">
        <v>0.1</v>
      </c>
      <c r="AQ173" s="259">
        <v>0.1</v>
      </c>
      <c r="AR173" s="259">
        <v>0.1</v>
      </c>
      <c r="AS173" s="259">
        <v>0.1</v>
      </c>
      <c r="AT173" s="259">
        <v>0.1</v>
      </c>
      <c r="AU173" s="259">
        <v>0.1</v>
      </c>
      <c r="AV173" s="259">
        <v>0.1</v>
      </c>
      <c r="AW173" s="259">
        <v>0.1</v>
      </c>
      <c r="AX173" s="259">
        <v>0.1</v>
      </c>
      <c r="AY173" s="259">
        <v>0.1</v>
      </c>
      <c r="AZ173" s="259">
        <v>0.1</v>
      </c>
      <c r="BA173" s="259">
        <v>0.1</v>
      </c>
      <c r="BB173" s="259">
        <v>0.1</v>
      </c>
      <c r="BC173" s="259">
        <v>0.1</v>
      </c>
      <c r="BD173" s="259">
        <v>0.1</v>
      </c>
      <c r="BE173" s="259">
        <v>0.1</v>
      </c>
      <c r="BF173" s="259">
        <v>0.1</v>
      </c>
      <c r="BG173" s="259">
        <v>0.1</v>
      </c>
      <c r="BH173" s="259">
        <v>0.1</v>
      </c>
      <c r="BI173" s="259">
        <v>0.1</v>
      </c>
      <c r="BJ173" s="259">
        <v>0.1</v>
      </c>
      <c r="BK173" s="259">
        <v>0.1</v>
      </c>
      <c r="BL173" s="259">
        <v>0.1</v>
      </c>
      <c r="BM173" s="259">
        <v>0.1</v>
      </c>
      <c r="BN173" s="260">
        <v>0.1</v>
      </c>
      <c r="BO173">
        <v>0.1</v>
      </c>
      <c r="BP173">
        <f t="shared" si="15"/>
        <v>0.1</v>
      </c>
      <c r="BS173">
        <v>170</v>
      </c>
      <c r="BT173" s="270">
        <v>3.56</v>
      </c>
      <c r="BU173" s="271">
        <v>2.2799999999999998</v>
      </c>
      <c r="BV173" s="2"/>
      <c r="BW173" s="2"/>
      <c r="BX173" s="2"/>
      <c r="BY173" s="258">
        <v>0.1</v>
      </c>
      <c r="BZ173" s="259">
        <v>0.1</v>
      </c>
      <c r="CA173" s="259">
        <v>0.1</v>
      </c>
      <c r="CB173" s="259">
        <v>0.1</v>
      </c>
      <c r="CC173" s="259">
        <v>0.1</v>
      </c>
      <c r="CD173" s="259">
        <v>0.1</v>
      </c>
      <c r="CE173" s="259">
        <v>0.1</v>
      </c>
      <c r="CF173" s="259">
        <v>0.1</v>
      </c>
      <c r="CG173" s="259">
        <v>0.1</v>
      </c>
      <c r="CH173" s="259">
        <v>0.1</v>
      </c>
      <c r="CI173" s="259">
        <v>0.1</v>
      </c>
      <c r="CJ173" s="259">
        <v>0.1</v>
      </c>
      <c r="CK173" s="259">
        <v>0.1</v>
      </c>
      <c r="CL173" s="259">
        <v>0.1</v>
      </c>
      <c r="CM173" s="259">
        <v>0.1</v>
      </c>
      <c r="CN173" s="259">
        <v>0.1</v>
      </c>
      <c r="CO173" s="259">
        <v>0.1</v>
      </c>
      <c r="CP173" s="259">
        <v>0.1</v>
      </c>
      <c r="CQ173" s="259">
        <v>0.1</v>
      </c>
      <c r="CR173" s="259">
        <v>0.1</v>
      </c>
      <c r="CS173" s="259">
        <v>0.1</v>
      </c>
      <c r="CT173" s="259">
        <v>0.1</v>
      </c>
      <c r="CU173" s="259">
        <v>0.1</v>
      </c>
      <c r="CV173" s="259">
        <v>0.1</v>
      </c>
      <c r="CW173" s="259">
        <v>0.1</v>
      </c>
      <c r="CX173" s="259">
        <v>0.1</v>
      </c>
      <c r="CY173" s="259">
        <v>0.1</v>
      </c>
      <c r="CZ173" s="259">
        <v>0.1</v>
      </c>
      <c r="DA173" s="259">
        <v>0.1</v>
      </c>
      <c r="DB173" s="259">
        <v>0.1</v>
      </c>
      <c r="DC173" s="259">
        <v>0.1</v>
      </c>
      <c r="DD173" s="259">
        <v>0.1</v>
      </c>
      <c r="DE173" s="259">
        <v>0.1</v>
      </c>
      <c r="DF173" s="259">
        <v>0.1</v>
      </c>
      <c r="DG173" s="259">
        <v>0.1</v>
      </c>
      <c r="DH173" s="260">
        <v>0.1</v>
      </c>
      <c r="DI173" s="258">
        <v>0.1</v>
      </c>
      <c r="DJ173" s="259">
        <v>0.1</v>
      </c>
      <c r="DK173" s="259">
        <v>0.1</v>
      </c>
      <c r="DL173" s="259">
        <v>0.1</v>
      </c>
      <c r="DM173" s="259">
        <v>0.1</v>
      </c>
      <c r="DN173" s="259">
        <v>0.1</v>
      </c>
      <c r="DO173" s="259">
        <v>0.1</v>
      </c>
      <c r="DP173" s="259">
        <v>0.1</v>
      </c>
      <c r="DQ173" s="259">
        <v>0.1</v>
      </c>
      <c r="DR173" s="259">
        <v>0.1</v>
      </c>
      <c r="DS173" s="259">
        <v>0.1</v>
      </c>
      <c r="DT173" s="259">
        <v>0.1</v>
      </c>
      <c r="DU173" s="259">
        <v>0.1</v>
      </c>
      <c r="DV173" s="259">
        <v>0.1</v>
      </c>
      <c r="DW173" s="259">
        <v>0.1</v>
      </c>
      <c r="DX173" s="259">
        <v>0.1</v>
      </c>
      <c r="DY173" s="259">
        <v>0.1</v>
      </c>
      <c r="DZ173" s="259">
        <v>0.1</v>
      </c>
      <c r="EA173" s="259">
        <v>0.1</v>
      </c>
      <c r="EB173" s="259">
        <v>0.1</v>
      </c>
      <c r="EC173" s="259">
        <v>0.1</v>
      </c>
      <c r="ED173" s="259">
        <v>0.1</v>
      </c>
      <c r="EE173" s="260">
        <v>0.1</v>
      </c>
      <c r="EF173">
        <v>0.1</v>
      </c>
      <c r="EG173">
        <f t="shared" si="14"/>
        <v>0.1</v>
      </c>
      <c r="EJ173">
        <v>170</v>
      </c>
      <c r="EN173">
        <v>0.1</v>
      </c>
      <c r="EO173">
        <v>0.1</v>
      </c>
      <c r="EP173">
        <v>0.1</v>
      </c>
      <c r="EQ173">
        <v>0.1</v>
      </c>
      <c r="ER173">
        <v>0.1</v>
      </c>
      <c r="ES173">
        <v>0.1</v>
      </c>
      <c r="ET173">
        <v>0.1</v>
      </c>
      <c r="EU173">
        <v>0.1</v>
      </c>
      <c r="EV173">
        <v>0.1</v>
      </c>
      <c r="EW173">
        <v>0.1</v>
      </c>
      <c r="EX173">
        <v>0.1</v>
      </c>
      <c r="EY173">
        <v>0.1</v>
      </c>
      <c r="EZ173">
        <v>0.1</v>
      </c>
      <c r="FA173">
        <v>0.1</v>
      </c>
      <c r="FB173">
        <v>0.1</v>
      </c>
      <c r="FC173">
        <v>0.1</v>
      </c>
      <c r="FD173">
        <v>0.1</v>
      </c>
      <c r="FE173">
        <v>0.1</v>
      </c>
      <c r="FF173">
        <v>0.1</v>
      </c>
      <c r="FG173">
        <v>0.1</v>
      </c>
      <c r="FH173">
        <v>0.1</v>
      </c>
      <c r="FI173">
        <v>0.1</v>
      </c>
      <c r="FJ173">
        <v>0.1</v>
      </c>
      <c r="FK173">
        <v>0.1</v>
      </c>
      <c r="FL173">
        <v>0.1</v>
      </c>
      <c r="FM173">
        <v>0.1</v>
      </c>
      <c r="FN173">
        <v>0.1</v>
      </c>
      <c r="FO173">
        <v>0.1</v>
      </c>
      <c r="FP173">
        <v>0.1</v>
      </c>
      <c r="FQ173">
        <v>0.1</v>
      </c>
      <c r="FU173">
        <v>170</v>
      </c>
      <c r="GB173">
        <v>0.1</v>
      </c>
      <c r="GC173">
        <v>0.1</v>
      </c>
      <c r="GD173">
        <v>0.1</v>
      </c>
      <c r="GE173">
        <v>0.1</v>
      </c>
      <c r="GF173">
        <v>0.1</v>
      </c>
      <c r="GG173">
        <v>0.1</v>
      </c>
      <c r="GH173">
        <v>0.1</v>
      </c>
      <c r="GI173">
        <v>0.1</v>
      </c>
      <c r="GJ173">
        <v>0.1</v>
      </c>
      <c r="GK173">
        <v>0.1</v>
      </c>
      <c r="GL173">
        <v>0.1</v>
      </c>
      <c r="GM173">
        <v>0.1</v>
      </c>
      <c r="GN173">
        <v>0.1</v>
      </c>
      <c r="GO173">
        <v>0.1</v>
      </c>
      <c r="GP173">
        <v>0.1</v>
      </c>
      <c r="GQ173">
        <v>0.1</v>
      </c>
      <c r="GR173">
        <v>0.1</v>
      </c>
      <c r="GS173">
        <v>0.1</v>
      </c>
      <c r="GT173">
        <v>0.1</v>
      </c>
      <c r="GU173">
        <v>0.1</v>
      </c>
      <c r="GV173">
        <v>0.1</v>
      </c>
      <c r="GW173">
        <v>0.1</v>
      </c>
      <c r="GX173">
        <v>0.1</v>
      </c>
      <c r="GY173">
        <v>0.1</v>
      </c>
      <c r="GZ173">
        <v>0.1</v>
      </c>
      <c r="HA173">
        <v>0.1</v>
      </c>
      <c r="HB173">
        <v>0.1</v>
      </c>
      <c r="HC173">
        <v>0.1</v>
      </c>
      <c r="HD173">
        <v>0.1</v>
      </c>
      <c r="HE173">
        <v>0.1</v>
      </c>
      <c r="HF173">
        <v>0.1</v>
      </c>
      <c r="HG173">
        <v>0.1</v>
      </c>
      <c r="HH173">
        <v>0.1</v>
      </c>
      <c r="HI173">
        <v>0.1</v>
      </c>
      <c r="HJ173">
        <v>0.1</v>
      </c>
      <c r="HK173">
        <v>0.1</v>
      </c>
      <c r="HL173">
        <v>0.1</v>
      </c>
      <c r="HM173">
        <v>0.1</v>
      </c>
      <c r="HN173">
        <v>0.1</v>
      </c>
      <c r="HO173">
        <v>0.1</v>
      </c>
    </row>
    <row r="174" spans="1:223" ht="15.75" thickBot="1" x14ac:dyDescent="0.3">
      <c r="A174">
        <v>171</v>
      </c>
      <c r="B174" s="268">
        <v>3.14</v>
      </c>
      <c r="C174" s="269">
        <v>2.61</v>
      </c>
      <c r="D174" s="2"/>
      <c r="E174" s="2"/>
      <c r="F174" s="2"/>
      <c r="G174" s="2"/>
      <c r="H174" s="258">
        <v>0.1</v>
      </c>
      <c r="I174" s="259">
        <v>0.1</v>
      </c>
      <c r="J174" s="259">
        <v>0.1</v>
      </c>
      <c r="K174" s="259">
        <v>0.1</v>
      </c>
      <c r="L174" s="259">
        <v>0.1</v>
      </c>
      <c r="M174" s="259">
        <v>0.1</v>
      </c>
      <c r="N174" s="259">
        <v>0.1</v>
      </c>
      <c r="O174" s="259">
        <v>0.1</v>
      </c>
      <c r="P174" s="259">
        <v>0.1</v>
      </c>
      <c r="Q174" s="259">
        <v>0.1</v>
      </c>
      <c r="R174" s="259">
        <v>0.1</v>
      </c>
      <c r="S174" s="259">
        <v>0.1</v>
      </c>
      <c r="T174" s="259">
        <v>0.1</v>
      </c>
      <c r="U174" s="259">
        <v>0.1</v>
      </c>
      <c r="V174" s="259">
        <v>0.1</v>
      </c>
      <c r="W174" s="259">
        <v>0.1</v>
      </c>
      <c r="X174" s="259">
        <v>0.1</v>
      </c>
      <c r="Y174" s="259">
        <v>0.1</v>
      </c>
      <c r="Z174" s="259">
        <v>0.1</v>
      </c>
      <c r="AA174" s="259">
        <v>0.1</v>
      </c>
      <c r="AB174" s="259">
        <v>0.1</v>
      </c>
      <c r="AC174" s="259">
        <v>0.1</v>
      </c>
      <c r="AD174" s="259">
        <v>0.1</v>
      </c>
      <c r="AE174" s="259">
        <v>0.1</v>
      </c>
      <c r="AF174" s="259">
        <v>0.1</v>
      </c>
      <c r="AG174" s="259">
        <v>0.1</v>
      </c>
      <c r="AH174" s="259">
        <v>0.1</v>
      </c>
      <c r="AI174" s="259">
        <v>0.1</v>
      </c>
      <c r="AJ174" s="259">
        <v>0.1</v>
      </c>
      <c r="AK174" s="259">
        <v>0.1</v>
      </c>
      <c r="AL174" s="259">
        <v>0.1</v>
      </c>
      <c r="AM174" s="260">
        <v>0.1</v>
      </c>
      <c r="AN174" s="258">
        <v>0.1</v>
      </c>
      <c r="AO174" s="259">
        <v>0.1</v>
      </c>
      <c r="AP174" s="259">
        <v>0.1</v>
      </c>
      <c r="AQ174" s="259">
        <v>0.1</v>
      </c>
      <c r="AR174" s="259">
        <v>0.1</v>
      </c>
      <c r="AS174" s="259">
        <v>0.1</v>
      </c>
      <c r="AT174" s="259">
        <v>0.1</v>
      </c>
      <c r="AU174" s="259">
        <v>0.1</v>
      </c>
      <c r="AV174" s="259">
        <v>0.1</v>
      </c>
      <c r="AW174" s="259">
        <v>0.1</v>
      </c>
      <c r="AX174" s="259">
        <v>0.1</v>
      </c>
      <c r="AY174" s="259">
        <v>0.1</v>
      </c>
      <c r="AZ174" s="259">
        <v>0.1</v>
      </c>
      <c r="BA174" s="259">
        <v>0.1</v>
      </c>
      <c r="BB174" s="259">
        <v>0.1</v>
      </c>
      <c r="BC174" s="259">
        <v>0.1</v>
      </c>
      <c r="BD174" s="259">
        <v>0.1</v>
      </c>
      <c r="BE174" s="259">
        <v>0.1</v>
      </c>
      <c r="BF174" s="259">
        <v>0.1</v>
      </c>
      <c r="BG174" s="259">
        <v>0.1</v>
      </c>
      <c r="BH174" s="259">
        <v>0.1</v>
      </c>
      <c r="BI174" s="259">
        <v>0.1</v>
      </c>
      <c r="BJ174" s="259">
        <v>0.1</v>
      </c>
      <c r="BK174" s="259">
        <v>0.1</v>
      </c>
      <c r="BL174" s="259">
        <v>0.1</v>
      </c>
      <c r="BM174" s="259">
        <v>0.1</v>
      </c>
      <c r="BN174" s="260">
        <v>0.1</v>
      </c>
      <c r="BO174">
        <v>0.1</v>
      </c>
      <c r="BP174">
        <f t="shared" si="15"/>
        <v>0.1</v>
      </c>
      <c r="BS174">
        <v>171</v>
      </c>
      <c r="BT174" s="271">
        <v>3.55</v>
      </c>
      <c r="BU174" s="270">
        <v>2.29</v>
      </c>
      <c r="BV174" s="2"/>
      <c r="BW174" s="2"/>
      <c r="BX174" s="2"/>
      <c r="BY174" s="258">
        <v>0.1</v>
      </c>
      <c r="BZ174" s="259">
        <v>0.1</v>
      </c>
      <c r="CA174" s="259">
        <v>0.1</v>
      </c>
      <c r="CB174" s="259">
        <v>0.1</v>
      </c>
      <c r="CC174" s="259">
        <v>0.1</v>
      </c>
      <c r="CD174" s="259">
        <v>0.1</v>
      </c>
      <c r="CE174" s="259">
        <v>0.1</v>
      </c>
      <c r="CF174" s="259">
        <v>0.1</v>
      </c>
      <c r="CG174" s="259">
        <v>0.1</v>
      </c>
      <c r="CH174" s="259">
        <v>0.1</v>
      </c>
      <c r="CI174" s="259">
        <v>0.1</v>
      </c>
      <c r="CJ174" s="259">
        <v>0.1</v>
      </c>
      <c r="CK174" s="259">
        <v>0.1</v>
      </c>
      <c r="CL174" s="259">
        <v>0.1</v>
      </c>
      <c r="CM174" s="259">
        <v>0.1</v>
      </c>
      <c r="CN174" s="259">
        <v>0.1</v>
      </c>
      <c r="CO174" s="259">
        <v>0.1</v>
      </c>
      <c r="CP174" s="259">
        <v>0.1</v>
      </c>
      <c r="CQ174" s="259">
        <v>0.1</v>
      </c>
      <c r="CR174" s="259">
        <v>0.1</v>
      </c>
      <c r="CS174" s="259">
        <v>0.1</v>
      </c>
      <c r="CT174" s="259">
        <v>0.1</v>
      </c>
      <c r="CU174" s="259">
        <v>0.1</v>
      </c>
      <c r="CV174" s="259">
        <v>0.1</v>
      </c>
      <c r="CW174" s="259">
        <v>0.1</v>
      </c>
      <c r="CX174" s="259">
        <v>0.1</v>
      </c>
      <c r="CY174" s="259">
        <v>0.1</v>
      </c>
      <c r="CZ174" s="259">
        <v>0.1</v>
      </c>
      <c r="DA174" s="259">
        <v>0.1</v>
      </c>
      <c r="DB174" s="259">
        <v>0.1</v>
      </c>
      <c r="DC174" s="259">
        <v>0.1</v>
      </c>
      <c r="DD174" s="259">
        <v>0.1</v>
      </c>
      <c r="DE174" s="259">
        <v>0.1</v>
      </c>
      <c r="DF174" s="259">
        <v>0.1</v>
      </c>
      <c r="DG174" s="259">
        <v>0.1</v>
      </c>
      <c r="DH174" s="260">
        <v>0.1</v>
      </c>
      <c r="DI174" s="258">
        <v>0.1</v>
      </c>
      <c r="DJ174" s="259">
        <v>0.1</v>
      </c>
      <c r="DK174" s="259">
        <v>0.1</v>
      </c>
      <c r="DL174" s="259">
        <v>0.1</v>
      </c>
      <c r="DM174" s="259">
        <v>0.1</v>
      </c>
      <c r="DN174" s="259">
        <v>0.1</v>
      </c>
      <c r="DO174" s="259">
        <v>0.1</v>
      </c>
      <c r="DP174" s="259">
        <v>0.1</v>
      </c>
      <c r="DQ174" s="259">
        <v>0.1</v>
      </c>
      <c r="DR174" s="259">
        <v>0.1</v>
      </c>
      <c r="DS174" s="259">
        <v>0.1</v>
      </c>
      <c r="DT174" s="259">
        <v>0.1</v>
      </c>
      <c r="DU174" s="259">
        <v>0.1</v>
      </c>
      <c r="DV174" s="259">
        <v>0.1</v>
      </c>
      <c r="DW174" s="259">
        <v>0.1</v>
      </c>
      <c r="DX174" s="259">
        <v>0.1</v>
      </c>
      <c r="DY174" s="259">
        <v>0.1</v>
      </c>
      <c r="DZ174" s="259">
        <v>0.1</v>
      </c>
      <c r="EA174" s="259">
        <v>0.1</v>
      </c>
      <c r="EB174" s="259">
        <v>0.1</v>
      </c>
      <c r="EC174" s="259">
        <v>0.1</v>
      </c>
      <c r="ED174" s="259">
        <v>0.1</v>
      </c>
      <c r="EE174" s="260">
        <v>0.1</v>
      </c>
      <c r="EF174">
        <v>0.1</v>
      </c>
      <c r="EG174">
        <f t="shared" si="14"/>
        <v>0.1</v>
      </c>
      <c r="EJ174">
        <v>171</v>
      </c>
      <c r="EN174">
        <v>0.1</v>
      </c>
      <c r="EO174">
        <v>0.1</v>
      </c>
      <c r="EP174">
        <v>0.1</v>
      </c>
      <c r="EQ174">
        <v>0.1</v>
      </c>
      <c r="ER174">
        <v>0.1</v>
      </c>
      <c r="ES174">
        <v>0.1</v>
      </c>
      <c r="ET174">
        <v>0.1</v>
      </c>
      <c r="EU174">
        <v>0.1</v>
      </c>
      <c r="EV174">
        <v>0.1</v>
      </c>
      <c r="EW174">
        <v>0.1</v>
      </c>
      <c r="EX174">
        <v>0.1</v>
      </c>
      <c r="EY174">
        <v>0.1</v>
      </c>
      <c r="EZ174">
        <v>0.1</v>
      </c>
      <c r="FA174">
        <v>0.1</v>
      </c>
      <c r="FB174">
        <v>0.1</v>
      </c>
      <c r="FC174">
        <v>0.1</v>
      </c>
      <c r="FD174">
        <v>0.1</v>
      </c>
      <c r="FE174">
        <v>0.1</v>
      </c>
      <c r="FF174">
        <v>0.1</v>
      </c>
      <c r="FG174">
        <v>0.1</v>
      </c>
      <c r="FH174">
        <v>0.1</v>
      </c>
      <c r="FI174">
        <v>0.1</v>
      </c>
      <c r="FJ174">
        <v>0.1</v>
      </c>
      <c r="FK174">
        <v>0.1</v>
      </c>
      <c r="FL174">
        <v>0.1</v>
      </c>
      <c r="FM174">
        <v>0.1</v>
      </c>
      <c r="FN174">
        <v>0.1</v>
      </c>
      <c r="FO174">
        <v>0.1</v>
      </c>
      <c r="FP174">
        <v>0.1</v>
      </c>
      <c r="FQ174">
        <v>0.1</v>
      </c>
      <c r="FU174">
        <v>171</v>
      </c>
      <c r="GB174">
        <v>0.1</v>
      </c>
      <c r="GC174">
        <v>0.1</v>
      </c>
      <c r="GD174">
        <v>0.1</v>
      </c>
      <c r="GE174">
        <v>0.1</v>
      </c>
      <c r="GF174">
        <v>0.1</v>
      </c>
      <c r="GG174">
        <v>0.1</v>
      </c>
      <c r="GH174">
        <v>0.1</v>
      </c>
      <c r="GI174">
        <v>0.1</v>
      </c>
      <c r="GJ174">
        <v>0.1</v>
      </c>
      <c r="GK174">
        <v>0.1</v>
      </c>
      <c r="GL174">
        <v>0.1</v>
      </c>
      <c r="GM174">
        <v>0.1</v>
      </c>
      <c r="GN174">
        <v>0.1</v>
      </c>
      <c r="GO174">
        <v>0.1</v>
      </c>
      <c r="GP174">
        <v>0.1</v>
      </c>
      <c r="GQ174">
        <v>0.1</v>
      </c>
      <c r="GR174">
        <v>0.1</v>
      </c>
      <c r="GS174">
        <v>0.1</v>
      </c>
      <c r="GT174">
        <v>0.1</v>
      </c>
      <c r="GU174">
        <v>0.1</v>
      </c>
      <c r="GV174">
        <v>0.1</v>
      </c>
      <c r="GW174">
        <v>0.1</v>
      </c>
      <c r="GX174">
        <v>0.1</v>
      </c>
      <c r="GY174">
        <v>0.1</v>
      </c>
      <c r="GZ174">
        <v>0.1</v>
      </c>
      <c r="HA174">
        <v>0.1</v>
      </c>
      <c r="HB174">
        <v>0.1</v>
      </c>
      <c r="HC174">
        <v>0.1</v>
      </c>
      <c r="HD174">
        <v>0.1</v>
      </c>
      <c r="HE174">
        <v>0.1</v>
      </c>
      <c r="HF174">
        <v>0.1</v>
      </c>
      <c r="HG174">
        <v>0.1</v>
      </c>
      <c r="HH174">
        <v>0.1</v>
      </c>
      <c r="HI174">
        <v>0.1</v>
      </c>
      <c r="HJ174">
        <v>0.1</v>
      </c>
      <c r="HK174">
        <v>0.1</v>
      </c>
      <c r="HL174">
        <v>0.1</v>
      </c>
      <c r="HM174">
        <v>0.1</v>
      </c>
      <c r="HN174">
        <v>0.1</v>
      </c>
      <c r="HO174">
        <v>0.1</v>
      </c>
    </row>
    <row r="175" spans="1:223" ht="15.75" thickBot="1" x14ac:dyDescent="0.3">
      <c r="A175">
        <v>172</v>
      </c>
      <c r="B175" s="269">
        <v>3.14</v>
      </c>
      <c r="C175" s="268">
        <v>2.61</v>
      </c>
      <c r="D175" s="2"/>
      <c r="E175" s="2"/>
      <c r="F175" s="2"/>
      <c r="G175" s="2"/>
      <c r="H175" s="258">
        <v>0.1</v>
      </c>
      <c r="I175" s="259">
        <v>0.1</v>
      </c>
      <c r="J175" s="259">
        <v>0.1</v>
      </c>
      <c r="K175" s="259">
        <v>0.1</v>
      </c>
      <c r="L175" s="259">
        <v>0.1</v>
      </c>
      <c r="M175" s="259">
        <v>0.1</v>
      </c>
      <c r="N175" s="259">
        <v>0.1</v>
      </c>
      <c r="O175" s="259">
        <v>0.1</v>
      </c>
      <c r="P175" s="259">
        <v>0.1</v>
      </c>
      <c r="Q175" s="259">
        <v>0.1</v>
      </c>
      <c r="R175" s="259">
        <v>0.1</v>
      </c>
      <c r="S175" s="259">
        <v>0.1</v>
      </c>
      <c r="T175" s="259">
        <v>0.1</v>
      </c>
      <c r="U175" s="259">
        <v>0.1</v>
      </c>
      <c r="V175" s="259">
        <v>0.1</v>
      </c>
      <c r="W175" s="259">
        <v>0.1</v>
      </c>
      <c r="X175" s="259">
        <v>0.1</v>
      </c>
      <c r="Y175" s="259">
        <v>0.1</v>
      </c>
      <c r="Z175" s="259">
        <v>0.1</v>
      </c>
      <c r="AA175" s="259">
        <v>0.1</v>
      </c>
      <c r="AB175" s="259">
        <v>0.1</v>
      </c>
      <c r="AC175" s="259">
        <v>0.1</v>
      </c>
      <c r="AD175" s="259">
        <v>0.1</v>
      </c>
      <c r="AE175" s="259">
        <v>0.1</v>
      </c>
      <c r="AF175" s="259">
        <v>0.1</v>
      </c>
      <c r="AG175" s="259">
        <v>0.1</v>
      </c>
      <c r="AH175" s="259">
        <v>0.1</v>
      </c>
      <c r="AI175" s="259">
        <v>0.1</v>
      </c>
      <c r="AJ175" s="259">
        <v>0.1</v>
      </c>
      <c r="AK175" s="259">
        <v>0.1</v>
      </c>
      <c r="AL175" s="259">
        <v>0.1</v>
      </c>
      <c r="AM175" s="260">
        <v>0.1</v>
      </c>
      <c r="AN175" s="258">
        <v>0.1</v>
      </c>
      <c r="AO175" s="259">
        <v>0.1</v>
      </c>
      <c r="AP175" s="259">
        <v>0.1</v>
      </c>
      <c r="AQ175" s="259">
        <v>0.1</v>
      </c>
      <c r="AR175" s="259">
        <v>0.1</v>
      </c>
      <c r="AS175" s="259">
        <v>0.1</v>
      </c>
      <c r="AT175" s="259">
        <v>0.1</v>
      </c>
      <c r="AU175" s="259">
        <v>0.1</v>
      </c>
      <c r="AV175" s="259">
        <v>0.1</v>
      </c>
      <c r="AW175" s="259">
        <v>0.1</v>
      </c>
      <c r="AX175" s="259">
        <v>0.1</v>
      </c>
      <c r="AY175" s="259">
        <v>0.1</v>
      </c>
      <c r="AZ175" s="259">
        <v>0.1</v>
      </c>
      <c r="BA175" s="259">
        <v>0.1</v>
      </c>
      <c r="BB175" s="259">
        <v>0.1</v>
      </c>
      <c r="BC175" s="259">
        <v>0.1</v>
      </c>
      <c r="BD175" s="259">
        <v>0.1</v>
      </c>
      <c r="BE175" s="259">
        <v>0.1</v>
      </c>
      <c r="BF175" s="259">
        <v>0.1</v>
      </c>
      <c r="BG175" s="259">
        <v>0.1</v>
      </c>
      <c r="BH175" s="259">
        <v>0.1</v>
      </c>
      <c r="BI175" s="259">
        <v>0.1</v>
      </c>
      <c r="BJ175" s="259">
        <v>0.1</v>
      </c>
      <c r="BK175" s="259">
        <v>0.1</v>
      </c>
      <c r="BL175" s="259">
        <v>0.1</v>
      </c>
      <c r="BM175" s="259">
        <v>0.1</v>
      </c>
      <c r="BN175" s="260">
        <v>0.1</v>
      </c>
      <c r="BO175">
        <v>0.1</v>
      </c>
      <c r="BP175">
        <f t="shared" si="15"/>
        <v>0.1</v>
      </c>
      <c r="BS175">
        <v>172</v>
      </c>
      <c r="BT175" s="270">
        <v>3.55</v>
      </c>
      <c r="BU175" s="271">
        <v>2.29</v>
      </c>
      <c r="BV175" s="2"/>
      <c r="BW175" s="2"/>
      <c r="BX175" s="2"/>
      <c r="BY175" s="258">
        <v>0.1</v>
      </c>
      <c r="BZ175" s="259">
        <v>0.1</v>
      </c>
      <c r="CA175" s="259">
        <v>0.1</v>
      </c>
      <c r="CB175" s="259">
        <v>0.1</v>
      </c>
      <c r="CC175" s="259">
        <v>0.1</v>
      </c>
      <c r="CD175" s="259">
        <v>0.1</v>
      </c>
      <c r="CE175" s="259">
        <v>0.1</v>
      </c>
      <c r="CF175" s="259">
        <v>0.1</v>
      </c>
      <c r="CG175" s="259">
        <v>0.1</v>
      </c>
      <c r="CH175" s="259">
        <v>0.1</v>
      </c>
      <c r="CI175" s="259">
        <v>0.1</v>
      </c>
      <c r="CJ175" s="259">
        <v>0.1</v>
      </c>
      <c r="CK175" s="259">
        <v>0.1</v>
      </c>
      <c r="CL175" s="259">
        <v>0.1</v>
      </c>
      <c r="CM175" s="259">
        <v>0.1</v>
      </c>
      <c r="CN175" s="259">
        <v>0.1</v>
      </c>
      <c r="CO175" s="259">
        <v>0.1</v>
      </c>
      <c r="CP175" s="259">
        <v>0.1</v>
      </c>
      <c r="CQ175" s="259">
        <v>0.1</v>
      </c>
      <c r="CR175" s="259">
        <v>0.1</v>
      </c>
      <c r="CS175" s="259">
        <v>0.1</v>
      </c>
      <c r="CT175" s="259">
        <v>0.1</v>
      </c>
      <c r="CU175" s="259">
        <v>0.1</v>
      </c>
      <c r="CV175" s="259">
        <v>0.1</v>
      </c>
      <c r="CW175" s="259">
        <v>0.1</v>
      </c>
      <c r="CX175" s="259">
        <v>0.1</v>
      </c>
      <c r="CY175" s="259">
        <v>0.1</v>
      </c>
      <c r="CZ175" s="259">
        <v>0.1</v>
      </c>
      <c r="DA175" s="259">
        <v>0.1</v>
      </c>
      <c r="DB175" s="259">
        <v>0.1</v>
      </c>
      <c r="DC175" s="259">
        <v>0.1</v>
      </c>
      <c r="DD175" s="259">
        <v>0.1</v>
      </c>
      <c r="DE175" s="259">
        <v>0.1</v>
      </c>
      <c r="DF175" s="259">
        <v>0.1</v>
      </c>
      <c r="DG175" s="259">
        <v>0.1</v>
      </c>
      <c r="DH175" s="260">
        <v>0.1</v>
      </c>
      <c r="DI175" s="258">
        <v>0.1</v>
      </c>
      <c r="DJ175" s="259">
        <v>0.1</v>
      </c>
      <c r="DK175" s="259">
        <v>0.1</v>
      </c>
      <c r="DL175" s="259">
        <v>0.1</v>
      </c>
      <c r="DM175" s="259">
        <v>0.1</v>
      </c>
      <c r="DN175" s="259">
        <v>0.1</v>
      </c>
      <c r="DO175" s="259">
        <v>0.1</v>
      </c>
      <c r="DP175" s="259">
        <v>0.1</v>
      </c>
      <c r="DQ175" s="259">
        <v>0.1</v>
      </c>
      <c r="DR175" s="259">
        <v>0.1</v>
      </c>
      <c r="DS175" s="259">
        <v>0.1</v>
      </c>
      <c r="DT175" s="259">
        <v>0.1</v>
      </c>
      <c r="DU175" s="259">
        <v>0.1</v>
      </c>
      <c r="DV175" s="259">
        <v>0.1</v>
      </c>
      <c r="DW175" s="259">
        <v>0.1</v>
      </c>
      <c r="DX175" s="259">
        <v>0.1</v>
      </c>
      <c r="DY175" s="259">
        <v>0.1</v>
      </c>
      <c r="DZ175" s="259">
        <v>0.1</v>
      </c>
      <c r="EA175" s="259">
        <v>0.1</v>
      </c>
      <c r="EB175" s="259">
        <v>0.1</v>
      </c>
      <c r="EC175" s="259">
        <v>0.1</v>
      </c>
      <c r="ED175" s="259">
        <v>0.1</v>
      </c>
      <c r="EE175" s="260">
        <v>0.1</v>
      </c>
      <c r="EF175">
        <v>0.1</v>
      </c>
      <c r="EG175">
        <f t="shared" si="14"/>
        <v>0.1</v>
      </c>
      <c r="EJ175">
        <v>172</v>
      </c>
      <c r="EN175">
        <v>0.1</v>
      </c>
      <c r="EO175">
        <v>0.1</v>
      </c>
      <c r="EP175">
        <v>0.1</v>
      </c>
      <c r="EQ175">
        <v>0.1</v>
      </c>
      <c r="ER175">
        <v>0.1</v>
      </c>
      <c r="ES175">
        <v>0.1</v>
      </c>
      <c r="ET175">
        <v>0.1</v>
      </c>
      <c r="EU175">
        <v>0.1</v>
      </c>
      <c r="EV175">
        <v>0.1</v>
      </c>
      <c r="EW175">
        <v>0.1</v>
      </c>
      <c r="EX175">
        <v>0.1</v>
      </c>
      <c r="EY175">
        <v>0.1</v>
      </c>
      <c r="EZ175">
        <v>0.1</v>
      </c>
      <c r="FA175">
        <v>0.1</v>
      </c>
      <c r="FB175">
        <v>0.1</v>
      </c>
      <c r="FC175">
        <v>0.1</v>
      </c>
      <c r="FD175">
        <v>0.1</v>
      </c>
      <c r="FE175">
        <v>0.1</v>
      </c>
      <c r="FF175">
        <v>0.1</v>
      </c>
      <c r="FG175">
        <v>0.1</v>
      </c>
      <c r="FH175">
        <v>0.1</v>
      </c>
      <c r="FI175">
        <v>0.1</v>
      </c>
      <c r="FJ175">
        <v>0.1</v>
      </c>
      <c r="FK175">
        <v>0.1</v>
      </c>
      <c r="FL175">
        <v>0.1</v>
      </c>
      <c r="FM175">
        <v>0.1</v>
      </c>
      <c r="FN175">
        <v>0.1</v>
      </c>
      <c r="FO175">
        <v>0.1</v>
      </c>
      <c r="FP175">
        <v>0.1</v>
      </c>
      <c r="FQ175">
        <v>0.1</v>
      </c>
      <c r="FU175">
        <v>172</v>
      </c>
      <c r="GB175">
        <v>0.1</v>
      </c>
      <c r="GC175">
        <v>0.1</v>
      </c>
      <c r="GD175">
        <v>0.1</v>
      </c>
      <c r="GE175">
        <v>0.1</v>
      </c>
      <c r="GF175">
        <v>0.1</v>
      </c>
      <c r="GG175">
        <v>0.1</v>
      </c>
      <c r="GH175">
        <v>0.1</v>
      </c>
      <c r="GI175">
        <v>0.1</v>
      </c>
      <c r="GJ175">
        <v>0.1</v>
      </c>
      <c r="GK175">
        <v>0.1</v>
      </c>
      <c r="GL175">
        <v>0.1</v>
      </c>
      <c r="GM175">
        <v>0.1</v>
      </c>
      <c r="GN175">
        <v>0.1</v>
      </c>
      <c r="GO175">
        <v>0.1</v>
      </c>
      <c r="GP175">
        <v>0.1</v>
      </c>
      <c r="GQ175">
        <v>0.1</v>
      </c>
      <c r="GR175">
        <v>0.1</v>
      </c>
      <c r="GS175">
        <v>0.1</v>
      </c>
      <c r="GT175">
        <v>0.1</v>
      </c>
      <c r="GU175">
        <v>0.1</v>
      </c>
      <c r="GV175">
        <v>0.1</v>
      </c>
      <c r="GW175">
        <v>0.1</v>
      </c>
      <c r="GX175">
        <v>0.1</v>
      </c>
      <c r="GY175">
        <v>0.1</v>
      </c>
      <c r="GZ175">
        <v>0.1</v>
      </c>
      <c r="HA175">
        <v>0.1</v>
      </c>
      <c r="HB175">
        <v>0.1</v>
      </c>
      <c r="HC175">
        <v>0.1</v>
      </c>
      <c r="HD175">
        <v>0.1</v>
      </c>
      <c r="HE175">
        <v>0.1</v>
      </c>
      <c r="HF175">
        <v>0.1</v>
      </c>
      <c r="HG175">
        <v>0.1</v>
      </c>
      <c r="HH175">
        <v>0.1</v>
      </c>
      <c r="HI175">
        <v>0.1</v>
      </c>
      <c r="HJ175">
        <v>0.1</v>
      </c>
      <c r="HK175">
        <v>0.1</v>
      </c>
      <c r="HL175">
        <v>0.1</v>
      </c>
      <c r="HM175">
        <v>0.1</v>
      </c>
      <c r="HN175">
        <v>0.1</v>
      </c>
      <c r="HO175">
        <v>0.1</v>
      </c>
    </row>
    <row r="176" spans="1:223" ht="15.75" thickBot="1" x14ac:dyDescent="0.3">
      <c r="A176">
        <v>173</v>
      </c>
      <c r="B176" s="268">
        <v>3.11</v>
      </c>
      <c r="C176" s="269">
        <v>2.61</v>
      </c>
      <c r="D176" s="2"/>
      <c r="E176" s="2"/>
      <c r="F176" s="2"/>
      <c r="G176" s="2"/>
      <c r="H176" s="258">
        <v>0.1</v>
      </c>
      <c r="I176" s="259">
        <v>0.1</v>
      </c>
      <c r="J176" s="259">
        <v>0.1</v>
      </c>
      <c r="K176" s="259">
        <v>0.1</v>
      </c>
      <c r="L176" s="259">
        <v>0.1</v>
      </c>
      <c r="M176" s="259">
        <v>0.1</v>
      </c>
      <c r="N176" s="259">
        <v>0.1</v>
      </c>
      <c r="O176" s="259">
        <v>0.1</v>
      </c>
      <c r="P176" s="259">
        <v>0.1</v>
      </c>
      <c r="Q176" s="259">
        <v>0.1</v>
      </c>
      <c r="R176" s="259">
        <v>0.1</v>
      </c>
      <c r="S176" s="259">
        <v>0.1</v>
      </c>
      <c r="T176" s="259">
        <v>0.1</v>
      </c>
      <c r="U176" s="259">
        <v>0.1</v>
      </c>
      <c r="V176" s="259">
        <v>0.1</v>
      </c>
      <c r="W176" s="259">
        <v>0.1</v>
      </c>
      <c r="X176" s="259">
        <v>0.1</v>
      </c>
      <c r="Y176" s="259">
        <v>0.1</v>
      </c>
      <c r="Z176" s="259">
        <v>0.1</v>
      </c>
      <c r="AA176" s="259">
        <v>0.1</v>
      </c>
      <c r="AB176" s="259">
        <v>0.1</v>
      </c>
      <c r="AC176" s="259">
        <v>0.1</v>
      </c>
      <c r="AD176" s="259">
        <v>0.1</v>
      </c>
      <c r="AE176" s="259">
        <v>0.1</v>
      </c>
      <c r="AF176" s="259">
        <v>0.1</v>
      </c>
      <c r="AG176" s="259">
        <v>0.1</v>
      </c>
      <c r="AH176" s="259">
        <v>0.1</v>
      </c>
      <c r="AI176" s="259">
        <v>0.1</v>
      </c>
      <c r="AJ176" s="259">
        <v>0.1</v>
      </c>
      <c r="AK176" s="259">
        <v>0.1</v>
      </c>
      <c r="AL176" s="259">
        <v>0.1</v>
      </c>
      <c r="AM176" s="260">
        <v>0.1</v>
      </c>
      <c r="AN176" s="258">
        <v>0.1</v>
      </c>
      <c r="AO176" s="259">
        <v>0.1</v>
      </c>
      <c r="AP176" s="259">
        <v>0.1</v>
      </c>
      <c r="AQ176" s="259">
        <v>0.1</v>
      </c>
      <c r="AR176" s="259">
        <v>0.1</v>
      </c>
      <c r="AS176" s="259">
        <v>0.1</v>
      </c>
      <c r="AT176" s="259">
        <v>0.1</v>
      </c>
      <c r="AU176" s="259">
        <v>0.1</v>
      </c>
      <c r="AV176" s="259">
        <v>0.1</v>
      </c>
      <c r="AW176" s="259">
        <v>0.1</v>
      </c>
      <c r="AX176" s="259">
        <v>0.1</v>
      </c>
      <c r="AY176" s="259">
        <v>0.1</v>
      </c>
      <c r="AZ176" s="259">
        <v>0.1</v>
      </c>
      <c r="BA176" s="259">
        <v>0.1</v>
      </c>
      <c r="BB176" s="259">
        <v>0.1</v>
      </c>
      <c r="BC176" s="259">
        <v>0.1</v>
      </c>
      <c r="BD176" s="259">
        <v>0.1</v>
      </c>
      <c r="BE176" s="259">
        <v>0.1</v>
      </c>
      <c r="BF176" s="259">
        <v>0.1</v>
      </c>
      <c r="BG176" s="259">
        <v>0.1</v>
      </c>
      <c r="BH176" s="259">
        <v>0.1</v>
      </c>
      <c r="BI176" s="259">
        <v>0.1</v>
      </c>
      <c r="BJ176" s="259">
        <v>0.1</v>
      </c>
      <c r="BK176" s="259">
        <v>0.1</v>
      </c>
      <c r="BL176" s="259">
        <v>0.1</v>
      </c>
      <c r="BM176" s="259">
        <v>0.1</v>
      </c>
      <c r="BN176" s="260">
        <v>0.1</v>
      </c>
      <c r="BO176">
        <v>0.1</v>
      </c>
      <c r="BP176">
        <f t="shared" si="15"/>
        <v>0.1</v>
      </c>
      <c r="BS176">
        <v>173</v>
      </c>
      <c r="BT176" s="271">
        <v>3.55</v>
      </c>
      <c r="BU176" s="270">
        <v>2.31</v>
      </c>
      <c r="BV176" s="2"/>
      <c r="BW176" s="2"/>
      <c r="BX176" s="2"/>
      <c r="BY176" s="258">
        <v>0.1</v>
      </c>
      <c r="BZ176" s="259">
        <v>0.1</v>
      </c>
      <c r="CA176" s="259">
        <v>0.1</v>
      </c>
      <c r="CB176" s="259">
        <v>0.1</v>
      </c>
      <c r="CC176" s="259">
        <v>0.1</v>
      </c>
      <c r="CD176" s="259">
        <v>0.1</v>
      </c>
      <c r="CE176" s="259">
        <v>0.1</v>
      </c>
      <c r="CF176" s="259">
        <v>0.1</v>
      </c>
      <c r="CG176" s="259">
        <v>0.1</v>
      </c>
      <c r="CH176" s="259">
        <v>0.1</v>
      </c>
      <c r="CI176" s="259">
        <v>0.1</v>
      </c>
      <c r="CJ176" s="259">
        <v>0.1</v>
      </c>
      <c r="CK176" s="259">
        <v>0.1</v>
      </c>
      <c r="CL176" s="259">
        <v>0.1</v>
      </c>
      <c r="CM176" s="259">
        <v>0.1</v>
      </c>
      <c r="CN176" s="259">
        <v>0.1</v>
      </c>
      <c r="CO176" s="259">
        <v>0.1</v>
      </c>
      <c r="CP176" s="259">
        <v>0.1</v>
      </c>
      <c r="CQ176" s="259">
        <v>0.1</v>
      </c>
      <c r="CR176" s="259">
        <v>0.1</v>
      </c>
      <c r="CS176" s="259">
        <v>0.1</v>
      </c>
      <c r="CT176" s="259">
        <v>0.1</v>
      </c>
      <c r="CU176" s="259">
        <v>0.1</v>
      </c>
      <c r="CV176" s="259">
        <v>0.1</v>
      </c>
      <c r="CW176" s="259">
        <v>0.1</v>
      </c>
      <c r="CX176" s="259">
        <v>0.1</v>
      </c>
      <c r="CY176" s="259">
        <v>0.1</v>
      </c>
      <c r="CZ176" s="259">
        <v>0.1</v>
      </c>
      <c r="DA176" s="259">
        <v>0.1</v>
      </c>
      <c r="DB176" s="259">
        <v>0.1</v>
      </c>
      <c r="DC176" s="259">
        <v>0.1</v>
      </c>
      <c r="DD176" s="259">
        <v>0.1</v>
      </c>
      <c r="DE176" s="259">
        <v>0.1</v>
      </c>
      <c r="DF176" s="259">
        <v>0.1</v>
      </c>
      <c r="DG176" s="259">
        <v>0.1</v>
      </c>
      <c r="DH176" s="260">
        <v>0.1</v>
      </c>
      <c r="DI176" s="258">
        <v>0.1</v>
      </c>
      <c r="DJ176" s="259">
        <v>0.1</v>
      </c>
      <c r="DK176" s="259">
        <v>0.1</v>
      </c>
      <c r="DL176" s="259">
        <v>0.1</v>
      </c>
      <c r="DM176" s="259">
        <v>0.1</v>
      </c>
      <c r="DN176" s="259">
        <v>0.1</v>
      </c>
      <c r="DO176" s="259">
        <v>0.1</v>
      </c>
      <c r="DP176" s="259">
        <v>0.1</v>
      </c>
      <c r="DQ176" s="259">
        <v>0.1</v>
      </c>
      <c r="DR176" s="259">
        <v>0.1</v>
      </c>
      <c r="DS176" s="259">
        <v>0.1</v>
      </c>
      <c r="DT176" s="259">
        <v>0.1</v>
      </c>
      <c r="DU176" s="259">
        <v>0.1</v>
      </c>
      <c r="DV176" s="259">
        <v>0.1</v>
      </c>
      <c r="DW176" s="259">
        <v>0.1</v>
      </c>
      <c r="DX176" s="259">
        <v>0.1</v>
      </c>
      <c r="DY176" s="259">
        <v>0.1</v>
      </c>
      <c r="DZ176" s="259">
        <v>0.1</v>
      </c>
      <c r="EA176" s="259">
        <v>0.1</v>
      </c>
      <c r="EB176" s="259">
        <v>0.1</v>
      </c>
      <c r="EC176" s="259">
        <v>0.1</v>
      </c>
      <c r="ED176" s="259">
        <v>0.1</v>
      </c>
      <c r="EE176" s="259">
        <v>0.1</v>
      </c>
      <c r="EF176" s="260">
        <v>0.1</v>
      </c>
      <c r="EJ176">
        <v>173</v>
      </c>
      <c r="EN176">
        <v>0.1</v>
      </c>
      <c r="EO176">
        <v>0.1</v>
      </c>
      <c r="EP176">
        <v>0.1</v>
      </c>
      <c r="EQ176">
        <v>0.1</v>
      </c>
      <c r="ER176">
        <v>0.1</v>
      </c>
      <c r="ES176">
        <v>0.1</v>
      </c>
      <c r="ET176">
        <v>0.1</v>
      </c>
      <c r="EU176">
        <v>0.1</v>
      </c>
      <c r="EV176">
        <v>0.1</v>
      </c>
      <c r="EW176">
        <v>0.1</v>
      </c>
      <c r="EX176">
        <v>0.1</v>
      </c>
      <c r="EY176">
        <v>0.1</v>
      </c>
      <c r="EZ176">
        <v>0.1</v>
      </c>
      <c r="FA176">
        <v>0.1</v>
      </c>
      <c r="FB176">
        <v>0.1</v>
      </c>
      <c r="FC176">
        <v>0.1</v>
      </c>
      <c r="FD176">
        <v>0.1</v>
      </c>
      <c r="FE176">
        <v>0.1</v>
      </c>
      <c r="FF176">
        <v>0.1</v>
      </c>
      <c r="FG176">
        <v>0.1</v>
      </c>
      <c r="FH176">
        <v>0.1</v>
      </c>
      <c r="FI176">
        <v>0.1</v>
      </c>
      <c r="FJ176">
        <v>0.1</v>
      </c>
      <c r="FK176">
        <v>0.1</v>
      </c>
      <c r="FL176">
        <v>0.1</v>
      </c>
      <c r="FM176">
        <v>0.1</v>
      </c>
      <c r="FN176">
        <v>0.1</v>
      </c>
      <c r="FO176">
        <v>0.1</v>
      </c>
      <c r="FP176">
        <v>0.1</v>
      </c>
      <c r="FQ176">
        <v>0.1</v>
      </c>
      <c r="FU176">
        <v>173</v>
      </c>
      <c r="GB176">
        <v>0.1</v>
      </c>
      <c r="GC176">
        <v>0.1</v>
      </c>
      <c r="GD176">
        <v>0.1</v>
      </c>
      <c r="GE176">
        <v>0.1</v>
      </c>
      <c r="GF176">
        <v>0.1</v>
      </c>
      <c r="GG176">
        <v>0.1</v>
      </c>
      <c r="GH176">
        <v>0.1</v>
      </c>
      <c r="GI176">
        <v>0.1</v>
      </c>
      <c r="GJ176">
        <v>0.1</v>
      </c>
      <c r="GK176">
        <v>0.1</v>
      </c>
      <c r="GL176">
        <v>0.1</v>
      </c>
      <c r="GM176">
        <v>0.1</v>
      </c>
      <c r="GN176">
        <v>0.1</v>
      </c>
      <c r="GO176">
        <v>0.1</v>
      </c>
      <c r="GP176">
        <v>0.1</v>
      </c>
      <c r="GQ176">
        <v>0.1</v>
      </c>
      <c r="GR176">
        <v>0.1</v>
      </c>
      <c r="GS176">
        <v>0.1</v>
      </c>
      <c r="GT176">
        <v>0.1</v>
      </c>
      <c r="GU176">
        <v>0.1</v>
      </c>
      <c r="GV176">
        <v>0.1</v>
      </c>
      <c r="GW176">
        <v>0.1</v>
      </c>
      <c r="GX176">
        <v>0.1</v>
      </c>
      <c r="GY176">
        <v>0.1</v>
      </c>
      <c r="GZ176">
        <v>0.1</v>
      </c>
      <c r="HA176">
        <v>0.1</v>
      </c>
      <c r="HB176">
        <v>0.1</v>
      </c>
      <c r="HC176">
        <v>0.1</v>
      </c>
      <c r="HD176">
        <v>0.1</v>
      </c>
      <c r="HE176">
        <v>0.1</v>
      </c>
      <c r="HF176">
        <v>0.1</v>
      </c>
      <c r="HG176">
        <v>0.1</v>
      </c>
      <c r="HH176">
        <v>0.1</v>
      </c>
      <c r="HI176">
        <v>0.1</v>
      </c>
      <c r="HJ176">
        <v>0.1</v>
      </c>
      <c r="HK176">
        <v>0.1</v>
      </c>
      <c r="HL176">
        <v>0.1</v>
      </c>
      <c r="HM176">
        <v>0.1</v>
      </c>
      <c r="HN176">
        <v>0.1</v>
      </c>
      <c r="HO176">
        <v>0.1</v>
      </c>
    </row>
    <row r="177" spans="1:223" ht="15.75" thickBot="1" x14ac:dyDescent="0.3">
      <c r="A177">
        <v>174</v>
      </c>
      <c r="B177" s="269">
        <v>3.1</v>
      </c>
      <c r="C177" s="269">
        <v>2.82</v>
      </c>
      <c r="D177" s="2"/>
      <c r="E177" s="2"/>
      <c r="F177" s="2"/>
      <c r="G177" s="2"/>
      <c r="H177" s="258">
        <v>0.1</v>
      </c>
      <c r="I177" s="259">
        <v>0.1</v>
      </c>
      <c r="J177" s="259">
        <v>0.1</v>
      </c>
      <c r="K177" s="259">
        <v>0.1</v>
      </c>
      <c r="L177" s="259">
        <v>0.1</v>
      </c>
      <c r="M177" s="259">
        <v>0.1</v>
      </c>
      <c r="N177" s="259">
        <v>0.1</v>
      </c>
      <c r="O177" s="259">
        <v>0.1</v>
      </c>
      <c r="P177" s="259">
        <v>0.1</v>
      </c>
      <c r="Q177" s="259">
        <v>0.1</v>
      </c>
      <c r="R177" s="259">
        <v>0.1</v>
      </c>
      <c r="S177" s="259">
        <v>0.1</v>
      </c>
      <c r="T177" s="259">
        <v>0.1</v>
      </c>
      <c r="U177" s="259">
        <v>0.1</v>
      </c>
      <c r="V177" s="259">
        <v>0.1</v>
      </c>
      <c r="W177" s="259">
        <v>0.1</v>
      </c>
      <c r="X177" s="259">
        <v>0.1</v>
      </c>
      <c r="Y177" s="259">
        <v>0.1</v>
      </c>
      <c r="Z177" s="259">
        <v>0.1</v>
      </c>
      <c r="AA177" s="259">
        <v>0.1</v>
      </c>
      <c r="AB177" s="259">
        <v>0.1</v>
      </c>
      <c r="AC177" s="259">
        <v>0.1</v>
      </c>
      <c r="AD177" s="259">
        <v>0.1</v>
      </c>
      <c r="AE177" s="259">
        <v>0.1</v>
      </c>
      <c r="AF177" s="259">
        <v>0.1</v>
      </c>
      <c r="AG177" s="259">
        <v>0.1</v>
      </c>
      <c r="AH177" s="259">
        <v>0.1</v>
      </c>
      <c r="AI177" s="259">
        <v>0.1</v>
      </c>
      <c r="AJ177" s="259">
        <v>0.1</v>
      </c>
      <c r="AK177" s="259">
        <v>0.1</v>
      </c>
      <c r="AL177" s="260">
        <v>0.1</v>
      </c>
      <c r="AM177" s="258">
        <v>0.1</v>
      </c>
      <c r="AN177" s="259">
        <v>0.1</v>
      </c>
      <c r="AO177" s="259">
        <v>0.1</v>
      </c>
      <c r="AP177" s="259">
        <v>0.1</v>
      </c>
      <c r="AQ177" s="259">
        <v>0.1</v>
      </c>
      <c r="AR177" s="259">
        <v>0.1</v>
      </c>
      <c r="AS177" s="259">
        <v>0.1</v>
      </c>
      <c r="AT177" s="259">
        <v>0.1</v>
      </c>
      <c r="AU177" s="259">
        <v>0.1</v>
      </c>
      <c r="AV177" s="259">
        <v>0.1</v>
      </c>
      <c r="AW177" s="259">
        <v>0.1</v>
      </c>
      <c r="AX177" s="259">
        <v>0.1</v>
      </c>
      <c r="AY177" s="259">
        <v>0.1</v>
      </c>
      <c r="AZ177" s="259">
        <v>0.1</v>
      </c>
      <c r="BA177" s="259">
        <v>0.1</v>
      </c>
      <c r="BB177" s="259">
        <v>0.1</v>
      </c>
      <c r="BC177" s="259">
        <v>0.1</v>
      </c>
      <c r="BD177" s="259">
        <v>0.1</v>
      </c>
      <c r="BE177" s="259">
        <v>0.1</v>
      </c>
      <c r="BF177" s="259">
        <v>0.1</v>
      </c>
      <c r="BG177" s="259">
        <v>0.1</v>
      </c>
      <c r="BH177" s="259">
        <v>0.1</v>
      </c>
      <c r="BI177" s="259">
        <v>0.1</v>
      </c>
      <c r="BJ177" s="259">
        <v>0.1</v>
      </c>
      <c r="BK177" s="259">
        <v>0.1</v>
      </c>
      <c r="BL177" s="259">
        <v>0.1</v>
      </c>
      <c r="BM177" s="259">
        <v>0.1</v>
      </c>
      <c r="BN177" s="259">
        <v>0.1</v>
      </c>
      <c r="BO177" s="260">
        <v>0.1</v>
      </c>
      <c r="BS177">
        <v>174</v>
      </c>
      <c r="BT177" s="270">
        <v>3.55</v>
      </c>
      <c r="BU177" s="271">
        <v>2.33</v>
      </c>
      <c r="BV177" s="2"/>
      <c r="BW177" s="2"/>
      <c r="BX177" s="2"/>
      <c r="BY177" s="258">
        <v>0.1</v>
      </c>
      <c r="BZ177" s="259">
        <v>0.1</v>
      </c>
      <c r="CA177" s="259">
        <v>0.1</v>
      </c>
      <c r="CB177" s="259">
        <v>0.1</v>
      </c>
      <c r="CC177" s="259">
        <v>0.1</v>
      </c>
      <c r="CD177" s="259">
        <v>0.1</v>
      </c>
      <c r="CE177" s="259">
        <v>0.1</v>
      </c>
      <c r="CF177" s="259">
        <v>0.1</v>
      </c>
      <c r="CG177" s="259">
        <v>0.1</v>
      </c>
      <c r="CH177" s="259">
        <v>0.1</v>
      </c>
      <c r="CI177" s="259">
        <v>0.1</v>
      </c>
      <c r="CJ177" s="259">
        <v>0.1</v>
      </c>
      <c r="CK177" s="259">
        <v>0.1</v>
      </c>
      <c r="CL177" s="259">
        <v>0.1</v>
      </c>
      <c r="CM177" s="259">
        <v>0.1</v>
      </c>
      <c r="CN177" s="259">
        <v>0.1</v>
      </c>
      <c r="CO177" s="259">
        <v>0.1</v>
      </c>
      <c r="CP177" s="259">
        <v>0.1</v>
      </c>
      <c r="CQ177" s="259">
        <v>0.1</v>
      </c>
      <c r="CR177" s="259">
        <v>0.1</v>
      </c>
      <c r="CS177" s="259">
        <v>0.1</v>
      </c>
      <c r="CT177" s="259">
        <v>0.1</v>
      </c>
      <c r="CU177" s="259">
        <v>0.1</v>
      </c>
      <c r="CV177" s="259">
        <v>0.1</v>
      </c>
      <c r="CW177" s="259">
        <v>0.1</v>
      </c>
      <c r="CX177" s="259">
        <v>0.1</v>
      </c>
      <c r="CY177" s="259">
        <v>0.1</v>
      </c>
      <c r="CZ177" s="259">
        <v>0.1</v>
      </c>
      <c r="DA177" s="259">
        <v>0.1</v>
      </c>
      <c r="DB177" s="259">
        <v>0.1</v>
      </c>
      <c r="DC177" s="259">
        <v>0.1</v>
      </c>
      <c r="DD177" s="259">
        <v>0.1</v>
      </c>
      <c r="DE177" s="259">
        <v>0.1</v>
      </c>
      <c r="DF177" s="259">
        <v>0.1</v>
      </c>
      <c r="DG177" s="259">
        <v>0.1</v>
      </c>
      <c r="DH177" s="260">
        <v>0.1</v>
      </c>
      <c r="DI177" s="258">
        <v>0.1</v>
      </c>
      <c r="DJ177" s="259">
        <v>0.1</v>
      </c>
      <c r="DK177" s="259">
        <v>0.1</v>
      </c>
      <c r="DL177" s="259">
        <v>0.1</v>
      </c>
      <c r="DM177" s="259">
        <v>0.1</v>
      </c>
      <c r="DN177" s="259">
        <v>0.1</v>
      </c>
      <c r="DO177" s="259">
        <v>0.1</v>
      </c>
      <c r="DP177" s="259">
        <v>0.1</v>
      </c>
      <c r="DQ177" s="259">
        <v>0.1</v>
      </c>
      <c r="DR177" s="259">
        <v>0.1</v>
      </c>
      <c r="DS177" s="259">
        <v>0.1</v>
      </c>
      <c r="DT177" s="259">
        <v>0.1</v>
      </c>
      <c r="DU177" s="259">
        <v>0.1</v>
      </c>
      <c r="DV177" s="259">
        <v>0.1</v>
      </c>
      <c r="DW177" s="259">
        <v>0.1</v>
      </c>
      <c r="DX177" s="259">
        <v>0.1</v>
      </c>
      <c r="DY177" s="259">
        <v>0.1</v>
      </c>
      <c r="DZ177" s="259">
        <v>0.1</v>
      </c>
      <c r="EA177" s="259">
        <v>0.1</v>
      </c>
      <c r="EB177" s="259">
        <v>0.1</v>
      </c>
      <c r="EC177" s="259">
        <v>0.1</v>
      </c>
      <c r="ED177" s="259">
        <v>0.1</v>
      </c>
      <c r="EE177" s="259">
        <v>0.1</v>
      </c>
      <c r="EF177" s="260">
        <v>0.1</v>
      </c>
      <c r="EJ177">
        <v>174</v>
      </c>
      <c r="EN177">
        <v>0.1</v>
      </c>
      <c r="EO177">
        <v>0.1</v>
      </c>
      <c r="EP177">
        <v>0.1</v>
      </c>
      <c r="EQ177">
        <v>0.1</v>
      </c>
      <c r="ER177">
        <v>0.1</v>
      </c>
      <c r="ES177">
        <v>0.1</v>
      </c>
      <c r="ET177">
        <v>0.1</v>
      </c>
      <c r="EU177">
        <v>0.1</v>
      </c>
      <c r="EV177">
        <v>0.1</v>
      </c>
      <c r="EW177">
        <v>0.1</v>
      </c>
      <c r="EX177">
        <v>0.1</v>
      </c>
      <c r="EY177">
        <v>0.1</v>
      </c>
      <c r="EZ177">
        <v>0.1</v>
      </c>
      <c r="FA177">
        <v>0.1</v>
      </c>
      <c r="FB177">
        <v>0.1</v>
      </c>
      <c r="FC177">
        <v>0.1</v>
      </c>
      <c r="FD177">
        <v>0.1</v>
      </c>
      <c r="FE177">
        <v>0.1</v>
      </c>
      <c r="FF177">
        <v>0.1</v>
      </c>
      <c r="FG177">
        <v>0.1</v>
      </c>
      <c r="FH177">
        <v>0.1</v>
      </c>
      <c r="FI177">
        <v>0.1</v>
      </c>
      <c r="FJ177">
        <v>0.1</v>
      </c>
      <c r="FK177">
        <v>0.1</v>
      </c>
      <c r="FL177">
        <v>0.1</v>
      </c>
      <c r="FM177">
        <v>0.1</v>
      </c>
      <c r="FN177">
        <v>0.1</v>
      </c>
      <c r="FO177">
        <v>0.1</v>
      </c>
      <c r="FP177">
        <v>0.1</v>
      </c>
      <c r="FQ177">
        <v>0.1</v>
      </c>
      <c r="FU177">
        <v>174</v>
      </c>
      <c r="GB177">
        <v>0.1</v>
      </c>
      <c r="GC177">
        <v>0.1</v>
      </c>
      <c r="GD177">
        <v>0.1</v>
      </c>
      <c r="GE177">
        <v>0.1</v>
      </c>
      <c r="GF177">
        <v>0.1</v>
      </c>
      <c r="GG177">
        <v>0.1</v>
      </c>
      <c r="GH177">
        <v>0.1</v>
      </c>
      <c r="GI177">
        <v>0.1</v>
      </c>
      <c r="GJ177">
        <v>0.1</v>
      </c>
      <c r="GK177">
        <v>0.1</v>
      </c>
      <c r="GL177">
        <v>0.1</v>
      </c>
      <c r="GM177">
        <v>0.1</v>
      </c>
      <c r="GN177">
        <v>0.1</v>
      </c>
      <c r="GO177">
        <v>0.1</v>
      </c>
      <c r="GP177">
        <v>0.1</v>
      </c>
      <c r="GQ177">
        <v>0.1</v>
      </c>
      <c r="GR177">
        <v>0.1</v>
      </c>
      <c r="GS177">
        <v>0.1</v>
      </c>
      <c r="GT177">
        <v>0.1</v>
      </c>
      <c r="GU177">
        <v>0.1</v>
      </c>
      <c r="GV177">
        <v>0.1</v>
      </c>
      <c r="GW177">
        <v>0.1</v>
      </c>
      <c r="GX177">
        <v>0.1</v>
      </c>
      <c r="GY177">
        <v>0.1</v>
      </c>
      <c r="GZ177">
        <v>0.1</v>
      </c>
      <c r="HA177">
        <v>0.1</v>
      </c>
      <c r="HB177">
        <v>0.1</v>
      </c>
      <c r="HC177">
        <v>0.1</v>
      </c>
      <c r="HD177">
        <v>0.1</v>
      </c>
      <c r="HE177">
        <v>0.1</v>
      </c>
      <c r="HF177">
        <v>0.1</v>
      </c>
      <c r="HG177">
        <v>0.1</v>
      </c>
      <c r="HH177">
        <v>0.1</v>
      </c>
      <c r="HI177">
        <v>0.1</v>
      </c>
      <c r="HJ177">
        <v>0.1</v>
      </c>
      <c r="HK177">
        <v>0.1</v>
      </c>
      <c r="HL177">
        <v>0.1</v>
      </c>
      <c r="HM177">
        <v>0.1</v>
      </c>
      <c r="HN177">
        <v>0.1</v>
      </c>
      <c r="HO177">
        <v>0.1</v>
      </c>
    </row>
    <row r="178" spans="1:223" ht="15.75" thickBot="1" x14ac:dyDescent="0.3">
      <c r="A178">
        <v>175</v>
      </c>
      <c r="B178" s="268">
        <v>3.1</v>
      </c>
      <c r="C178" s="268">
        <v>2.81</v>
      </c>
      <c r="D178" s="2"/>
      <c r="E178" s="2"/>
      <c r="F178" s="2"/>
      <c r="G178" s="2"/>
      <c r="H178" s="258">
        <v>0.1</v>
      </c>
      <c r="I178" s="259">
        <v>0.1</v>
      </c>
      <c r="J178" s="259">
        <v>0.1</v>
      </c>
      <c r="K178" s="259">
        <v>0.1</v>
      </c>
      <c r="L178" s="259">
        <v>0.1</v>
      </c>
      <c r="M178" s="259">
        <v>0.1</v>
      </c>
      <c r="N178" s="259">
        <v>0.1</v>
      </c>
      <c r="O178" s="259">
        <v>0.1</v>
      </c>
      <c r="P178" s="259">
        <v>0.1</v>
      </c>
      <c r="Q178" s="259">
        <v>0.1</v>
      </c>
      <c r="R178" s="259">
        <v>0.1</v>
      </c>
      <c r="S178" s="259">
        <v>0.1</v>
      </c>
      <c r="T178" s="259">
        <v>0.1</v>
      </c>
      <c r="U178" s="259">
        <v>0.1</v>
      </c>
      <c r="V178" s="259">
        <v>0.1</v>
      </c>
      <c r="W178" s="259">
        <v>0.1</v>
      </c>
      <c r="X178" s="259">
        <v>0.1</v>
      </c>
      <c r="Y178" s="259">
        <v>0.1</v>
      </c>
      <c r="Z178" s="259">
        <v>0.1</v>
      </c>
      <c r="AA178" s="259">
        <v>0.1</v>
      </c>
      <c r="AB178" s="259">
        <v>0.1</v>
      </c>
      <c r="AC178" s="259">
        <v>0.1</v>
      </c>
      <c r="AD178" s="259">
        <v>0.1</v>
      </c>
      <c r="AE178" s="259">
        <v>0.1</v>
      </c>
      <c r="AF178" s="259">
        <v>0.1</v>
      </c>
      <c r="AG178" s="259">
        <v>0.1</v>
      </c>
      <c r="AH178" s="259">
        <v>0.1</v>
      </c>
      <c r="AI178" s="259">
        <v>0.1</v>
      </c>
      <c r="AJ178" s="259">
        <v>0.1</v>
      </c>
      <c r="AK178" s="259">
        <v>0.1</v>
      </c>
      <c r="AL178" s="260">
        <v>0.1</v>
      </c>
      <c r="AM178" s="258">
        <v>0.1</v>
      </c>
      <c r="AN178" s="259">
        <v>0.1</v>
      </c>
      <c r="AO178" s="259">
        <v>0.1</v>
      </c>
      <c r="AP178" s="259">
        <v>0.1</v>
      </c>
      <c r="AQ178" s="259">
        <v>0.1</v>
      </c>
      <c r="AR178" s="259">
        <v>0.1</v>
      </c>
      <c r="AS178" s="259">
        <v>0.1</v>
      </c>
      <c r="AT178" s="259">
        <v>0.1</v>
      </c>
      <c r="AU178" s="259">
        <v>0.1</v>
      </c>
      <c r="AV178" s="259">
        <v>0.1</v>
      </c>
      <c r="AW178" s="259">
        <v>0.1</v>
      </c>
      <c r="AX178" s="259">
        <v>0.1</v>
      </c>
      <c r="AY178" s="259">
        <v>0.1</v>
      </c>
      <c r="AZ178" s="259">
        <v>0.1</v>
      </c>
      <c r="BA178" s="259">
        <v>0.1</v>
      </c>
      <c r="BB178" s="259">
        <v>0.1</v>
      </c>
      <c r="BC178" s="259">
        <v>0.1</v>
      </c>
      <c r="BD178" s="259">
        <v>0.1</v>
      </c>
      <c r="BE178" s="259">
        <v>0.1</v>
      </c>
      <c r="BF178" s="259">
        <v>0.1</v>
      </c>
      <c r="BG178" s="259">
        <v>0.1</v>
      </c>
      <c r="BH178" s="259">
        <v>0.1</v>
      </c>
      <c r="BI178" s="259">
        <v>0.1</v>
      </c>
      <c r="BJ178" s="259">
        <v>0.1</v>
      </c>
      <c r="BK178" s="259">
        <v>0.1</v>
      </c>
      <c r="BL178" s="259">
        <v>0.1</v>
      </c>
      <c r="BM178" s="259">
        <v>0.1</v>
      </c>
      <c r="BN178" s="259">
        <v>0.1</v>
      </c>
      <c r="BO178" s="260">
        <v>0.1</v>
      </c>
      <c r="BS178">
        <v>175</v>
      </c>
      <c r="BT178" s="271">
        <v>3.55</v>
      </c>
      <c r="BU178" s="270">
        <v>2.33</v>
      </c>
      <c r="BV178" s="2"/>
      <c r="BW178" s="2"/>
      <c r="BX178" s="2"/>
      <c r="BY178" s="258">
        <v>0.1</v>
      </c>
      <c r="BZ178" s="259">
        <v>0.1</v>
      </c>
      <c r="CA178" s="259">
        <v>0.1</v>
      </c>
      <c r="CB178" s="259">
        <v>0.1</v>
      </c>
      <c r="CC178" s="259">
        <v>0.1</v>
      </c>
      <c r="CD178" s="259">
        <v>0.1</v>
      </c>
      <c r="CE178" s="259">
        <v>0.1</v>
      </c>
      <c r="CF178" s="259">
        <v>0.1</v>
      </c>
      <c r="CG178" s="259">
        <v>0.1</v>
      </c>
      <c r="CH178" s="259">
        <v>0.1</v>
      </c>
      <c r="CI178" s="259">
        <v>0.1</v>
      </c>
      <c r="CJ178" s="259">
        <v>0.1</v>
      </c>
      <c r="CK178" s="259">
        <v>0.1</v>
      </c>
      <c r="CL178" s="259">
        <v>0.1</v>
      </c>
      <c r="CM178" s="259">
        <v>0.1</v>
      </c>
      <c r="CN178" s="259">
        <v>0.1</v>
      </c>
      <c r="CO178" s="259">
        <v>0.1</v>
      </c>
      <c r="CP178" s="259">
        <v>0.1</v>
      </c>
      <c r="CQ178" s="259">
        <v>0.1</v>
      </c>
      <c r="CR178" s="259">
        <v>0.1</v>
      </c>
      <c r="CS178" s="259">
        <v>0.1</v>
      </c>
      <c r="CT178" s="259">
        <v>0.1</v>
      </c>
      <c r="CU178" s="259">
        <v>0.1</v>
      </c>
      <c r="CV178" s="259">
        <v>0.1</v>
      </c>
      <c r="CW178" s="259">
        <v>0.1</v>
      </c>
      <c r="CX178" s="259">
        <v>0.1</v>
      </c>
      <c r="CY178" s="259">
        <v>0.1</v>
      </c>
      <c r="CZ178" s="259">
        <v>0.1</v>
      </c>
      <c r="DA178" s="259">
        <v>0.1</v>
      </c>
      <c r="DB178" s="259">
        <v>0.1</v>
      </c>
      <c r="DC178" s="259">
        <v>0.1</v>
      </c>
      <c r="DD178" s="259">
        <v>0.1</v>
      </c>
      <c r="DE178" s="259">
        <v>0.1</v>
      </c>
      <c r="DF178" s="259">
        <v>0.1</v>
      </c>
      <c r="DG178" s="259">
        <v>0.1</v>
      </c>
      <c r="DH178" s="260">
        <v>0.1</v>
      </c>
      <c r="DI178" s="258">
        <v>0.1</v>
      </c>
      <c r="DJ178" s="259">
        <v>0.1</v>
      </c>
      <c r="DK178" s="259">
        <v>0.1</v>
      </c>
      <c r="DL178" s="259">
        <v>0.1</v>
      </c>
      <c r="DM178" s="259">
        <v>0.1</v>
      </c>
      <c r="DN178" s="259">
        <v>0.1</v>
      </c>
      <c r="DO178" s="259">
        <v>0.1</v>
      </c>
      <c r="DP178" s="259">
        <v>0.1</v>
      </c>
      <c r="DQ178" s="259">
        <v>0.1</v>
      </c>
      <c r="DR178" s="259">
        <v>0.1</v>
      </c>
      <c r="DS178" s="259">
        <v>0.1</v>
      </c>
      <c r="DT178" s="259">
        <v>0.1</v>
      </c>
      <c r="DU178" s="259">
        <v>0.1</v>
      </c>
      <c r="DV178" s="259">
        <v>0.1</v>
      </c>
      <c r="DW178" s="259">
        <v>0.1</v>
      </c>
      <c r="DX178" s="259">
        <v>0.1</v>
      </c>
      <c r="DY178" s="259">
        <v>0.1</v>
      </c>
      <c r="DZ178" s="259">
        <v>0.1</v>
      </c>
      <c r="EA178" s="259">
        <v>0.1</v>
      </c>
      <c r="EB178" s="259">
        <v>0.1</v>
      </c>
      <c r="EC178" s="259">
        <v>0.1</v>
      </c>
      <c r="ED178" s="259">
        <v>0.1</v>
      </c>
      <c r="EE178" s="259">
        <v>0.1</v>
      </c>
      <c r="EF178" s="260">
        <v>0.1</v>
      </c>
      <c r="EJ178">
        <v>175</v>
      </c>
      <c r="EN178">
        <v>0.1</v>
      </c>
      <c r="EO178">
        <v>0.1</v>
      </c>
      <c r="EP178">
        <v>0.1</v>
      </c>
      <c r="EQ178">
        <v>0.1</v>
      </c>
      <c r="ER178">
        <v>0.1</v>
      </c>
      <c r="ES178">
        <v>0.1</v>
      </c>
      <c r="ET178">
        <v>0.1</v>
      </c>
      <c r="EU178">
        <v>0.1</v>
      </c>
      <c r="EV178">
        <v>0.1</v>
      </c>
      <c r="EW178">
        <v>0.1</v>
      </c>
      <c r="EX178">
        <v>0.1</v>
      </c>
      <c r="EY178">
        <v>0.1</v>
      </c>
      <c r="EZ178">
        <v>0.1</v>
      </c>
      <c r="FA178">
        <v>0.1</v>
      </c>
      <c r="FB178">
        <v>0.1</v>
      </c>
      <c r="FC178">
        <v>0.1</v>
      </c>
      <c r="FD178">
        <v>0.1</v>
      </c>
      <c r="FE178">
        <v>0.1</v>
      </c>
      <c r="FF178">
        <v>0.1</v>
      </c>
      <c r="FG178">
        <v>0.1</v>
      </c>
      <c r="FH178">
        <v>0.1</v>
      </c>
      <c r="FI178">
        <v>0.1</v>
      </c>
      <c r="FJ178">
        <v>0.1</v>
      </c>
      <c r="FK178">
        <v>0.1</v>
      </c>
      <c r="FL178">
        <v>0.1</v>
      </c>
      <c r="FM178">
        <v>0.1</v>
      </c>
      <c r="FN178">
        <v>0.1</v>
      </c>
      <c r="FO178">
        <v>0.1</v>
      </c>
      <c r="FP178">
        <v>0.1</v>
      </c>
      <c r="FQ178">
        <v>0.1</v>
      </c>
      <c r="FU178">
        <v>175</v>
      </c>
      <c r="GB178">
        <v>0.1</v>
      </c>
      <c r="GC178">
        <v>0.1</v>
      </c>
      <c r="GD178">
        <v>0.1</v>
      </c>
      <c r="GE178">
        <v>0.1</v>
      </c>
      <c r="GF178">
        <v>0.1</v>
      </c>
      <c r="GG178">
        <v>0.1</v>
      </c>
      <c r="GH178">
        <v>0.1</v>
      </c>
      <c r="GI178">
        <v>0.1</v>
      </c>
      <c r="GJ178">
        <v>0.1</v>
      </c>
      <c r="GK178">
        <v>0.1</v>
      </c>
      <c r="GL178">
        <v>0.1</v>
      </c>
      <c r="GM178">
        <v>0.1</v>
      </c>
      <c r="GN178">
        <v>0.1</v>
      </c>
      <c r="GO178">
        <v>0.1</v>
      </c>
      <c r="GP178">
        <v>0.1</v>
      </c>
      <c r="GQ178">
        <v>0.1</v>
      </c>
      <c r="GR178">
        <v>0.1</v>
      </c>
      <c r="GS178">
        <v>0.1</v>
      </c>
      <c r="GT178">
        <v>0.1</v>
      </c>
      <c r="GU178">
        <v>0.1</v>
      </c>
      <c r="GV178">
        <v>0.1</v>
      </c>
      <c r="GW178">
        <v>0.1</v>
      </c>
      <c r="GX178">
        <v>0.1</v>
      </c>
      <c r="GY178">
        <v>0.1</v>
      </c>
      <c r="GZ178">
        <v>0.1</v>
      </c>
      <c r="HA178">
        <v>0.1</v>
      </c>
      <c r="HB178">
        <v>0.1</v>
      </c>
      <c r="HC178">
        <v>0.1</v>
      </c>
      <c r="HD178">
        <v>0.1</v>
      </c>
      <c r="HE178">
        <v>0.1</v>
      </c>
      <c r="HF178">
        <v>0.1</v>
      </c>
      <c r="HG178">
        <v>0.1</v>
      </c>
      <c r="HH178">
        <v>0.1</v>
      </c>
      <c r="HI178">
        <v>0.1</v>
      </c>
      <c r="HJ178">
        <v>0.1</v>
      </c>
      <c r="HK178">
        <v>0.1</v>
      </c>
      <c r="HL178">
        <v>0.1</v>
      </c>
      <c r="HM178">
        <v>0.1</v>
      </c>
      <c r="HN178">
        <v>0.1</v>
      </c>
      <c r="HO178">
        <v>0.1</v>
      </c>
    </row>
    <row r="179" spans="1:223" ht="15.75" thickBot="1" x14ac:dyDescent="0.3">
      <c r="A179">
        <v>176</v>
      </c>
      <c r="B179" s="269">
        <v>1.5</v>
      </c>
      <c r="C179" s="268">
        <v>1.49</v>
      </c>
      <c r="D179" s="268">
        <v>1.49</v>
      </c>
      <c r="E179" s="269">
        <v>1.49</v>
      </c>
      <c r="F179" s="2"/>
      <c r="G179" s="2"/>
      <c r="H179" s="258">
        <v>0.1</v>
      </c>
      <c r="I179" s="259">
        <v>0.1</v>
      </c>
      <c r="J179" s="259">
        <v>0.1</v>
      </c>
      <c r="K179" s="259">
        <v>0.1</v>
      </c>
      <c r="L179" s="259">
        <v>0.1</v>
      </c>
      <c r="M179" s="259">
        <v>0.1</v>
      </c>
      <c r="N179" s="259">
        <v>0.1</v>
      </c>
      <c r="O179" s="259">
        <v>0.1</v>
      </c>
      <c r="P179" s="259">
        <v>0.1</v>
      </c>
      <c r="Q179" s="259">
        <v>0.1</v>
      </c>
      <c r="R179" s="259">
        <v>0.1</v>
      </c>
      <c r="S179" s="259">
        <v>0.1</v>
      </c>
      <c r="T179" s="259">
        <v>0.1</v>
      </c>
      <c r="U179" s="259">
        <v>0.1</v>
      </c>
      <c r="V179" s="260">
        <v>0.1</v>
      </c>
      <c r="W179" s="258">
        <v>0.1</v>
      </c>
      <c r="X179" s="259">
        <v>0.1</v>
      </c>
      <c r="Y179" s="259">
        <v>0.1</v>
      </c>
      <c r="Z179" s="259">
        <v>0.1</v>
      </c>
      <c r="AA179" s="259">
        <v>0.1</v>
      </c>
      <c r="AB179" s="259">
        <v>0.1</v>
      </c>
      <c r="AC179" s="259">
        <v>0.1</v>
      </c>
      <c r="AD179" s="259">
        <v>0.1</v>
      </c>
      <c r="AE179" s="259">
        <v>0.1</v>
      </c>
      <c r="AF179" s="259">
        <v>0.1</v>
      </c>
      <c r="AG179" s="259">
        <v>0.1</v>
      </c>
      <c r="AH179" s="259">
        <v>0.1</v>
      </c>
      <c r="AI179" s="259">
        <v>0.1</v>
      </c>
      <c r="AJ179" s="259">
        <v>0.1</v>
      </c>
      <c r="AK179" s="260">
        <v>0.1</v>
      </c>
      <c r="AL179" s="258">
        <v>0.1</v>
      </c>
      <c r="AM179" s="259">
        <v>0.1</v>
      </c>
      <c r="AN179" s="259">
        <v>0.1</v>
      </c>
      <c r="AO179" s="259">
        <v>0.1</v>
      </c>
      <c r="AP179" s="259">
        <v>0.1</v>
      </c>
      <c r="AQ179" s="259">
        <v>0.1</v>
      </c>
      <c r="AR179" s="259">
        <v>0.1</v>
      </c>
      <c r="AS179" s="259">
        <v>0.1</v>
      </c>
      <c r="AT179" s="259">
        <v>0.1</v>
      </c>
      <c r="AU179" s="259">
        <v>0.1</v>
      </c>
      <c r="AV179" s="259">
        <v>0.1</v>
      </c>
      <c r="AW179" s="259">
        <v>0.1</v>
      </c>
      <c r="AX179" s="259">
        <v>0.1</v>
      </c>
      <c r="AY179" s="259">
        <v>0.1</v>
      </c>
      <c r="AZ179" s="260">
        <v>0.1</v>
      </c>
      <c r="BA179" s="258">
        <v>0.1</v>
      </c>
      <c r="BB179" s="259">
        <v>0.1</v>
      </c>
      <c r="BC179" s="259">
        <v>0.1</v>
      </c>
      <c r="BD179" s="259">
        <v>0.1</v>
      </c>
      <c r="BE179" s="259">
        <v>0.1</v>
      </c>
      <c r="BF179" s="259">
        <v>0.1</v>
      </c>
      <c r="BG179" s="259">
        <v>0.1</v>
      </c>
      <c r="BH179" s="259">
        <v>0.1</v>
      </c>
      <c r="BI179" s="259">
        <v>0.1</v>
      </c>
      <c r="BJ179" s="259">
        <v>0.1</v>
      </c>
      <c r="BK179" s="259">
        <v>0.1</v>
      </c>
      <c r="BL179" s="259">
        <v>0.1</v>
      </c>
      <c r="BM179" s="259">
        <v>0.1</v>
      </c>
      <c r="BN179" s="259">
        <v>0.1</v>
      </c>
      <c r="BO179" s="260">
        <v>0.1</v>
      </c>
      <c r="BS179">
        <v>176</v>
      </c>
      <c r="BT179" s="270">
        <v>3.55</v>
      </c>
      <c r="BU179" s="271">
        <v>2.4</v>
      </c>
      <c r="BV179" s="2"/>
      <c r="BW179" s="2"/>
      <c r="BX179" s="2"/>
      <c r="BY179" s="258">
        <v>0.1</v>
      </c>
      <c r="BZ179" s="259">
        <v>0.1</v>
      </c>
      <c r="CA179" s="259">
        <v>0.1</v>
      </c>
      <c r="CB179" s="259">
        <v>0.1</v>
      </c>
      <c r="CC179" s="259">
        <v>0.1</v>
      </c>
      <c r="CD179" s="259">
        <v>0.1</v>
      </c>
      <c r="CE179" s="259">
        <v>0.1</v>
      </c>
      <c r="CF179" s="259">
        <v>0.1</v>
      </c>
      <c r="CG179" s="259">
        <v>0.1</v>
      </c>
      <c r="CH179" s="259">
        <v>0.1</v>
      </c>
      <c r="CI179" s="259">
        <v>0.1</v>
      </c>
      <c r="CJ179" s="259">
        <v>0.1</v>
      </c>
      <c r="CK179" s="259">
        <v>0.1</v>
      </c>
      <c r="CL179" s="259">
        <v>0.1</v>
      </c>
      <c r="CM179" s="259">
        <v>0.1</v>
      </c>
      <c r="CN179" s="259">
        <v>0.1</v>
      </c>
      <c r="CO179" s="259">
        <v>0.1</v>
      </c>
      <c r="CP179" s="259">
        <v>0.1</v>
      </c>
      <c r="CQ179" s="259">
        <v>0.1</v>
      </c>
      <c r="CR179" s="259">
        <v>0.1</v>
      </c>
      <c r="CS179" s="259">
        <v>0.1</v>
      </c>
      <c r="CT179" s="259">
        <v>0.1</v>
      </c>
      <c r="CU179" s="259">
        <v>0.1</v>
      </c>
      <c r="CV179" s="259">
        <v>0.1</v>
      </c>
      <c r="CW179" s="259">
        <v>0.1</v>
      </c>
      <c r="CX179" s="259">
        <v>0.1</v>
      </c>
      <c r="CY179" s="259">
        <v>0.1</v>
      </c>
      <c r="CZ179" s="259">
        <v>0.1</v>
      </c>
      <c r="DA179" s="259">
        <v>0.1</v>
      </c>
      <c r="DB179" s="259">
        <v>0.1</v>
      </c>
      <c r="DC179" s="259">
        <v>0.1</v>
      </c>
      <c r="DD179" s="259">
        <v>0.1</v>
      </c>
      <c r="DE179" s="259">
        <v>0.1</v>
      </c>
      <c r="DF179" s="259">
        <v>0.1</v>
      </c>
      <c r="DG179" s="259">
        <v>0.1</v>
      </c>
      <c r="DH179" s="260">
        <v>0.1</v>
      </c>
      <c r="DI179" s="258">
        <v>0.1</v>
      </c>
      <c r="DJ179" s="259">
        <v>0.1</v>
      </c>
      <c r="DK179" s="259">
        <v>0.1</v>
      </c>
      <c r="DL179" s="259">
        <v>0.1</v>
      </c>
      <c r="DM179" s="259">
        <v>0.1</v>
      </c>
      <c r="DN179" s="259">
        <v>0.1</v>
      </c>
      <c r="DO179" s="259">
        <v>0.1</v>
      </c>
      <c r="DP179" s="259">
        <v>0.1</v>
      </c>
      <c r="DQ179" s="259">
        <v>0.1</v>
      </c>
      <c r="DR179" s="259">
        <v>0.1</v>
      </c>
      <c r="DS179" s="259">
        <v>0.1</v>
      </c>
      <c r="DT179" s="259">
        <v>0.1</v>
      </c>
      <c r="DU179" s="259">
        <v>0.1</v>
      </c>
      <c r="DV179" s="259">
        <v>0.1</v>
      </c>
      <c r="DW179" s="259">
        <v>0.1</v>
      </c>
      <c r="DX179" s="259">
        <v>0.1</v>
      </c>
      <c r="DY179" s="259">
        <v>0.1</v>
      </c>
      <c r="DZ179" s="259">
        <v>0.1</v>
      </c>
      <c r="EA179" s="259">
        <v>0.1</v>
      </c>
      <c r="EB179" s="259">
        <v>0.1</v>
      </c>
      <c r="EC179" s="259">
        <v>0.1</v>
      </c>
      <c r="ED179" s="259">
        <v>0.1</v>
      </c>
      <c r="EE179" s="259">
        <v>0.1</v>
      </c>
      <c r="EF179" s="260">
        <v>0.1</v>
      </c>
      <c r="EJ179">
        <v>176</v>
      </c>
      <c r="EN179">
        <v>0.1</v>
      </c>
      <c r="EO179">
        <v>0.1</v>
      </c>
      <c r="EP179">
        <v>0.1</v>
      </c>
      <c r="EQ179">
        <v>0.1</v>
      </c>
      <c r="ER179">
        <v>0.1</v>
      </c>
      <c r="ES179">
        <v>0.1</v>
      </c>
      <c r="ET179">
        <v>0.1</v>
      </c>
      <c r="EU179">
        <v>0.1</v>
      </c>
      <c r="EV179">
        <v>0.1</v>
      </c>
      <c r="EW179">
        <v>0.1</v>
      </c>
      <c r="EX179">
        <v>0.1</v>
      </c>
      <c r="EY179">
        <v>0.1</v>
      </c>
      <c r="EZ179">
        <v>0.1</v>
      </c>
      <c r="FA179">
        <v>0.1</v>
      </c>
      <c r="FB179">
        <v>0.1</v>
      </c>
      <c r="FC179">
        <v>0.1</v>
      </c>
      <c r="FD179">
        <v>0.1</v>
      </c>
      <c r="FE179">
        <v>0.1</v>
      </c>
      <c r="FF179">
        <v>0.1</v>
      </c>
      <c r="FG179">
        <v>0.1</v>
      </c>
      <c r="FH179">
        <v>0.1</v>
      </c>
      <c r="FI179">
        <v>0.1</v>
      </c>
      <c r="FJ179">
        <v>0.1</v>
      </c>
      <c r="FK179">
        <v>0.1</v>
      </c>
      <c r="FL179">
        <v>0.1</v>
      </c>
      <c r="FM179">
        <v>0.1</v>
      </c>
      <c r="FN179">
        <v>0.1</v>
      </c>
      <c r="FO179">
        <v>0.1</v>
      </c>
      <c r="FP179">
        <v>0.1</v>
      </c>
      <c r="FQ179">
        <v>0.1</v>
      </c>
      <c r="FU179">
        <v>176</v>
      </c>
      <c r="GB179">
        <v>0.1</v>
      </c>
      <c r="GC179">
        <v>0.1</v>
      </c>
      <c r="GD179">
        <v>0.1</v>
      </c>
      <c r="GE179">
        <v>0.1</v>
      </c>
      <c r="GF179">
        <v>0.1</v>
      </c>
      <c r="GG179">
        <v>0.1</v>
      </c>
      <c r="GH179">
        <v>0.1</v>
      </c>
      <c r="GI179">
        <v>0.1</v>
      </c>
      <c r="GJ179">
        <v>0.1</v>
      </c>
      <c r="GK179">
        <v>0.1</v>
      </c>
      <c r="GL179">
        <v>0.1</v>
      </c>
      <c r="GM179">
        <v>0.1</v>
      </c>
      <c r="GN179">
        <v>0.1</v>
      </c>
      <c r="GO179">
        <v>0.1</v>
      </c>
      <c r="GP179">
        <v>0.1</v>
      </c>
      <c r="GQ179">
        <v>0.1</v>
      </c>
      <c r="GR179">
        <v>0.1</v>
      </c>
      <c r="GS179">
        <v>0.1</v>
      </c>
      <c r="GT179">
        <v>0.1</v>
      </c>
      <c r="GU179">
        <v>0.1</v>
      </c>
      <c r="GV179">
        <v>0.1</v>
      </c>
      <c r="GW179">
        <v>0.1</v>
      </c>
      <c r="GX179">
        <v>0.1</v>
      </c>
      <c r="GY179">
        <v>0.1</v>
      </c>
      <c r="GZ179">
        <v>0.1</v>
      </c>
      <c r="HA179">
        <v>0.1</v>
      </c>
      <c r="HB179">
        <v>0.1</v>
      </c>
      <c r="HC179">
        <v>0.1</v>
      </c>
      <c r="HD179">
        <v>0.1</v>
      </c>
      <c r="HE179">
        <v>0.1</v>
      </c>
      <c r="HF179">
        <v>0.1</v>
      </c>
      <c r="HG179">
        <v>0.1</v>
      </c>
      <c r="HH179">
        <v>0.1</v>
      </c>
      <c r="HI179">
        <v>0.1</v>
      </c>
      <c r="HJ179">
        <v>0.1</v>
      </c>
      <c r="HK179">
        <v>0.1</v>
      </c>
      <c r="HL179">
        <v>0.1</v>
      </c>
      <c r="HM179">
        <v>0.1</v>
      </c>
      <c r="HN179">
        <v>0.1</v>
      </c>
      <c r="HO179">
        <v>0.1</v>
      </c>
    </row>
    <row r="180" spans="1:223" ht="15.75" thickBot="1" x14ac:dyDescent="0.3">
      <c r="A180">
        <v>177</v>
      </c>
      <c r="B180" s="268">
        <v>1.5</v>
      </c>
      <c r="C180" s="269">
        <v>1.49</v>
      </c>
      <c r="D180" s="269">
        <v>1.49</v>
      </c>
      <c r="E180" s="268">
        <v>1.49</v>
      </c>
      <c r="F180" s="2"/>
      <c r="G180" s="2"/>
      <c r="H180" s="258">
        <v>0.1</v>
      </c>
      <c r="I180" s="259">
        <v>0.1</v>
      </c>
      <c r="J180" s="259">
        <v>0.1</v>
      </c>
      <c r="K180" s="259">
        <v>0.1</v>
      </c>
      <c r="L180" s="259">
        <v>0.1</v>
      </c>
      <c r="M180" s="259">
        <v>0.1</v>
      </c>
      <c r="N180" s="259">
        <v>0.1</v>
      </c>
      <c r="O180" s="259">
        <v>0.1</v>
      </c>
      <c r="P180" s="259">
        <v>0.1</v>
      </c>
      <c r="Q180" s="259">
        <v>0.1</v>
      </c>
      <c r="R180" s="259">
        <v>0.1</v>
      </c>
      <c r="S180" s="259">
        <v>0.1</v>
      </c>
      <c r="T180" s="259">
        <v>0.1</v>
      </c>
      <c r="U180" s="259">
        <v>0.1</v>
      </c>
      <c r="V180" s="260">
        <v>0.1</v>
      </c>
      <c r="W180" s="258">
        <v>0.1</v>
      </c>
      <c r="X180" s="259">
        <v>0.1</v>
      </c>
      <c r="Y180" s="259">
        <v>0.1</v>
      </c>
      <c r="Z180" s="259">
        <v>0.1</v>
      </c>
      <c r="AA180" s="259">
        <v>0.1</v>
      </c>
      <c r="AB180" s="259">
        <v>0.1</v>
      </c>
      <c r="AC180" s="259">
        <v>0.1</v>
      </c>
      <c r="AD180" s="259">
        <v>0.1</v>
      </c>
      <c r="AE180" s="259">
        <v>0.1</v>
      </c>
      <c r="AF180" s="259">
        <v>0.1</v>
      </c>
      <c r="AG180" s="259">
        <v>0.1</v>
      </c>
      <c r="AH180" s="259">
        <v>0.1</v>
      </c>
      <c r="AI180" s="259">
        <v>0.1</v>
      </c>
      <c r="AJ180" s="259">
        <v>0.1</v>
      </c>
      <c r="AK180" s="260">
        <v>0.1</v>
      </c>
      <c r="AL180" s="258">
        <v>0.1</v>
      </c>
      <c r="AM180" s="259">
        <v>0.1</v>
      </c>
      <c r="AN180" s="259">
        <v>0.1</v>
      </c>
      <c r="AO180" s="259">
        <v>0.1</v>
      </c>
      <c r="AP180" s="259">
        <v>0.1</v>
      </c>
      <c r="AQ180" s="259">
        <v>0.1</v>
      </c>
      <c r="AR180" s="259">
        <v>0.1</v>
      </c>
      <c r="AS180" s="259">
        <v>0.1</v>
      </c>
      <c r="AT180" s="259">
        <v>0.1</v>
      </c>
      <c r="AU180" s="259">
        <v>0.1</v>
      </c>
      <c r="AV180" s="259">
        <v>0.1</v>
      </c>
      <c r="AW180" s="259">
        <v>0.1</v>
      </c>
      <c r="AX180" s="259">
        <v>0.1</v>
      </c>
      <c r="AY180" s="259">
        <v>0.1</v>
      </c>
      <c r="AZ180" s="260">
        <v>0.1</v>
      </c>
      <c r="BA180" s="258">
        <v>0.1</v>
      </c>
      <c r="BB180" s="259">
        <v>0.1</v>
      </c>
      <c r="BC180" s="259">
        <v>0.1</v>
      </c>
      <c r="BD180" s="259">
        <v>0.1</v>
      </c>
      <c r="BE180" s="259">
        <v>0.1</v>
      </c>
      <c r="BF180" s="259">
        <v>0.1</v>
      </c>
      <c r="BG180" s="259">
        <v>0.1</v>
      </c>
      <c r="BH180" s="259">
        <v>0.1</v>
      </c>
      <c r="BI180" s="259">
        <v>0.1</v>
      </c>
      <c r="BJ180" s="259">
        <v>0.1</v>
      </c>
      <c r="BK180" s="259">
        <v>0.1</v>
      </c>
      <c r="BL180" s="259">
        <v>0.1</v>
      </c>
      <c r="BM180" s="259">
        <v>0.1</v>
      </c>
      <c r="BN180" s="259">
        <v>0.1</v>
      </c>
      <c r="BO180" s="260">
        <v>0.1</v>
      </c>
      <c r="BS180">
        <v>177</v>
      </c>
      <c r="BT180" s="271">
        <v>3.54</v>
      </c>
      <c r="BU180" s="270">
        <v>2.4</v>
      </c>
      <c r="BV180" s="2"/>
      <c r="BW180" s="2"/>
      <c r="BX180" s="2"/>
      <c r="BY180" s="258">
        <v>0.1</v>
      </c>
      <c r="BZ180" s="259">
        <v>0.1</v>
      </c>
      <c r="CA180" s="259">
        <v>0.1</v>
      </c>
      <c r="CB180" s="259">
        <v>0.1</v>
      </c>
      <c r="CC180" s="259">
        <v>0.1</v>
      </c>
      <c r="CD180" s="259">
        <v>0.1</v>
      </c>
      <c r="CE180" s="259">
        <v>0.1</v>
      </c>
      <c r="CF180" s="259">
        <v>0.1</v>
      </c>
      <c r="CG180" s="259">
        <v>0.1</v>
      </c>
      <c r="CH180" s="259">
        <v>0.1</v>
      </c>
      <c r="CI180" s="259">
        <v>0.1</v>
      </c>
      <c r="CJ180" s="259">
        <v>0.1</v>
      </c>
      <c r="CK180" s="259">
        <v>0.1</v>
      </c>
      <c r="CL180" s="259">
        <v>0.1</v>
      </c>
      <c r="CM180" s="259">
        <v>0.1</v>
      </c>
      <c r="CN180" s="259">
        <v>0.1</v>
      </c>
      <c r="CO180" s="259">
        <v>0.1</v>
      </c>
      <c r="CP180" s="259">
        <v>0.1</v>
      </c>
      <c r="CQ180" s="259">
        <v>0.1</v>
      </c>
      <c r="CR180" s="259">
        <v>0.1</v>
      </c>
      <c r="CS180" s="259">
        <v>0.1</v>
      </c>
      <c r="CT180" s="259">
        <v>0.1</v>
      </c>
      <c r="CU180" s="259">
        <v>0.1</v>
      </c>
      <c r="CV180" s="259">
        <v>0.1</v>
      </c>
      <c r="CW180" s="259">
        <v>0.1</v>
      </c>
      <c r="CX180" s="259">
        <v>0.1</v>
      </c>
      <c r="CY180" s="259">
        <v>0.1</v>
      </c>
      <c r="CZ180" s="259">
        <v>0.1</v>
      </c>
      <c r="DA180" s="259">
        <v>0.1</v>
      </c>
      <c r="DB180" s="259">
        <v>0.1</v>
      </c>
      <c r="DC180" s="259">
        <v>0.1</v>
      </c>
      <c r="DD180" s="259">
        <v>0.1</v>
      </c>
      <c r="DE180" s="259">
        <v>0.1</v>
      </c>
      <c r="DF180" s="259">
        <v>0.1</v>
      </c>
      <c r="DG180" s="259">
        <v>0.1</v>
      </c>
      <c r="DH180" s="260">
        <v>0.1</v>
      </c>
      <c r="DI180" s="258">
        <v>0.1</v>
      </c>
      <c r="DJ180" s="259">
        <v>0.1</v>
      </c>
      <c r="DK180" s="259">
        <v>0.1</v>
      </c>
      <c r="DL180" s="259">
        <v>0.1</v>
      </c>
      <c r="DM180" s="259">
        <v>0.1</v>
      </c>
      <c r="DN180" s="259">
        <v>0.1</v>
      </c>
      <c r="DO180" s="259">
        <v>0.1</v>
      </c>
      <c r="DP180" s="259">
        <v>0.1</v>
      </c>
      <c r="DQ180" s="259">
        <v>0.1</v>
      </c>
      <c r="DR180" s="259">
        <v>0.1</v>
      </c>
      <c r="DS180" s="259">
        <v>0.1</v>
      </c>
      <c r="DT180" s="259">
        <v>0.1</v>
      </c>
      <c r="DU180" s="259">
        <v>0.1</v>
      </c>
      <c r="DV180" s="259">
        <v>0.1</v>
      </c>
      <c r="DW180" s="259">
        <v>0.1</v>
      </c>
      <c r="DX180" s="259">
        <v>0.1</v>
      </c>
      <c r="DY180" s="259">
        <v>0.1</v>
      </c>
      <c r="DZ180" s="259">
        <v>0.1</v>
      </c>
      <c r="EA180" s="259">
        <v>0.1</v>
      </c>
      <c r="EB180" s="259">
        <v>0.1</v>
      </c>
      <c r="EC180" s="259">
        <v>0.1</v>
      </c>
      <c r="ED180" s="259">
        <v>0.1</v>
      </c>
      <c r="EE180" s="259">
        <v>0.1</v>
      </c>
      <c r="EF180" s="260">
        <v>0.1</v>
      </c>
      <c r="EJ180">
        <v>177</v>
      </c>
      <c r="EN180">
        <v>0.1</v>
      </c>
      <c r="EO180">
        <v>0.1</v>
      </c>
      <c r="EP180">
        <v>0.1</v>
      </c>
      <c r="EQ180">
        <v>0.1</v>
      </c>
      <c r="ER180">
        <v>0.1</v>
      </c>
      <c r="ES180">
        <v>0.1</v>
      </c>
      <c r="ET180">
        <v>0.1</v>
      </c>
      <c r="EU180">
        <v>0.1</v>
      </c>
      <c r="EV180">
        <v>0.1</v>
      </c>
      <c r="EW180">
        <v>0.1</v>
      </c>
      <c r="EX180">
        <v>0.1</v>
      </c>
      <c r="EY180">
        <v>0.1</v>
      </c>
      <c r="EZ180">
        <v>0.1</v>
      </c>
      <c r="FA180">
        <v>0.1</v>
      </c>
      <c r="FB180">
        <v>0.1</v>
      </c>
      <c r="FC180">
        <v>0.1</v>
      </c>
      <c r="FD180">
        <v>0.1</v>
      </c>
      <c r="FE180">
        <v>0.1</v>
      </c>
      <c r="FF180">
        <v>0.1</v>
      </c>
      <c r="FG180">
        <v>0.1</v>
      </c>
      <c r="FH180">
        <v>0.1</v>
      </c>
      <c r="FI180">
        <v>0.1</v>
      </c>
      <c r="FJ180">
        <v>0.1</v>
      </c>
      <c r="FK180">
        <v>0.1</v>
      </c>
      <c r="FL180">
        <v>0.1</v>
      </c>
      <c r="FM180">
        <v>0.1</v>
      </c>
      <c r="FN180">
        <v>0.1</v>
      </c>
      <c r="FO180">
        <v>0.1</v>
      </c>
      <c r="FP180">
        <v>0.1</v>
      </c>
      <c r="FQ180">
        <v>0.1</v>
      </c>
      <c r="FU180">
        <v>177</v>
      </c>
      <c r="GB180">
        <v>0.1</v>
      </c>
      <c r="GC180">
        <v>0.1</v>
      </c>
      <c r="GD180">
        <v>0.1</v>
      </c>
      <c r="GE180">
        <v>0.1</v>
      </c>
      <c r="GF180">
        <v>0.1</v>
      </c>
      <c r="GG180">
        <v>0.1</v>
      </c>
      <c r="GH180">
        <v>0.1</v>
      </c>
      <c r="GI180">
        <v>0.1</v>
      </c>
      <c r="GJ180">
        <v>0.1</v>
      </c>
      <c r="GK180">
        <v>0.1</v>
      </c>
      <c r="GL180">
        <v>0.1</v>
      </c>
      <c r="GM180">
        <v>0.1</v>
      </c>
      <c r="GN180">
        <v>0.1</v>
      </c>
      <c r="GO180">
        <v>0.1</v>
      </c>
      <c r="GP180">
        <v>0.1</v>
      </c>
      <c r="GQ180">
        <v>0.1</v>
      </c>
      <c r="GR180">
        <v>0.1</v>
      </c>
      <c r="GS180">
        <v>0.1</v>
      </c>
      <c r="GT180">
        <v>0.1</v>
      </c>
      <c r="GU180">
        <v>0.1</v>
      </c>
      <c r="GV180">
        <v>0.1</v>
      </c>
      <c r="GW180">
        <v>0.1</v>
      </c>
      <c r="GX180">
        <v>0.1</v>
      </c>
      <c r="GY180">
        <v>0.1</v>
      </c>
      <c r="GZ180">
        <v>0.1</v>
      </c>
      <c r="HA180">
        <v>0.1</v>
      </c>
      <c r="HB180">
        <v>0.1</v>
      </c>
      <c r="HC180">
        <v>0.1</v>
      </c>
      <c r="HD180">
        <v>0.1</v>
      </c>
      <c r="HE180">
        <v>0.1</v>
      </c>
      <c r="HF180">
        <v>0.1</v>
      </c>
      <c r="HG180">
        <v>0.1</v>
      </c>
      <c r="HH180">
        <v>0.1</v>
      </c>
      <c r="HI180">
        <v>0.1</v>
      </c>
      <c r="HJ180">
        <v>0.1</v>
      </c>
      <c r="HK180">
        <v>0.1</v>
      </c>
      <c r="HL180">
        <v>0.1</v>
      </c>
      <c r="HM180">
        <v>0.1</v>
      </c>
      <c r="HN180">
        <v>0.1</v>
      </c>
      <c r="HO180">
        <v>0.1</v>
      </c>
    </row>
    <row r="181" spans="1:223" ht="15.75" thickBot="1" x14ac:dyDescent="0.3">
      <c r="A181">
        <v>178</v>
      </c>
      <c r="B181" s="269">
        <v>1.5</v>
      </c>
      <c r="C181" s="268">
        <v>1.49</v>
      </c>
      <c r="D181" s="268">
        <v>1.49</v>
      </c>
      <c r="E181" s="269">
        <v>1.49</v>
      </c>
      <c r="F181" s="2"/>
      <c r="G181" s="2"/>
      <c r="H181" s="258">
        <v>0.1</v>
      </c>
      <c r="I181" s="259">
        <v>0.1</v>
      </c>
      <c r="J181" s="259">
        <v>0.1</v>
      </c>
      <c r="K181" s="259">
        <v>0.1</v>
      </c>
      <c r="L181" s="259">
        <v>0.1</v>
      </c>
      <c r="M181" s="259">
        <v>0.1</v>
      </c>
      <c r="N181" s="259">
        <v>0.1</v>
      </c>
      <c r="O181" s="259">
        <v>0.1</v>
      </c>
      <c r="P181" s="259">
        <v>0.1</v>
      </c>
      <c r="Q181" s="259">
        <v>0.1</v>
      </c>
      <c r="R181" s="259">
        <v>0.1</v>
      </c>
      <c r="S181" s="259">
        <v>0.1</v>
      </c>
      <c r="T181" s="259">
        <v>0.1</v>
      </c>
      <c r="U181" s="259">
        <v>0.1</v>
      </c>
      <c r="V181" s="260">
        <v>0.1</v>
      </c>
      <c r="W181" s="258">
        <v>0.1</v>
      </c>
      <c r="X181" s="259">
        <v>0.1</v>
      </c>
      <c r="Y181" s="259">
        <v>0.1</v>
      </c>
      <c r="Z181" s="259">
        <v>0.1</v>
      </c>
      <c r="AA181" s="259">
        <v>0.1</v>
      </c>
      <c r="AB181" s="259">
        <v>0.1</v>
      </c>
      <c r="AC181" s="259">
        <v>0.1</v>
      </c>
      <c r="AD181" s="259">
        <v>0.1</v>
      </c>
      <c r="AE181" s="259">
        <v>0.1</v>
      </c>
      <c r="AF181" s="259">
        <v>0.1</v>
      </c>
      <c r="AG181" s="259">
        <v>0.1</v>
      </c>
      <c r="AH181" s="259">
        <v>0.1</v>
      </c>
      <c r="AI181" s="259">
        <v>0.1</v>
      </c>
      <c r="AJ181" s="259">
        <v>0.1</v>
      </c>
      <c r="AK181" s="260">
        <v>0.1</v>
      </c>
      <c r="AL181" s="258">
        <v>0.1</v>
      </c>
      <c r="AM181" s="259">
        <v>0.1</v>
      </c>
      <c r="AN181" s="259">
        <v>0.1</v>
      </c>
      <c r="AO181" s="259">
        <v>0.1</v>
      </c>
      <c r="AP181" s="259">
        <v>0.1</v>
      </c>
      <c r="AQ181" s="259">
        <v>0.1</v>
      </c>
      <c r="AR181" s="259">
        <v>0.1</v>
      </c>
      <c r="AS181" s="259">
        <v>0.1</v>
      </c>
      <c r="AT181" s="259">
        <v>0.1</v>
      </c>
      <c r="AU181" s="259">
        <v>0.1</v>
      </c>
      <c r="AV181" s="259">
        <v>0.1</v>
      </c>
      <c r="AW181" s="259">
        <v>0.1</v>
      </c>
      <c r="AX181" s="259">
        <v>0.1</v>
      </c>
      <c r="AY181" s="259">
        <v>0.1</v>
      </c>
      <c r="AZ181" s="260">
        <v>0.1</v>
      </c>
      <c r="BA181" s="258">
        <v>0.1</v>
      </c>
      <c r="BB181" s="259">
        <v>0.1</v>
      </c>
      <c r="BC181" s="259">
        <v>0.1</v>
      </c>
      <c r="BD181" s="259">
        <v>0.1</v>
      </c>
      <c r="BE181" s="259">
        <v>0.1</v>
      </c>
      <c r="BF181" s="259">
        <v>0.1</v>
      </c>
      <c r="BG181" s="259">
        <v>0.1</v>
      </c>
      <c r="BH181" s="259">
        <v>0.1</v>
      </c>
      <c r="BI181" s="259">
        <v>0.1</v>
      </c>
      <c r="BJ181" s="259">
        <v>0.1</v>
      </c>
      <c r="BK181" s="259">
        <v>0.1</v>
      </c>
      <c r="BL181" s="259">
        <v>0.1</v>
      </c>
      <c r="BM181" s="259">
        <v>0.1</v>
      </c>
      <c r="BN181" s="259">
        <v>0.1</v>
      </c>
      <c r="BO181" s="260">
        <v>0.1</v>
      </c>
      <c r="BS181">
        <v>178</v>
      </c>
      <c r="BT181" s="270">
        <v>3.53</v>
      </c>
      <c r="BU181" s="271">
        <v>2.4</v>
      </c>
      <c r="BV181" s="2"/>
      <c r="BW181" s="2"/>
      <c r="BX181" s="2"/>
      <c r="BY181" s="258">
        <v>0.1</v>
      </c>
      <c r="BZ181" s="259">
        <v>0.1</v>
      </c>
      <c r="CA181" s="259">
        <v>0.1</v>
      </c>
      <c r="CB181" s="259">
        <v>0.1</v>
      </c>
      <c r="CC181" s="259">
        <v>0.1</v>
      </c>
      <c r="CD181" s="259">
        <v>0.1</v>
      </c>
      <c r="CE181" s="259">
        <v>0.1</v>
      </c>
      <c r="CF181" s="259">
        <v>0.1</v>
      </c>
      <c r="CG181" s="259">
        <v>0.1</v>
      </c>
      <c r="CH181" s="259">
        <v>0.1</v>
      </c>
      <c r="CI181" s="259">
        <v>0.1</v>
      </c>
      <c r="CJ181" s="259">
        <v>0.1</v>
      </c>
      <c r="CK181" s="259">
        <v>0.1</v>
      </c>
      <c r="CL181" s="259">
        <v>0.1</v>
      </c>
      <c r="CM181" s="259">
        <v>0.1</v>
      </c>
      <c r="CN181" s="259">
        <v>0.1</v>
      </c>
      <c r="CO181" s="259">
        <v>0.1</v>
      </c>
      <c r="CP181" s="259">
        <v>0.1</v>
      </c>
      <c r="CQ181" s="259">
        <v>0.1</v>
      </c>
      <c r="CR181" s="259">
        <v>0.1</v>
      </c>
      <c r="CS181" s="259">
        <v>0.1</v>
      </c>
      <c r="CT181" s="259">
        <v>0.1</v>
      </c>
      <c r="CU181" s="259">
        <v>0.1</v>
      </c>
      <c r="CV181" s="259">
        <v>0.1</v>
      </c>
      <c r="CW181" s="259">
        <v>0.1</v>
      </c>
      <c r="CX181" s="259">
        <v>0.1</v>
      </c>
      <c r="CY181" s="259">
        <v>0.1</v>
      </c>
      <c r="CZ181" s="259">
        <v>0.1</v>
      </c>
      <c r="DA181" s="259">
        <v>0.1</v>
      </c>
      <c r="DB181" s="259">
        <v>0.1</v>
      </c>
      <c r="DC181" s="259">
        <v>0.1</v>
      </c>
      <c r="DD181" s="259">
        <v>0.1</v>
      </c>
      <c r="DE181" s="259">
        <v>0.1</v>
      </c>
      <c r="DF181" s="259">
        <v>0.1</v>
      </c>
      <c r="DG181" s="259">
        <v>0.1</v>
      </c>
      <c r="DH181" s="260">
        <v>0.1</v>
      </c>
      <c r="DI181" s="258">
        <v>0.1</v>
      </c>
      <c r="DJ181" s="259">
        <v>0.1</v>
      </c>
      <c r="DK181" s="259">
        <v>0.1</v>
      </c>
      <c r="DL181" s="259">
        <v>0.1</v>
      </c>
      <c r="DM181" s="259">
        <v>0.1</v>
      </c>
      <c r="DN181" s="259">
        <v>0.1</v>
      </c>
      <c r="DO181" s="259">
        <v>0.1</v>
      </c>
      <c r="DP181" s="259">
        <v>0.1</v>
      </c>
      <c r="DQ181" s="259">
        <v>0.1</v>
      </c>
      <c r="DR181" s="259">
        <v>0.1</v>
      </c>
      <c r="DS181" s="259">
        <v>0.1</v>
      </c>
      <c r="DT181" s="259">
        <v>0.1</v>
      </c>
      <c r="DU181" s="259">
        <v>0.1</v>
      </c>
      <c r="DV181" s="259">
        <v>0.1</v>
      </c>
      <c r="DW181" s="259">
        <v>0.1</v>
      </c>
      <c r="DX181" s="259">
        <v>0.1</v>
      </c>
      <c r="DY181" s="259">
        <v>0.1</v>
      </c>
      <c r="DZ181" s="259">
        <v>0.1</v>
      </c>
      <c r="EA181" s="259">
        <v>0.1</v>
      </c>
      <c r="EB181" s="259">
        <v>0.1</v>
      </c>
      <c r="EC181" s="259">
        <v>0.1</v>
      </c>
      <c r="ED181" s="259">
        <v>0.1</v>
      </c>
      <c r="EE181" s="259">
        <v>0.1</v>
      </c>
      <c r="EF181" s="260">
        <v>0.1</v>
      </c>
      <c r="EJ181">
        <v>178</v>
      </c>
      <c r="EN181">
        <v>0.1</v>
      </c>
      <c r="EO181">
        <v>0.1</v>
      </c>
      <c r="EP181">
        <v>0.1</v>
      </c>
      <c r="EQ181">
        <v>0.1</v>
      </c>
      <c r="ER181">
        <v>0.1</v>
      </c>
      <c r="ES181">
        <v>0.1</v>
      </c>
      <c r="ET181">
        <v>0.1</v>
      </c>
      <c r="EU181">
        <v>0.1</v>
      </c>
      <c r="EV181">
        <v>0.1</v>
      </c>
      <c r="EW181">
        <v>0.1</v>
      </c>
      <c r="EX181">
        <v>0.1</v>
      </c>
      <c r="EY181">
        <v>0.1</v>
      </c>
      <c r="EZ181">
        <v>0.1</v>
      </c>
      <c r="FA181">
        <v>0.1</v>
      </c>
      <c r="FB181">
        <v>0.1</v>
      </c>
      <c r="FC181">
        <v>0.1</v>
      </c>
      <c r="FD181">
        <v>0.1</v>
      </c>
      <c r="FE181">
        <v>0.1</v>
      </c>
      <c r="FF181">
        <v>0.1</v>
      </c>
      <c r="FG181">
        <v>0.1</v>
      </c>
      <c r="FH181">
        <v>0.1</v>
      </c>
      <c r="FI181">
        <v>0.1</v>
      </c>
      <c r="FJ181">
        <v>0.1</v>
      </c>
      <c r="FK181">
        <v>0.1</v>
      </c>
      <c r="FL181">
        <v>0.1</v>
      </c>
      <c r="FM181">
        <v>0.1</v>
      </c>
      <c r="FN181">
        <v>0.1</v>
      </c>
      <c r="FO181">
        <v>0.1</v>
      </c>
      <c r="FP181">
        <v>0.1</v>
      </c>
      <c r="FQ181">
        <v>0.1</v>
      </c>
      <c r="FU181">
        <v>178</v>
      </c>
      <c r="GB181">
        <v>0.1</v>
      </c>
      <c r="GC181">
        <v>0.1</v>
      </c>
      <c r="GD181">
        <v>0.1</v>
      </c>
      <c r="GE181">
        <v>0.1</v>
      </c>
      <c r="GF181">
        <v>0.1</v>
      </c>
      <c r="GG181">
        <v>0.1</v>
      </c>
      <c r="GH181">
        <v>0.1</v>
      </c>
      <c r="GI181">
        <v>0.1</v>
      </c>
      <c r="GJ181">
        <v>0.1</v>
      </c>
      <c r="GK181">
        <v>0.1</v>
      </c>
      <c r="GL181">
        <v>0.1</v>
      </c>
      <c r="GM181">
        <v>0.1</v>
      </c>
      <c r="GN181">
        <v>0.1</v>
      </c>
      <c r="GO181">
        <v>0.1</v>
      </c>
      <c r="GP181">
        <v>0.1</v>
      </c>
      <c r="GQ181">
        <v>0.1</v>
      </c>
      <c r="GR181">
        <v>0.1</v>
      </c>
      <c r="GS181">
        <v>0.1</v>
      </c>
      <c r="GT181">
        <v>0.1</v>
      </c>
      <c r="GU181">
        <v>0.1</v>
      </c>
      <c r="GV181">
        <v>0.1</v>
      </c>
      <c r="GW181">
        <v>0.1</v>
      </c>
      <c r="GX181">
        <v>0.1</v>
      </c>
      <c r="GY181">
        <v>0.1</v>
      </c>
      <c r="GZ181">
        <v>0.1</v>
      </c>
      <c r="HA181">
        <v>0.1</v>
      </c>
      <c r="HB181">
        <v>0.1</v>
      </c>
      <c r="HC181">
        <v>0.1</v>
      </c>
      <c r="HD181">
        <v>0.1</v>
      </c>
      <c r="HE181">
        <v>0.1</v>
      </c>
      <c r="HF181">
        <v>0.1</v>
      </c>
      <c r="HG181">
        <v>0.1</v>
      </c>
      <c r="HH181">
        <v>0.1</v>
      </c>
      <c r="HI181">
        <v>0.1</v>
      </c>
      <c r="HJ181">
        <v>0.1</v>
      </c>
      <c r="HK181">
        <v>0.1</v>
      </c>
      <c r="HL181">
        <v>0.1</v>
      </c>
      <c r="HM181">
        <v>0.1</v>
      </c>
      <c r="HN181">
        <v>0.1</v>
      </c>
      <c r="HO181">
        <v>0.1</v>
      </c>
    </row>
    <row r="182" spans="1:223" ht="15.75" thickBot="1" x14ac:dyDescent="0.3">
      <c r="A182">
        <v>179</v>
      </c>
      <c r="B182" s="268">
        <v>1.5</v>
      </c>
      <c r="C182" s="269">
        <v>1.49</v>
      </c>
      <c r="D182" s="269">
        <v>1.49</v>
      </c>
      <c r="E182" s="268">
        <v>1.49</v>
      </c>
      <c r="F182" s="2"/>
      <c r="G182" s="2"/>
      <c r="H182" s="258">
        <v>0.1</v>
      </c>
      <c r="I182" s="259">
        <v>0.1</v>
      </c>
      <c r="J182" s="259">
        <v>0.1</v>
      </c>
      <c r="K182" s="259">
        <v>0.1</v>
      </c>
      <c r="L182" s="259">
        <v>0.1</v>
      </c>
      <c r="M182" s="259">
        <v>0.1</v>
      </c>
      <c r="N182" s="259">
        <v>0.1</v>
      </c>
      <c r="O182" s="259">
        <v>0.1</v>
      </c>
      <c r="P182" s="259">
        <v>0.1</v>
      </c>
      <c r="Q182" s="259">
        <v>0.1</v>
      </c>
      <c r="R182" s="259">
        <v>0.1</v>
      </c>
      <c r="S182" s="259">
        <v>0.1</v>
      </c>
      <c r="T182" s="259">
        <v>0.1</v>
      </c>
      <c r="U182" s="259">
        <v>0.1</v>
      </c>
      <c r="V182" s="260">
        <v>0.1</v>
      </c>
      <c r="W182" s="258">
        <v>0.1</v>
      </c>
      <c r="X182" s="259">
        <v>0.1</v>
      </c>
      <c r="Y182" s="259">
        <v>0.1</v>
      </c>
      <c r="Z182" s="259">
        <v>0.1</v>
      </c>
      <c r="AA182" s="259">
        <v>0.1</v>
      </c>
      <c r="AB182" s="259">
        <v>0.1</v>
      </c>
      <c r="AC182" s="259">
        <v>0.1</v>
      </c>
      <c r="AD182" s="259">
        <v>0.1</v>
      </c>
      <c r="AE182" s="259">
        <v>0.1</v>
      </c>
      <c r="AF182" s="259">
        <v>0.1</v>
      </c>
      <c r="AG182" s="259">
        <v>0.1</v>
      </c>
      <c r="AH182" s="259">
        <v>0.1</v>
      </c>
      <c r="AI182" s="259">
        <v>0.1</v>
      </c>
      <c r="AJ182" s="259">
        <v>0.1</v>
      </c>
      <c r="AK182" s="260">
        <v>0.1</v>
      </c>
      <c r="AL182" s="258">
        <v>0.1</v>
      </c>
      <c r="AM182" s="259">
        <v>0.1</v>
      </c>
      <c r="AN182" s="259">
        <v>0.1</v>
      </c>
      <c r="AO182" s="259">
        <v>0.1</v>
      </c>
      <c r="AP182" s="259">
        <v>0.1</v>
      </c>
      <c r="AQ182" s="259">
        <v>0.1</v>
      </c>
      <c r="AR182" s="259">
        <v>0.1</v>
      </c>
      <c r="AS182" s="259">
        <v>0.1</v>
      </c>
      <c r="AT182" s="259">
        <v>0.1</v>
      </c>
      <c r="AU182" s="259">
        <v>0.1</v>
      </c>
      <c r="AV182" s="259">
        <v>0.1</v>
      </c>
      <c r="AW182" s="259">
        <v>0.1</v>
      </c>
      <c r="AX182" s="259">
        <v>0.1</v>
      </c>
      <c r="AY182" s="259">
        <v>0.1</v>
      </c>
      <c r="AZ182" s="260">
        <v>0.1</v>
      </c>
      <c r="BA182" s="258">
        <v>0.1</v>
      </c>
      <c r="BB182" s="259">
        <v>0.1</v>
      </c>
      <c r="BC182" s="259">
        <v>0.1</v>
      </c>
      <c r="BD182" s="259">
        <v>0.1</v>
      </c>
      <c r="BE182" s="259">
        <v>0.1</v>
      </c>
      <c r="BF182" s="259">
        <v>0.1</v>
      </c>
      <c r="BG182" s="259">
        <v>0.1</v>
      </c>
      <c r="BH182" s="259">
        <v>0.1</v>
      </c>
      <c r="BI182" s="259">
        <v>0.1</v>
      </c>
      <c r="BJ182" s="259">
        <v>0.1</v>
      </c>
      <c r="BK182" s="259">
        <v>0.1</v>
      </c>
      <c r="BL182" s="259">
        <v>0.1</v>
      </c>
      <c r="BM182" s="259">
        <v>0.1</v>
      </c>
      <c r="BN182" s="259">
        <v>0.1</v>
      </c>
      <c r="BO182" s="260">
        <v>0.1</v>
      </c>
      <c r="BS182">
        <v>179</v>
      </c>
      <c r="BT182" s="271">
        <v>3.53</v>
      </c>
      <c r="BU182" s="270">
        <v>2.4</v>
      </c>
      <c r="BV182" s="2"/>
      <c r="BW182" s="2"/>
      <c r="BX182" s="2"/>
      <c r="BY182" s="258">
        <v>0.1</v>
      </c>
      <c r="BZ182" s="259">
        <v>0.1</v>
      </c>
      <c r="CA182" s="259">
        <v>0.1</v>
      </c>
      <c r="CB182" s="259">
        <v>0.1</v>
      </c>
      <c r="CC182" s="259">
        <v>0.1</v>
      </c>
      <c r="CD182" s="259">
        <v>0.1</v>
      </c>
      <c r="CE182" s="259">
        <v>0.1</v>
      </c>
      <c r="CF182" s="259">
        <v>0.1</v>
      </c>
      <c r="CG182" s="259">
        <v>0.1</v>
      </c>
      <c r="CH182" s="259">
        <v>0.1</v>
      </c>
      <c r="CI182" s="259">
        <v>0.1</v>
      </c>
      <c r="CJ182" s="259">
        <v>0.1</v>
      </c>
      <c r="CK182" s="259">
        <v>0.1</v>
      </c>
      <c r="CL182" s="259">
        <v>0.1</v>
      </c>
      <c r="CM182" s="259">
        <v>0.1</v>
      </c>
      <c r="CN182" s="259">
        <v>0.1</v>
      </c>
      <c r="CO182" s="259">
        <v>0.1</v>
      </c>
      <c r="CP182" s="259">
        <v>0.1</v>
      </c>
      <c r="CQ182" s="259">
        <v>0.1</v>
      </c>
      <c r="CR182" s="259">
        <v>0.1</v>
      </c>
      <c r="CS182" s="259">
        <v>0.1</v>
      </c>
      <c r="CT182" s="259">
        <v>0.1</v>
      </c>
      <c r="CU182" s="259">
        <v>0.1</v>
      </c>
      <c r="CV182" s="259">
        <v>0.1</v>
      </c>
      <c r="CW182" s="259">
        <v>0.1</v>
      </c>
      <c r="CX182" s="259">
        <v>0.1</v>
      </c>
      <c r="CY182" s="259">
        <v>0.1</v>
      </c>
      <c r="CZ182" s="259">
        <v>0.1</v>
      </c>
      <c r="DA182" s="259">
        <v>0.1</v>
      </c>
      <c r="DB182" s="259">
        <v>0.1</v>
      </c>
      <c r="DC182" s="259">
        <v>0.1</v>
      </c>
      <c r="DD182" s="259">
        <v>0.1</v>
      </c>
      <c r="DE182" s="259">
        <v>0.1</v>
      </c>
      <c r="DF182" s="259">
        <v>0.1</v>
      </c>
      <c r="DG182" s="259">
        <v>0.1</v>
      </c>
      <c r="DH182" s="260">
        <v>0.1</v>
      </c>
      <c r="DI182" s="258">
        <v>0.1</v>
      </c>
      <c r="DJ182" s="259">
        <v>0.1</v>
      </c>
      <c r="DK182" s="259">
        <v>0.1</v>
      </c>
      <c r="DL182" s="259">
        <v>0.1</v>
      </c>
      <c r="DM182" s="259">
        <v>0.1</v>
      </c>
      <c r="DN182" s="259">
        <v>0.1</v>
      </c>
      <c r="DO182" s="259">
        <v>0.1</v>
      </c>
      <c r="DP182" s="259">
        <v>0.1</v>
      </c>
      <c r="DQ182" s="259">
        <v>0.1</v>
      </c>
      <c r="DR182" s="259">
        <v>0.1</v>
      </c>
      <c r="DS182" s="259">
        <v>0.1</v>
      </c>
      <c r="DT182" s="259">
        <v>0.1</v>
      </c>
      <c r="DU182" s="259">
        <v>0.1</v>
      </c>
      <c r="DV182" s="259">
        <v>0.1</v>
      </c>
      <c r="DW182" s="259">
        <v>0.1</v>
      </c>
      <c r="DX182" s="259">
        <v>0.1</v>
      </c>
      <c r="DY182" s="259">
        <v>0.1</v>
      </c>
      <c r="DZ182" s="259">
        <v>0.1</v>
      </c>
      <c r="EA182" s="259">
        <v>0.1</v>
      </c>
      <c r="EB182" s="259">
        <v>0.1</v>
      </c>
      <c r="EC182" s="259">
        <v>0.1</v>
      </c>
      <c r="ED182" s="259">
        <v>0.1</v>
      </c>
      <c r="EE182" s="259">
        <v>0.1</v>
      </c>
      <c r="EF182" s="260">
        <v>0.1</v>
      </c>
      <c r="EJ182">
        <v>179</v>
      </c>
      <c r="EN182">
        <v>0.1</v>
      </c>
      <c r="EO182">
        <v>0.1</v>
      </c>
      <c r="EP182">
        <v>0.1</v>
      </c>
      <c r="EQ182">
        <v>0.1</v>
      </c>
      <c r="ER182">
        <v>0.1</v>
      </c>
      <c r="ES182">
        <v>0.1</v>
      </c>
      <c r="ET182">
        <v>0.1</v>
      </c>
      <c r="EU182">
        <v>0.1</v>
      </c>
      <c r="EV182">
        <v>0.1</v>
      </c>
      <c r="EW182">
        <v>0.1</v>
      </c>
      <c r="EX182">
        <v>0.1</v>
      </c>
      <c r="EY182">
        <v>0.1</v>
      </c>
      <c r="EZ182">
        <v>0.1</v>
      </c>
      <c r="FA182">
        <v>0.1</v>
      </c>
      <c r="FB182">
        <v>0.1</v>
      </c>
      <c r="FC182">
        <v>0.1</v>
      </c>
      <c r="FD182">
        <v>0.1</v>
      </c>
      <c r="FE182">
        <v>0.1</v>
      </c>
      <c r="FF182">
        <v>0.1</v>
      </c>
      <c r="FG182">
        <v>0.1</v>
      </c>
      <c r="FH182">
        <v>0.1</v>
      </c>
      <c r="FI182">
        <v>0.1</v>
      </c>
      <c r="FJ182">
        <v>0.1</v>
      </c>
      <c r="FK182">
        <v>0.1</v>
      </c>
      <c r="FL182">
        <v>0.1</v>
      </c>
      <c r="FM182">
        <v>0.1</v>
      </c>
      <c r="FN182">
        <v>0.1</v>
      </c>
      <c r="FO182">
        <v>0.1</v>
      </c>
      <c r="FP182">
        <v>0.1</v>
      </c>
      <c r="FQ182">
        <v>0.1</v>
      </c>
      <c r="FU182">
        <v>179</v>
      </c>
      <c r="GB182">
        <v>0.1</v>
      </c>
      <c r="GC182">
        <v>0.1</v>
      </c>
      <c r="GD182">
        <v>0.1</v>
      </c>
      <c r="GE182">
        <v>0.1</v>
      </c>
      <c r="GF182">
        <v>0.1</v>
      </c>
      <c r="GG182">
        <v>0.1</v>
      </c>
      <c r="GH182">
        <v>0.1</v>
      </c>
      <c r="GI182">
        <v>0.1</v>
      </c>
      <c r="GJ182">
        <v>0.1</v>
      </c>
      <c r="GK182">
        <v>0.1</v>
      </c>
      <c r="GL182">
        <v>0.1</v>
      </c>
      <c r="GM182">
        <v>0.1</v>
      </c>
      <c r="GN182">
        <v>0.1</v>
      </c>
      <c r="GO182">
        <v>0.1</v>
      </c>
      <c r="GP182">
        <v>0.1</v>
      </c>
      <c r="GQ182">
        <v>0.1</v>
      </c>
      <c r="GR182">
        <v>0.1</v>
      </c>
      <c r="GS182">
        <v>0.1</v>
      </c>
      <c r="GT182">
        <v>0.1</v>
      </c>
      <c r="GU182">
        <v>0.1</v>
      </c>
      <c r="GV182">
        <v>0.1</v>
      </c>
      <c r="GW182">
        <v>0.1</v>
      </c>
      <c r="GX182">
        <v>0.1</v>
      </c>
      <c r="GY182">
        <v>0.1</v>
      </c>
      <c r="GZ182">
        <v>0.1</v>
      </c>
      <c r="HA182">
        <v>0.1</v>
      </c>
      <c r="HB182">
        <v>0.1</v>
      </c>
      <c r="HC182">
        <v>0.1</v>
      </c>
      <c r="HD182">
        <v>0.1</v>
      </c>
      <c r="HE182">
        <v>0.1</v>
      </c>
      <c r="HF182">
        <v>0.1</v>
      </c>
      <c r="HG182">
        <v>0.1</v>
      </c>
      <c r="HH182">
        <v>0.1</v>
      </c>
      <c r="HI182">
        <v>0.1</v>
      </c>
      <c r="HJ182">
        <v>0.1</v>
      </c>
      <c r="HK182">
        <v>0.1</v>
      </c>
      <c r="HL182">
        <v>0.1</v>
      </c>
      <c r="HM182">
        <v>0.1</v>
      </c>
      <c r="HN182">
        <v>0.1</v>
      </c>
      <c r="HO182">
        <v>0.1</v>
      </c>
    </row>
    <row r="183" spans="1:223" ht="15.75" thickBot="1" x14ac:dyDescent="0.3">
      <c r="A183">
        <v>180</v>
      </c>
      <c r="B183" s="269">
        <v>1.5</v>
      </c>
      <c r="C183" s="268">
        <v>1.49</v>
      </c>
      <c r="D183" s="268">
        <v>1.49</v>
      </c>
      <c r="E183" s="269">
        <v>1.49</v>
      </c>
      <c r="F183" s="2"/>
      <c r="G183" s="2"/>
      <c r="H183" s="258">
        <v>0.1</v>
      </c>
      <c r="I183" s="259">
        <v>0.1</v>
      </c>
      <c r="J183" s="259">
        <v>0.1</v>
      </c>
      <c r="K183" s="259">
        <v>0.1</v>
      </c>
      <c r="L183" s="259">
        <v>0.1</v>
      </c>
      <c r="M183" s="259">
        <v>0.1</v>
      </c>
      <c r="N183" s="259">
        <v>0.1</v>
      </c>
      <c r="O183" s="259">
        <v>0.1</v>
      </c>
      <c r="P183" s="259">
        <v>0.1</v>
      </c>
      <c r="Q183" s="259">
        <v>0.1</v>
      </c>
      <c r="R183" s="259">
        <v>0.1</v>
      </c>
      <c r="S183" s="259">
        <v>0.1</v>
      </c>
      <c r="T183" s="259">
        <v>0.1</v>
      </c>
      <c r="U183" s="259">
        <v>0.1</v>
      </c>
      <c r="V183" s="260">
        <v>0.1</v>
      </c>
      <c r="W183" s="258">
        <v>0.1</v>
      </c>
      <c r="X183" s="259">
        <v>0.1</v>
      </c>
      <c r="Y183" s="259">
        <v>0.1</v>
      </c>
      <c r="Z183" s="259">
        <v>0.1</v>
      </c>
      <c r="AA183" s="259">
        <v>0.1</v>
      </c>
      <c r="AB183" s="259">
        <v>0.1</v>
      </c>
      <c r="AC183" s="259">
        <v>0.1</v>
      </c>
      <c r="AD183" s="259">
        <v>0.1</v>
      </c>
      <c r="AE183" s="259">
        <v>0.1</v>
      </c>
      <c r="AF183" s="259">
        <v>0.1</v>
      </c>
      <c r="AG183" s="259">
        <v>0.1</v>
      </c>
      <c r="AH183" s="259">
        <v>0.1</v>
      </c>
      <c r="AI183" s="259">
        <v>0.1</v>
      </c>
      <c r="AJ183" s="259">
        <v>0.1</v>
      </c>
      <c r="AK183" s="260">
        <v>0.1</v>
      </c>
      <c r="AL183" s="258">
        <v>0.1</v>
      </c>
      <c r="AM183" s="259">
        <v>0.1</v>
      </c>
      <c r="AN183" s="259">
        <v>0.1</v>
      </c>
      <c r="AO183" s="259">
        <v>0.1</v>
      </c>
      <c r="AP183" s="259">
        <v>0.1</v>
      </c>
      <c r="AQ183" s="259">
        <v>0.1</v>
      </c>
      <c r="AR183" s="259">
        <v>0.1</v>
      </c>
      <c r="AS183" s="259">
        <v>0.1</v>
      </c>
      <c r="AT183" s="259">
        <v>0.1</v>
      </c>
      <c r="AU183" s="259">
        <v>0.1</v>
      </c>
      <c r="AV183" s="259">
        <v>0.1</v>
      </c>
      <c r="AW183" s="259">
        <v>0.1</v>
      </c>
      <c r="AX183" s="259">
        <v>0.1</v>
      </c>
      <c r="AY183" s="259">
        <v>0.1</v>
      </c>
      <c r="AZ183" s="260">
        <v>0.1</v>
      </c>
      <c r="BA183" s="258">
        <v>0.1</v>
      </c>
      <c r="BB183" s="259">
        <v>0.1</v>
      </c>
      <c r="BC183" s="259">
        <v>0.1</v>
      </c>
      <c r="BD183" s="259">
        <v>0.1</v>
      </c>
      <c r="BE183" s="259">
        <v>0.1</v>
      </c>
      <c r="BF183" s="259">
        <v>0.1</v>
      </c>
      <c r="BG183" s="259">
        <v>0.1</v>
      </c>
      <c r="BH183" s="259">
        <v>0.1</v>
      </c>
      <c r="BI183" s="259">
        <v>0.1</v>
      </c>
      <c r="BJ183" s="259">
        <v>0.1</v>
      </c>
      <c r="BK183" s="259">
        <v>0.1</v>
      </c>
      <c r="BL183" s="259">
        <v>0.1</v>
      </c>
      <c r="BM183" s="259">
        <v>0.1</v>
      </c>
      <c r="BN183" s="259">
        <v>0.1</v>
      </c>
      <c r="BO183" s="260">
        <v>0.1</v>
      </c>
      <c r="BS183">
        <v>180</v>
      </c>
      <c r="BT183" s="270">
        <v>3.48</v>
      </c>
      <c r="BU183" s="271">
        <v>2.42</v>
      </c>
      <c r="BV183" s="2"/>
      <c r="BW183" s="2"/>
      <c r="BX183" s="2"/>
      <c r="BY183" s="258">
        <v>0.1</v>
      </c>
      <c r="BZ183" s="259">
        <v>0.1</v>
      </c>
      <c r="CA183" s="259">
        <v>0.1</v>
      </c>
      <c r="CB183" s="259">
        <v>0.1</v>
      </c>
      <c r="CC183" s="259">
        <v>0.1</v>
      </c>
      <c r="CD183" s="259">
        <v>0.1</v>
      </c>
      <c r="CE183" s="259">
        <v>0.1</v>
      </c>
      <c r="CF183" s="259">
        <v>0.1</v>
      </c>
      <c r="CG183" s="259">
        <v>0.1</v>
      </c>
      <c r="CH183" s="259">
        <v>0.1</v>
      </c>
      <c r="CI183" s="259">
        <v>0.1</v>
      </c>
      <c r="CJ183" s="259">
        <v>0.1</v>
      </c>
      <c r="CK183" s="259">
        <v>0.1</v>
      </c>
      <c r="CL183" s="259">
        <v>0.1</v>
      </c>
      <c r="CM183" s="259">
        <v>0.1</v>
      </c>
      <c r="CN183" s="259">
        <v>0.1</v>
      </c>
      <c r="CO183" s="259">
        <v>0.1</v>
      </c>
      <c r="CP183" s="259">
        <v>0.1</v>
      </c>
      <c r="CQ183" s="259">
        <v>0.1</v>
      </c>
      <c r="CR183" s="259">
        <v>0.1</v>
      </c>
      <c r="CS183" s="259">
        <v>0.1</v>
      </c>
      <c r="CT183" s="259">
        <v>0.1</v>
      </c>
      <c r="CU183" s="259">
        <v>0.1</v>
      </c>
      <c r="CV183" s="259">
        <v>0.1</v>
      </c>
      <c r="CW183" s="259">
        <v>0.1</v>
      </c>
      <c r="CX183" s="259">
        <v>0.1</v>
      </c>
      <c r="CY183" s="259">
        <v>0.1</v>
      </c>
      <c r="CZ183" s="259">
        <v>0.1</v>
      </c>
      <c r="DA183" s="259">
        <v>0.1</v>
      </c>
      <c r="DB183" s="259">
        <v>0.1</v>
      </c>
      <c r="DC183" s="259">
        <v>0.1</v>
      </c>
      <c r="DD183" s="259">
        <v>0.1</v>
      </c>
      <c r="DE183" s="259">
        <v>0.1</v>
      </c>
      <c r="DF183" s="259">
        <v>0.1</v>
      </c>
      <c r="DG183" s="260">
        <v>0.1</v>
      </c>
      <c r="DH183" s="258">
        <v>0.1</v>
      </c>
      <c r="DI183" s="259">
        <v>0.1</v>
      </c>
      <c r="DJ183" s="259">
        <v>0.1</v>
      </c>
      <c r="DK183" s="259">
        <v>0.1</v>
      </c>
      <c r="DL183" s="259">
        <v>0.1</v>
      </c>
      <c r="DM183" s="259">
        <v>0.1</v>
      </c>
      <c r="DN183" s="259">
        <v>0.1</v>
      </c>
      <c r="DO183" s="259">
        <v>0.1</v>
      </c>
      <c r="DP183" s="259">
        <v>0.1</v>
      </c>
      <c r="DQ183" s="259">
        <v>0.1</v>
      </c>
      <c r="DR183" s="259">
        <v>0.1</v>
      </c>
      <c r="DS183" s="259">
        <v>0.1</v>
      </c>
      <c r="DT183" s="259">
        <v>0.1</v>
      </c>
      <c r="DU183" s="259">
        <v>0.1</v>
      </c>
      <c r="DV183" s="259">
        <v>0.1</v>
      </c>
      <c r="DW183" s="259">
        <v>0.1</v>
      </c>
      <c r="DX183" s="259">
        <v>0.1</v>
      </c>
      <c r="DY183" s="259">
        <v>0.1</v>
      </c>
      <c r="DZ183" s="259">
        <v>0.1</v>
      </c>
      <c r="EA183" s="259">
        <v>0.1</v>
      </c>
      <c r="EB183" s="259">
        <v>0.1</v>
      </c>
      <c r="EC183" s="259">
        <v>0.1</v>
      </c>
      <c r="ED183" s="259">
        <v>0.1</v>
      </c>
      <c r="EE183" s="259">
        <v>0.1</v>
      </c>
      <c r="EF183" s="260">
        <v>0.1</v>
      </c>
      <c r="EJ183">
        <v>180</v>
      </c>
      <c r="EN183">
        <v>0.1</v>
      </c>
      <c r="EO183">
        <v>0.1</v>
      </c>
      <c r="EP183">
        <v>0.1</v>
      </c>
      <c r="EQ183">
        <v>0.1</v>
      </c>
      <c r="ER183">
        <v>0.1</v>
      </c>
      <c r="ES183">
        <v>0.1</v>
      </c>
      <c r="ET183">
        <v>0.1</v>
      </c>
      <c r="EU183">
        <v>0.1</v>
      </c>
      <c r="EV183">
        <v>0.1</v>
      </c>
      <c r="EW183">
        <v>0.1</v>
      </c>
      <c r="EX183">
        <v>0.1</v>
      </c>
      <c r="EY183">
        <v>0.1</v>
      </c>
      <c r="EZ183">
        <v>0.1</v>
      </c>
      <c r="FA183">
        <v>0.1</v>
      </c>
      <c r="FB183">
        <v>0.1</v>
      </c>
      <c r="FC183">
        <v>0.1</v>
      </c>
      <c r="FD183">
        <v>0.1</v>
      </c>
      <c r="FE183">
        <v>0.1</v>
      </c>
      <c r="FF183">
        <v>0.1</v>
      </c>
      <c r="FG183">
        <v>0.1</v>
      </c>
      <c r="FH183">
        <v>0.1</v>
      </c>
      <c r="FI183">
        <v>0.1</v>
      </c>
      <c r="FJ183">
        <v>0.1</v>
      </c>
      <c r="FK183">
        <v>0.1</v>
      </c>
      <c r="FL183">
        <v>0.1</v>
      </c>
      <c r="FM183">
        <v>0.1</v>
      </c>
      <c r="FN183">
        <v>0.1</v>
      </c>
      <c r="FO183">
        <v>0.1</v>
      </c>
      <c r="FP183">
        <v>0.1</v>
      </c>
      <c r="FQ183">
        <v>0.1</v>
      </c>
      <c r="FU183">
        <v>180</v>
      </c>
      <c r="GB183">
        <v>0.1</v>
      </c>
      <c r="GC183">
        <v>0.1</v>
      </c>
      <c r="GD183">
        <v>0.1</v>
      </c>
      <c r="GE183">
        <v>0.1</v>
      </c>
      <c r="GF183">
        <v>0.1</v>
      </c>
      <c r="GG183">
        <v>0.1</v>
      </c>
      <c r="GH183">
        <v>0.1</v>
      </c>
      <c r="GI183">
        <v>0.1</v>
      </c>
      <c r="GJ183">
        <v>0.1</v>
      </c>
      <c r="GK183">
        <v>0.1</v>
      </c>
      <c r="GL183">
        <v>0.1</v>
      </c>
      <c r="GM183">
        <v>0.1</v>
      </c>
      <c r="GN183">
        <v>0.1</v>
      </c>
      <c r="GO183">
        <v>0.1</v>
      </c>
      <c r="GP183">
        <v>0.1</v>
      </c>
      <c r="GQ183">
        <v>0.1</v>
      </c>
      <c r="GR183">
        <v>0.1</v>
      </c>
      <c r="GS183">
        <v>0.1</v>
      </c>
      <c r="GT183">
        <v>0.1</v>
      </c>
      <c r="GU183">
        <v>0.1</v>
      </c>
      <c r="GV183">
        <v>0.1</v>
      </c>
      <c r="GW183">
        <v>0.1</v>
      </c>
      <c r="GX183">
        <v>0.1</v>
      </c>
      <c r="GY183">
        <v>0.1</v>
      </c>
      <c r="GZ183">
        <v>0.1</v>
      </c>
      <c r="HA183">
        <v>0.1</v>
      </c>
      <c r="HB183">
        <v>0.1</v>
      </c>
      <c r="HC183">
        <v>0.1</v>
      </c>
      <c r="HD183">
        <v>0.1</v>
      </c>
      <c r="HE183">
        <v>0.1</v>
      </c>
      <c r="HF183">
        <v>0.1</v>
      </c>
      <c r="HG183">
        <v>0.1</v>
      </c>
      <c r="HH183">
        <v>0.1</v>
      </c>
      <c r="HI183">
        <v>0.1</v>
      </c>
      <c r="HJ183">
        <v>0.1</v>
      </c>
      <c r="HK183">
        <v>0.1</v>
      </c>
      <c r="HL183">
        <v>0.1</v>
      </c>
      <c r="HM183">
        <v>0.1</v>
      </c>
      <c r="HN183">
        <v>0.1</v>
      </c>
      <c r="HO183">
        <v>0.1</v>
      </c>
    </row>
    <row r="184" spans="1:223" ht="15.75" thickBot="1" x14ac:dyDescent="0.3">
      <c r="A184">
        <v>181</v>
      </c>
      <c r="B184" s="268">
        <v>1.5</v>
      </c>
      <c r="C184" s="269">
        <v>1.49</v>
      </c>
      <c r="D184" s="269">
        <v>1.49</v>
      </c>
      <c r="E184" s="268">
        <v>1.47</v>
      </c>
      <c r="F184" s="2"/>
      <c r="G184" s="2"/>
      <c r="H184" s="258">
        <v>0.1</v>
      </c>
      <c r="I184" s="259">
        <v>0.1</v>
      </c>
      <c r="J184" s="259">
        <v>0.1</v>
      </c>
      <c r="K184" s="259">
        <v>0.1</v>
      </c>
      <c r="L184" s="259">
        <v>0.1</v>
      </c>
      <c r="M184" s="259">
        <v>0.1</v>
      </c>
      <c r="N184" s="259">
        <v>0.1</v>
      </c>
      <c r="O184" s="259">
        <v>0.1</v>
      </c>
      <c r="P184" s="259">
        <v>0.1</v>
      </c>
      <c r="Q184" s="259">
        <v>0.1</v>
      </c>
      <c r="R184" s="259">
        <v>0.1</v>
      </c>
      <c r="S184" s="259">
        <v>0.1</v>
      </c>
      <c r="T184" s="259">
        <v>0.1</v>
      </c>
      <c r="U184" s="259">
        <v>0.1</v>
      </c>
      <c r="V184" s="260">
        <v>0.1</v>
      </c>
      <c r="W184" s="258">
        <v>0.1</v>
      </c>
      <c r="X184" s="259">
        <v>0.1</v>
      </c>
      <c r="Y184" s="259">
        <v>0.1</v>
      </c>
      <c r="Z184" s="259">
        <v>0.1</v>
      </c>
      <c r="AA184" s="259">
        <v>0.1</v>
      </c>
      <c r="AB184" s="259">
        <v>0.1</v>
      </c>
      <c r="AC184" s="259">
        <v>0.1</v>
      </c>
      <c r="AD184" s="259">
        <v>0.1</v>
      </c>
      <c r="AE184" s="259">
        <v>0.1</v>
      </c>
      <c r="AF184" s="259">
        <v>0.1</v>
      </c>
      <c r="AG184" s="259">
        <v>0.1</v>
      </c>
      <c r="AH184" s="259">
        <v>0.1</v>
      </c>
      <c r="AI184" s="259">
        <v>0.1</v>
      </c>
      <c r="AJ184" s="259">
        <v>0.1</v>
      </c>
      <c r="AK184" s="260">
        <v>0.1</v>
      </c>
      <c r="AL184" s="258">
        <v>0.1</v>
      </c>
      <c r="AM184" s="259">
        <v>0.1</v>
      </c>
      <c r="AN184" s="259">
        <v>0.1</v>
      </c>
      <c r="AO184" s="259">
        <v>0.1</v>
      </c>
      <c r="AP184" s="259">
        <v>0.1</v>
      </c>
      <c r="AQ184" s="259">
        <v>0.1</v>
      </c>
      <c r="AR184" s="259">
        <v>0.1</v>
      </c>
      <c r="AS184" s="259">
        <v>0.1</v>
      </c>
      <c r="AT184" s="259">
        <v>0.1</v>
      </c>
      <c r="AU184" s="259">
        <v>0.1</v>
      </c>
      <c r="AV184" s="259">
        <v>0.1</v>
      </c>
      <c r="AW184" s="259">
        <v>0.1</v>
      </c>
      <c r="AX184" s="259">
        <v>0.1</v>
      </c>
      <c r="AY184" s="259">
        <v>0.1</v>
      </c>
      <c r="AZ184" s="260">
        <v>0.1</v>
      </c>
      <c r="BA184" s="258">
        <v>0.1</v>
      </c>
      <c r="BB184" s="259">
        <v>0.1</v>
      </c>
      <c r="BC184" s="259">
        <v>0.1</v>
      </c>
      <c r="BD184" s="259">
        <v>0.1</v>
      </c>
      <c r="BE184" s="259">
        <v>0.1</v>
      </c>
      <c r="BF184" s="259">
        <v>0.1</v>
      </c>
      <c r="BG184" s="259">
        <v>0.1</v>
      </c>
      <c r="BH184" s="259">
        <v>0.1</v>
      </c>
      <c r="BI184" s="259">
        <v>0.1</v>
      </c>
      <c r="BJ184" s="259">
        <v>0.1</v>
      </c>
      <c r="BK184" s="259">
        <v>0.1</v>
      </c>
      <c r="BL184" s="259">
        <v>0.1</v>
      </c>
      <c r="BM184" s="259">
        <v>0.1</v>
      </c>
      <c r="BN184" s="259">
        <v>0.1</v>
      </c>
      <c r="BO184" s="260">
        <v>0.1</v>
      </c>
      <c r="BS184">
        <v>181</v>
      </c>
      <c r="BT184" s="271">
        <v>3.48</v>
      </c>
      <c r="BU184" s="270">
        <v>2.42</v>
      </c>
      <c r="BV184" s="2"/>
      <c r="BW184" s="2"/>
      <c r="BX184" s="2"/>
      <c r="BY184" s="258">
        <v>0.1</v>
      </c>
      <c r="BZ184" s="259">
        <v>0.1</v>
      </c>
      <c r="CA184" s="259">
        <v>0.1</v>
      </c>
      <c r="CB184" s="259">
        <v>0.1</v>
      </c>
      <c r="CC184" s="259">
        <v>0.1</v>
      </c>
      <c r="CD184" s="259">
        <v>0.1</v>
      </c>
      <c r="CE184" s="259">
        <v>0.1</v>
      </c>
      <c r="CF184" s="259">
        <v>0.1</v>
      </c>
      <c r="CG184" s="259">
        <v>0.1</v>
      </c>
      <c r="CH184" s="259">
        <v>0.1</v>
      </c>
      <c r="CI184" s="259">
        <v>0.1</v>
      </c>
      <c r="CJ184" s="259">
        <v>0.1</v>
      </c>
      <c r="CK184" s="259">
        <v>0.1</v>
      </c>
      <c r="CL184" s="259">
        <v>0.1</v>
      </c>
      <c r="CM184" s="259">
        <v>0.1</v>
      </c>
      <c r="CN184" s="259">
        <v>0.1</v>
      </c>
      <c r="CO184" s="259">
        <v>0.1</v>
      </c>
      <c r="CP184" s="259">
        <v>0.1</v>
      </c>
      <c r="CQ184" s="259">
        <v>0.1</v>
      </c>
      <c r="CR184" s="259">
        <v>0.1</v>
      </c>
      <c r="CS184" s="259">
        <v>0.1</v>
      </c>
      <c r="CT184" s="259">
        <v>0.1</v>
      </c>
      <c r="CU184" s="259">
        <v>0.1</v>
      </c>
      <c r="CV184" s="259">
        <v>0.1</v>
      </c>
      <c r="CW184" s="259">
        <v>0.1</v>
      </c>
      <c r="CX184" s="259">
        <v>0.1</v>
      </c>
      <c r="CY184" s="259">
        <v>0.1</v>
      </c>
      <c r="CZ184" s="259">
        <v>0.1</v>
      </c>
      <c r="DA184" s="259">
        <v>0.1</v>
      </c>
      <c r="DB184" s="259">
        <v>0.1</v>
      </c>
      <c r="DC184" s="259">
        <v>0.1</v>
      </c>
      <c r="DD184" s="259">
        <v>0.1</v>
      </c>
      <c r="DE184" s="259">
        <v>0.1</v>
      </c>
      <c r="DF184" s="259">
        <v>0.1</v>
      </c>
      <c r="DG184" s="260">
        <v>0.1</v>
      </c>
      <c r="DH184" s="258">
        <v>0.1</v>
      </c>
      <c r="DI184" s="259">
        <v>0.1</v>
      </c>
      <c r="DJ184" s="259">
        <v>0.1</v>
      </c>
      <c r="DK184" s="259">
        <v>0.1</v>
      </c>
      <c r="DL184" s="259">
        <v>0.1</v>
      </c>
      <c r="DM184" s="259">
        <v>0.1</v>
      </c>
      <c r="DN184" s="259">
        <v>0.1</v>
      </c>
      <c r="DO184" s="259">
        <v>0.1</v>
      </c>
      <c r="DP184" s="259">
        <v>0.1</v>
      </c>
      <c r="DQ184" s="259">
        <v>0.1</v>
      </c>
      <c r="DR184" s="259">
        <v>0.1</v>
      </c>
      <c r="DS184" s="259">
        <v>0.1</v>
      </c>
      <c r="DT184" s="259">
        <v>0.1</v>
      </c>
      <c r="DU184" s="259">
        <v>0.1</v>
      </c>
      <c r="DV184" s="259">
        <v>0.1</v>
      </c>
      <c r="DW184" s="259">
        <v>0.1</v>
      </c>
      <c r="DX184" s="259">
        <v>0.1</v>
      </c>
      <c r="DY184" s="259">
        <v>0.1</v>
      </c>
      <c r="DZ184" s="259">
        <v>0.1</v>
      </c>
      <c r="EA184" s="259">
        <v>0.1</v>
      </c>
      <c r="EB184" s="259">
        <v>0.1</v>
      </c>
      <c r="EC184" s="259">
        <v>0.1</v>
      </c>
      <c r="ED184" s="259">
        <v>0.1</v>
      </c>
      <c r="EE184" s="259">
        <v>0.1</v>
      </c>
      <c r="EF184" s="260">
        <v>0.1</v>
      </c>
      <c r="EJ184">
        <v>181</v>
      </c>
      <c r="EN184">
        <v>0.1</v>
      </c>
      <c r="EO184">
        <v>0.1</v>
      </c>
      <c r="EP184">
        <v>0.1</v>
      </c>
      <c r="EQ184">
        <v>0.1</v>
      </c>
      <c r="ER184">
        <v>0.1</v>
      </c>
      <c r="ES184">
        <v>0.1</v>
      </c>
      <c r="ET184">
        <v>0.1</v>
      </c>
      <c r="EU184">
        <v>0.1</v>
      </c>
      <c r="EV184">
        <v>0.1</v>
      </c>
      <c r="EW184">
        <v>0.1</v>
      </c>
      <c r="EX184">
        <v>0.1</v>
      </c>
      <c r="EY184">
        <v>0.1</v>
      </c>
      <c r="EZ184">
        <v>0.1</v>
      </c>
      <c r="FA184">
        <v>0.1</v>
      </c>
      <c r="FB184">
        <v>0.1</v>
      </c>
      <c r="FC184">
        <v>0.1</v>
      </c>
      <c r="FD184">
        <v>0.1</v>
      </c>
      <c r="FE184">
        <v>0.1</v>
      </c>
      <c r="FF184">
        <v>0.1</v>
      </c>
      <c r="FG184">
        <v>0.1</v>
      </c>
      <c r="FH184">
        <v>0.1</v>
      </c>
      <c r="FI184">
        <v>0.1</v>
      </c>
      <c r="FJ184">
        <v>0.1</v>
      </c>
      <c r="FK184">
        <v>0.1</v>
      </c>
      <c r="FL184">
        <v>0.1</v>
      </c>
      <c r="FM184">
        <v>0.1</v>
      </c>
      <c r="FN184">
        <v>0.1</v>
      </c>
      <c r="FO184">
        <v>0.1</v>
      </c>
      <c r="FP184">
        <v>0.1</v>
      </c>
      <c r="FQ184">
        <v>0.1</v>
      </c>
      <c r="FU184">
        <v>181</v>
      </c>
      <c r="GB184">
        <v>0.1</v>
      </c>
      <c r="GC184">
        <v>0.1</v>
      </c>
      <c r="GD184">
        <v>0.1</v>
      </c>
      <c r="GE184">
        <v>0.1</v>
      </c>
      <c r="GF184">
        <v>0.1</v>
      </c>
      <c r="GG184">
        <v>0.1</v>
      </c>
      <c r="GH184">
        <v>0.1</v>
      </c>
      <c r="GI184">
        <v>0.1</v>
      </c>
      <c r="GJ184">
        <v>0.1</v>
      </c>
      <c r="GK184">
        <v>0.1</v>
      </c>
      <c r="GL184">
        <v>0.1</v>
      </c>
      <c r="GM184">
        <v>0.1</v>
      </c>
      <c r="GN184">
        <v>0.1</v>
      </c>
      <c r="GO184">
        <v>0.1</v>
      </c>
      <c r="GP184">
        <v>0.1</v>
      </c>
      <c r="GQ184">
        <v>0.1</v>
      </c>
      <c r="GR184">
        <v>0.1</v>
      </c>
      <c r="GS184">
        <v>0.1</v>
      </c>
      <c r="GT184">
        <v>0.1</v>
      </c>
      <c r="GU184">
        <v>0.1</v>
      </c>
      <c r="GV184">
        <v>0.1</v>
      </c>
      <c r="GW184">
        <v>0.1</v>
      </c>
      <c r="GX184">
        <v>0.1</v>
      </c>
      <c r="GY184">
        <v>0.1</v>
      </c>
      <c r="GZ184">
        <v>0.1</v>
      </c>
      <c r="HA184">
        <v>0.1</v>
      </c>
      <c r="HB184">
        <v>0.1</v>
      </c>
      <c r="HC184">
        <v>0.1</v>
      </c>
      <c r="HD184">
        <v>0.1</v>
      </c>
      <c r="HE184">
        <v>0.1</v>
      </c>
      <c r="HF184">
        <v>0.1</v>
      </c>
      <c r="HG184">
        <v>0.1</v>
      </c>
      <c r="HH184">
        <v>0.1</v>
      </c>
      <c r="HI184">
        <v>0.1</v>
      </c>
      <c r="HJ184">
        <v>0.1</v>
      </c>
      <c r="HK184">
        <v>0.1</v>
      </c>
      <c r="HL184">
        <v>0.1</v>
      </c>
      <c r="HM184">
        <v>0.1</v>
      </c>
      <c r="HN184">
        <v>0.1</v>
      </c>
      <c r="HO184">
        <v>0.1</v>
      </c>
    </row>
    <row r="185" spans="1:223" ht="15.75" thickBot="1" x14ac:dyDescent="0.3">
      <c r="A185">
        <v>182</v>
      </c>
      <c r="B185" s="269">
        <v>1.49</v>
      </c>
      <c r="C185" s="268">
        <v>1.49</v>
      </c>
      <c r="D185" s="268">
        <v>1.49</v>
      </c>
      <c r="E185" s="269">
        <v>1.49</v>
      </c>
      <c r="F185" s="2"/>
      <c r="G185" s="2"/>
      <c r="H185" s="258">
        <v>0.1</v>
      </c>
      <c r="I185" s="259">
        <v>0.1</v>
      </c>
      <c r="J185" s="259">
        <v>0.1</v>
      </c>
      <c r="K185" s="259">
        <v>0.1</v>
      </c>
      <c r="L185" s="259">
        <v>0.1</v>
      </c>
      <c r="M185" s="259">
        <v>0.1</v>
      </c>
      <c r="N185" s="259">
        <v>0.1</v>
      </c>
      <c r="O185" s="259">
        <v>0.1</v>
      </c>
      <c r="P185" s="259">
        <v>0.1</v>
      </c>
      <c r="Q185" s="259">
        <v>0.1</v>
      </c>
      <c r="R185" s="259">
        <v>0.1</v>
      </c>
      <c r="S185" s="259">
        <v>0.1</v>
      </c>
      <c r="T185" s="259">
        <v>0.1</v>
      </c>
      <c r="U185" s="259">
        <v>0.1</v>
      </c>
      <c r="V185" s="260">
        <v>0.1</v>
      </c>
      <c r="W185" s="258">
        <v>0.1</v>
      </c>
      <c r="X185" s="259">
        <v>0.1</v>
      </c>
      <c r="Y185" s="259">
        <v>0.1</v>
      </c>
      <c r="Z185" s="259">
        <v>0.1</v>
      </c>
      <c r="AA185" s="259">
        <v>0.1</v>
      </c>
      <c r="AB185" s="259">
        <v>0.1</v>
      </c>
      <c r="AC185" s="259">
        <v>0.1</v>
      </c>
      <c r="AD185" s="259">
        <v>0.1</v>
      </c>
      <c r="AE185" s="259">
        <v>0.1</v>
      </c>
      <c r="AF185" s="259">
        <v>0.1</v>
      </c>
      <c r="AG185" s="259">
        <v>0.1</v>
      </c>
      <c r="AH185" s="259">
        <v>0.1</v>
      </c>
      <c r="AI185" s="259">
        <v>0.1</v>
      </c>
      <c r="AJ185" s="259">
        <v>0.1</v>
      </c>
      <c r="AK185" s="260">
        <v>0.1</v>
      </c>
      <c r="AL185" s="258">
        <v>0.1</v>
      </c>
      <c r="AM185" s="259">
        <v>0.1</v>
      </c>
      <c r="AN185" s="259">
        <v>0.1</v>
      </c>
      <c r="AO185" s="259">
        <v>0.1</v>
      </c>
      <c r="AP185" s="259">
        <v>0.1</v>
      </c>
      <c r="AQ185" s="259">
        <v>0.1</v>
      </c>
      <c r="AR185" s="259">
        <v>0.1</v>
      </c>
      <c r="AS185" s="259">
        <v>0.1</v>
      </c>
      <c r="AT185" s="259">
        <v>0.1</v>
      </c>
      <c r="AU185" s="259">
        <v>0.1</v>
      </c>
      <c r="AV185" s="259">
        <v>0.1</v>
      </c>
      <c r="AW185" s="259">
        <v>0.1</v>
      </c>
      <c r="AX185" s="259">
        <v>0.1</v>
      </c>
      <c r="AY185" s="259">
        <v>0.1</v>
      </c>
      <c r="AZ185" s="260">
        <v>0.1</v>
      </c>
      <c r="BA185" s="258">
        <v>0.1</v>
      </c>
      <c r="BB185" s="259">
        <v>0.1</v>
      </c>
      <c r="BC185" s="259">
        <v>0.1</v>
      </c>
      <c r="BD185" s="259">
        <v>0.1</v>
      </c>
      <c r="BE185" s="259">
        <v>0.1</v>
      </c>
      <c r="BF185" s="259">
        <v>0.1</v>
      </c>
      <c r="BG185" s="259">
        <v>0.1</v>
      </c>
      <c r="BH185" s="259">
        <v>0.1</v>
      </c>
      <c r="BI185" s="259">
        <v>0.1</v>
      </c>
      <c r="BJ185" s="259">
        <v>0.1</v>
      </c>
      <c r="BK185" s="259">
        <v>0.1</v>
      </c>
      <c r="BL185" s="259">
        <v>0.1</v>
      </c>
      <c r="BM185" s="259">
        <v>0.1</v>
      </c>
      <c r="BN185" s="259">
        <v>0.1</v>
      </c>
      <c r="BO185" s="260">
        <v>0.1</v>
      </c>
      <c r="BS185">
        <v>182</v>
      </c>
      <c r="BT185" s="270">
        <v>3.48</v>
      </c>
      <c r="BU185" s="271">
        <v>2.42</v>
      </c>
      <c r="BV185" s="2"/>
      <c r="BW185" s="2"/>
      <c r="BX185" s="2"/>
      <c r="BY185" s="258">
        <v>0.1</v>
      </c>
      <c r="BZ185" s="259">
        <v>0.1</v>
      </c>
      <c r="CA185" s="259">
        <v>0.1</v>
      </c>
      <c r="CB185" s="259">
        <v>0.1</v>
      </c>
      <c r="CC185" s="259">
        <v>0.1</v>
      </c>
      <c r="CD185" s="259">
        <v>0.1</v>
      </c>
      <c r="CE185" s="259">
        <v>0.1</v>
      </c>
      <c r="CF185" s="259">
        <v>0.1</v>
      </c>
      <c r="CG185" s="259">
        <v>0.1</v>
      </c>
      <c r="CH185" s="259">
        <v>0.1</v>
      </c>
      <c r="CI185" s="259">
        <v>0.1</v>
      </c>
      <c r="CJ185" s="259">
        <v>0.1</v>
      </c>
      <c r="CK185" s="259">
        <v>0.1</v>
      </c>
      <c r="CL185" s="259">
        <v>0.1</v>
      </c>
      <c r="CM185" s="259">
        <v>0.1</v>
      </c>
      <c r="CN185" s="259">
        <v>0.1</v>
      </c>
      <c r="CO185" s="259">
        <v>0.1</v>
      </c>
      <c r="CP185" s="259">
        <v>0.1</v>
      </c>
      <c r="CQ185" s="259">
        <v>0.1</v>
      </c>
      <c r="CR185" s="259">
        <v>0.1</v>
      </c>
      <c r="CS185" s="259">
        <v>0.1</v>
      </c>
      <c r="CT185" s="259">
        <v>0.1</v>
      </c>
      <c r="CU185" s="259">
        <v>0.1</v>
      </c>
      <c r="CV185" s="259">
        <v>0.1</v>
      </c>
      <c r="CW185" s="259">
        <v>0.1</v>
      </c>
      <c r="CX185" s="259">
        <v>0.1</v>
      </c>
      <c r="CY185" s="259">
        <v>0.1</v>
      </c>
      <c r="CZ185" s="259">
        <v>0.1</v>
      </c>
      <c r="DA185" s="259">
        <v>0.1</v>
      </c>
      <c r="DB185" s="259">
        <v>0.1</v>
      </c>
      <c r="DC185" s="259">
        <v>0.1</v>
      </c>
      <c r="DD185" s="259">
        <v>0.1</v>
      </c>
      <c r="DE185" s="259">
        <v>0.1</v>
      </c>
      <c r="DF185" s="259">
        <v>0.1</v>
      </c>
      <c r="DG185" s="260">
        <v>0.1</v>
      </c>
      <c r="DH185" s="258">
        <v>0.1</v>
      </c>
      <c r="DI185" s="259">
        <v>0.1</v>
      </c>
      <c r="DJ185" s="259">
        <v>0.1</v>
      </c>
      <c r="DK185" s="259">
        <v>0.1</v>
      </c>
      <c r="DL185" s="259">
        <v>0.1</v>
      </c>
      <c r="DM185" s="259">
        <v>0.1</v>
      </c>
      <c r="DN185" s="259">
        <v>0.1</v>
      </c>
      <c r="DO185" s="259">
        <v>0.1</v>
      </c>
      <c r="DP185" s="259">
        <v>0.1</v>
      </c>
      <c r="DQ185" s="259">
        <v>0.1</v>
      </c>
      <c r="DR185" s="259">
        <v>0.1</v>
      </c>
      <c r="DS185" s="259">
        <v>0.1</v>
      </c>
      <c r="DT185" s="259">
        <v>0.1</v>
      </c>
      <c r="DU185" s="259">
        <v>0.1</v>
      </c>
      <c r="DV185" s="259">
        <v>0.1</v>
      </c>
      <c r="DW185" s="259">
        <v>0.1</v>
      </c>
      <c r="DX185" s="259">
        <v>0.1</v>
      </c>
      <c r="DY185" s="259">
        <v>0.1</v>
      </c>
      <c r="DZ185" s="259">
        <v>0.1</v>
      </c>
      <c r="EA185" s="259">
        <v>0.1</v>
      </c>
      <c r="EB185" s="259">
        <v>0.1</v>
      </c>
      <c r="EC185" s="259">
        <v>0.1</v>
      </c>
      <c r="ED185" s="259">
        <v>0.1</v>
      </c>
      <c r="EE185" s="259">
        <v>0.1</v>
      </c>
      <c r="EF185" s="260">
        <v>0.1</v>
      </c>
      <c r="EJ185">
        <v>182</v>
      </c>
      <c r="EN185">
        <v>0.1</v>
      </c>
      <c r="EO185">
        <v>0.1</v>
      </c>
      <c r="EP185">
        <v>0.1</v>
      </c>
      <c r="EQ185">
        <v>0.1</v>
      </c>
      <c r="ER185">
        <v>0.1</v>
      </c>
      <c r="ES185">
        <v>0.1</v>
      </c>
      <c r="ET185">
        <v>0.1</v>
      </c>
      <c r="EU185">
        <v>0.1</v>
      </c>
      <c r="EV185">
        <v>0.1</v>
      </c>
      <c r="EW185">
        <v>0.1</v>
      </c>
      <c r="EX185">
        <v>0.1</v>
      </c>
      <c r="EY185">
        <v>0.1</v>
      </c>
      <c r="EZ185">
        <v>0.1</v>
      </c>
      <c r="FA185">
        <v>0.1</v>
      </c>
      <c r="FB185">
        <v>0.1</v>
      </c>
      <c r="FC185">
        <v>0.1</v>
      </c>
      <c r="FD185">
        <v>0.1</v>
      </c>
      <c r="FE185">
        <v>0.1</v>
      </c>
      <c r="FF185">
        <v>0.1</v>
      </c>
      <c r="FG185">
        <v>0.1</v>
      </c>
      <c r="FH185">
        <v>0.1</v>
      </c>
      <c r="FI185">
        <v>0.1</v>
      </c>
      <c r="FJ185">
        <v>0.1</v>
      </c>
      <c r="FK185">
        <v>0.1</v>
      </c>
      <c r="FL185">
        <v>0.1</v>
      </c>
      <c r="FM185">
        <v>0.1</v>
      </c>
      <c r="FN185">
        <v>0.1</v>
      </c>
      <c r="FO185">
        <v>0.1</v>
      </c>
      <c r="FP185">
        <v>0.1</v>
      </c>
      <c r="FQ185">
        <v>0.1</v>
      </c>
      <c r="FU185">
        <v>182</v>
      </c>
      <c r="GB185">
        <v>0.1</v>
      </c>
      <c r="GC185">
        <v>0.1</v>
      </c>
      <c r="GD185">
        <v>0.1</v>
      </c>
      <c r="GE185">
        <v>0.1</v>
      </c>
      <c r="GF185">
        <v>0.1</v>
      </c>
      <c r="GG185">
        <v>0.1</v>
      </c>
      <c r="GH185">
        <v>0.1</v>
      </c>
      <c r="GI185">
        <v>0.1</v>
      </c>
      <c r="GJ185">
        <v>0.1</v>
      </c>
      <c r="GK185">
        <v>0.1</v>
      </c>
      <c r="GL185">
        <v>0.1</v>
      </c>
      <c r="GM185">
        <v>0.1</v>
      </c>
      <c r="GN185">
        <v>0.1</v>
      </c>
      <c r="GO185">
        <v>0.1</v>
      </c>
      <c r="GP185">
        <v>0.1</v>
      </c>
      <c r="GQ185">
        <v>0.1</v>
      </c>
      <c r="GR185">
        <v>0.1</v>
      </c>
      <c r="GS185">
        <v>0.1</v>
      </c>
      <c r="GT185">
        <v>0.1</v>
      </c>
      <c r="GU185">
        <v>0.1</v>
      </c>
      <c r="GV185">
        <v>0.1</v>
      </c>
      <c r="GW185">
        <v>0.1</v>
      </c>
      <c r="GX185">
        <v>0.1</v>
      </c>
      <c r="GY185">
        <v>0.1</v>
      </c>
      <c r="GZ185">
        <v>0.1</v>
      </c>
      <c r="HA185">
        <v>0.1</v>
      </c>
      <c r="HB185">
        <v>0.1</v>
      </c>
      <c r="HC185">
        <v>0.1</v>
      </c>
      <c r="HD185">
        <v>0.1</v>
      </c>
      <c r="HE185">
        <v>0.1</v>
      </c>
      <c r="HF185">
        <v>0.1</v>
      </c>
      <c r="HG185">
        <v>0.1</v>
      </c>
      <c r="HH185">
        <v>0.1</v>
      </c>
      <c r="HI185">
        <v>0.1</v>
      </c>
      <c r="HJ185">
        <v>0.1</v>
      </c>
      <c r="HK185">
        <v>0.1</v>
      </c>
      <c r="HL185">
        <v>0.1</v>
      </c>
      <c r="HM185">
        <v>0.1</v>
      </c>
      <c r="HN185">
        <v>0.1</v>
      </c>
      <c r="HO185">
        <v>0.1</v>
      </c>
    </row>
    <row r="186" spans="1:223" ht="15.75" thickBot="1" x14ac:dyDescent="0.3">
      <c r="A186">
        <v>183</v>
      </c>
      <c r="B186" s="268">
        <v>1.49</v>
      </c>
      <c r="C186" s="269">
        <v>1.49</v>
      </c>
      <c r="D186" s="269">
        <v>1.49</v>
      </c>
      <c r="E186" s="268">
        <v>1.49</v>
      </c>
      <c r="F186" s="2"/>
      <c r="G186" s="2"/>
      <c r="H186" s="258">
        <v>0.1</v>
      </c>
      <c r="I186" s="259">
        <v>0.1</v>
      </c>
      <c r="J186" s="259">
        <v>0.1</v>
      </c>
      <c r="K186" s="259">
        <v>0.1</v>
      </c>
      <c r="L186" s="259">
        <v>0.1</v>
      </c>
      <c r="M186" s="259">
        <v>0.1</v>
      </c>
      <c r="N186" s="259">
        <v>0.1</v>
      </c>
      <c r="O186" s="259">
        <v>0.1</v>
      </c>
      <c r="P186" s="259">
        <v>0.1</v>
      </c>
      <c r="Q186" s="259">
        <v>0.1</v>
      </c>
      <c r="R186" s="259">
        <v>0.1</v>
      </c>
      <c r="S186" s="259">
        <v>0.1</v>
      </c>
      <c r="T186" s="259">
        <v>0.1</v>
      </c>
      <c r="U186" s="259">
        <v>0.1</v>
      </c>
      <c r="V186" s="260">
        <v>0.1</v>
      </c>
      <c r="W186" s="258">
        <v>0.1</v>
      </c>
      <c r="X186" s="259">
        <v>0.1</v>
      </c>
      <c r="Y186" s="259">
        <v>0.1</v>
      </c>
      <c r="Z186" s="259">
        <v>0.1</v>
      </c>
      <c r="AA186" s="259">
        <v>0.1</v>
      </c>
      <c r="AB186" s="259">
        <v>0.1</v>
      </c>
      <c r="AC186" s="259">
        <v>0.1</v>
      </c>
      <c r="AD186" s="259">
        <v>0.1</v>
      </c>
      <c r="AE186" s="259">
        <v>0.1</v>
      </c>
      <c r="AF186" s="259">
        <v>0.1</v>
      </c>
      <c r="AG186" s="259">
        <v>0.1</v>
      </c>
      <c r="AH186" s="259">
        <v>0.1</v>
      </c>
      <c r="AI186" s="259">
        <v>0.1</v>
      </c>
      <c r="AJ186" s="259">
        <v>0.1</v>
      </c>
      <c r="AK186" s="260">
        <v>0.1</v>
      </c>
      <c r="AL186" s="258">
        <v>0.1</v>
      </c>
      <c r="AM186" s="259">
        <v>0.1</v>
      </c>
      <c r="AN186" s="259">
        <v>0.1</v>
      </c>
      <c r="AO186" s="259">
        <v>0.1</v>
      </c>
      <c r="AP186" s="259">
        <v>0.1</v>
      </c>
      <c r="AQ186" s="259">
        <v>0.1</v>
      </c>
      <c r="AR186" s="259">
        <v>0.1</v>
      </c>
      <c r="AS186" s="259">
        <v>0.1</v>
      </c>
      <c r="AT186" s="259">
        <v>0.1</v>
      </c>
      <c r="AU186" s="259">
        <v>0.1</v>
      </c>
      <c r="AV186" s="259">
        <v>0.1</v>
      </c>
      <c r="AW186" s="259">
        <v>0.1</v>
      </c>
      <c r="AX186" s="259">
        <v>0.1</v>
      </c>
      <c r="AY186" s="259">
        <v>0.1</v>
      </c>
      <c r="AZ186" s="260">
        <v>0.1</v>
      </c>
      <c r="BA186" s="258">
        <v>0.1</v>
      </c>
      <c r="BB186" s="259">
        <v>0.1</v>
      </c>
      <c r="BC186" s="259">
        <v>0.1</v>
      </c>
      <c r="BD186" s="259">
        <v>0.1</v>
      </c>
      <c r="BE186" s="259">
        <v>0.1</v>
      </c>
      <c r="BF186" s="259">
        <v>0.1</v>
      </c>
      <c r="BG186" s="259">
        <v>0.1</v>
      </c>
      <c r="BH186" s="259">
        <v>0.1</v>
      </c>
      <c r="BI186" s="259">
        <v>0.1</v>
      </c>
      <c r="BJ186" s="259">
        <v>0.1</v>
      </c>
      <c r="BK186" s="259">
        <v>0.1</v>
      </c>
      <c r="BL186" s="259">
        <v>0.1</v>
      </c>
      <c r="BM186" s="259">
        <v>0.1</v>
      </c>
      <c r="BN186" s="259">
        <v>0.1</v>
      </c>
      <c r="BO186" s="260">
        <v>0.1</v>
      </c>
      <c r="BS186">
        <v>183</v>
      </c>
      <c r="BT186" s="271">
        <v>3.48</v>
      </c>
      <c r="BU186" s="270">
        <v>2.42</v>
      </c>
      <c r="BV186" s="2"/>
      <c r="BW186" s="2"/>
      <c r="BX186" s="2"/>
      <c r="BY186" s="258">
        <v>0.1</v>
      </c>
      <c r="BZ186" s="259">
        <v>0.1</v>
      </c>
      <c r="CA186" s="259">
        <v>0.1</v>
      </c>
      <c r="CB186" s="259">
        <v>0.1</v>
      </c>
      <c r="CC186" s="259">
        <v>0.1</v>
      </c>
      <c r="CD186" s="259">
        <v>0.1</v>
      </c>
      <c r="CE186" s="259">
        <v>0.1</v>
      </c>
      <c r="CF186" s="259">
        <v>0.1</v>
      </c>
      <c r="CG186" s="259">
        <v>0.1</v>
      </c>
      <c r="CH186" s="259">
        <v>0.1</v>
      </c>
      <c r="CI186" s="259">
        <v>0.1</v>
      </c>
      <c r="CJ186" s="259">
        <v>0.1</v>
      </c>
      <c r="CK186" s="259">
        <v>0.1</v>
      </c>
      <c r="CL186" s="259">
        <v>0.1</v>
      </c>
      <c r="CM186" s="259">
        <v>0.1</v>
      </c>
      <c r="CN186" s="259">
        <v>0.1</v>
      </c>
      <c r="CO186" s="259">
        <v>0.1</v>
      </c>
      <c r="CP186" s="259">
        <v>0.1</v>
      </c>
      <c r="CQ186" s="259">
        <v>0.1</v>
      </c>
      <c r="CR186" s="259">
        <v>0.1</v>
      </c>
      <c r="CS186" s="259">
        <v>0.1</v>
      </c>
      <c r="CT186" s="259">
        <v>0.1</v>
      </c>
      <c r="CU186" s="259">
        <v>0.1</v>
      </c>
      <c r="CV186" s="259">
        <v>0.1</v>
      </c>
      <c r="CW186" s="259">
        <v>0.1</v>
      </c>
      <c r="CX186" s="259">
        <v>0.1</v>
      </c>
      <c r="CY186" s="259">
        <v>0.1</v>
      </c>
      <c r="CZ186" s="259">
        <v>0.1</v>
      </c>
      <c r="DA186" s="259">
        <v>0.1</v>
      </c>
      <c r="DB186" s="259">
        <v>0.1</v>
      </c>
      <c r="DC186" s="259">
        <v>0.1</v>
      </c>
      <c r="DD186" s="259">
        <v>0.1</v>
      </c>
      <c r="DE186" s="259">
        <v>0.1</v>
      </c>
      <c r="DF186" s="259">
        <v>0.1</v>
      </c>
      <c r="DG186" s="260">
        <v>0.1</v>
      </c>
      <c r="DH186" s="258">
        <v>0.1</v>
      </c>
      <c r="DI186" s="259">
        <v>0.1</v>
      </c>
      <c r="DJ186" s="259">
        <v>0.1</v>
      </c>
      <c r="DK186" s="259">
        <v>0.1</v>
      </c>
      <c r="DL186" s="259">
        <v>0.1</v>
      </c>
      <c r="DM186" s="259">
        <v>0.1</v>
      </c>
      <c r="DN186" s="259">
        <v>0.1</v>
      </c>
      <c r="DO186" s="259">
        <v>0.1</v>
      </c>
      <c r="DP186" s="259">
        <v>0.1</v>
      </c>
      <c r="DQ186" s="259">
        <v>0.1</v>
      </c>
      <c r="DR186" s="259">
        <v>0.1</v>
      </c>
      <c r="DS186" s="259">
        <v>0.1</v>
      </c>
      <c r="DT186" s="259">
        <v>0.1</v>
      </c>
      <c r="DU186" s="259">
        <v>0.1</v>
      </c>
      <c r="DV186" s="259">
        <v>0.1</v>
      </c>
      <c r="DW186" s="259">
        <v>0.1</v>
      </c>
      <c r="DX186" s="259">
        <v>0.1</v>
      </c>
      <c r="DY186" s="259">
        <v>0.1</v>
      </c>
      <c r="DZ186" s="259">
        <v>0.1</v>
      </c>
      <c r="EA186" s="259">
        <v>0.1</v>
      </c>
      <c r="EB186" s="259">
        <v>0.1</v>
      </c>
      <c r="EC186" s="259">
        <v>0.1</v>
      </c>
      <c r="ED186" s="259">
        <v>0.1</v>
      </c>
      <c r="EE186" s="259">
        <v>0.1</v>
      </c>
      <c r="EF186" s="260">
        <v>0.1</v>
      </c>
      <c r="EJ186">
        <v>183</v>
      </c>
      <c r="EN186">
        <v>0.1</v>
      </c>
      <c r="EO186">
        <v>0.1</v>
      </c>
      <c r="EP186">
        <v>0.1</v>
      </c>
      <c r="EQ186">
        <v>0.1</v>
      </c>
      <c r="ER186">
        <v>0.1</v>
      </c>
      <c r="ES186">
        <v>0.1</v>
      </c>
      <c r="ET186">
        <v>0.1</v>
      </c>
      <c r="EU186">
        <v>0.1</v>
      </c>
      <c r="EV186">
        <v>0.1</v>
      </c>
      <c r="EW186">
        <v>0.1</v>
      </c>
      <c r="EX186">
        <v>0.1</v>
      </c>
      <c r="EY186">
        <v>0.1</v>
      </c>
      <c r="EZ186">
        <v>0.1</v>
      </c>
      <c r="FA186">
        <v>0.1</v>
      </c>
      <c r="FB186">
        <v>0.1</v>
      </c>
      <c r="FC186">
        <v>0.1</v>
      </c>
      <c r="FD186">
        <v>0.1</v>
      </c>
      <c r="FE186">
        <v>0.1</v>
      </c>
      <c r="FF186">
        <v>0.1</v>
      </c>
      <c r="FG186">
        <v>0.1</v>
      </c>
      <c r="FH186">
        <v>0.1</v>
      </c>
      <c r="FI186">
        <v>0.1</v>
      </c>
      <c r="FJ186">
        <v>0.1</v>
      </c>
      <c r="FK186">
        <v>0.1</v>
      </c>
      <c r="FL186">
        <v>0.1</v>
      </c>
      <c r="FM186">
        <v>0.1</v>
      </c>
      <c r="FN186">
        <v>0.1</v>
      </c>
      <c r="FO186">
        <v>0.1</v>
      </c>
      <c r="FP186">
        <v>0.1</v>
      </c>
      <c r="FQ186">
        <v>0.1</v>
      </c>
      <c r="FU186">
        <v>183</v>
      </c>
      <c r="GB186">
        <v>0.1</v>
      </c>
      <c r="GC186">
        <v>0.1</v>
      </c>
      <c r="GD186">
        <v>0.1</v>
      </c>
      <c r="GE186">
        <v>0.1</v>
      </c>
      <c r="GF186">
        <v>0.1</v>
      </c>
      <c r="GG186">
        <v>0.1</v>
      </c>
      <c r="GH186">
        <v>0.1</v>
      </c>
      <c r="GI186">
        <v>0.1</v>
      </c>
      <c r="GJ186">
        <v>0.1</v>
      </c>
      <c r="GK186">
        <v>0.1</v>
      </c>
      <c r="GL186">
        <v>0.1</v>
      </c>
      <c r="GM186">
        <v>0.1</v>
      </c>
      <c r="GN186">
        <v>0.1</v>
      </c>
      <c r="GO186">
        <v>0.1</v>
      </c>
      <c r="GP186">
        <v>0.1</v>
      </c>
      <c r="GQ186">
        <v>0.1</v>
      </c>
      <c r="GR186">
        <v>0.1</v>
      </c>
      <c r="GS186">
        <v>0.1</v>
      </c>
      <c r="GT186">
        <v>0.1</v>
      </c>
      <c r="GU186">
        <v>0.1</v>
      </c>
      <c r="GV186">
        <v>0.1</v>
      </c>
      <c r="GW186">
        <v>0.1</v>
      </c>
      <c r="GX186">
        <v>0.1</v>
      </c>
      <c r="GY186">
        <v>0.1</v>
      </c>
      <c r="GZ186">
        <v>0.1</v>
      </c>
      <c r="HA186">
        <v>0.1</v>
      </c>
      <c r="HB186">
        <v>0.1</v>
      </c>
      <c r="HC186">
        <v>0.1</v>
      </c>
      <c r="HD186">
        <v>0.1</v>
      </c>
      <c r="HE186">
        <v>0.1</v>
      </c>
      <c r="HF186">
        <v>0.1</v>
      </c>
      <c r="HG186">
        <v>0.1</v>
      </c>
      <c r="HH186">
        <v>0.1</v>
      </c>
      <c r="HI186">
        <v>0.1</v>
      </c>
      <c r="HJ186">
        <v>0.1</v>
      </c>
      <c r="HK186">
        <v>0.1</v>
      </c>
      <c r="HL186">
        <v>0.1</v>
      </c>
      <c r="HM186">
        <v>0.1</v>
      </c>
      <c r="HN186">
        <v>0.1</v>
      </c>
      <c r="HO186">
        <v>0.1</v>
      </c>
    </row>
    <row r="187" spans="1:223" ht="15.75" thickBot="1" x14ac:dyDescent="0.3">
      <c r="A187">
        <v>184</v>
      </c>
      <c r="B187" s="269">
        <v>1.49</v>
      </c>
      <c r="C187" s="268">
        <v>1.49</v>
      </c>
      <c r="D187" s="268">
        <v>1.49</v>
      </c>
      <c r="E187" s="269">
        <v>1.49</v>
      </c>
      <c r="F187" s="2"/>
      <c r="G187" s="2"/>
      <c r="H187" s="258">
        <v>0.1</v>
      </c>
      <c r="I187" s="259">
        <v>0.1</v>
      </c>
      <c r="J187" s="259">
        <v>0.1</v>
      </c>
      <c r="K187" s="259">
        <v>0.1</v>
      </c>
      <c r="L187" s="259">
        <v>0.1</v>
      </c>
      <c r="M187" s="259">
        <v>0.1</v>
      </c>
      <c r="N187" s="259">
        <v>0.1</v>
      </c>
      <c r="O187" s="259">
        <v>0.1</v>
      </c>
      <c r="P187" s="259">
        <v>0.1</v>
      </c>
      <c r="Q187" s="259">
        <v>0.1</v>
      </c>
      <c r="R187" s="259">
        <v>0.1</v>
      </c>
      <c r="S187" s="259">
        <v>0.1</v>
      </c>
      <c r="T187" s="259">
        <v>0.1</v>
      </c>
      <c r="U187" s="259">
        <v>0.1</v>
      </c>
      <c r="V187" s="260">
        <v>0.1</v>
      </c>
      <c r="W187" s="258">
        <v>0.1</v>
      </c>
      <c r="X187" s="259">
        <v>0.1</v>
      </c>
      <c r="Y187" s="259">
        <v>0.1</v>
      </c>
      <c r="Z187" s="259">
        <v>0.1</v>
      </c>
      <c r="AA187" s="259">
        <v>0.1</v>
      </c>
      <c r="AB187" s="259">
        <v>0.1</v>
      </c>
      <c r="AC187" s="259">
        <v>0.1</v>
      </c>
      <c r="AD187" s="259">
        <v>0.1</v>
      </c>
      <c r="AE187" s="259">
        <v>0.1</v>
      </c>
      <c r="AF187" s="259">
        <v>0.1</v>
      </c>
      <c r="AG187" s="259">
        <v>0.1</v>
      </c>
      <c r="AH187" s="259">
        <v>0.1</v>
      </c>
      <c r="AI187" s="259">
        <v>0.1</v>
      </c>
      <c r="AJ187" s="259">
        <v>0.1</v>
      </c>
      <c r="AK187" s="260">
        <v>0.1</v>
      </c>
      <c r="AL187" s="258">
        <v>0.1</v>
      </c>
      <c r="AM187" s="259">
        <v>0.1</v>
      </c>
      <c r="AN187" s="259">
        <v>0.1</v>
      </c>
      <c r="AO187" s="259">
        <v>0.1</v>
      </c>
      <c r="AP187" s="259">
        <v>0.1</v>
      </c>
      <c r="AQ187" s="259">
        <v>0.1</v>
      </c>
      <c r="AR187" s="259">
        <v>0.1</v>
      </c>
      <c r="AS187" s="259">
        <v>0.1</v>
      </c>
      <c r="AT187" s="259">
        <v>0.1</v>
      </c>
      <c r="AU187" s="259">
        <v>0.1</v>
      </c>
      <c r="AV187" s="259">
        <v>0.1</v>
      </c>
      <c r="AW187" s="259">
        <v>0.1</v>
      </c>
      <c r="AX187" s="259">
        <v>0.1</v>
      </c>
      <c r="AY187" s="259">
        <v>0.1</v>
      </c>
      <c r="AZ187" s="260">
        <v>0.1</v>
      </c>
      <c r="BA187" s="258">
        <v>0.1</v>
      </c>
      <c r="BB187" s="259">
        <v>0.1</v>
      </c>
      <c r="BC187" s="259">
        <v>0.1</v>
      </c>
      <c r="BD187" s="259">
        <v>0.1</v>
      </c>
      <c r="BE187" s="259">
        <v>0.1</v>
      </c>
      <c r="BF187" s="259">
        <v>0.1</v>
      </c>
      <c r="BG187" s="259">
        <v>0.1</v>
      </c>
      <c r="BH187" s="259">
        <v>0.1</v>
      </c>
      <c r="BI187" s="259">
        <v>0.1</v>
      </c>
      <c r="BJ187" s="259">
        <v>0.1</v>
      </c>
      <c r="BK187" s="259">
        <v>0.1</v>
      </c>
      <c r="BL187" s="259">
        <v>0.1</v>
      </c>
      <c r="BM187" s="259">
        <v>0.1</v>
      </c>
      <c r="BN187" s="259">
        <v>0.1</v>
      </c>
      <c r="BO187" s="260">
        <v>0.1</v>
      </c>
      <c r="BS187">
        <v>184</v>
      </c>
      <c r="BT187" s="270">
        <v>3.48</v>
      </c>
      <c r="BU187" s="271">
        <v>2.42</v>
      </c>
      <c r="BV187" s="2"/>
      <c r="BW187" s="2"/>
      <c r="BX187" s="2"/>
      <c r="BY187" s="258">
        <v>0.1</v>
      </c>
      <c r="BZ187" s="259">
        <v>0.1</v>
      </c>
      <c r="CA187" s="259">
        <v>0.1</v>
      </c>
      <c r="CB187" s="259">
        <v>0.1</v>
      </c>
      <c r="CC187" s="259">
        <v>0.1</v>
      </c>
      <c r="CD187" s="259">
        <v>0.1</v>
      </c>
      <c r="CE187" s="259">
        <v>0.1</v>
      </c>
      <c r="CF187" s="259">
        <v>0.1</v>
      </c>
      <c r="CG187" s="259">
        <v>0.1</v>
      </c>
      <c r="CH187" s="259">
        <v>0.1</v>
      </c>
      <c r="CI187" s="259">
        <v>0.1</v>
      </c>
      <c r="CJ187" s="259">
        <v>0.1</v>
      </c>
      <c r="CK187" s="259">
        <v>0.1</v>
      </c>
      <c r="CL187" s="259">
        <v>0.1</v>
      </c>
      <c r="CM187" s="259">
        <v>0.1</v>
      </c>
      <c r="CN187" s="259">
        <v>0.1</v>
      </c>
      <c r="CO187" s="259">
        <v>0.1</v>
      </c>
      <c r="CP187" s="259">
        <v>0.1</v>
      </c>
      <c r="CQ187" s="259">
        <v>0.1</v>
      </c>
      <c r="CR187" s="259">
        <v>0.1</v>
      </c>
      <c r="CS187" s="259">
        <v>0.1</v>
      </c>
      <c r="CT187" s="259">
        <v>0.1</v>
      </c>
      <c r="CU187" s="259">
        <v>0.1</v>
      </c>
      <c r="CV187" s="259">
        <v>0.1</v>
      </c>
      <c r="CW187" s="259">
        <v>0.1</v>
      </c>
      <c r="CX187" s="259">
        <v>0.1</v>
      </c>
      <c r="CY187" s="259">
        <v>0.1</v>
      </c>
      <c r="CZ187" s="259">
        <v>0.1</v>
      </c>
      <c r="DA187" s="259">
        <v>0.1</v>
      </c>
      <c r="DB187" s="259">
        <v>0.1</v>
      </c>
      <c r="DC187" s="259">
        <v>0.1</v>
      </c>
      <c r="DD187" s="259">
        <v>0.1</v>
      </c>
      <c r="DE187" s="259">
        <v>0.1</v>
      </c>
      <c r="DF187" s="259">
        <v>0.1</v>
      </c>
      <c r="DG187" s="260">
        <v>0.1</v>
      </c>
      <c r="DH187" s="258">
        <v>0.1</v>
      </c>
      <c r="DI187" s="259">
        <v>0.1</v>
      </c>
      <c r="DJ187" s="259">
        <v>0.1</v>
      </c>
      <c r="DK187" s="259">
        <v>0.1</v>
      </c>
      <c r="DL187" s="259">
        <v>0.1</v>
      </c>
      <c r="DM187" s="259">
        <v>0.1</v>
      </c>
      <c r="DN187" s="259">
        <v>0.1</v>
      </c>
      <c r="DO187" s="259">
        <v>0.1</v>
      </c>
      <c r="DP187" s="259">
        <v>0.1</v>
      </c>
      <c r="DQ187" s="259">
        <v>0.1</v>
      </c>
      <c r="DR187" s="259">
        <v>0.1</v>
      </c>
      <c r="DS187" s="259">
        <v>0.1</v>
      </c>
      <c r="DT187" s="259">
        <v>0.1</v>
      </c>
      <c r="DU187" s="259">
        <v>0.1</v>
      </c>
      <c r="DV187" s="259">
        <v>0.1</v>
      </c>
      <c r="DW187" s="259">
        <v>0.1</v>
      </c>
      <c r="DX187" s="259">
        <v>0.1</v>
      </c>
      <c r="DY187" s="259">
        <v>0.1</v>
      </c>
      <c r="DZ187" s="259">
        <v>0.1</v>
      </c>
      <c r="EA187" s="259">
        <v>0.1</v>
      </c>
      <c r="EB187" s="259">
        <v>0.1</v>
      </c>
      <c r="EC187" s="259">
        <v>0.1</v>
      </c>
      <c r="ED187" s="259">
        <v>0.1</v>
      </c>
      <c r="EE187" s="259">
        <v>0.1</v>
      </c>
      <c r="EF187" s="260">
        <v>0.1</v>
      </c>
      <c r="EJ187">
        <v>184</v>
      </c>
      <c r="EN187">
        <v>0.1</v>
      </c>
      <c r="EO187">
        <v>0.1</v>
      </c>
      <c r="EP187">
        <v>0.1</v>
      </c>
      <c r="EQ187">
        <v>0.1</v>
      </c>
      <c r="ER187">
        <v>0.1</v>
      </c>
      <c r="ES187">
        <v>0.1</v>
      </c>
      <c r="ET187">
        <v>0.1</v>
      </c>
      <c r="EU187">
        <v>0.1</v>
      </c>
      <c r="EV187">
        <v>0.1</v>
      </c>
      <c r="EW187">
        <v>0.1</v>
      </c>
      <c r="EX187">
        <v>0.1</v>
      </c>
      <c r="EY187">
        <v>0.1</v>
      </c>
      <c r="EZ187">
        <v>0.1</v>
      </c>
      <c r="FA187">
        <v>0.1</v>
      </c>
      <c r="FB187">
        <v>0.1</v>
      </c>
      <c r="FC187">
        <v>0.1</v>
      </c>
      <c r="FD187">
        <v>0.1</v>
      </c>
      <c r="FE187">
        <v>0.1</v>
      </c>
      <c r="FF187">
        <v>0.1</v>
      </c>
      <c r="FG187">
        <v>0.1</v>
      </c>
      <c r="FH187">
        <v>0.1</v>
      </c>
      <c r="FI187">
        <v>0.1</v>
      </c>
      <c r="FJ187">
        <v>0.1</v>
      </c>
      <c r="FK187">
        <v>0.1</v>
      </c>
      <c r="FL187">
        <v>0.1</v>
      </c>
      <c r="FM187">
        <v>0.1</v>
      </c>
      <c r="FN187">
        <v>0.1</v>
      </c>
      <c r="FO187">
        <v>0.1</v>
      </c>
      <c r="FP187">
        <v>0.1</v>
      </c>
      <c r="FQ187">
        <v>0.1</v>
      </c>
      <c r="FU187">
        <v>184</v>
      </c>
      <c r="GB187">
        <v>0.1</v>
      </c>
      <c r="GC187">
        <v>0.1</v>
      </c>
      <c r="GD187">
        <v>0.1</v>
      </c>
      <c r="GE187">
        <v>0.1</v>
      </c>
      <c r="GF187">
        <v>0.1</v>
      </c>
      <c r="GG187">
        <v>0.1</v>
      </c>
      <c r="GH187">
        <v>0.1</v>
      </c>
      <c r="GI187">
        <v>0.1</v>
      </c>
      <c r="GJ187">
        <v>0.1</v>
      </c>
      <c r="GK187">
        <v>0.1</v>
      </c>
      <c r="GL187">
        <v>0.1</v>
      </c>
      <c r="GM187">
        <v>0.1</v>
      </c>
      <c r="GN187">
        <v>0.1</v>
      </c>
      <c r="GO187">
        <v>0.1</v>
      </c>
      <c r="GP187">
        <v>0.1</v>
      </c>
      <c r="GQ187">
        <v>0.1</v>
      </c>
      <c r="GR187">
        <v>0.1</v>
      </c>
      <c r="GS187">
        <v>0.1</v>
      </c>
      <c r="GT187">
        <v>0.1</v>
      </c>
      <c r="GU187">
        <v>0.1</v>
      </c>
      <c r="GV187">
        <v>0.1</v>
      </c>
      <c r="GW187">
        <v>0.1</v>
      </c>
      <c r="GX187">
        <v>0.1</v>
      </c>
      <c r="GY187">
        <v>0.1</v>
      </c>
      <c r="GZ187">
        <v>0.1</v>
      </c>
      <c r="HA187">
        <v>0.1</v>
      </c>
      <c r="HB187">
        <v>0.1</v>
      </c>
      <c r="HC187">
        <v>0.1</v>
      </c>
      <c r="HD187">
        <v>0.1</v>
      </c>
      <c r="HE187">
        <v>0.1</v>
      </c>
      <c r="HF187">
        <v>0.1</v>
      </c>
      <c r="HG187">
        <v>0.1</v>
      </c>
      <c r="HH187">
        <v>0.1</v>
      </c>
      <c r="HI187">
        <v>0.1</v>
      </c>
      <c r="HJ187">
        <v>0.1</v>
      </c>
      <c r="HK187">
        <v>0.1</v>
      </c>
      <c r="HL187">
        <v>0.1</v>
      </c>
      <c r="HM187">
        <v>0.1</v>
      </c>
      <c r="HN187">
        <v>0.1</v>
      </c>
      <c r="HO187">
        <v>0.1</v>
      </c>
    </row>
    <row r="188" spans="1:223" ht="15.75" thickBot="1" x14ac:dyDescent="0.3">
      <c r="A188">
        <v>185</v>
      </c>
      <c r="B188" s="268">
        <v>1.49</v>
      </c>
      <c r="C188" s="269">
        <v>1.49</v>
      </c>
      <c r="D188" s="269">
        <v>1.49</v>
      </c>
      <c r="E188" s="268">
        <v>1.49</v>
      </c>
      <c r="F188" s="2"/>
      <c r="G188" s="2"/>
      <c r="H188" s="258">
        <v>0.1</v>
      </c>
      <c r="I188" s="259">
        <v>0.1</v>
      </c>
      <c r="J188" s="259">
        <v>0.1</v>
      </c>
      <c r="K188" s="259">
        <v>0.1</v>
      </c>
      <c r="L188" s="259">
        <v>0.1</v>
      </c>
      <c r="M188" s="259">
        <v>0.1</v>
      </c>
      <c r="N188" s="259">
        <v>0.1</v>
      </c>
      <c r="O188" s="259">
        <v>0.1</v>
      </c>
      <c r="P188" s="259">
        <v>0.1</v>
      </c>
      <c r="Q188" s="259">
        <v>0.1</v>
      </c>
      <c r="R188" s="259">
        <v>0.1</v>
      </c>
      <c r="S188" s="259">
        <v>0.1</v>
      </c>
      <c r="T188" s="259">
        <v>0.1</v>
      </c>
      <c r="U188" s="259">
        <v>0.1</v>
      </c>
      <c r="V188" s="260">
        <v>0.1</v>
      </c>
      <c r="W188" s="258">
        <v>0.1</v>
      </c>
      <c r="X188" s="259">
        <v>0.1</v>
      </c>
      <c r="Y188" s="259">
        <v>0.1</v>
      </c>
      <c r="Z188" s="259">
        <v>0.1</v>
      </c>
      <c r="AA188" s="259">
        <v>0.1</v>
      </c>
      <c r="AB188" s="259">
        <v>0.1</v>
      </c>
      <c r="AC188" s="259">
        <v>0.1</v>
      </c>
      <c r="AD188" s="259">
        <v>0.1</v>
      </c>
      <c r="AE188" s="259">
        <v>0.1</v>
      </c>
      <c r="AF188" s="259">
        <v>0.1</v>
      </c>
      <c r="AG188" s="259">
        <v>0.1</v>
      </c>
      <c r="AH188" s="259">
        <v>0.1</v>
      </c>
      <c r="AI188" s="259">
        <v>0.1</v>
      </c>
      <c r="AJ188" s="259">
        <v>0.1</v>
      </c>
      <c r="AK188" s="260">
        <v>0.1</v>
      </c>
      <c r="AL188" s="258">
        <v>0.1</v>
      </c>
      <c r="AM188" s="259">
        <v>0.1</v>
      </c>
      <c r="AN188" s="259">
        <v>0.1</v>
      </c>
      <c r="AO188" s="259">
        <v>0.1</v>
      </c>
      <c r="AP188" s="259">
        <v>0.1</v>
      </c>
      <c r="AQ188" s="259">
        <v>0.1</v>
      </c>
      <c r="AR188" s="259">
        <v>0.1</v>
      </c>
      <c r="AS188" s="259">
        <v>0.1</v>
      </c>
      <c r="AT188" s="259">
        <v>0.1</v>
      </c>
      <c r="AU188" s="259">
        <v>0.1</v>
      </c>
      <c r="AV188" s="259">
        <v>0.1</v>
      </c>
      <c r="AW188" s="259">
        <v>0.1</v>
      </c>
      <c r="AX188" s="259">
        <v>0.1</v>
      </c>
      <c r="AY188" s="259">
        <v>0.1</v>
      </c>
      <c r="AZ188" s="260">
        <v>0.1</v>
      </c>
      <c r="BA188" s="258">
        <v>0.1</v>
      </c>
      <c r="BB188" s="259">
        <v>0.1</v>
      </c>
      <c r="BC188" s="259">
        <v>0.1</v>
      </c>
      <c r="BD188" s="259">
        <v>0.1</v>
      </c>
      <c r="BE188" s="259">
        <v>0.1</v>
      </c>
      <c r="BF188" s="259">
        <v>0.1</v>
      </c>
      <c r="BG188" s="259">
        <v>0.1</v>
      </c>
      <c r="BH188" s="259">
        <v>0.1</v>
      </c>
      <c r="BI188" s="259">
        <v>0.1</v>
      </c>
      <c r="BJ188" s="259">
        <v>0.1</v>
      </c>
      <c r="BK188" s="259">
        <v>0.1</v>
      </c>
      <c r="BL188" s="259">
        <v>0.1</v>
      </c>
      <c r="BM188" s="259">
        <v>0.1</v>
      </c>
      <c r="BN188" s="259">
        <v>0.1</v>
      </c>
      <c r="BO188" s="260">
        <v>0.1</v>
      </c>
      <c r="BS188">
        <v>185</v>
      </c>
      <c r="BT188" s="271">
        <v>3.48</v>
      </c>
      <c r="BU188" s="270">
        <v>2.42</v>
      </c>
      <c r="BV188" s="2"/>
      <c r="BW188" s="2"/>
      <c r="BX188" s="2"/>
      <c r="BY188" s="258">
        <v>0.1</v>
      </c>
      <c r="BZ188" s="259">
        <v>0.1</v>
      </c>
      <c r="CA188" s="259">
        <v>0.1</v>
      </c>
      <c r="CB188" s="259">
        <v>0.1</v>
      </c>
      <c r="CC188" s="259">
        <v>0.1</v>
      </c>
      <c r="CD188" s="259">
        <v>0.1</v>
      </c>
      <c r="CE188" s="259">
        <v>0.1</v>
      </c>
      <c r="CF188" s="259">
        <v>0.1</v>
      </c>
      <c r="CG188" s="259">
        <v>0.1</v>
      </c>
      <c r="CH188" s="259">
        <v>0.1</v>
      </c>
      <c r="CI188" s="259">
        <v>0.1</v>
      </c>
      <c r="CJ188" s="259">
        <v>0.1</v>
      </c>
      <c r="CK188" s="259">
        <v>0.1</v>
      </c>
      <c r="CL188" s="259">
        <v>0.1</v>
      </c>
      <c r="CM188" s="259">
        <v>0.1</v>
      </c>
      <c r="CN188" s="259">
        <v>0.1</v>
      </c>
      <c r="CO188" s="259">
        <v>0.1</v>
      </c>
      <c r="CP188" s="259">
        <v>0.1</v>
      </c>
      <c r="CQ188" s="259">
        <v>0.1</v>
      </c>
      <c r="CR188" s="259">
        <v>0.1</v>
      </c>
      <c r="CS188" s="259">
        <v>0.1</v>
      </c>
      <c r="CT188" s="259">
        <v>0.1</v>
      </c>
      <c r="CU188" s="259">
        <v>0.1</v>
      </c>
      <c r="CV188" s="259">
        <v>0.1</v>
      </c>
      <c r="CW188" s="259">
        <v>0.1</v>
      </c>
      <c r="CX188" s="259">
        <v>0.1</v>
      </c>
      <c r="CY188" s="259">
        <v>0.1</v>
      </c>
      <c r="CZ188" s="259">
        <v>0.1</v>
      </c>
      <c r="DA188" s="259">
        <v>0.1</v>
      </c>
      <c r="DB188" s="259">
        <v>0.1</v>
      </c>
      <c r="DC188" s="259">
        <v>0.1</v>
      </c>
      <c r="DD188" s="259">
        <v>0.1</v>
      </c>
      <c r="DE188" s="259">
        <v>0.1</v>
      </c>
      <c r="DF188" s="259">
        <v>0.1</v>
      </c>
      <c r="DG188" s="260">
        <v>0.1</v>
      </c>
      <c r="DH188" s="258">
        <v>0.1</v>
      </c>
      <c r="DI188" s="259">
        <v>0.1</v>
      </c>
      <c r="DJ188" s="259">
        <v>0.1</v>
      </c>
      <c r="DK188" s="259">
        <v>0.1</v>
      </c>
      <c r="DL188" s="259">
        <v>0.1</v>
      </c>
      <c r="DM188" s="259">
        <v>0.1</v>
      </c>
      <c r="DN188" s="259">
        <v>0.1</v>
      </c>
      <c r="DO188" s="259">
        <v>0.1</v>
      </c>
      <c r="DP188" s="259">
        <v>0.1</v>
      </c>
      <c r="DQ188" s="259">
        <v>0.1</v>
      </c>
      <c r="DR188" s="259">
        <v>0.1</v>
      </c>
      <c r="DS188" s="259">
        <v>0.1</v>
      </c>
      <c r="DT188" s="259">
        <v>0.1</v>
      </c>
      <c r="DU188" s="259">
        <v>0.1</v>
      </c>
      <c r="DV188" s="259">
        <v>0.1</v>
      </c>
      <c r="DW188" s="259">
        <v>0.1</v>
      </c>
      <c r="DX188" s="259">
        <v>0.1</v>
      </c>
      <c r="DY188" s="259">
        <v>0.1</v>
      </c>
      <c r="DZ188" s="259">
        <v>0.1</v>
      </c>
      <c r="EA188" s="259">
        <v>0.1</v>
      </c>
      <c r="EB188" s="259">
        <v>0.1</v>
      </c>
      <c r="EC188" s="259">
        <v>0.1</v>
      </c>
      <c r="ED188" s="259">
        <v>0.1</v>
      </c>
      <c r="EE188" s="259">
        <v>0.1</v>
      </c>
      <c r="EF188" s="260">
        <v>0.1</v>
      </c>
      <c r="EJ188">
        <v>185</v>
      </c>
      <c r="EN188">
        <v>0.1</v>
      </c>
      <c r="EO188">
        <v>0.1</v>
      </c>
      <c r="EP188">
        <v>0.1</v>
      </c>
      <c r="EQ188">
        <v>0.1</v>
      </c>
      <c r="ER188">
        <v>0.1</v>
      </c>
      <c r="ES188">
        <v>0.1</v>
      </c>
      <c r="ET188">
        <v>0.1</v>
      </c>
      <c r="EU188">
        <v>0.1</v>
      </c>
      <c r="EV188">
        <v>0.1</v>
      </c>
      <c r="EW188">
        <v>0.1</v>
      </c>
      <c r="EX188">
        <v>0.1</v>
      </c>
      <c r="EY188">
        <v>0.1</v>
      </c>
      <c r="EZ188">
        <v>0.1</v>
      </c>
      <c r="FA188">
        <v>0.1</v>
      </c>
      <c r="FB188">
        <v>0.1</v>
      </c>
      <c r="FC188">
        <v>0.1</v>
      </c>
      <c r="FD188">
        <v>0.1</v>
      </c>
      <c r="FE188">
        <v>0.1</v>
      </c>
      <c r="FF188">
        <v>0.1</v>
      </c>
      <c r="FG188">
        <v>0.1</v>
      </c>
      <c r="FH188">
        <v>0.1</v>
      </c>
      <c r="FI188">
        <v>0.1</v>
      </c>
      <c r="FJ188">
        <v>0.1</v>
      </c>
      <c r="FK188">
        <v>0.1</v>
      </c>
      <c r="FL188">
        <v>0.1</v>
      </c>
      <c r="FM188">
        <v>0.1</v>
      </c>
      <c r="FN188">
        <v>0.1</v>
      </c>
      <c r="FO188">
        <v>0.1</v>
      </c>
      <c r="FP188">
        <v>0.1</v>
      </c>
      <c r="FQ188">
        <v>0.1</v>
      </c>
      <c r="FU188">
        <v>185</v>
      </c>
      <c r="GB188">
        <v>0.1</v>
      </c>
      <c r="GC188">
        <v>0.1</v>
      </c>
      <c r="GD188">
        <v>0.1</v>
      </c>
      <c r="GE188">
        <v>0.1</v>
      </c>
      <c r="GF188">
        <v>0.1</v>
      </c>
      <c r="GG188">
        <v>0.1</v>
      </c>
      <c r="GH188">
        <v>0.1</v>
      </c>
      <c r="GI188">
        <v>0.1</v>
      </c>
      <c r="GJ188">
        <v>0.1</v>
      </c>
      <c r="GK188">
        <v>0.1</v>
      </c>
      <c r="GL188">
        <v>0.1</v>
      </c>
      <c r="GM188">
        <v>0.1</v>
      </c>
      <c r="GN188">
        <v>0.1</v>
      </c>
      <c r="GO188">
        <v>0.1</v>
      </c>
      <c r="GP188">
        <v>0.1</v>
      </c>
      <c r="GQ188">
        <v>0.1</v>
      </c>
      <c r="GR188">
        <v>0.1</v>
      </c>
      <c r="GS188">
        <v>0.1</v>
      </c>
      <c r="GT188">
        <v>0.1</v>
      </c>
      <c r="GU188">
        <v>0.1</v>
      </c>
      <c r="GV188">
        <v>0.1</v>
      </c>
      <c r="GW188">
        <v>0.1</v>
      </c>
      <c r="GX188">
        <v>0.1</v>
      </c>
      <c r="GY188">
        <v>0.1</v>
      </c>
      <c r="GZ188">
        <v>0.1</v>
      </c>
      <c r="HA188">
        <v>0.1</v>
      </c>
      <c r="HB188">
        <v>0.1</v>
      </c>
      <c r="HC188">
        <v>0.1</v>
      </c>
      <c r="HD188">
        <v>0.1</v>
      </c>
      <c r="HE188">
        <v>0.1</v>
      </c>
      <c r="HF188">
        <v>0.1</v>
      </c>
      <c r="HG188">
        <v>0.1</v>
      </c>
      <c r="HH188">
        <v>0.1</v>
      </c>
      <c r="HI188">
        <v>0.1</v>
      </c>
      <c r="HJ188">
        <v>0.1</v>
      </c>
      <c r="HK188">
        <v>0.1</v>
      </c>
      <c r="HL188">
        <v>0.1</v>
      </c>
      <c r="HM188">
        <v>0.1</v>
      </c>
      <c r="HN188">
        <v>0.1</v>
      </c>
      <c r="HO188">
        <v>0.1</v>
      </c>
    </row>
    <row r="189" spans="1:223" ht="15.75" thickBot="1" x14ac:dyDescent="0.3">
      <c r="A189">
        <v>186</v>
      </c>
      <c r="B189" s="269">
        <v>1.49</v>
      </c>
      <c r="C189" s="268">
        <v>1.49</v>
      </c>
      <c r="D189" s="268">
        <v>1.49</v>
      </c>
      <c r="E189" s="269">
        <v>1.49</v>
      </c>
      <c r="F189" s="2"/>
      <c r="G189" s="2"/>
      <c r="H189" s="258">
        <v>0.1</v>
      </c>
      <c r="I189" s="259">
        <v>0.1</v>
      </c>
      <c r="J189" s="259">
        <v>0.1</v>
      </c>
      <c r="K189" s="259">
        <v>0.1</v>
      </c>
      <c r="L189" s="259">
        <v>0.1</v>
      </c>
      <c r="M189" s="259">
        <v>0.1</v>
      </c>
      <c r="N189" s="259">
        <v>0.1</v>
      </c>
      <c r="O189" s="259">
        <v>0.1</v>
      </c>
      <c r="P189" s="259">
        <v>0.1</v>
      </c>
      <c r="Q189" s="259">
        <v>0.1</v>
      </c>
      <c r="R189" s="259">
        <v>0.1</v>
      </c>
      <c r="S189" s="259">
        <v>0.1</v>
      </c>
      <c r="T189" s="259">
        <v>0.1</v>
      </c>
      <c r="U189" s="259">
        <v>0.1</v>
      </c>
      <c r="V189" s="260">
        <v>0.1</v>
      </c>
      <c r="W189" s="258">
        <v>0.1</v>
      </c>
      <c r="X189" s="259">
        <v>0.1</v>
      </c>
      <c r="Y189" s="259">
        <v>0.1</v>
      </c>
      <c r="Z189" s="259">
        <v>0.1</v>
      </c>
      <c r="AA189" s="259">
        <v>0.1</v>
      </c>
      <c r="AB189" s="259">
        <v>0.1</v>
      </c>
      <c r="AC189" s="259">
        <v>0.1</v>
      </c>
      <c r="AD189" s="259">
        <v>0.1</v>
      </c>
      <c r="AE189" s="259">
        <v>0.1</v>
      </c>
      <c r="AF189" s="259">
        <v>0.1</v>
      </c>
      <c r="AG189" s="259">
        <v>0.1</v>
      </c>
      <c r="AH189" s="259">
        <v>0.1</v>
      </c>
      <c r="AI189" s="259">
        <v>0.1</v>
      </c>
      <c r="AJ189" s="259">
        <v>0.1</v>
      </c>
      <c r="AK189" s="260">
        <v>0.1</v>
      </c>
      <c r="AL189" s="258">
        <v>0.1</v>
      </c>
      <c r="AM189" s="259">
        <v>0.1</v>
      </c>
      <c r="AN189" s="259">
        <v>0.1</v>
      </c>
      <c r="AO189" s="259">
        <v>0.1</v>
      </c>
      <c r="AP189" s="259">
        <v>0.1</v>
      </c>
      <c r="AQ189" s="259">
        <v>0.1</v>
      </c>
      <c r="AR189" s="259">
        <v>0.1</v>
      </c>
      <c r="AS189" s="259">
        <v>0.1</v>
      </c>
      <c r="AT189" s="259">
        <v>0.1</v>
      </c>
      <c r="AU189" s="259">
        <v>0.1</v>
      </c>
      <c r="AV189" s="259">
        <v>0.1</v>
      </c>
      <c r="AW189" s="259">
        <v>0.1</v>
      </c>
      <c r="AX189" s="259">
        <v>0.1</v>
      </c>
      <c r="AY189" s="259">
        <v>0.1</v>
      </c>
      <c r="AZ189" s="260">
        <v>0.1</v>
      </c>
      <c r="BA189" s="258">
        <v>0.1</v>
      </c>
      <c r="BB189" s="259">
        <v>0.1</v>
      </c>
      <c r="BC189" s="259">
        <v>0.1</v>
      </c>
      <c r="BD189" s="259">
        <v>0.1</v>
      </c>
      <c r="BE189" s="259">
        <v>0.1</v>
      </c>
      <c r="BF189" s="259">
        <v>0.1</v>
      </c>
      <c r="BG189" s="259">
        <v>0.1</v>
      </c>
      <c r="BH189" s="259">
        <v>0.1</v>
      </c>
      <c r="BI189" s="259">
        <v>0.1</v>
      </c>
      <c r="BJ189" s="259">
        <v>0.1</v>
      </c>
      <c r="BK189" s="259">
        <v>0.1</v>
      </c>
      <c r="BL189" s="259">
        <v>0.1</v>
      </c>
      <c r="BM189" s="259">
        <v>0.1</v>
      </c>
      <c r="BN189" s="259">
        <v>0.1</v>
      </c>
      <c r="BO189" s="260">
        <v>0.1</v>
      </c>
      <c r="BS189">
        <v>186</v>
      </c>
      <c r="BT189" s="270">
        <v>3.48</v>
      </c>
      <c r="BU189" s="271">
        <v>2.42</v>
      </c>
      <c r="BV189" s="2"/>
      <c r="BW189" s="2"/>
      <c r="BX189" s="2"/>
      <c r="BY189" s="258">
        <v>0.1</v>
      </c>
      <c r="BZ189" s="259">
        <v>0.1</v>
      </c>
      <c r="CA189" s="259">
        <v>0.1</v>
      </c>
      <c r="CB189" s="259">
        <v>0.1</v>
      </c>
      <c r="CC189" s="259">
        <v>0.1</v>
      </c>
      <c r="CD189" s="259">
        <v>0.1</v>
      </c>
      <c r="CE189" s="259">
        <v>0.1</v>
      </c>
      <c r="CF189" s="259">
        <v>0.1</v>
      </c>
      <c r="CG189" s="259">
        <v>0.1</v>
      </c>
      <c r="CH189" s="259">
        <v>0.1</v>
      </c>
      <c r="CI189" s="259">
        <v>0.1</v>
      </c>
      <c r="CJ189" s="259">
        <v>0.1</v>
      </c>
      <c r="CK189" s="259">
        <v>0.1</v>
      </c>
      <c r="CL189" s="259">
        <v>0.1</v>
      </c>
      <c r="CM189" s="259">
        <v>0.1</v>
      </c>
      <c r="CN189" s="259">
        <v>0.1</v>
      </c>
      <c r="CO189" s="259">
        <v>0.1</v>
      </c>
      <c r="CP189" s="259">
        <v>0.1</v>
      </c>
      <c r="CQ189" s="259">
        <v>0.1</v>
      </c>
      <c r="CR189" s="259">
        <v>0.1</v>
      </c>
      <c r="CS189" s="259">
        <v>0.1</v>
      </c>
      <c r="CT189" s="259">
        <v>0.1</v>
      </c>
      <c r="CU189" s="259">
        <v>0.1</v>
      </c>
      <c r="CV189" s="259">
        <v>0.1</v>
      </c>
      <c r="CW189" s="259">
        <v>0.1</v>
      </c>
      <c r="CX189" s="259">
        <v>0.1</v>
      </c>
      <c r="CY189" s="259">
        <v>0.1</v>
      </c>
      <c r="CZ189" s="259">
        <v>0.1</v>
      </c>
      <c r="DA189" s="259">
        <v>0.1</v>
      </c>
      <c r="DB189" s="259">
        <v>0.1</v>
      </c>
      <c r="DC189" s="259">
        <v>0.1</v>
      </c>
      <c r="DD189" s="259">
        <v>0.1</v>
      </c>
      <c r="DE189" s="259">
        <v>0.1</v>
      </c>
      <c r="DF189" s="259">
        <v>0.1</v>
      </c>
      <c r="DG189" s="260">
        <v>0.1</v>
      </c>
      <c r="DH189" s="258">
        <v>0.1</v>
      </c>
      <c r="DI189" s="259">
        <v>0.1</v>
      </c>
      <c r="DJ189" s="259">
        <v>0.1</v>
      </c>
      <c r="DK189" s="259">
        <v>0.1</v>
      </c>
      <c r="DL189" s="259">
        <v>0.1</v>
      </c>
      <c r="DM189" s="259">
        <v>0.1</v>
      </c>
      <c r="DN189" s="259">
        <v>0.1</v>
      </c>
      <c r="DO189" s="259">
        <v>0.1</v>
      </c>
      <c r="DP189" s="259">
        <v>0.1</v>
      </c>
      <c r="DQ189" s="259">
        <v>0.1</v>
      </c>
      <c r="DR189" s="259">
        <v>0.1</v>
      </c>
      <c r="DS189" s="259">
        <v>0.1</v>
      </c>
      <c r="DT189" s="259">
        <v>0.1</v>
      </c>
      <c r="DU189" s="259">
        <v>0.1</v>
      </c>
      <c r="DV189" s="259">
        <v>0.1</v>
      </c>
      <c r="DW189" s="259">
        <v>0.1</v>
      </c>
      <c r="DX189" s="259">
        <v>0.1</v>
      </c>
      <c r="DY189" s="259">
        <v>0.1</v>
      </c>
      <c r="DZ189" s="259">
        <v>0.1</v>
      </c>
      <c r="EA189" s="259">
        <v>0.1</v>
      </c>
      <c r="EB189" s="259">
        <v>0.1</v>
      </c>
      <c r="EC189" s="259">
        <v>0.1</v>
      </c>
      <c r="ED189" s="259">
        <v>0.1</v>
      </c>
      <c r="EE189" s="259">
        <v>0.1</v>
      </c>
      <c r="EF189" s="260">
        <v>0.1</v>
      </c>
      <c r="EJ189">
        <v>186</v>
      </c>
      <c r="EN189">
        <v>0.1</v>
      </c>
      <c r="EO189">
        <v>0.1</v>
      </c>
      <c r="EP189">
        <v>0.1</v>
      </c>
      <c r="EQ189">
        <v>0.1</v>
      </c>
      <c r="ER189">
        <v>0.1</v>
      </c>
      <c r="ES189">
        <v>0.1</v>
      </c>
      <c r="ET189">
        <v>0.1</v>
      </c>
      <c r="EU189">
        <v>0.1</v>
      </c>
      <c r="EV189">
        <v>0.1</v>
      </c>
      <c r="EW189">
        <v>0.1</v>
      </c>
      <c r="EX189">
        <v>0.1</v>
      </c>
      <c r="EY189">
        <v>0.1</v>
      </c>
      <c r="EZ189">
        <v>0.1</v>
      </c>
      <c r="FA189">
        <v>0.1</v>
      </c>
      <c r="FB189">
        <v>0.1</v>
      </c>
      <c r="FC189">
        <v>0.1</v>
      </c>
      <c r="FD189">
        <v>0.1</v>
      </c>
      <c r="FE189">
        <v>0.1</v>
      </c>
      <c r="FF189">
        <v>0.1</v>
      </c>
      <c r="FG189">
        <v>0.1</v>
      </c>
      <c r="FH189">
        <v>0.1</v>
      </c>
      <c r="FI189">
        <v>0.1</v>
      </c>
      <c r="FJ189">
        <v>0.1</v>
      </c>
      <c r="FK189">
        <v>0.1</v>
      </c>
      <c r="FL189">
        <v>0.1</v>
      </c>
      <c r="FM189">
        <v>0.1</v>
      </c>
      <c r="FN189">
        <v>0.1</v>
      </c>
      <c r="FO189">
        <v>0.1</v>
      </c>
      <c r="FP189">
        <v>0.1</v>
      </c>
      <c r="FQ189">
        <v>0.1</v>
      </c>
      <c r="FU189">
        <v>186</v>
      </c>
      <c r="GB189">
        <v>0.1</v>
      </c>
      <c r="GC189">
        <v>0.1</v>
      </c>
      <c r="GD189">
        <v>0.1</v>
      </c>
      <c r="GE189">
        <v>0.1</v>
      </c>
      <c r="GF189">
        <v>0.1</v>
      </c>
      <c r="GG189">
        <v>0.1</v>
      </c>
      <c r="GH189">
        <v>0.1</v>
      </c>
      <c r="GI189">
        <v>0.1</v>
      </c>
      <c r="GJ189">
        <v>0.1</v>
      </c>
      <c r="GK189">
        <v>0.1</v>
      </c>
      <c r="GL189">
        <v>0.1</v>
      </c>
      <c r="GM189">
        <v>0.1</v>
      </c>
      <c r="GN189">
        <v>0.1</v>
      </c>
      <c r="GO189">
        <v>0.1</v>
      </c>
      <c r="GP189">
        <v>0.1</v>
      </c>
      <c r="GQ189">
        <v>0.1</v>
      </c>
      <c r="GR189">
        <v>0.1</v>
      </c>
      <c r="GS189">
        <v>0.1</v>
      </c>
      <c r="GT189">
        <v>0.1</v>
      </c>
      <c r="GU189">
        <v>0.1</v>
      </c>
      <c r="GV189">
        <v>0.1</v>
      </c>
      <c r="GW189">
        <v>0.1</v>
      </c>
      <c r="GX189">
        <v>0.1</v>
      </c>
      <c r="GY189">
        <v>0.1</v>
      </c>
      <c r="GZ189">
        <v>0.1</v>
      </c>
      <c r="HA189">
        <v>0.1</v>
      </c>
      <c r="HB189">
        <v>0.1</v>
      </c>
      <c r="HC189">
        <v>0.1</v>
      </c>
      <c r="HD189">
        <v>0.1</v>
      </c>
      <c r="HE189">
        <v>0.1</v>
      </c>
      <c r="HF189">
        <v>0.1</v>
      </c>
      <c r="HG189">
        <v>0.1</v>
      </c>
      <c r="HH189">
        <v>0.1</v>
      </c>
      <c r="HI189">
        <v>0.1</v>
      </c>
      <c r="HJ189">
        <v>0.1</v>
      </c>
      <c r="HK189">
        <v>0.1</v>
      </c>
      <c r="HL189">
        <v>0.1</v>
      </c>
      <c r="HM189">
        <v>0.1</v>
      </c>
      <c r="HN189">
        <v>0.1</v>
      </c>
      <c r="HO189">
        <v>0.1</v>
      </c>
    </row>
    <row r="190" spans="1:223" ht="15.75" thickBot="1" x14ac:dyDescent="0.3">
      <c r="A190">
        <v>187</v>
      </c>
      <c r="B190" s="268">
        <v>1.49</v>
      </c>
      <c r="C190" s="269">
        <v>1.49</v>
      </c>
      <c r="D190" s="269">
        <v>1.49</v>
      </c>
      <c r="E190" s="269">
        <v>1.49</v>
      </c>
      <c r="F190" s="2"/>
      <c r="G190" s="2"/>
      <c r="H190" s="258">
        <v>0.1</v>
      </c>
      <c r="I190" s="259">
        <v>0.1</v>
      </c>
      <c r="J190" s="259">
        <v>0.1</v>
      </c>
      <c r="K190" s="259">
        <v>0.1</v>
      </c>
      <c r="L190" s="259">
        <v>0.1</v>
      </c>
      <c r="M190" s="259">
        <v>0.1</v>
      </c>
      <c r="N190" s="259">
        <v>0.1</v>
      </c>
      <c r="O190" s="259">
        <v>0.1</v>
      </c>
      <c r="P190" s="259">
        <v>0.1</v>
      </c>
      <c r="Q190" s="259">
        <v>0.1</v>
      </c>
      <c r="R190" s="259">
        <v>0.1</v>
      </c>
      <c r="S190" s="259">
        <v>0.1</v>
      </c>
      <c r="T190" s="259">
        <v>0.1</v>
      </c>
      <c r="U190" s="259">
        <v>0.1</v>
      </c>
      <c r="V190" s="260">
        <v>0.1</v>
      </c>
      <c r="W190" s="258">
        <v>0.1</v>
      </c>
      <c r="X190" s="259">
        <v>0.1</v>
      </c>
      <c r="Y190" s="259">
        <v>0.1</v>
      </c>
      <c r="Z190" s="259">
        <v>0.1</v>
      </c>
      <c r="AA190" s="259">
        <v>0.1</v>
      </c>
      <c r="AB190" s="259">
        <v>0.1</v>
      </c>
      <c r="AC190" s="259">
        <v>0.1</v>
      </c>
      <c r="AD190" s="259">
        <v>0.1</v>
      </c>
      <c r="AE190" s="259">
        <v>0.1</v>
      </c>
      <c r="AF190" s="259">
        <v>0.1</v>
      </c>
      <c r="AG190" s="259">
        <v>0.1</v>
      </c>
      <c r="AH190" s="259">
        <v>0.1</v>
      </c>
      <c r="AI190" s="259">
        <v>0.1</v>
      </c>
      <c r="AJ190" s="259">
        <v>0.1</v>
      </c>
      <c r="AK190" s="260">
        <v>0.1</v>
      </c>
      <c r="AL190" s="258">
        <v>0.1</v>
      </c>
      <c r="AM190" s="259">
        <v>0.1</v>
      </c>
      <c r="AN190" s="259">
        <v>0.1</v>
      </c>
      <c r="AO190" s="259">
        <v>0.1</v>
      </c>
      <c r="AP190" s="259">
        <v>0.1</v>
      </c>
      <c r="AQ190" s="259">
        <v>0.1</v>
      </c>
      <c r="AR190" s="259">
        <v>0.1</v>
      </c>
      <c r="AS190" s="259">
        <v>0.1</v>
      </c>
      <c r="AT190" s="259">
        <v>0.1</v>
      </c>
      <c r="AU190" s="259">
        <v>0.1</v>
      </c>
      <c r="AV190" s="259">
        <v>0.1</v>
      </c>
      <c r="AW190" s="259">
        <v>0.1</v>
      </c>
      <c r="AX190" s="259">
        <v>0.1</v>
      </c>
      <c r="AY190" s="259">
        <v>0.1</v>
      </c>
      <c r="AZ190" s="260">
        <v>0.1</v>
      </c>
      <c r="BA190" s="258">
        <v>0.1</v>
      </c>
      <c r="BB190" s="259">
        <v>0.1</v>
      </c>
      <c r="BC190" s="259">
        <v>0.1</v>
      </c>
      <c r="BD190" s="259">
        <v>0.1</v>
      </c>
      <c r="BE190" s="259">
        <v>0.1</v>
      </c>
      <c r="BF190" s="259">
        <v>0.1</v>
      </c>
      <c r="BG190" s="259">
        <v>0.1</v>
      </c>
      <c r="BH190" s="259">
        <v>0.1</v>
      </c>
      <c r="BI190" s="259">
        <v>0.1</v>
      </c>
      <c r="BJ190" s="259">
        <v>0.1</v>
      </c>
      <c r="BK190" s="259">
        <v>0.1</v>
      </c>
      <c r="BL190" s="259">
        <v>0.1</v>
      </c>
      <c r="BM190" s="259">
        <v>0.1</v>
      </c>
      <c r="BN190" s="259">
        <v>0.1</v>
      </c>
      <c r="BO190" s="260">
        <v>0.1</v>
      </c>
      <c r="BS190">
        <v>187</v>
      </c>
      <c r="BT190" s="271">
        <v>3.48</v>
      </c>
      <c r="BU190" s="270">
        <v>2.42</v>
      </c>
      <c r="BV190" s="2"/>
      <c r="BW190" s="2"/>
      <c r="BX190" s="2"/>
      <c r="BY190" s="258">
        <v>0.1</v>
      </c>
      <c r="BZ190" s="259">
        <v>0.1</v>
      </c>
      <c r="CA190" s="259">
        <v>0.1</v>
      </c>
      <c r="CB190" s="259">
        <v>0.1</v>
      </c>
      <c r="CC190" s="259">
        <v>0.1</v>
      </c>
      <c r="CD190" s="259">
        <v>0.1</v>
      </c>
      <c r="CE190" s="259">
        <v>0.1</v>
      </c>
      <c r="CF190" s="259">
        <v>0.1</v>
      </c>
      <c r="CG190" s="259">
        <v>0.1</v>
      </c>
      <c r="CH190" s="259">
        <v>0.1</v>
      </c>
      <c r="CI190" s="259">
        <v>0.1</v>
      </c>
      <c r="CJ190" s="259">
        <v>0.1</v>
      </c>
      <c r="CK190" s="259">
        <v>0.1</v>
      </c>
      <c r="CL190" s="259">
        <v>0.1</v>
      </c>
      <c r="CM190" s="259">
        <v>0.1</v>
      </c>
      <c r="CN190" s="259">
        <v>0.1</v>
      </c>
      <c r="CO190" s="259">
        <v>0.1</v>
      </c>
      <c r="CP190" s="259">
        <v>0.1</v>
      </c>
      <c r="CQ190" s="259">
        <v>0.1</v>
      </c>
      <c r="CR190" s="259">
        <v>0.1</v>
      </c>
      <c r="CS190" s="259">
        <v>0.1</v>
      </c>
      <c r="CT190" s="259">
        <v>0.1</v>
      </c>
      <c r="CU190" s="259">
        <v>0.1</v>
      </c>
      <c r="CV190" s="259">
        <v>0.1</v>
      </c>
      <c r="CW190" s="259">
        <v>0.1</v>
      </c>
      <c r="CX190" s="259">
        <v>0.1</v>
      </c>
      <c r="CY190" s="259">
        <v>0.1</v>
      </c>
      <c r="CZ190" s="259">
        <v>0.1</v>
      </c>
      <c r="DA190" s="259">
        <v>0.1</v>
      </c>
      <c r="DB190" s="259">
        <v>0.1</v>
      </c>
      <c r="DC190" s="259">
        <v>0.1</v>
      </c>
      <c r="DD190" s="259">
        <v>0.1</v>
      </c>
      <c r="DE190" s="259">
        <v>0.1</v>
      </c>
      <c r="DF190" s="259">
        <v>0.1</v>
      </c>
      <c r="DG190" s="260">
        <v>0.1</v>
      </c>
      <c r="DH190" s="258">
        <v>0.1</v>
      </c>
      <c r="DI190" s="259">
        <v>0.1</v>
      </c>
      <c r="DJ190" s="259">
        <v>0.1</v>
      </c>
      <c r="DK190" s="259">
        <v>0.1</v>
      </c>
      <c r="DL190" s="259">
        <v>0.1</v>
      </c>
      <c r="DM190" s="259">
        <v>0.1</v>
      </c>
      <c r="DN190" s="259">
        <v>0.1</v>
      </c>
      <c r="DO190" s="259">
        <v>0.1</v>
      </c>
      <c r="DP190" s="259">
        <v>0.1</v>
      </c>
      <c r="DQ190" s="259">
        <v>0.1</v>
      </c>
      <c r="DR190" s="259">
        <v>0.1</v>
      </c>
      <c r="DS190" s="259">
        <v>0.1</v>
      </c>
      <c r="DT190" s="259">
        <v>0.1</v>
      </c>
      <c r="DU190" s="259">
        <v>0.1</v>
      </c>
      <c r="DV190" s="259">
        <v>0.1</v>
      </c>
      <c r="DW190" s="259">
        <v>0.1</v>
      </c>
      <c r="DX190" s="259">
        <v>0.1</v>
      </c>
      <c r="DY190" s="259">
        <v>0.1</v>
      </c>
      <c r="DZ190" s="259">
        <v>0.1</v>
      </c>
      <c r="EA190" s="259">
        <v>0.1</v>
      </c>
      <c r="EB190" s="259">
        <v>0.1</v>
      </c>
      <c r="EC190" s="259">
        <v>0.1</v>
      </c>
      <c r="ED190" s="259">
        <v>0.1</v>
      </c>
      <c r="EE190" s="259">
        <v>0.1</v>
      </c>
      <c r="EF190" s="260">
        <v>0.1</v>
      </c>
      <c r="EJ190">
        <v>187</v>
      </c>
      <c r="EN190">
        <v>0.1</v>
      </c>
      <c r="EO190">
        <v>0.1</v>
      </c>
      <c r="EP190">
        <v>0.1</v>
      </c>
      <c r="EQ190">
        <v>0.1</v>
      </c>
      <c r="ER190">
        <v>0.1</v>
      </c>
      <c r="ES190">
        <v>0.1</v>
      </c>
      <c r="ET190">
        <v>0.1</v>
      </c>
      <c r="EU190">
        <v>0.1</v>
      </c>
      <c r="EV190">
        <v>0.1</v>
      </c>
      <c r="EW190">
        <v>0.1</v>
      </c>
      <c r="EX190">
        <v>0.1</v>
      </c>
      <c r="EY190">
        <v>0.1</v>
      </c>
      <c r="EZ190">
        <v>0.1</v>
      </c>
      <c r="FA190">
        <v>0.1</v>
      </c>
      <c r="FB190">
        <v>0.1</v>
      </c>
      <c r="FC190">
        <v>0.1</v>
      </c>
      <c r="FD190">
        <v>0.1</v>
      </c>
      <c r="FE190">
        <v>0.1</v>
      </c>
      <c r="FF190">
        <v>0.1</v>
      </c>
      <c r="FG190">
        <v>0.1</v>
      </c>
      <c r="FH190">
        <v>0.1</v>
      </c>
      <c r="FI190">
        <v>0.1</v>
      </c>
      <c r="FJ190">
        <v>0.1</v>
      </c>
      <c r="FK190">
        <v>0.1</v>
      </c>
      <c r="FL190">
        <v>0.1</v>
      </c>
      <c r="FM190">
        <v>0.1</v>
      </c>
      <c r="FN190">
        <v>0.1</v>
      </c>
      <c r="FO190">
        <v>0.1</v>
      </c>
      <c r="FP190">
        <v>0.1</v>
      </c>
      <c r="FQ190">
        <v>0.1</v>
      </c>
      <c r="FU190">
        <v>187</v>
      </c>
      <c r="GB190">
        <v>0.1</v>
      </c>
      <c r="GC190">
        <v>0.1</v>
      </c>
      <c r="GD190">
        <v>0.1</v>
      </c>
      <c r="GE190">
        <v>0.1</v>
      </c>
      <c r="GF190">
        <v>0.1</v>
      </c>
      <c r="GG190">
        <v>0.1</v>
      </c>
      <c r="GH190">
        <v>0.1</v>
      </c>
      <c r="GI190">
        <v>0.1</v>
      </c>
      <c r="GJ190">
        <v>0.1</v>
      </c>
      <c r="GK190">
        <v>0.1</v>
      </c>
      <c r="GL190">
        <v>0.1</v>
      </c>
      <c r="GM190">
        <v>0.1</v>
      </c>
      <c r="GN190">
        <v>0.1</v>
      </c>
      <c r="GO190">
        <v>0.1</v>
      </c>
      <c r="GP190">
        <v>0.1</v>
      </c>
      <c r="GQ190">
        <v>0.1</v>
      </c>
      <c r="GR190">
        <v>0.1</v>
      </c>
      <c r="GS190">
        <v>0.1</v>
      </c>
      <c r="GT190">
        <v>0.1</v>
      </c>
      <c r="GU190">
        <v>0.1</v>
      </c>
      <c r="GV190">
        <v>0.1</v>
      </c>
      <c r="GW190">
        <v>0.1</v>
      </c>
      <c r="GX190">
        <v>0.1</v>
      </c>
      <c r="GY190">
        <v>0.1</v>
      </c>
      <c r="GZ190">
        <v>0.1</v>
      </c>
      <c r="HA190">
        <v>0.1</v>
      </c>
      <c r="HB190">
        <v>0.1</v>
      </c>
      <c r="HC190">
        <v>0.1</v>
      </c>
      <c r="HD190">
        <v>0.1</v>
      </c>
      <c r="HE190">
        <v>0.1</v>
      </c>
      <c r="HF190">
        <v>0.1</v>
      </c>
      <c r="HG190">
        <v>0.1</v>
      </c>
      <c r="HH190">
        <v>0.1</v>
      </c>
      <c r="HI190">
        <v>0.1</v>
      </c>
      <c r="HJ190">
        <v>0.1</v>
      </c>
      <c r="HK190">
        <v>0.1</v>
      </c>
      <c r="HL190">
        <v>0.1</v>
      </c>
      <c r="HM190">
        <v>0.1</v>
      </c>
      <c r="HN190">
        <v>0.1</v>
      </c>
      <c r="HO190">
        <v>0.1</v>
      </c>
    </row>
    <row r="191" spans="1:223" ht="15.75" thickBot="1" x14ac:dyDescent="0.3">
      <c r="A191">
        <v>188</v>
      </c>
      <c r="B191" s="269">
        <v>1.49</v>
      </c>
      <c r="C191" s="268">
        <v>1.49</v>
      </c>
      <c r="D191" s="268">
        <v>1.49</v>
      </c>
      <c r="E191" s="268">
        <v>1.49</v>
      </c>
      <c r="F191" s="2"/>
      <c r="G191" s="2"/>
      <c r="H191" s="258">
        <v>0.1</v>
      </c>
      <c r="I191" s="259">
        <v>0.1</v>
      </c>
      <c r="J191" s="259">
        <v>0.1</v>
      </c>
      <c r="K191" s="259">
        <v>0.1</v>
      </c>
      <c r="L191" s="259">
        <v>0.1</v>
      </c>
      <c r="M191" s="259">
        <v>0.1</v>
      </c>
      <c r="N191" s="259">
        <v>0.1</v>
      </c>
      <c r="O191" s="259">
        <v>0.1</v>
      </c>
      <c r="P191" s="259">
        <v>0.1</v>
      </c>
      <c r="Q191" s="259">
        <v>0.1</v>
      </c>
      <c r="R191" s="259">
        <v>0.1</v>
      </c>
      <c r="S191" s="259">
        <v>0.1</v>
      </c>
      <c r="T191" s="259">
        <v>0.1</v>
      </c>
      <c r="U191" s="259">
        <v>0.1</v>
      </c>
      <c r="V191" s="260">
        <v>0.1</v>
      </c>
      <c r="W191" s="258">
        <v>0.1</v>
      </c>
      <c r="X191" s="259">
        <v>0.1</v>
      </c>
      <c r="Y191" s="259">
        <v>0.1</v>
      </c>
      <c r="Z191" s="259">
        <v>0.1</v>
      </c>
      <c r="AA191" s="259">
        <v>0.1</v>
      </c>
      <c r="AB191" s="259">
        <v>0.1</v>
      </c>
      <c r="AC191" s="259">
        <v>0.1</v>
      </c>
      <c r="AD191" s="259">
        <v>0.1</v>
      </c>
      <c r="AE191" s="259">
        <v>0.1</v>
      </c>
      <c r="AF191" s="259">
        <v>0.1</v>
      </c>
      <c r="AG191" s="259">
        <v>0.1</v>
      </c>
      <c r="AH191" s="259">
        <v>0.1</v>
      </c>
      <c r="AI191" s="259">
        <v>0.1</v>
      </c>
      <c r="AJ191" s="259">
        <v>0.1</v>
      </c>
      <c r="AK191" s="260">
        <v>0.1</v>
      </c>
      <c r="AL191" s="258">
        <v>0.1</v>
      </c>
      <c r="AM191" s="259">
        <v>0.1</v>
      </c>
      <c r="AN191" s="259">
        <v>0.1</v>
      </c>
      <c r="AO191" s="259">
        <v>0.1</v>
      </c>
      <c r="AP191" s="259">
        <v>0.1</v>
      </c>
      <c r="AQ191" s="259">
        <v>0.1</v>
      </c>
      <c r="AR191" s="259">
        <v>0.1</v>
      </c>
      <c r="AS191" s="259">
        <v>0.1</v>
      </c>
      <c r="AT191" s="259">
        <v>0.1</v>
      </c>
      <c r="AU191" s="259">
        <v>0.1</v>
      </c>
      <c r="AV191" s="259">
        <v>0.1</v>
      </c>
      <c r="AW191" s="259">
        <v>0.1</v>
      </c>
      <c r="AX191" s="259">
        <v>0.1</v>
      </c>
      <c r="AY191" s="259">
        <v>0.1</v>
      </c>
      <c r="AZ191" s="260">
        <v>0.1</v>
      </c>
      <c r="BA191" s="258">
        <v>0.1</v>
      </c>
      <c r="BB191" s="259">
        <v>0.1</v>
      </c>
      <c r="BC191" s="259">
        <v>0.1</v>
      </c>
      <c r="BD191" s="259">
        <v>0.1</v>
      </c>
      <c r="BE191" s="259">
        <v>0.1</v>
      </c>
      <c r="BF191" s="259">
        <v>0.1</v>
      </c>
      <c r="BG191" s="259">
        <v>0.1</v>
      </c>
      <c r="BH191" s="259">
        <v>0.1</v>
      </c>
      <c r="BI191" s="259">
        <v>0.1</v>
      </c>
      <c r="BJ191" s="259">
        <v>0.1</v>
      </c>
      <c r="BK191" s="259">
        <v>0.1</v>
      </c>
      <c r="BL191" s="259">
        <v>0.1</v>
      </c>
      <c r="BM191" s="259">
        <v>0.1</v>
      </c>
      <c r="BN191" s="259">
        <v>0.1</v>
      </c>
      <c r="BO191" s="260">
        <v>0.1</v>
      </c>
      <c r="BS191">
        <v>188</v>
      </c>
      <c r="BT191" s="270">
        <v>3.48</v>
      </c>
      <c r="BU191" s="271">
        <v>2.42</v>
      </c>
      <c r="BV191" s="2"/>
      <c r="BW191" s="2"/>
      <c r="BX191" s="2"/>
      <c r="BY191" s="258">
        <v>0.1</v>
      </c>
      <c r="BZ191" s="259">
        <v>0.1</v>
      </c>
      <c r="CA191" s="259">
        <v>0.1</v>
      </c>
      <c r="CB191" s="259">
        <v>0.1</v>
      </c>
      <c r="CC191" s="259">
        <v>0.1</v>
      </c>
      <c r="CD191" s="259">
        <v>0.1</v>
      </c>
      <c r="CE191" s="259">
        <v>0.1</v>
      </c>
      <c r="CF191" s="259">
        <v>0.1</v>
      </c>
      <c r="CG191" s="259">
        <v>0.1</v>
      </c>
      <c r="CH191" s="259">
        <v>0.1</v>
      </c>
      <c r="CI191" s="259">
        <v>0.1</v>
      </c>
      <c r="CJ191" s="259">
        <v>0.1</v>
      </c>
      <c r="CK191" s="259">
        <v>0.1</v>
      </c>
      <c r="CL191" s="259">
        <v>0.1</v>
      </c>
      <c r="CM191" s="259">
        <v>0.1</v>
      </c>
      <c r="CN191" s="259">
        <v>0.1</v>
      </c>
      <c r="CO191" s="259">
        <v>0.1</v>
      </c>
      <c r="CP191" s="259">
        <v>0.1</v>
      </c>
      <c r="CQ191" s="259">
        <v>0.1</v>
      </c>
      <c r="CR191" s="259">
        <v>0.1</v>
      </c>
      <c r="CS191" s="259">
        <v>0.1</v>
      </c>
      <c r="CT191" s="259">
        <v>0.1</v>
      </c>
      <c r="CU191" s="259">
        <v>0.1</v>
      </c>
      <c r="CV191" s="259">
        <v>0.1</v>
      </c>
      <c r="CW191" s="259">
        <v>0.1</v>
      </c>
      <c r="CX191" s="259">
        <v>0.1</v>
      </c>
      <c r="CY191" s="259">
        <v>0.1</v>
      </c>
      <c r="CZ191" s="259">
        <v>0.1</v>
      </c>
      <c r="DA191" s="259">
        <v>0.1</v>
      </c>
      <c r="DB191" s="259">
        <v>0.1</v>
      </c>
      <c r="DC191" s="259">
        <v>0.1</v>
      </c>
      <c r="DD191" s="259">
        <v>0.1</v>
      </c>
      <c r="DE191" s="259">
        <v>0.1</v>
      </c>
      <c r="DF191" s="259">
        <v>0.1</v>
      </c>
      <c r="DG191" s="260">
        <v>0.1</v>
      </c>
      <c r="DH191" s="258">
        <v>0.1</v>
      </c>
      <c r="DI191" s="259">
        <v>0.1</v>
      </c>
      <c r="DJ191" s="259">
        <v>0.1</v>
      </c>
      <c r="DK191" s="259">
        <v>0.1</v>
      </c>
      <c r="DL191" s="259">
        <v>0.1</v>
      </c>
      <c r="DM191" s="259">
        <v>0.1</v>
      </c>
      <c r="DN191" s="259">
        <v>0.1</v>
      </c>
      <c r="DO191" s="259">
        <v>0.1</v>
      </c>
      <c r="DP191" s="259">
        <v>0.1</v>
      </c>
      <c r="DQ191" s="259">
        <v>0.1</v>
      </c>
      <c r="DR191" s="259">
        <v>0.1</v>
      </c>
      <c r="DS191" s="259">
        <v>0.1</v>
      </c>
      <c r="DT191" s="259">
        <v>0.1</v>
      </c>
      <c r="DU191" s="259">
        <v>0.1</v>
      </c>
      <c r="DV191" s="259">
        <v>0.1</v>
      </c>
      <c r="DW191" s="259">
        <v>0.1</v>
      </c>
      <c r="DX191" s="259">
        <v>0.1</v>
      </c>
      <c r="DY191" s="259">
        <v>0.1</v>
      </c>
      <c r="DZ191" s="259">
        <v>0.1</v>
      </c>
      <c r="EA191" s="259">
        <v>0.1</v>
      </c>
      <c r="EB191" s="259">
        <v>0.1</v>
      </c>
      <c r="EC191" s="259">
        <v>0.1</v>
      </c>
      <c r="ED191" s="259">
        <v>0.1</v>
      </c>
      <c r="EE191" s="259">
        <v>0.1</v>
      </c>
      <c r="EF191" s="260">
        <v>0.1</v>
      </c>
      <c r="EJ191">
        <v>188</v>
      </c>
      <c r="EN191">
        <v>0.1</v>
      </c>
      <c r="EO191">
        <v>0.1</v>
      </c>
      <c r="EP191">
        <v>0.1</v>
      </c>
      <c r="EQ191">
        <v>0.1</v>
      </c>
      <c r="ER191">
        <v>0.1</v>
      </c>
      <c r="ES191">
        <v>0.1</v>
      </c>
      <c r="ET191">
        <v>0.1</v>
      </c>
      <c r="EU191">
        <v>0.1</v>
      </c>
      <c r="EV191">
        <v>0.1</v>
      </c>
      <c r="EW191">
        <v>0.1</v>
      </c>
      <c r="EX191">
        <v>0.1</v>
      </c>
      <c r="EY191">
        <v>0.1</v>
      </c>
      <c r="EZ191">
        <v>0.1</v>
      </c>
      <c r="FA191">
        <v>0.1</v>
      </c>
      <c r="FB191">
        <v>0.1</v>
      </c>
      <c r="FC191">
        <v>0.1</v>
      </c>
      <c r="FD191">
        <v>0.1</v>
      </c>
      <c r="FE191">
        <v>0.1</v>
      </c>
      <c r="FF191">
        <v>0.1</v>
      </c>
      <c r="FG191">
        <v>0.1</v>
      </c>
      <c r="FH191">
        <v>0.1</v>
      </c>
      <c r="FI191">
        <v>0.1</v>
      </c>
      <c r="FJ191">
        <v>0.1</v>
      </c>
      <c r="FK191">
        <v>0.1</v>
      </c>
      <c r="FL191">
        <v>0.1</v>
      </c>
      <c r="FM191">
        <v>0.1</v>
      </c>
      <c r="FN191">
        <v>0.1</v>
      </c>
      <c r="FO191">
        <v>0.1</v>
      </c>
      <c r="FP191">
        <v>0.1</v>
      </c>
      <c r="FQ191">
        <v>0.1</v>
      </c>
      <c r="FU191">
        <v>188</v>
      </c>
      <c r="GB191">
        <v>0.1</v>
      </c>
      <c r="GC191">
        <v>0.1</v>
      </c>
      <c r="GD191">
        <v>0.1</v>
      </c>
      <c r="GE191">
        <v>0.1</v>
      </c>
      <c r="GF191">
        <v>0.1</v>
      </c>
      <c r="GG191">
        <v>0.1</v>
      </c>
      <c r="GH191">
        <v>0.1</v>
      </c>
      <c r="GI191">
        <v>0.1</v>
      </c>
      <c r="GJ191">
        <v>0.1</v>
      </c>
      <c r="GK191">
        <v>0.1</v>
      </c>
      <c r="GL191">
        <v>0.1</v>
      </c>
      <c r="GM191">
        <v>0.1</v>
      </c>
      <c r="GN191">
        <v>0.1</v>
      </c>
      <c r="GO191">
        <v>0.1</v>
      </c>
      <c r="GP191">
        <v>0.1</v>
      </c>
      <c r="GQ191">
        <v>0.1</v>
      </c>
      <c r="GR191">
        <v>0.1</v>
      </c>
      <c r="GS191">
        <v>0.1</v>
      </c>
      <c r="GT191">
        <v>0.1</v>
      </c>
      <c r="GU191">
        <v>0.1</v>
      </c>
      <c r="GV191">
        <v>0.1</v>
      </c>
      <c r="GW191">
        <v>0.1</v>
      </c>
      <c r="GX191">
        <v>0.1</v>
      </c>
      <c r="GY191">
        <v>0.1</v>
      </c>
      <c r="GZ191">
        <v>0.1</v>
      </c>
      <c r="HA191">
        <v>0.1</v>
      </c>
      <c r="HB191">
        <v>0.1</v>
      </c>
      <c r="HC191">
        <v>0.1</v>
      </c>
      <c r="HD191">
        <v>0.1</v>
      </c>
      <c r="HE191">
        <v>0.1</v>
      </c>
      <c r="HF191">
        <v>0.1</v>
      </c>
      <c r="HG191">
        <v>0.1</v>
      </c>
      <c r="HH191">
        <v>0.1</v>
      </c>
      <c r="HI191">
        <v>0.1</v>
      </c>
      <c r="HJ191">
        <v>0.1</v>
      </c>
      <c r="HK191">
        <v>0.1</v>
      </c>
      <c r="HL191">
        <v>0.1</v>
      </c>
      <c r="HM191">
        <v>0.1</v>
      </c>
      <c r="HN191">
        <v>0.1</v>
      </c>
      <c r="HO191">
        <v>0.1</v>
      </c>
    </row>
    <row r="192" spans="1:223" ht="15.75" thickBot="1" x14ac:dyDescent="0.3">
      <c r="A192">
        <v>189</v>
      </c>
      <c r="B192" s="268">
        <v>1.49</v>
      </c>
      <c r="C192" s="269">
        <v>1.49</v>
      </c>
      <c r="D192" s="269">
        <v>1.49</v>
      </c>
      <c r="E192" s="268">
        <v>1.49</v>
      </c>
      <c r="F192" s="2"/>
      <c r="G192" s="2"/>
      <c r="H192" s="258">
        <v>0.1</v>
      </c>
      <c r="I192" s="259">
        <v>0.1</v>
      </c>
      <c r="J192" s="259">
        <v>0.1</v>
      </c>
      <c r="K192" s="259">
        <v>0.1</v>
      </c>
      <c r="L192" s="259">
        <v>0.1</v>
      </c>
      <c r="M192" s="259">
        <v>0.1</v>
      </c>
      <c r="N192" s="259">
        <v>0.1</v>
      </c>
      <c r="O192" s="259">
        <v>0.1</v>
      </c>
      <c r="P192" s="259">
        <v>0.1</v>
      </c>
      <c r="Q192" s="259">
        <v>0.1</v>
      </c>
      <c r="R192" s="259">
        <v>0.1</v>
      </c>
      <c r="S192" s="259">
        <v>0.1</v>
      </c>
      <c r="T192" s="259">
        <v>0.1</v>
      </c>
      <c r="U192" s="259">
        <v>0.1</v>
      </c>
      <c r="V192" s="260">
        <v>0.1</v>
      </c>
      <c r="W192" s="258">
        <v>0.1</v>
      </c>
      <c r="X192" s="259">
        <v>0.1</v>
      </c>
      <c r="Y192" s="259">
        <v>0.1</v>
      </c>
      <c r="Z192" s="259">
        <v>0.1</v>
      </c>
      <c r="AA192" s="259">
        <v>0.1</v>
      </c>
      <c r="AB192" s="259">
        <v>0.1</v>
      </c>
      <c r="AC192" s="259">
        <v>0.1</v>
      </c>
      <c r="AD192" s="259">
        <v>0.1</v>
      </c>
      <c r="AE192" s="259">
        <v>0.1</v>
      </c>
      <c r="AF192" s="259">
        <v>0.1</v>
      </c>
      <c r="AG192" s="259">
        <v>0.1</v>
      </c>
      <c r="AH192" s="259">
        <v>0.1</v>
      </c>
      <c r="AI192" s="259">
        <v>0.1</v>
      </c>
      <c r="AJ192" s="259">
        <v>0.1</v>
      </c>
      <c r="AK192" s="260">
        <v>0.1</v>
      </c>
      <c r="AL192" s="258">
        <v>0.1</v>
      </c>
      <c r="AM192" s="259">
        <v>0.1</v>
      </c>
      <c r="AN192" s="259">
        <v>0.1</v>
      </c>
      <c r="AO192" s="259">
        <v>0.1</v>
      </c>
      <c r="AP192" s="259">
        <v>0.1</v>
      </c>
      <c r="AQ192" s="259">
        <v>0.1</v>
      </c>
      <c r="AR192" s="259">
        <v>0.1</v>
      </c>
      <c r="AS192" s="259">
        <v>0.1</v>
      </c>
      <c r="AT192" s="259">
        <v>0.1</v>
      </c>
      <c r="AU192" s="259">
        <v>0.1</v>
      </c>
      <c r="AV192" s="259">
        <v>0.1</v>
      </c>
      <c r="AW192" s="259">
        <v>0.1</v>
      </c>
      <c r="AX192" s="259">
        <v>0.1</v>
      </c>
      <c r="AY192" s="259">
        <v>0.1</v>
      </c>
      <c r="AZ192" s="260">
        <v>0.1</v>
      </c>
      <c r="BA192" s="258">
        <v>0.1</v>
      </c>
      <c r="BB192" s="259">
        <v>0.1</v>
      </c>
      <c r="BC192" s="259">
        <v>0.1</v>
      </c>
      <c r="BD192" s="259">
        <v>0.1</v>
      </c>
      <c r="BE192" s="259">
        <v>0.1</v>
      </c>
      <c r="BF192" s="259">
        <v>0.1</v>
      </c>
      <c r="BG192" s="259">
        <v>0.1</v>
      </c>
      <c r="BH192" s="259">
        <v>0.1</v>
      </c>
      <c r="BI192" s="259">
        <v>0.1</v>
      </c>
      <c r="BJ192" s="259">
        <v>0.1</v>
      </c>
      <c r="BK192" s="259">
        <v>0.1</v>
      </c>
      <c r="BL192" s="259">
        <v>0.1</v>
      </c>
      <c r="BM192" s="259">
        <v>0.1</v>
      </c>
      <c r="BN192" s="259">
        <v>0.1</v>
      </c>
      <c r="BO192" s="260">
        <v>0.1</v>
      </c>
      <c r="BS192">
        <v>189</v>
      </c>
      <c r="BT192" s="271">
        <v>3.48</v>
      </c>
      <c r="BU192" s="270">
        <v>2.42</v>
      </c>
      <c r="BV192" s="2"/>
      <c r="BW192" s="2"/>
      <c r="BX192" s="2"/>
      <c r="BY192" s="258">
        <v>0.1</v>
      </c>
      <c r="BZ192" s="259">
        <v>0.1</v>
      </c>
      <c r="CA192" s="259">
        <v>0.1</v>
      </c>
      <c r="CB192" s="259">
        <v>0.1</v>
      </c>
      <c r="CC192" s="259">
        <v>0.1</v>
      </c>
      <c r="CD192" s="259">
        <v>0.1</v>
      </c>
      <c r="CE192" s="259">
        <v>0.1</v>
      </c>
      <c r="CF192" s="259">
        <v>0.1</v>
      </c>
      <c r="CG192" s="259">
        <v>0.1</v>
      </c>
      <c r="CH192" s="259">
        <v>0.1</v>
      </c>
      <c r="CI192" s="259">
        <v>0.1</v>
      </c>
      <c r="CJ192" s="259">
        <v>0.1</v>
      </c>
      <c r="CK192" s="259">
        <v>0.1</v>
      </c>
      <c r="CL192" s="259">
        <v>0.1</v>
      </c>
      <c r="CM192" s="259">
        <v>0.1</v>
      </c>
      <c r="CN192" s="259">
        <v>0.1</v>
      </c>
      <c r="CO192" s="259">
        <v>0.1</v>
      </c>
      <c r="CP192" s="259">
        <v>0.1</v>
      </c>
      <c r="CQ192" s="259">
        <v>0.1</v>
      </c>
      <c r="CR192" s="259">
        <v>0.1</v>
      </c>
      <c r="CS192" s="259">
        <v>0.1</v>
      </c>
      <c r="CT192" s="259">
        <v>0.1</v>
      </c>
      <c r="CU192" s="259">
        <v>0.1</v>
      </c>
      <c r="CV192" s="259">
        <v>0.1</v>
      </c>
      <c r="CW192" s="259">
        <v>0.1</v>
      </c>
      <c r="CX192" s="259">
        <v>0.1</v>
      </c>
      <c r="CY192" s="259">
        <v>0.1</v>
      </c>
      <c r="CZ192" s="259">
        <v>0.1</v>
      </c>
      <c r="DA192" s="259">
        <v>0.1</v>
      </c>
      <c r="DB192" s="259">
        <v>0.1</v>
      </c>
      <c r="DC192" s="259">
        <v>0.1</v>
      </c>
      <c r="DD192" s="259">
        <v>0.1</v>
      </c>
      <c r="DE192" s="259">
        <v>0.1</v>
      </c>
      <c r="DF192" s="259">
        <v>0.1</v>
      </c>
      <c r="DG192" s="260">
        <v>0.1</v>
      </c>
      <c r="DH192" s="258">
        <v>0.1</v>
      </c>
      <c r="DI192" s="259">
        <v>0.1</v>
      </c>
      <c r="DJ192" s="259">
        <v>0.1</v>
      </c>
      <c r="DK192" s="259">
        <v>0.1</v>
      </c>
      <c r="DL192" s="259">
        <v>0.1</v>
      </c>
      <c r="DM192" s="259">
        <v>0.1</v>
      </c>
      <c r="DN192" s="259">
        <v>0.1</v>
      </c>
      <c r="DO192" s="259">
        <v>0.1</v>
      </c>
      <c r="DP192" s="259">
        <v>0.1</v>
      </c>
      <c r="DQ192" s="259">
        <v>0.1</v>
      </c>
      <c r="DR192" s="259">
        <v>0.1</v>
      </c>
      <c r="DS192" s="259">
        <v>0.1</v>
      </c>
      <c r="DT192" s="259">
        <v>0.1</v>
      </c>
      <c r="DU192" s="259">
        <v>0.1</v>
      </c>
      <c r="DV192" s="259">
        <v>0.1</v>
      </c>
      <c r="DW192" s="259">
        <v>0.1</v>
      </c>
      <c r="DX192" s="259">
        <v>0.1</v>
      </c>
      <c r="DY192" s="259">
        <v>0.1</v>
      </c>
      <c r="DZ192" s="259">
        <v>0.1</v>
      </c>
      <c r="EA192" s="259">
        <v>0.1</v>
      </c>
      <c r="EB192" s="259">
        <v>0.1</v>
      </c>
      <c r="EC192" s="259">
        <v>0.1</v>
      </c>
      <c r="ED192" s="259">
        <v>0.1</v>
      </c>
      <c r="EE192" s="259">
        <v>0.1</v>
      </c>
      <c r="EF192" s="260">
        <v>0.1</v>
      </c>
      <c r="EJ192">
        <v>189</v>
      </c>
      <c r="EN192">
        <v>0.1</v>
      </c>
      <c r="EO192">
        <v>0.1</v>
      </c>
      <c r="EP192">
        <v>0.1</v>
      </c>
      <c r="EQ192">
        <v>0.1</v>
      </c>
      <c r="ER192">
        <v>0.1</v>
      </c>
      <c r="ES192">
        <v>0.1</v>
      </c>
      <c r="ET192">
        <v>0.1</v>
      </c>
      <c r="EU192">
        <v>0.1</v>
      </c>
      <c r="EV192">
        <v>0.1</v>
      </c>
      <c r="EW192">
        <v>0.1</v>
      </c>
      <c r="EX192">
        <v>0.1</v>
      </c>
      <c r="EY192">
        <v>0.1</v>
      </c>
      <c r="EZ192">
        <v>0.1</v>
      </c>
      <c r="FA192">
        <v>0.1</v>
      </c>
      <c r="FB192">
        <v>0.1</v>
      </c>
      <c r="FC192">
        <v>0.1</v>
      </c>
      <c r="FD192">
        <v>0.1</v>
      </c>
      <c r="FE192">
        <v>0.1</v>
      </c>
      <c r="FF192">
        <v>0.1</v>
      </c>
      <c r="FG192">
        <v>0.1</v>
      </c>
      <c r="FH192">
        <v>0.1</v>
      </c>
      <c r="FI192">
        <v>0.1</v>
      </c>
      <c r="FJ192">
        <v>0.1</v>
      </c>
      <c r="FK192">
        <v>0.1</v>
      </c>
      <c r="FL192">
        <v>0.1</v>
      </c>
      <c r="FM192">
        <v>0.1</v>
      </c>
      <c r="FN192">
        <v>0.1</v>
      </c>
      <c r="FO192">
        <v>0.1</v>
      </c>
      <c r="FP192">
        <v>0.1</v>
      </c>
      <c r="FQ192">
        <v>0.1</v>
      </c>
      <c r="FU192">
        <v>189</v>
      </c>
      <c r="GB192">
        <v>0.1</v>
      </c>
      <c r="GC192">
        <v>0.1</v>
      </c>
      <c r="GD192">
        <v>0.1</v>
      </c>
      <c r="GE192">
        <v>0.1</v>
      </c>
      <c r="GF192">
        <v>0.1</v>
      </c>
      <c r="GG192">
        <v>0.1</v>
      </c>
      <c r="GH192">
        <v>0.1</v>
      </c>
      <c r="GI192">
        <v>0.1</v>
      </c>
      <c r="GJ192">
        <v>0.1</v>
      </c>
      <c r="GK192">
        <v>0.1</v>
      </c>
      <c r="GL192">
        <v>0.1</v>
      </c>
      <c r="GM192">
        <v>0.1</v>
      </c>
      <c r="GN192">
        <v>0.1</v>
      </c>
      <c r="GO192">
        <v>0.1</v>
      </c>
      <c r="GP192">
        <v>0.1</v>
      </c>
      <c r="GQ192">
        <v>0.1</v>
      </c>
      <c r="GR192">
        <v>0.1</v>
      </c>
      <c r="GS192">
        <v>0.1</v>
      </c>
      <c r="GT192">
        <v>0.1</v>
      </c>
      <c r="GU192">
        <v>0.1</v>
      </c>
      <c r="GV192">
        <v>0.1</v>
      </c>
      <c r="GW192">
        <v>0.1</v>
      </c>
      <c r="GX192">
        <v>0.1</v>
      </c>
      <c r="GY192">
        <v>0.1</v>
      </c>
      <c r="GZ192">
        <v>0.1</v>
      </c>
      <c r="HA192">
        <v>0.1</v>
      </c>
      <c r="HB192">
        <v>0.1</v>
      </c>
      <c r="HC192">
        <v>0.1</v>
      </c>
      <c r="HD192">
        <v>0.1</v>
      </c>
      <c r="HE192">
        <v>0.1</v>
      </c>
      <c r="HF192">
        <v>0.1</v>
      </c>
      <c r="HG192">
        <v>0.1</v>
      </c>
      <c r="HH192">
        <v>0.1</v>
      </c>
      <c r="HI192">
        <v>0.1</v>
      </c>
      <c r="HJ192">
        <v>0.1</v>
      </c>
      <c r="HK192">
        <v>0.1</v>
      </c>
      <c r="HL192">
        <v>0.1</v>
      </c>
      <c r="HM192">
        <v>0.1</v>
      </c>
      <c r="HN192">
        <v>0.1</v>
      </c>
      <c r="HO192">
        <v>0.1</v>
      </c>
    </row>
    <row r="193" spans="1:223" ht="15.75" thickBot="1" x14ac:dyDescent="0.3">
      <c r="A193">
        <v>190</v>
      </c>
      <c r="B193" s="269">
        <v>1.49</v>
      </c>
      <c r="C193" s="268">
        <v>1.49</v>
      </c>
      <c r="D193" s="268">
        <v>1.39</v>
      </c>
      <c r="E193" s="269">
        <v>1.39</v>
      </c>
      <c r="F193" s="2"/>
      <c r="G193" s="2"/>
      <c r="H193" s="258">
        <v>0.1</v>
      </c>
      <c r="I193" s="259">
        <v>0.1</v>
      </c>
      <c r="J193" s="259">
        <v>0.1</v>
      </c>
      <c r="K193" s="259">
        <v>0.1</v>
      </c>
      <c r="L193" s="259">
        <v>0.1</v>
      </c>
      <c r="M193" s="259">
        <v>0.1</v>
      </c>
      <c r="N193" s="259">
        <v>0.1</v>
      </c>
      <c r="O193" s="259">
        <v>0.1</v>
      </c>
      <c r="P193" s="259">
        <v>0.1</v>
      </c>
      <c r="Q193" s="259">
        <v>0.1</v>
      </c>
      <c r="R193" s="259">
        <v>0.1</v>
      </c>
      <c r="S193" s="259">
        <v>0.1</v>
      </c>
      <c r="T193" s="259">
        <v>0.1</v>
      </c>
      <c r="U193" s="259">
        <v>0.1</v>
      </c>
      <c r="V193" s="260">
        <v>0.1</v>
      </c>
      <c r="W193" s="258">
        <v>0.1</v>
      </c>
      <c r="X193" s="259">
        <v>0.1</v>
      </c>
      <c r="Y193" s="259">
        <v>0.1</v>
      </c>
      <c r="Z193" s="259">
        <v>0.1</v>
      </c>
      <c r="AA193" s="259">
        <v>0.1</v>
      </c>
      <c r="AB193" s="259">
        <v>0.1</v>
      </c>
      <c r="AC193" s="259">
        <v>0.1</v>
      </c>
      <c r="AD193" s="259">
        <v>0.1</v>
      </c>
      <c r="AE193" s="259">
        <v>0.1</v>
      </c>
      <c r="AF193" s="259">
        <v>0.1</v>
      </c>
      <c r="AG193" s="259">
        <v>0.1</v>
      </c>
      <c r="AH193" s="259">
        <v>0.1</v>
      </c>
      <c r="AI193" s="259">
        <v>0.1</v>
      </c>
      <c r="AJ193" s="259">
        <v>0.1</v>
      </c>
      <c r="AK193" s="260">
        <v>0.1</v>
      </c>
      <c r="AL193" s="258">
        <v>0.1</v>
      </c>
      <c r="AM193" s="259">
        <v>0.1</v>
      </c>
      <c r="AN193" s="259">
        <v>0.1</v>
      </c>
      <c r="AO193" s="259">
        <v>0.1</v>
      </c>
      <c r="AP193" s="259">
        <v>0.1</v>
      </c>
      <c r="AQ193" s="259">
        <v>0.1</v>
      </c>
      <c r="AR193" s="259">
        <v>0.1</v>
      </c>
      <c r="AS193" s="259">
        <v>0.1</v>
      </c>
      <c r="AT193" s="259">
        <v>0.1</v>
      </c>
      <c r="AU193" s="259">
        <v>0.1</v>
      </c>
      <c r="AV193" s="259">
        <v>0.1</v>
      </c>
      <c r="AW193" s="259">
        <v>0.1</v>
      </c>
      <c r="AX193" s="259">
        <v>0.1</v>
      </c>
      <c r="AY193" s="260">
        <v>0.1</v>
      </c>
      <c r="AZ193" s="258">
        <v>0.1</v>
      </c>
      <c r="BA193" s="259">
        <v>0.1</v>
      </c>
      <c r="BB193" s="259">
        <v>0.1</v>
      </c>
      <c r="BC193" s="259">
        <v>0.1</v>
      </c>
      <c r="BD193" s="262">
        <v>0.1</v>
      </c>
      <c r="BE193" s="262">
        <v>0.1</v>
      </c>
      <c r="BF193" s="262">
        <v>0.1</v>
      </c>
      <c r="BG193" s="262">
        <v>0.1</v>
      </c>
      <c r="BH193" s="262">
        <v>0.1</v>
      </c>
      <c r="BI193" s="262">
        <v>0.1</v>
      </c>
      <c r="BJ193" s="262">
        <v>0.1</v>
      </c>
      <c r="BK193" s="262">
        <v>0.1</v>
      </c>
      <c r="BL193" s="262">
        <v>0.1</v>
      </c>
      <c r="BM193" s="263">
        <v>0.1</v>
      </c>
      <c r="BN193">
        <v>0.1</v>
      </c>
      <c r="BO193">
        <v>0.1</v>
      </c>
      <c r="BP193">
        <f>SUM(BN193:BO193)</f>
        <v>0.2</v>
      </c>
      <c r="BS193">
        <v>190</v>
      </c>
      <c r="BT193" s="270">
        <v>3.48</v>
      </c>
      <c r="BU193" s="271">
        <v>2.44</v>
      </c>
      <c r="BV193" s="2"/>
      <c r="BW193" s="2"/>
      <c r="BX193" s="2"/>
      <c r="BY193" s="258">
        <v>0.1</v>
      </c>
      <c r="BZ193" s="259">
        <v>0.1</v>
      </c>
      <c r="CA193" s="259">
        <v>0.1</v>
      </c>
      <c r="CB193" s="259">
        <v>0.1</v>
      </c>
      <c r="CC193" s="259">
        <v>0.1</v>
      </c>
      <c r="CD193" s="259">
        <v>0.1</v>
      </c>
      <c r="CE193" s="259">
        <v>0.1</v>
      </c>
      <c r="CF193" s="259">
        <v>0.1</v>
      </c>
      <c r="CG193" s="259">
        <v>0.1</v>
      </c>
      <c r="CH193" s="259">
        <v>0.1</v>
      </c>
      <c r="CI193" s="259">
        <v>0.1</v>
      </c>
      <c r="CJ193" s="259">
        <v>0.1</v>
      </c>
      <c r="CK193" s="259">
        <v>0.1</v>
      </c>
      <c r="CL193" s="259">
        <v>0.1</v>
      </c>
      <c r="CM193" s="259">
        <v>0.1</v>
      </c>
      <c r="CN193" s="259">
        <v>0.1</v>
      </c>
      <c r="CO193" s="259">
        <v>0.1</v>
      </c>
      <c r="CP193" s="259">
        <v>0.1</v>
      </c>
      <c r="CQ193" s="259">
        <v>0.1</v>
      </c>
      <c r="CR193" s="259">
        <v>0.1</v>
      </c>
      <c r="CS193" s="259">
        <v>0.1</v>
      </c>
      <c r="CT193" s="259">
        <v>0.1</v>
      </c>
      <c r="CU193" s="259">
        <v>0.1</v>
      </c>
      <c r="CV193" s="259">
        <v>0.1</v>
      </c>
      <c r="CW193" s="259">
        <v>0.1</v>
      </c>
      <c r="CX193" s="259">
        <v>0.1</v>
      </c>
      <c r="CY193" s="259">
        <v>0.1</v>
      </c>
      <c r="CZ193" s="259">
        <v>0.1</v>
      </c>
      <c r="DA193" s="259">
        <v>0.1</v>
      </c>
      <c r="DB193" s="259">
        <v>0.1</v>
      </c>
      <c r="DC193" s="259">
        <v>0.1</v>
      </c>
      <c r="DD193" s="259">
        <v>0.1</v>
      </c>
      <c r="DE193" s="259">
        <v>0.1</v>
      </c>
      <c r="DF193" s="259">
        <v>0.1</v>
      </c>
      <c r="DG193" s="260">
        <v>0.1</v>
      </c>
      <c r="DH193" s="258">
        <v>0.1</v>
      </c>
      <c r="DI193" s="259">
        <v>0.1</v>
      </c>
      <c r="DJ193" s="259">
        <v>0.1</v>
      </c>
      <c r="DK193" s="259">
        <v>0.1</v>
      </c>
      <c r="DL193" s="259">
        <v>0.1</v>
      </c>
      <c r="DM193" s="259">
        <v>0.1</v>
      </c>
      <c r="DN193" s="259">
        <v>0.1</v>
      </c>
      <c r="DO193" s="259">
        <v>0.1</v>
      </c>
      <c r="DP193" s="259">
        <v>0.1</v>
      </c>
      <c r="DQ193" s="259">
        <v>0.1</v>
      </c>
      <c r="DR193" s="259">
        <v>0.1</v>
      </c>
      <c r="DS193" s="259">
        <v>0.1</v>
      </c>
      <c r="DT193" s="259">
        <v>0.1</v>
      </c>
      <c r="DU193" s="259">
        <v>0.1</v>
      </c>
      <c r="DV193" s="259">
        <v>0.1</v>
      </c>
      <c r="DW193" s="259">
        <v>0.1</v>
      </c>
      <c r="DX193" s="259">
        <v>0.1</v>
      </c>
      <c r="DY193" s="259">
        <v>0.1</v>
      </c>
      <c r="DZ193" s="259">
        <v>0.1</v>
      </c>
      <c r="EA193" s="259">
        <v>0.1</v>
      </c>
      <c r="EB193" s="259">
        <v>0.1</v>
      </c>
      <c r="EC193" s="259">
        <v>0.1</v>
      </c>
      <c r="ED193" s="259">
        <v>0.1</v>
      </c>
      <c r="EE193" s="259">
        <v>0.1</v>
      </c>
      <c r="EF193" s="260">
        <v>0.1</v>
      </c>
      <c r="EJ193">
        <v>190</v>
      </c>
      <c r="EN193">
        <v>0.1</v>
      </c>
      <c r="EO193">
        <v>0.1</v>
      </c>
      <c r="EP193">
        <v>0.1</v>
      </c>
      <c r="EQ193">
        <v>0.1</v>
      </c>
      <c r="ER193">
        <v>0.1</v>
      </c>
      <c r="ES193">
        <v>0.1</v>
      </c>
      <c r="ET193">
        <v>0.1</v>
      </c>
      <c r="EU193">
        <v>0.1</v>
      </c>
      <c r="EV193">
        <v>0.1</v>
      </c>
      <c r="EW193">
        <v>0.1</v>
      </c>
      <c r="EX193">
        <v>0.1</v>
      </c>
      <c r="EY193">
        <v>0.1</v>
      </c>
      <c r="EZ193">
        <v>0.1</v>
      </c>
      <c r="FA193">
        <v>0.1</v>
      </c>
      <c r="FB193">
        <v>0.1</v>
      </c>
      <c r="FC193">
        <v>0.1</v>
      </c>
      <c r="FD193">
        <v>0.1</v>
      </c>
      <c r="FE193">
        <v>0.1</v>
      </c>
      <c r="FF193">
        <v>0.1</v>
      </c>
      <c r="FG193">
        <v>0.1</v>
      </c>
      <c r="FH193">
        <v>0.1</v>
      </c>
      <c r="FI193">
        <v>0.1</v>
      </c>
      <c r="FJ193">
        <v>0.1</v>
      </c>
      <c r="FK193">
        <v>0.1</v>
      </c>
      <c r="FL193">
        <v>0.1</v>
      </c>
      <c r="FM193">
        <v>0.1</v>
      </c>
      <c r="FN193">
        <v>0.1</v>
      </c>
      <c r="FO193">
        <v>0.1</v>
      </c>
      <c r="FP193">
        <v>0.1</v>
      </c>
      <c r="FQ193">
        <v>0.1</v>
      </c>
      <c r="FU193">
        <v>190</v>
      </c>
      <c r="GB193">
        <v>0.1</v>
      </c>
      <c r="GC193">
        <v>0.1</v>
      </c>
      <c r="GD193">
        <v>0.1</v>
      </c>
      <c r="GE193">
        <v>0.1</v>
      </c>
      <c r="GF193">
        <v>0.1</v>
      </c>
      <c r="GG193">
        <v>0.1</v>
      </c>
      <c r="GH193">
        <v>0.1</v>
      </c>
      <c r="GI193">
        <v>0.1</v>
      </c>
      <c r="GJ193">
        <v>0.1</v>
      </c>
      <c r="GK193">
        <v>0.1</v>
      </c>
      <c r="GL193">
        <v>0.1</v>
      </c>
      <c r="GM193">
        <v>0.1</v>
      </c>
      <c r="GN193">
        <v>0.1</v>
      </c>
      <c r="GO193">
        <v>0.1</v>
      </c>
      <c r="GP193">
        <v>0.1</v>
      </c>
      <c r="GQ193">
        <v>0.1</v>
      </c>
      <c r="GR193">
        <v>0.1</v>
      </c>
      <c r="GS193">
        <v>0.1</v>
      </c>
      <c r="GT193">
        <v>0.1</v>
      </c>
      <c r="GU193">
        <v>0.1</v>
      </c>
      <c r="GV193">
        <v>0.1</v>
      </c>
      <c r="GW193">
        <v>0.1</v>
      </c>
      <c r="GX193">
        <v>0.1</v>
      </c>
      <c r="GY193">
        <v>0.1</v>
      </c>
      <c r="GZ193">
        <v>0.1</v>
      </c>
      <c r="HA193">
        <v>0.1</v>
      </c>
      <c r="HB193">
        <v>0.1</v>
      </c>
      <c r="HC193">
        <v>0.1</v>
      </c>
      <c r="HD193">
        <v>0.1</v>
      </c>
      <c r="HE193">
        <v>0.1</v>
      </c>
      <c r="HF193">
        <v>0.1</v>
      </c>
      <c r="HG193">
        <v>0.1</v>
      </c>
      <c r="HH193">
        <v>0.1</v>
      </c>
      <c r="HI193">
        <v>0.1</v>
      </c>
      <c r="HJ193">
        <v>0.1</v>
      </c>
      <c r="HK193">
        <v>0.1</v>
      </c>
      <c r="HL193">
        <v>0.1</v>
      </c>
      <c r="HM193">
        <v>0.1</v>
      </c>
      <c r="HN193">
        <v>0.1</v>
      </c>
      <c r="HO193">
        <v>0.1</v>
      </c>
    </row>
    <row r="194" spans="1:223" ht="15.75" thickBot="1" x14ac:dyDescent="0.3">
      <c r="A194">
        <v>191</v>
      </c>
      <c r="B194" s="269">
        <v>1.51</v>
      </c>
      <c r="C194" s="268">
        <v>1.51</v>
      </c>
      <c r="D194" s="269">
        <v>1.51</v>
      </c>
      <c r="E194" s="269">
        <v>1.1200000000000001</v>
      </c>
      <c r="F194" s="2"/>
      <c r="G194" s="2"/>
      <c r="H194" s="258">
        <v>0.1</v>
      </c>
      <c r="I194" s="259">
        <v>0.1</v>
      </c>
      <c r="J194" s="259">
        <v>0.1</v>
      </c>
      <c r="K194" s="259">
        <v>0.1</v>
      </c>
      <c r="L194" s="259">
        <v>0.1</v>
      </c>
      <c r="M194" s="259">
        <v>0.1</v>
      </c>
      <c r="N194" s="259">
        <v>0.1</v>
      </c>
      <c r="O194" s="259">
        <v>0.1</v>
      </c>
      <c r="P194" s="259">
        <v>0.1</v>
      </c>
      <c r="Q194" s="259">
        <v>0.1</v>
      </c>
      <c r="R194" s="259">
        <v>0.1</v>
      </c>
      <c r="S194" s="259">
        <v>0.1</v>
      </c>
      <c r="T194" s="259">
        <v>0.1</v>
      </c>
      <c r="U194" s="259">
        <v>0.1</v>
      </c>
      <c r="V194" s="259">
        <v>0.1</v>
      </c>
      <c r="W194" s="260">
        <v>0.1</v>
      </c>
      <c r="X194" s="258">
        <v>0.1</v>
      </c>
      <c r="Y194" s="259">
        <v>0.1</v>
      </c>
      <c r="Z194" s="259">
        <v>0.1</v>
      </c>
      <c r="AA194" s="259">
        <v>0.1</v>
      </c>
      <c r="AB194" s="259">
        <v>0.1</v>
      </c>
      <c r="AC194" s="259">
        <v>0.1</v>
      </c>
      <c r="AD194" s="259">
        <v>0.1</v>
      </c>
      <c r="AE194" s="259">
        <v>0.1</v>
      </c>
      <c r="AF194" s="259">
        <v>0.1</v>
      </c>
      <c r="AG194" s="259">
        <v>0.1</v>
      </c>
      <c r="AH194" s="259">
        <v>0.1</v>
      </c>
      <c r="AI194" s="259">
        <v>0.1</v>
      </c>
      <c r="AJ194" s="259">
        <v>0.1</v>
      </c>
      <c r="AK194" s="259">
        <v>0.1</v>
      </c>
      <c r="AL194" s="259">
        <v>0.1</v>
      </c>
      <c r="AM194" s="260">
        <v>0.1</v>
      </c>
      <c r="AN194" s="258">
        <v>0.1</v>
      </c>
      <c r="AO194" s="259">
        <v>0.1</v>
      </c>
      <c r="AP194" s="259">
        <v>0.1</v>
      </c>
      <c r="AQ194" s="259">
        <v>0.1</v>
      </c>
      <c r="AR194" s="259">
        <v>0.1</v>
      </c>
      <c r="AS194" s="259">
        <v>0.1</v>
      </c>
      <c r="AT194" s="259">
        <v>0.1</v>
      </c>
      <c r="AU194" s="259">
        <v>0.1</v>
      </c>
      <c r="AV194" s="259">
        <v>0.1</v>
      </c>
      <c r="AW194" s="259">
        <v>0.1</v>
      </c>
      <c r="AX194" s="259">
        <v>0.1</v>
      </c>
      <c r="AY194" s="259">
        <v>0.1</v>
      </c>
      <c r="AZ194" s="259">
        <v>0.1</v>
      </c>
      <c r="BA194" s="259">
        <v>0.1</v>
      </c>
      <c r="BB194" s="259">
        <v>0.1</v>
      </c>
      <c r="BC194" s="260">
        <v>0.1</v>
      </c>
      <c r="BD194" s="258">
        <v>0.1</v>
      </c>
      <c r="BE194" s="259">
        <v>0.1</v>
      </c>
      <c r="BF194" s="259">
        <v>0.1</v>
      </c>
      <c r="BG194" s="259">
        <v>0.1</v>
      </c>
      <c r="BH194" s="259">
        <v>0.1</v>
      </c>
      <c r="BI194" s="259">
        <v>0.1</v>
      </c>
      <c r="BJ194" s="259">
        <v>0.1</v>
      </c>
      <c r="BK194" s="259">
        <v>0.1</v>
      </c>
      <c r="BL194" s="259">
        <v>0.1</v>
      </c>
      <c r="BM194" s="259">
        <v>0.1</v>
      </c>
      <c r="BN194" s="259">
        <v>0.1</v>
      </c>
      <c r="BO194" s="260">
        <v>0.1</v>
      </c>
      <c r="BS194">
        <v>191</v>
      </c>
      <c r="BT194" s="271">
        <v>3.48</v>
      </c>
      <c r="BU194" s="270">
        <v>2.46</v>
      </c>
      <c r="BV194" s="2"/>
      <c r="BW194" s="2"/>
      <c r="BX194" s="2"/>
      <c r="BY194" s="258">
        <v>0.1</v>
      </c>
      <c r="BZ194" s="259">
        <v>0.1</v>
      </c>
      <c r="CA194" s="259">
        <v>0.1</v>
      </c>
      <c r="CB194" s="259">
        <v>0.1</v>
      </c>
      <c r="CC194" s="259">
        <v>0.1</v>
      </c>
      <c r="CD194" s="259">
        <v>0.1</v>
      </c>
      <c r="CE194" s="259">
        <v>0.1</v>
      </c>
      <c r="CF194" s="259">
        <v>0.1</v>
      </c>
      <c r="CG194" s="259">
        <v>0.1</v>
      </c>
      <c r="CH194" s="259">
        <v>0.1</v>
      </c>
      <c r="CI194" s="259">
        <v>0.1</v>
      </c>
      <c r="CJ194" s="259">
        <v>0.1</v>
      </c>
      <c r="CK194" s="259">
        <v>0.1</v>
      </c>
      <c r="CL194" s="259">
        <v>0.1</v>
      </c>
      <c r="CM194" s="259">
        <v>0.1</v>
      </c>
      <c r="CN194" s="259">
        <v>0.1</v>
      </c>
      <c r="CO194" s="259">
        <v>0.1</v>
      </c>
      <c r="CP194" s="259">
        <v>0.1</v>
      </c>
      <c r="CQ194" s="259">
        <v>0.1</v>
      </c>
      <c r="CR194" s="259">
        <v>0.1</v>
      </c>
      <c r="CS194" s="259">
        <v>0.1</v>
      </c>
      <c r="CT194" s="259">
        <v>0.1</v>
      </c>
      <c r="CU194" s="259">
        <v>0.1</v>
      </c>
      <c r="CV194" s="259">
        <v>0.1</v>
      </c>
      <c r="CW194" s="259">
        <v>0.1</v>
      </c>
      <c r="CX194" s="259">
        <v>0.1</v>
      </c>
      <c r="CY194" s="259">
        <v>0.1</v>
      </c>
      <c r="CZ194" s="259">
        <v>0.1</v>
      </c>
      <c r="DA194" s="259">
        <v>0.1</v>
      </c>
      <c r="DB194" s="259">
        <v>0.1</v>
      </c>
      <c r="DC194" s="259">
        <v>0.1</v>
      </c>
      <c r="DD194" s="259">
        <v>0.1</v>
      </c>
      <c r="DE194" s="259">
        <v>0.1</v>
      </c>
      <c r="DF194" s="259">
        <v>0.1</v>
      </c>
      <c r="DG194" s="260">
        <v>0.1</v>
      </c>
      <c r="DH194" s="258">
        <v>0.1</v>
      </c>
      <c r="DI194" s="259">
        <v>0.1</v>
      </c>
      <c r="DJ194" s="259">
        <v>0.1</v>
      </c>
      <c r="DK194" s="259">
        <v>0.1</v>
      </c>
      <c r="DL194" s="259">
        <v>0.1</v>
      </c>
      <c r="DM194" s="259">
        <v>0.1</v>
      </c>
      <c r="DN194" s="259">
        <v>0.1</v>
      </c>
      <c r="DO194" s="259">
        <v>0.1</v>
      </c>
      <c r="DP194" s="259">
        <v>0.1</v>
      </c>
      <c r="DQ194" s="259">
        <v>0.1</v>
      </c>
      <c r="DR194" s="259">
        <v>0.1</v>
      </c>
      <c r="DS194" s="259">
        <v>0.1</v>
      </c>
      <c r="DT194" s="259">
        <v>0.1</v>
      </c>
      <c r="DU194" s="259">
        <v>0.1</v>
      </c>
      <c r="DV194" s="259">
        <v>0.1</v>
      </c>
      <c r="DW194" s="259">
        <v>0.1</v>
      </c>
      <c r="DX194" s="259">
        <v>0.1</v>
      </c>
      <c r="DY194" s="259">
        <v>0.1</v>
      </c>
      <c r="DZ194" s="259">
        <v>0.1</v>
      </c>
      <c r="EA194" s="259">
        <v>0.1</v>
      </c>
      <c r="EB194" s="259">
        <v>0.1</v>
      </c>
      <c r="EC194" s="259">
        <v>0.1</v>
      </c>
      <c r="ED194" s="259">
        <v>0.1</v>
      </c>
      <c r="EE194" s="259">
        <v>0.1</v>
      </c>
      <c r="EF194" s="260">
        <v>0.1</v>
      </c>
      <c r="EJ194">
        <v>191</v>
      </c>
      <c r="EN194">
        <v>0.1</v>
      </c>
      <c r="EO194">
        <v>0.1</v>
      </c>
      <c r="EP194">
        <v>0.1</v>
      </c>
      <c r="EQ194">
        <v>0.1</v>
      </c>
      <c r="ER194">
        <v>0.1</v>
      </c>
      <c r="ES194">
        <v>0.1</v>
      </c>
      <c r="ET194">
        <v>0.1</v>
      </c>
      <c r="EU194">
        <v>0.1</v>
      </c>
      <c r="EV194">
        <v>0.1</v>
      </c>
      <c r="EW194">
        <v>0.1</v>
      </c>
      <c r="EX194">
        <v>0.1</v>
      </c>
      <c r="EY194">
        <v>0.1</v>
      </c>
      <c r="EZ194">
        <v>0.1</v>
      </c>
      <c r="FA194">
        <v>0.1</v>
      </c>
      <c r="FB194">
        <v>0.1</v>
      </c>
      <c r="FC194">
        <v>0.1</v>
      </c>
      <c r="FD194">
        <v>0.1</v>
      </c>
      <c r="FE194">
        <v>0.1</v>
      </c>
      <c r="FF194">
        <v>0.1</v>
      </c>
      <c r="FG194">
        <v>0.1</v>
      </c>
      <c r="FH194">
        <v>0.1</v>
      </c>
      <c r="FI194">
        <v>0.1</v>
      </c>
      <c r="FJ194">
        <v>0.1</v>
      </c>
      <c r="FK194">
        <v>0.1</v>
      </c>
      <c r="FL194">
        <v>0.1</v>
      </c>
      <c r="FM194">
        <v>0.1</v>
      </c>
      <c r="FN194">
        <v>0.1</v>
      </c>
      <c r="FO194">
        <v>0.1</v>
      </c>
      <c r="FP194">
        <v>0.1</v>
      </c>
      <c r="FQ194">
        <v>0.1</v>
      </c>
      <c r="FU194">
        <v>191</v>
      </c>
      <c r="GB194">
        <v>0.1</v>
      </c>
      <c r="GC194">
        <v>0.1</v>
      </c>
      <c r="GD194">
        <v>0.1</v>
      </c>
      <c r="GE194">
        <v>0.1</v>
      </c>
      <c r="GF194">
        <v>0.1</v>
      </c>
      <c r="GG194">
        <v>0.1</v>
      </c>
      <c r="GH194">
        <v>0.1</v>
      </c>
      <c r="GI194">
        <v>0.1</v>
      </c>
      <c r="GJ194">
        <v>0.1</v>
      </c>
      <c r="GK194">
        <v>0.1</v>
      </c>
      <c r="GL194">
        <v>0.1</v>
      </c>
      <c r="GM194">
        <v>0.1</v>
      </c>
      <c r="GN194">
        <v>0.1</v>
      </c>
      <c r="GO194">
        <v>0.1</v>
      </c>
      <c r="GP194">
        <v>0.1</v>
      </c>
      <c r="GQ194">
        <v>0.1</v>
      </c>
      <c r="GR194">
        <v>0.1</v>
      </c>
      <c r="GS194">
        <v>0.1</v>
      </c>
      <c r="GT194">
        <v>0.1</v>
      </c>
      <c r="GU194">
        <v>0.1</v>
      </c>
      <c r="GV194">
        <v>0.1</v>
      </c>
      <c r="GW194">
        <v>0.1</v>
      </c>
      <c r="GX194">
        <v>0.1</v>
      </c>
      <c r="GY194">
        <v>0.1</v>
      </c>
      <c r="GZ194">
        <v>0.1</v>
      </c>
      <c r="HA194">
        <v>0.1</v>
      </c>
      <c r="HB194">
        <v>0.1</v>
      </c>
      <c r="HC194">
        <v>0.1</v>
      </c>
      <c r="HD194">
        <v>0.1</v>
      </c>
      <c r="HE194">
        <v>0.1</v>
      </c>
      <c r="HF194">
        <v>0.1</v>
      </c>
      <c r="HG194">
        <v>0.1</v>
      </c>
      <c r="HH194">
        <v>0.1</v>
      </c>
      <c r="HI194">
        <v>0.1</v>
      </c>
      <c r="HJ194">
        <v>0.1</v>
      </c>
      <c r="HK194">
        <v>0.1</v>
      </c>
      <c r="HL194">
        <v>0.1</v>
      </c>
      <c r="HM194">
        <v>0.1</v>
      </c>
      <c r="HN194">
        <v>0.1</v>
      </c>
      <c r="HO194">
        <v>0.1</v>
      </c>
    </row>
    <row r="195" spans="1:223" ht="15.75" thickBot="1" x14ac:dyDescent="0.3">
      <c r="A195">
        <v>192</v>
      </c>
      <c r="B195" s="268">
        <v>1.51</v>
      </c>
      <c r="C195" s="269">
        <v>1.51</v>
      </c>
      <c r="D195" s="268">
        <v>1.51</v>
      </c>
      <c r="E195" s="268">
        <v>1.1499999999999999</v>
      </c>
      <c r="F195" s="2"/>
      <c r="G195" s="2"/>
      <c r="H195" s="258">
        <v>0.1</v>
      </c>
      <c r="I195" s="259">
        <v>0.1</v>
      </c>
      <c r="J195" s="259">
        <v>0.1</v>
      </c>
      <c r="K195" s="259">
        <v>0.1</v>
      </c>
      <c r="L195" s="259">
        <v>0.1</v>
      </c>
      <c r="M195" s="259">
        <v>0.1</v>
      </c>
      <c r="N195" s="259">
        <v>0.1</v>
      </c>
      <c r="O195" s="259">
        <v>0.1</v>
      </c>
      <c r="P195" s="259">
        <v>0.1</v>
      </c>
      <c r="Q195" s="259">
        <v>0.1</v>
      </c>
      <c r="R195" s="259">
        <v>0.1</v>
      </c>
      <c r="S195" s="259">
        <v>0.1</v>
      </c>
      <c r="T195" s="259">
        <v>0.1</v>
      </c>
      <c r="U195" s="259">
        <v>0.1</v>
      </c>
      <c r="V195" s="259">
        <v>0.1</v>
      </c>
      <c r="W195" s="260">
        <v>0.1</v>
      </c>
      <c r="X195" s="258">
        <v>0.1</v>
      </c>
      <c r="Y195" s="259">
        <v>0.1</v>
      </c>
      <c r="Z195" s="259">
        <v>0.1</v>
      </c>
      <c r="AA195" s="259">
        <v>0.1</v>
      </c>
      <c r="AB195" s="259">
        <v>0.1</v>
      </c>
      <c r="AC195" s="259">
        <v>0.1</v>
      </c>
      <c r="AD195" s="259">
        <v>0.1</v>
      </c>
      <c r="AE195" s="259">
        <v>0.1</v>
      </c>
      <c r="AF195" s="259">
        <v>0.1</v>
      </c>
      <c r="AG195" s="259">
        <v>0.1</v>
      </c>
      <c r="AH195" s="259">
        <v>0.1</v>
      </c>
      <c r="AI195" s="259">
        <v>0.1</v>
      </c>
      <c r="AJ195" s="259">
        <v>0.1</v>
      </c>
      <c r="AK195" s="259">
        <v>0.1</v>
      </c>
      <c r="AL195" s="259">
        <v>0.1</v>
      </c>
      <c r="AM195" s="260">
        <v>0.1</v>
      </c>
      <c r="AN195" s="258">
        <v>0.1</v>
      </c>
      <c r="AO195" s="259">
        <v>0.1</v>
      </c>
      <c r="AP195" s="259">
        <v>0.1</v>
      </c>
      <c r="AQ195" s="259">
        <v>0.1</v>
      </c>
      <c r="AR195" s="259">
        <v>0.1</v>
      </c>
      <c r="AS195" s="259">
        <v>0.1</v>
      </c>
      <c r="AT195" s="259">
        <v>0.1</v>
      </c>
      <c r="AU195" s="259">
        <v>0.1</v>
      </c>
      <c r="AV195" s="259">
        <v>0.1</v>
      </c>
      <c r="AW195" s="259">
        <v>0.1</v>
      </c>
      <c r="AX195" s="259">
        <v>0.1</v>
      </c>
      <c r="AY195" s="259">
        <v>0.1</v>
      </c>
      <c r="AZ195" s="259">
        <v>0.1</v>
      </c>
      <c r="BA195" s="259">
        <v>0.1</v>
      </c>
      <c r="BB195" s="259">
        <v>0.1</v>
      </c>
      <c r="BC195" s="260">
        <v>0.1</v>
      </c>
      <c r="BD195" s="258">
        <v>0.1</v>
      </c>
      <c r="BE195" s="259">
        <v>0.1</v>
      </c>
      <c r="BF195" s="259">
        <v>0.1</v>
      </c>
      <c r="BG195" s="259">
        <v>0.1</v>
      </c>
      <c r="BH195" s="259">
        <v>0.1</v>
      </c>
      <c r="BI195" s="259">
        <v>0.1</v>
      </c>
      <c r="BJ195" s="259">
        <v>0.1</v>
      </c>
      <c r="BK195" s="259">
        <v>0.1</v>
      </c>
      <c r="BL195" s="259">
        <v>0.1</v>
      </c>
      <c r="BM195" s="259">
        <v>0.1</v>
      </c>
      <c r="BN195" s="259">
        <v>0.1</v>
      </c>
      <c r="BO195" s="260">
        <v>0.1</v>
      </c>
      <c r="BS195">
        <v>192</v>
      </c>
      <c r="BT195" s="270">
        <v>3.48</v>
      </c>
      <c r="BU195" s="271">
        <v>2.48</v>
      </c>
      <c r="BV195" s="2"/>
      <c r="BW195" s="2"/>
      <c r="BX195" s="2"/>
      <c r="BY195" s="258">
        <v>0.1</v>
      </c>
      <c r="BZ195" s="259">
        <v>0.1</v>
      </c>
      <c r="CA195" s="259">
        <v>0.1</v>
      </c>
      <c r="CB195" s="259">
        <v>0.1</v>
      </c>
      <c r="CC195" s="259">
        <v>0.1</v>
      </c>
      <c r="CD195" s="259">
        <v>0.1</v>
      </c>
      <c r="CE195" s="259">
        <v>0.1</v>
      </c>
      <c r="CF195" s="259">
        <v>0.1</v>
      </c>
      <c r="CG195" s="259">
        <v>0.1</v>
      </c>
      <c r="CH195" s="259">
        <v>0.1</v>
      </c>
      <c r="CI195" s="259">
        <v>0.1</v>
      </c>
      <c r="CJ195" s="259">
        <v>0.1</v>
      </c>
      <c r="CK195" s="259">
        <v>0.1</v>
      </c>
      <c r="CL195" s="259">
        <v>0.1</v>
      </c>
      <c r="CM195" s="259">
        <v>0.1</v>
      </c>
      <c r="CN195" s="259">
        <v>0.1</v>
      </c>
      <c r="CO195" s="259">
        <v>0.1</v>
      </c>
      <c r="CP195" s="259">
        <v>0.1</v>
      </c>
      <c r="CQ195" s="259">
        <v>0.1</v>
      </c>
      <c r="CR195" s="259">
        <v>0.1</v>
      </c>
      <c r="CS195" s="259">
        <v>0.1</v>
      </c>
      <c r="CT195" s="259">
        <v>0.1</v>
      </c>
      <c r="CU195" s="259">
        <v>0.1</v>
      </c>
      <c r="CV195" s="259">
        <v>0.1</v>
      </c>
      <c r="CW195" s="259">
        <v>0.1</v>
      </c>
      <c r="CX195" s="259">
        <v>0.1</v>
      </c>
      <c r="CY195" s="259">
        <v>0.1</v>
      </c>
      <c r="CZ195" s="259">
        <v>0.1</v>
      </c>
      <c r="DA195" s="259">
        <v>0.1</v>
      </c>
      <c r="DB195" s="259">
        <v>0.1</v>
      </c>
      <c r="DC195" s="259">
        <v>0.1</v>
      </c>
      <c r="DD195" s="259">
        <v>0.1</v>
      </c>
      <c r="DE195" s="259">
        <v>0.1</v>
      </c>
      <c r="DF195" s="259">
        <v>0.1</v>
      </c>
      <c r="DG195" s="260">
        <v>0.1</v>
      </c>
      <c r="DH195" s="258">
        <v>0.1</v>
      </c>
      <c r="DI195" s="259">
        <v>0.1</v>
      </c>
      <c r="DJ195" s="259">
        <v>0.1</v>
      </c>
      <c r="DK195" s="259">
        <v>0.1</v>
      </c>
      <c r="DL195" s="259">
        <v>0.1</v>
      </c>
      <c r="DM195" s="259">
        <v>0.1</v>
      </c>
      <c r="DN195" s="259">
        <v>0.1</v>
      </c>
      <c r="DO195" s="259">
        <v>0.1</v>
      </c>
      <c r="DP195" s="259">
        <v>0.1</v>
      </c>
      <c r="DQ195" s="259">
        <v>0.1</v>
      </c>
      <c r="DR195" s="259">
        <v>0.1</v>
      </c>
      <c r="DS195" s="259">
        <v>0.1</v>
      </c>
      <c r="DT195" s="259">
        <v>0.1</v>
      </c>
      <c r="DU195" s="259">
        <v>0.1</v>
      </c>
      <c r="DV195" s="259">
        <v>0.1</v>
      </c>
      <c r="DW195" s="259">
        <v>0.1</v>
      </c>
      <c r="DX195" s="259">
        <v>0.1</v>
      </c>
      <c r="DY195" s="259">
        <v>0.1</v>
      </c>
      <c r="DZ195" s="259">
        <v>0.1</v>
      </c>
      <c r="EA195" s="259">
        <v>0.1</v>
      </c>
      <c r="EB195" s="259">
        <v>0.1</v>
      </c>
      <c r="EC195" s="259">
        <v>0.1</v>
      </c>
      <c r="ED195" s="259">
        <v>0.1</v>
      </c>
      <c r="EE195" s="259">
        <v>0.1</v>
      </c>
      <c r="EF195" s="260">
        <v>0.1</v>
      </c>
      <c r="EJ195">
        <v>192</v>
      </c>
      <c r="EN195">
        <v>0.1</v>
      </c>
      <c r="EO195">
        <v>0.1</v>
      </c>
      <c r="EP195">
        <v>0.1</v>
      </c>
      <c r="EQ195">
        <v>0.1</v>
      </c>
      <c r="ER195">
        <v>0.1</v>
      </c>
      <c r="ES195">
        <v>0.1</v>
      </c>
      <c r="ET195">
        <v>0.1</v>
      </c>
      <c r="EU195">
        <v>0.1</v>
      </c>
      <c r="EV195">
        <v>0.1</v>
      </c>
      <c r="EW195">
        <v>0.1</v>
      </c>
      <c r="EX195">
        <v>0.1</v>
      </c>
      <c r="EY195">
        <v>0.1</v>
      </c>
      <c r="EZ195">
        <v>0.1</v>
      </c>
      <c r="FA195">
        <v>0.1</v>
      </c>
      <c r="FB195">
        <v>0.1</v>
      </c>
      <c r="FC195">
        <v>0.1</v>
      </c>
      <c r="FD195">
        <v>0.1</v>
      </c>
      <c r="FE195">
        <v>0.1</v>
      </c>
      <c r="FF195">
        <v>0.1</v>
      </c>
      <c r="FG195">
        <v>0.1</v>
      </c>
      <c r="FH195">
        <v>0.1</v>
      </c>
      <c r="FI195">
        <v>0.1</v>
      </c>
      <c r="FJ195">
        <v>0.1</v>
      </c>
      <c r="FK195">
        <v>0.1</v>
      </c>
      <c r="FL195">
        <v>0.1</v>
      </c>
      <c r="FM195">
        <v>0.1</v>
      </c>
      <c r="FN195">
        <v>0.1</v>
      </c>
      <c r="FO195">
        <v>0.1</v>
      </c>
      <c r="FP195">
        <v>0.1</v>
      </c>
      <c r="FQ195">
        <v>0.1</v>
      </c>
      <c r="FU195">
        <v>192</v>
      </c>
      <c r="GB195">
        <v>0.1</v>
      </c>
      <c r="GC195">
        <v>0.1</v>
      </c>
      <c r="GD195">
        <v>0.1</v>
      </c>
      <c r="GE195">
        <v>0.1</v>
      </c>
      <c r="GF195">
        <v>0.1</v>
      </c>
      <c r="GG195">
        <v>0.1</v>
      </c>
      <c r="GH195">
        <v>0.1</v>
      </c>
      <c r="GI195">
        <v>0.1</v>
      </c>
      <c r="GJ195">
        <v>0.1</v>
      </c>
      <c r="GK195">
        <v>0.1</v>
      </c>
      <c r="GL195">
        <v>0.1</v>
      </c>
      <c r="GM195">
        <v>0.1</v>
      </c>
      <c r="GN195">
        <v>0.1</v>
      </c>
      <c r="GO195">
        <v>0.1</v>
      </c>
      <c r="GP195">
        <v>0.1</v>
      </c>
      <c r="GQ195">
        <v>0.1</v>
      </c>
      <c r="GR195">
        <v>0.1</v>
      </c>
      <c r="GS195">
        <v>0.1</v>
      </c>
      <c r="GT195">
        <v>0.1</v>
      </c>
      <c r="GU195">
        <v>0.1</v>
      </c>
      <c r="GV195">
        <v>0.1</v>
      </c>
      <c r="GW195">
        <v>0.1</v>
      </c>
      <c r="GX195">
        <v>0.1</v>
      </c>
      <c r="GY195">
        <v>0.1</v>
      </c>
      <c r="GZ195">
        <v>0.1</v>
      </c>
      <c r="HA195">
        <v>0.1</v>
      </c>
      <c r="HB195">
        <v>0.1</v>
      </c>
      <c r="HC195">
        <v>0.1</v>
      </c>
      <c r="HD195">
        <v>0.1</v>
      </c>
      <c r="HE195">
        <v>0.1</v>
      </c>
      <c r="HF195">
        <v>0.1</v>
      </c>
      <c r="HG195">
        <v>0.1</v>
      </c>
      <c r="HH195">
        <v>0.1</v>
      </c>
      <c r="HI195">
        <v>0.1</v>
      </c>
      <c r="HJ195">
        <v>0.1</v>
      </c>
      <c r="HK195">
        <v>0.1</v>
      </c>
      <c r="HL195">
        <v>0.1</v>
      </c>
      <c r="HM195">
        <v>0.1</v>
      </c>
      <c r="HN195">
        <v>0.1</v>
      </c>
      <c r="HO195">
        <v>0.1</v>
      </c>
    </row>
    <row r="196" spans="1:223" ht="15.75" thickBot="1" x14ac:dyDescent="0.3">
      <c r="A196">
        <v>193</v>
      </c>
      <c r="B196" s="269">
        <v>1.51</v>
      </c>
      <c r="C196" s="268">
        <v>1.51</v>
      </c>
      <c r="D196" s="269">
        <v>1.51</v>
      </c>
      <c r="E196" s="269">
        <v>1.1599999999999999</v>
      </c>
      <c r="F196" s="2"/>
      <c r="G196" s="2"/>
      <c r="H196" s="258">
        <v>0.1</v>
      </c>
      <c r="I196" s="259">
        <v>0.1</v>
      </c>
      <c r="J196" s="259">
        <v>0.1</v>
      </c>
      <c r="K196" s="259">
        <v>0.1</v>
      </c>
      <c r="L196" s="259">
        <v>0.1</v>
      </c>
      <c r="M196" s="259">
        <v>0.1</v>
      </c>
      <c r="N196" s="259">
        <v>0.1</v>
      </c>
      <c r="O196" s="259">
        <v>0.1</v>
      </c>
      <c r="P196" s="259">
        <v>0.1</v>
      </c>
      <c r="Q196" s="259">
        <v>0.1</v>
      </c>
      <c r="R196" s="259">
        <v>0.1</v>
      </c>
      <c r="S196" s="259">
        <v>0.1</v>
      </c>
      <c r="T196" s="259">
        <v>0.1</v>
      </c>
      <c r="U196" s="259">
        <v>0.1</v>
      </c>
      <c r="V196" s="259">
        <v>0.1</v>
      </c>
      <c r="W196" s="260">
        <v>0.1</v>
      </c>
      <c r="X196" s="258">
        <v>0.1</v>
      </c>
      <c r="Y196" s="259">
        <v>0.1</v>
      </c>
      <c r="Z196" s="259">
        <v>0.1</v>
      </c>
      <c r="AA196" s="259">
        <v>0.1</v>
      </c>
      <c r="AB196" s="259">
        <v>0.1</v>
      </c>
      <c r="AC196" s="259">
        <v>0.1</v>
      </c>
      <c r="AD196" s="259">
        <v>0.1</v>
      </c>
      <c r="AE196" s="259">
        <v>0.1</v>
      </c>
      <c r="AF196" s="259">
        <v>0.1</v>
      </c>
      <c r="AG196" s="259">
        <v>0.1</v>
      </c>
      <c r="AH196" s="259">
        <v>0.1</v>
      </c>
      <c r="AI196" s="259">
        <v>0.1</v>
      </c>
      <c r="AJ196" s="259">
        <v>0.1</v>
      </c>
      <c r="AK196" s="259">
        <v>0.1</v>
      </c>
      <c r="AL196" s="259">
        <v>0.1</v>
      </c>
      <c r="AM196" s="260">
        <v>0.1</v>
      </c>
      <c r="AN196" s="258">
        <v>0.1</v>
      </c>
      <c r="AO196" s="259">
        <v>0.1</v>
      </c>
      <c r="AP196" s="259">
        <v>0.1</v>
      </c>
      <c r="AQ196" s="259">
        <v>0.1</v>
      </c>
      <c r="AR196" s="259">
        <v>0.1</v>
      </c>
      <c r="AS196" s="259">
        <v>0.1</v>
      </c>
      <c r="AT196" s="259">
        <v>0.1</v>
      </c>
      <c r="AU196" s="259">
        <v>0.1</v>
      </c>
      <c r="AV196" s="259">
        <v>0.1</v>
      </c>
      <c r="AW196" s="259">
        <v>0.1</v>
      </c>
      <c r="AX196" s="259">
        <v>0.1</v>
      </c>
      <c r="AY196" s="259">
        <v>0.1</v>
      </c>
      <c r="AZ196" s="259">
        <v>0.1</v>
      </c>
      <c r="BA196" s="259">
        <v>0.1</v>
      </c>
      <c r="BB196" s="259">
        <v>0.1</v>
      </c>
      <c r="BC196" s="260">
        <v>0.1</v>
      </c>
      <c r="BD196" s="258">
        <v>0.1</v>
      </c>
      <c r="BE196" s="259">
        <v>0.1</v>
      </c>
      <c r="BF196" s="259">
        <v>0.1</v>
      </c>
      <c r="BG196" s="259">
        <v>0.1</v>
      </c>
      <c r="BH196" s="259">
        <v>0.1</v>
      </c>
      <c r="BI196" s="259">
        <v>0.1</v>
      </c>
      <c r="BJ196" s="259">
        <v>0.1</v>
      </c>
      <c r="BK196" s="259">
        <v>0.1</v>
      </c>
      <c r="BL196" s="259">
        <v>0.1</v>
      </c>
      <c r="BM196" s="259">
        <v>0.1</v>
      </c>
      <c r="BN196" s="259">
        <v>0.1</v>
      </c>
      <c r="BO196" s="260">
        <v>0.1</v>
      </c>
      <c r="BS196">
        <v>193</v>
      </c>
      <c r="BT196" s="271">
        <v>3.48</v>
      </c>
      <c r="BU196" s="270">
        <v>2.48</v>
      </c>
      <c r="BV196" s="2"/>
      <c r="BW196" s="2"/>
      <c r="BX196" s="2"/>
      <c r="BY196" s="258">
        <v>0.1</v>
      </c>
      <c r="BZ196" s="259">
        <v>0.1</v>
      </c>
      <c r="CA196" s="259">
        <v>0.1</v>
      </c>
      <c r="CB196" s="259">
        <v>0.1</v>
      </c>
      <c r="CC196" s="259">
        <v>0.1</v>
      </c>
      <c r="CD196" s="259">
        <v>0.1</v>
      </c>
      <c r="CE196" s="259">
        <v>0.1</v>
      </c>
      <c r="CF196" s="259">
        <v>0.1</v>
      </c>
      <c r="CG196" s="259">
        <v>0.1</v>
      </c>
      <c r="CH196" s="259">
        <v>0.1</v>
      </c>
      <c r="CI196" s="259">
        <v>0.1</v>
      </c>
      <c r="CJ196" s="259">
        <v>0.1</v>
      </c>
      <c r="CK196" s="259">
        <v>0.1</v>
      </c>
      <c r="CL196" s="259">
        <v>0.1</v>
      </c>
      <c r="CM196" s="259">
        <v>0.1</v>
      </c>
      <c r="CN196" s="259">
        <v>0.1</v>
      </c>
      <c r="CO196" s="259">
        <v>0.1</v>
      </c>
      <c r="CP196" s="259">
        <v>0.1</v>
      </c>
      <c r="CQ196" s="259">
        <v>0.1</v>
      </c>
      <c r="CR196" s="259">
        <v>0.1</v>
      </c>
      <c r="CS196" s="259">
        <v>0.1</v>
      </c>
      <c r="CT196" s="259">
        <v>0.1</v>
      </c>
      <c r="CU196" s="259">
        <v>0.1</v>
      </c>
      <c r="CV196" s="259">
        <v>0.1</v>
      </c>
      <c r="CW196" s="259">
        <v>0.1</v>
      </c>
      <c r="CX196" s="259">
        <v>0.1</v>
      </c>
      <c r="CY196" s="259">
        <v>0.1</v>
      </c>
      <c r="CZ196" s="259">
        <v>0.1</v>
      </c>
      <c r="DA196" s="259">
        <v>0.1</v>
      </c>
      <c r="DB196" s="259">
        <v>0.1</v>
      </c>
      <c r="DC196" s="259">
        <v>0.1</v>
      </c>
      <c r="DD196" s="259">
        <v>0.1</v>
      </c>
      <c r="DE196" s="259">
        <v>0.1</v>
      </c>
      <c r="DF196" s="259">
        <v>0.1</v>
      </c>
      <c r="DG196" s="260">
        <v>0.1</v>
      </c>
      <c r="DH196" s="258">
        <v>0.1</v>
      </c>
      <c r="DI196" s="259">
        <v>0.1</v>
      </c>
      <c r="DJ196" s="259">
        <v>0.1</v>
      </c>
      <c r="DK196" s="259">
        <v>0.1</v>
      </c>
      <c r="DL196" s="259">
        <v>0.1</v>
      </c>
      <c r="DM196" s="259">
        <v>0.1</v>
      </c>
      <c r="DN196" s="259">
        <v>0.1</v>
      </c>
      <c r="DO196" s="259">
        <v>0.1</v>
      </c>
      <c r="DP196" s="259">
        <v>0.1</v>
      </c>
      <c r="DQ196" s="259">
        <v>0.1</v>
      </c>
      <c r="DR196" s="259">
        <v>0.1</v>
      </c>
      <c r="DS196" s="259">
        <v>0.1</v>
      </c>
      <c r="DT196" s="259">
        <v>0.1</v>
      </c>
      <c r="DU196" s="259">
        <v>0.1</v>
      </c>
      <c r="DV196" s="259">
        <v>0.1</v>
      </c>
      <c r="DW196" s="259">
        <v>0.1</v>
      </c>
      <c r="DX196" s="259">
        <v>0.1</v>
      </c>
      <c r="DY196" s="259">
        <v>0.1</v>
      </c>
      <c r="DZ196" s="259">
        <v>0.1</v>
      </c>
      <c r="EA196" s="259">
        <v>0.1</v>
      </c>
      <c r="EB196" s="259">
        <v>0.1</v>
      </c>
      <c r="EC196" s="259">
        <v>0.1</v>
      </c>
      <c r="ED196" s="259">
        <v>0.1</v>
      </c>
      <c r="EE196" s="259">
        <v>0.1</v>
      </c>
      <c r="EF196" s="260">
        <v>0.1</v>
      </c>
      <c r="EJ196">
        <v>193</v>
      </c>
      <c r="EN196">
        <v>0.1</v>
      </c>
      <c r="EO196">
        <v>0.1</v>
      </c>
      <c r="EP196">
        <v>0.1</v>
      </c>
      <c r="EQ196">
        <v>0.1</v>
      </c>
      <c r="ER196">
        <v>0.1</v>
      </c>
      <c r="ES196">
        <v>0.1</v>
      </c>
      <c r="ET196">
        <v>0.1</v>
      </c>
      <c r="EU196">
        <v>0.1</v>
      </c>
      <c r="EV196">
        <v>0.1</v>
      </c>
      <c r="EW196">
        <v>0.1</v>
      </c>
      <c r="EX196">
        <v>0.1</v>
      </c>
      <c r="EY196">
        <v>0.1</v>
      </c>
      <c r="EZ196">
        <v>0.1</v>
      </c>
      <c r="FA196">
        <v>0.1</v>
      </c>
      <c r="FB196">
        <v>0.1</v>
      </c>
      <c r="FC196">
        <v>0.1</v>
      </c>
      <c r="FD196">
        <v>0.1</v>
      </c>
      <c r="FE196">
        <v>0.1</v>
      </c>
      <c r="FF196">
        <v>0.1</v>
      </c>
      <c r="FG196">
        <v>0.1</v>
      </c>
      <c r="FH196">
        <v>0.1</v>
      </c>
      <c r="FI196">
        <v>0.1</v>
      </c>
      <c r="FJ196">
        <v>0.1</v>
      </c>
      <c r="FK196">
        <v>0.1</v>
      </c>
      <c r="FL196">
        <v>0.1</v>
      </c>
      <c r="FM196">
        <v>0.1</v>
      </c>
      <c r="FN196">
        <v>0.1</v>
      </c>
      <c r="FO196">
        <v>0.1</v>
      </c>
      <c r="FP196">
        <v>0.1</v>
      </c>
      <c r="FQ196">
        <v>0.1</v>
      </c>
      <c r="FU196">
        <v>193</v>
      </c>
      <c r="GB196">
        <v>0.1</v>
      </c>
      <c r="GC196">
        <v>0.1</v>
      </c>
      <c r="GD196">
        <v>0.1</v>
      </c>
      <c r="GE196">
        <v>0.1</v>
      </c>
      <c r="GF196">
        <v>0.1</v>
      </c>
      <c r="GG196">
        <v>0.1</v>
      </c>
      <c r="GH196">
        <v>0.1</v>
      </c>
      <c r="GI196">
        <v>0.1</v>
      </c>
      <c r="GJ196">
        <v>0.1</v>
      </c>
      <c r="GK196">
        <v>0.1</v>
      </c>
      <c r="GL196">
        <v>0.1</v>
      </c>
      <c r="GM196">
        <v>0.1</v>
      </c>
      <c r="GN196">
        <v>0.1</v>
      </c>
      <c r="GO196">
        <v>0.1</v>
      </c>
      <c r="GP196">
        <v>0.1</v>
      </c>
      <c r="GQ196">
        <v>0.1</v>
      </c>
      <c r="GR196">
        <v>0.1</v>
      </c>
      <c r="GS196">
        <v>0.1</v>
      </c>
      <c r="GT196">
        <v>0.1</v>
      </c>
      <c r="GU196">
        <v>0.1</v>
      </c>
      <c r="GV196">
        <v>0.1</v>
      </c>
      <c r="GW196">
        <v>0.1</v>
      </c>
      <c r="GX196">
        <v>0.1</v>
      </c>
      <c r="GY196">
        <v>0.1</v>
      </c>
      <c r="GZ196">
        <v>0.1</v>
      </c>
      <c r="HA196">
        <v>0.1</v>
      </c>
      <c r="HB196">
        <v>0.1</v>
      </c>
      <c r="HC196">
        <v>0.1</v>
      </c>
      <c r="HD196">
        <v>0.1</v>
      </c>
      <c r="HE196">
        <v>0.1</v>
      </c>
      <c r="HF196">
        <v>0.1</v>
      </c>
      <c r="HG196">
        <v>0.1</v>
      </c>
      <c r="HH196">
        <v>0.1</v>
      </c>
      <c r="HI196">
        <v>0.1</v>
      </c>
      <c r="HJ196">
        <v>0.1</v>
      </c>
      <c r="HK196">
        <v>0.1</v>
      </c>
      <c r="HL196">
        <v>0.1</v>
      </c>
      <c r="HM196">
        <v>0.1</v>
      </c>
      <c r="HN196">
        <v>0.1</v>
      </c>
      <c r="HO196">
        <v>0.1</v>
      </c>
    </row>
    <row r="197" spans="1:223" ht="15.75" thickBot="1" x14ac:dyDescent="0.3">
      <c r="A197">
        <v>194</v>
      </c>
      <c r="B197" s="268">
        <v>1.51</v>
      </c>
      <c r="C197" s="269">
        <v>1.51</v>
      </c>
      <c r="D197" s="268">
        <v>1.51</v>
      </c>
      <c r="F197" s="2"/>
      <c r="G197" s="2"/>
      <c r="H197" s="258">
        <v>0.1</v>
      </c>
      <c r="I197" s="259">
        <v>0.1</v>
      </c>
      <c r="J197" s="259">
        <v>0.1</v>
      </c>
      <c r="K197" s="259">
        <v>0.1</v>
      </c>
      <c r="L197" s="259">
        <v>0.1</v>
      </c>
      <c r="M197" s="259">
        <v>0.1</v>
      </c>
      <c r="N197" s="259">
        <v>0.1</v>
      </c>
      <c r="O197" s="259">
        <v>0.1</v>
      </c>
      <c r="P197" s="259">
        <v>0.1</v>
      </c>
      <c r="Q197" s="259">
        <v>0.1</v>
      </c>
      <c r="R197" s="259">
        <v>0.1</v>
      </c>
      <c r="S197" s="259">
        <v>0.1</v>
      </c>
      <c r="T197" s="259">
        <v>0.1</v>
      </c>
      <c r="U197" s="259">
        <v>0.1</v>
      </c>
      <c r="V197" s="259">
        <v>0.1</v>
      </c>
      <c r="W197" s="260">
        <v>0.1</v>
      </c>
      <c r="X197" s="258">
        <v>0.1</v>
      </c>
      <c r="Y197" s="259">
        <v>0.1</v>
      </c>
      <c r="Z197" s="259">
        <v>0.1</v>
      </c>
      <c r="AA197" s="259">
        <v>0.1</v>
      </c>
      <c r="AB197" s="259">
        <v>0.1</v>
      </c>
      <c r="AC197" s="259">
        <v>0.1</v>
      </c>
      <c r="AD197" s="259">
        <v>0.1</v>
      </c>
      <c r="AE197" s="259">
        <v>0.1</v>
      </c>
      <c r="AF197" s="259">
        <v>0.1</v>
      </c>
      <c r="AG197" s="259">
        <v>0.1</v>
      </c>
      <c r="AH197" s="259">
        <v>0.1</v>
      </c>
      <c r="AI197" s="259">
        <v>0.1</v>
      </c>
      <c r="AJ197" s="259">
        <v>0.1</v>
      </c>
      <c r="AK197" s="259">
        <v>0.1</v>
      </c>
      <c r="AL197" s="259">
        <v>0.1</v>
      </c>
      <c r="AM197" s="260">
        <v>0.1</v>
      </c>
      <c r="AN197" s="258">
        <v>0.1</v>
      </c>
      <c r="AO197" s="259">
        <v>0.1</v>
      </c>
      <c r="AP197" s="259">
        <v>0.1</v>
      </c>
      <c r="AQ197" s="259">
        <v>0.1</v>
      </c>
      <c r="AR197" s="259">
        <v>0.1</v>
      </c>
      <c r="AS197" s="259">
        <v>0.1</v>
      </c>
      <c r="AT197" s="259">
        <v>0.1</v>
      </c>
      <c r="AU197" s="259">
        <v>0.1</v>
      </c>
      <c r="AV197" s="259">
        <v>0.1</v>
      </c>
      <c r="AW197" s="259">
        <v>0.1</v>
      </c>
      <c r="AX197" s="259">
        <v>0.1</v>
      </c>
      <c r="AY197" s="259">
        <v>0.1</v>
      </c>
      <c r="AZ197" s="259">
        <v>0.1</v>
      </c>
      <c r="BA197" s="259">
        <v>0.1</v>
      </c>
      <c r="BB197" s="259">
        <v>0.1</v>
      </c>
      <c r="BC197" s="260">
        <v>0.1</v>
      </c>
      <c r="BD197">
        <v>0.1</v>
      </c>
      <c r="BE197">
        <v>0.1</v>
      </c>
      <c r="BF197">
        <v>0.1</v>
      </c>
      <c r="BG197">
        <v>0.1</v>
      </c>
      <c r="BH197">
        <v>0.1</v>
      </c>
      <c r="BI197">
        <v>0.1</v>
      </c>
      <c r="BJ197">
        <v>0.1</v>
      </c>
      <c r="BK197">
        <v>0.1</v>
      </c>
      <c r="BL197">
        <v>0.1</v>
      </c>
      <c r="BM197">
        <v>0.1</v>
      </c>
      <c r="BN197">
        <v>0.1</v>
      </c>
      <c r="BO197">
        <v>0.1</v>
      </c>
      <c r="BP197">
        <f t="shared" ref="BP197:BP202" si="16">SUM(BD197:BO197)</f>
        <v>1.2</v>
      </c>
      <c r="BS197">
        <v>194</v>
      </c>
      <c r="BT197" s="270">
        <v>3.47</v>
      </c>
      <c r="BU197" s="271">
        <v>2.4900000000000002</v>
      </c>
      <c r="BV197" s="2"/>
      <c r="BW197" s="2"/>
      <c r="BX197" s="2"/>
      <c r="BY197" s="258">
        <v>0.1</v>
      </c>
      <c r="BZ197" s="259">
        <v>0.1</v>
      </c>
      <c r="CA197" s="259">
        <v>0.1</v>
      </c>
      <c r="CB197" s="259">
        <v>0.1</v>
      </c>
      <c r="CC197" s="259">
        <v>0.1</v>
      </c>
      <c r="CD197" s="259">
        <v>0.1</v>
      </c>
      <c r="CE197" s="259">
        <v>0.1</v>
      </c>
      <c r="CF197" s="259">
        <v>0.1</v>
      </c>
      <c r="CG197" s="259">
        <v>0.1</v>
      </c>
      <c r="CH197" s="259">
        <v>0.1</v>
      </c>
      <c r="CI197" s="259">
        <v>0.1</v>
      </c>
      <c r="CJ197" s="259">
        <v>0.1</v>
      </c>
      <c r="CK197" s="259">
        <v>0.1</v>
      </c>
      <c r="CL197" s="259">
        <v>0.1</v>
      </c>
      <c r="CM197" s="259">
        <v>0.1</v>
      </c>
      <c r="CN197" s="259">
        <v>0.1</v>
      </c>
      <c r="CO197" s="259">
        <v>0.1</v>
      </c>
      <c r="CP197" s="259">
        <v>0.1</v>
      </c>
      <c r="CQ197" s="259">
        <v>0.1</v>
      </c>
      <c r="CR197" s="259">
        <v>0.1</v>
      </c>
      <c r="CS197" s="259">
        <v>0.1</v>
      </c>
      <c r="CT197" s="259">
        <v>0.1</v>
      </c>
      <c r="CU197" s="259">
        <v>0.1</v>
      </c>
      <c r="CV197" s="259">
        <v>0.1</v>
      </c>
      <c r="CW197" s="259">
        <v>0.1</v>
      </c>
      <c r="CX197" s="259">
        <v>0.1</v>
      </c>
      <c r="CY197" s="259">
        <v>0.1</v>
      </c>
      <c r="CZ197" s="259">
        <v>0.1</v>
      </c>
      <c r="DA197" s="259">
        <v>0.1</v>
      </c>
      <c r="DB197" s="259">
        <v>0.1</v>
      </c>
      <c r="DC197" s="259">
        <v>0.1</v>
      </c>
      <c r="DD197" s="259">
        <v>0.1</v>
      </c>
      <c r="DE197" s="259">
        <v>0.1</v>
      </c>
      <c r="DF197" s="259">
        <v>0.1</v>
      </c>
      <c r="DG197" s="260">
        <v>0.1</v>
      </c>
      <c r="DH197" s="258">
        <v>0.1</v>
      </c>
      <c r="DI197" s="259">
        <v>0.1</v>
      </c>
      <c r="DJ197" s="259">
        <v>0.1</v>
      </c>
      <c r="DK197" s="259">
        <v>0.1</v>
      </c>
      <c r="DL197" s="259">
        <v>0.1</v>
      </c>
      <c r="DM197" s="259">
        <v>0.1</v>
      </c>
      <c r="DN197" s="259">
        <v>0.1</v>
      </c>
      <c r="DO197" s="259">
        <v>0.1</v>
      </c>
      <c r="DP197" s="259">
        <v>0.1</v>
      </c>
      <c r="DQ197" s="259">
        <v>0.1</v>
      </c>
      <c r="DR197" s="259">
        <v>0.1</v>
      </c>
      <c r="DS197" s="259">
        <v>0.1</v>
      </c>
      <c r="DT197" s="259">
        <v>0.1</v>
      </c>
      <c r="DU197" s="259">
        <v>0.1</v>
      </c>
      <c r="DV197" s="259">
        <v>0.1</v>
      </c>
      <c r="DW197" s="259">
        <v>0.1</v>
      </c>
      <c r="DX197" s="259">
        <v>0.1</v>
      </c>
      <c r="DY197" s="259">
        <v>0.1</v>
      </c>
      <c r="DZ197" s="259">
        <v>0.1</v>
      </c>
      <c r="EA197" s="259">
        <v>0.1</v>
      </c>
      <c r="EB197" s="259">
        <v>0.1</v>
      </c>
      <c r="EC197" s="259">
        <v>0.1</v>
      </c>
      <c r="ED197" s="259">
        <v>0.1</v>
      </c>
      <c r="EE197" s="259">
        <v>0.1</v>
      </c>
      <c r="EF197" s="260">
        <v>0.1</v>
      </c>
      <c r="EJ197">
        <v>194</v>
      </c>
      <c r="EN197">
        <v>0.1</v>
      </c>
      <c r="EO197">
        <v>0.1</v>
      </c>
      <c r="EP197">
        <v>0.1</v>
      </c>
      <c r="EQ197">
        <v>0.1</v>
      </c>
      <c r="ER197">
        <v>0.1</v>
      </c>
      <c r="ES197">
        <v>0.1</v>
      </c>
      <c r="ET197">
        <v>0.1</v>
      </c>
      <c r="EU197">
        <v>0.1</v>
      </c>
      <c r="EV197">
        <v>0.1</v>
      </c>
      <c r="EW197">
        <v>0.1</v>
      </c>
      <c r="EX197">
        <v>0.1</v>
      </c>
      <c r="EY197">
        <v>0.1</v>
      </c>
      <c r="EZ197">
        <v>0.1</v>
      </c>
      <c r="FA197">
        <v>0.1</v>
      </c>
      <c r="FB197">
        <v>0.1</v>
      </c>
      <c r="FC197">
        <v>0.1</v>
      </c>
      <c r="FD197">
        <v>0.1</v>
      </c>
      <c r="FE197">
        <v>0.1</v>
      </c>
      <c r="FF197">
        <v>0.1</v>
      </c>
      <c r="FG197">
        <v>0.1</v>
      </c>
      <c r="FH197">
        <v>0.1</v>
      </c>
      <c r="FI197">
        <v>0.1</v>
      </c>
      <c r="FJ197">
        <v>0.1</v>
      </c>
      <c r="FK197">
        <v>0.1</v>
      </c>
      <c r="FL197">
        <v>0.1</v>
      </c>
      <c r="FM197">
        <v>0.1</v>
      </c>
      <c r="FN197">
        <v>0.1</v>
      </c>
      <c r="FO197">
        <v>0.1</v>
      </c>
      <c r="FP197">
        <v>0.1</v>
      </c>
      <c r="FQ197">
        <v>0.1</v>
      </c>
      <c r="FU197">
        <v>194</v>
      </c>
      <c r="GB197">
        <v>0.1</v>
      </c>
      <c r="GC197">
        <v>0.1</v>
      </c>
      <c r="GD197">
        <v>0.1</v>
      </c>
      <c r="GE197">
        <v>0.1</v>
      </c>
      <c r="GF197">
        <v>0.1</v>
      </c>
      <c r="GG197">
        <v>0.1</v>
      </c>
      <c r="GH197">
        <v>0.1</v>
      </c>
      <c r="GI197">
        <v>0.1</v>
      </c>
      <c r="GJ197">
        <v>0.1</v>
      </c>
      <c r="GK197">
        <v>0.1</v>
      </c>
      <c r="GL197">
        <v>0.1</v>
      </c>
      <c r="GM197">
        <v>0.1</v>
      </c>
      <c r="GN197">
        <v>0.1</v>
      </c>
      <c r="GO197">
        <v>0.1</v>
      </c>
      <c r="GP197">
        <v>0.1</v>
      </c>
      <c r="GQ197">
        <v>0.1</v>
      </c>
      <c r="GR197">
        <v>0.1</v>
      </c>
      <c r="GS197">
        <v>0.1</v>
      </c>
      <c r="GT197">
        <v>0.1</v>
      </c>
      <c r="GU197">
        <v>0.1</v>
      </c>
      <c r="GV197">
        <v>0.1</v>
      </c>
      <c r="GW197">
        <v>0.1</v>
      </c>
      <c r="GX197">
        <v>0.1</v>
      </c>
      <c r="GY197">
        <v>0.1</v>
      </c>
      <c r="GZ197">
        <v>0.1</v>
      </c>
      <c r="HA197">
        <v>0.1</v>
      </c>
      <c r="HB197">
        <v>0.1</v>
      </c>
      <c r="HC197">
        <v>0.1</v>
      </c>
      <c r="HD197">
        <v>0.1</v>
      </c>
      <c r="HE197">
        <v>0.1</v>
      </c>
      <c r="HF197">
        <v>0.1</v>
      </c>
      <c r="HG197">
        <v>0.1</v>
      </c>
      <c r="HH197">
        <v>0.1</v>
      </c>
      <c r="HI197">
        <v>0.1</v>
      </c>
      <c r="HJ197">
        <v>0.1</v>
      </c>
      <c r="HK197">
        <v>0.1</v>
      </c>
      <c r="HL197">
        <v>0.1</v>
      </c>
      <c r="HM197">
        <v>0.1</v>
      </c>
      <c r="HN197">
        <v>0.1</v>
      </c>
      <c r="HO197">
        <v>0.1</v>
      </c>
    </row>
    <row r="198" spans="1:223" ht="15.75" thickBot="1" x14ac:dyDescent="0.3">
      <c r="A198">
        <v>195</v>
      </c>
      <c r="B198" s="269">
        <v>1.51</v>
      </c>
      <c r="C198" s="268">
        <v>1.51</v>
      </c>
      <c r="D198" s="269">
        <v>1.51</v>
      </c>
      <c r="F198" s="2"/>
      <c r="G198" s="2"/>
      <c r="H198" s="258">
        <v>0.1</v>
      </c>
      <c r="I198" s="259">
        <v>0.1</v>
      </c>
      <c r="J198" s="259">
        <v>0.1</v>
      </c>
      <c r="K198" s="259">
        <v>0.1</v>
      </c>
      <c r="L198" s="259">
        <v>0.1</v>
      </c>
      <c r="M198" s="259">
        <v>0.1</v>
      </c>
      <c r="N198" s="259">
        <v>0.1</v>
      </c>
      <c r="O198" s="259">
        <v>0.1</v>
      </c>
      <c r="P198" s="259">
        <v>0.1</v>
      </c>
      <c r="Q198" s="259">
        <v>0.1</v>
      </c>
      <c r="R198" s="259">
        <v>0.1</v>
      </c>
      <c r="S198" s="259">
        <v>0.1</v>
      </c>
      <c r="T198" s="259">
        <v>0.1</v>
      </c>
      <c r="U198" s="259">
        <v>0.1</v>
      </c>
      <c r="V198" s="259">
        <v>0.1</v>
      </c>
      <c r="W198" s="260">
        <v>0.1</v>
      </c>
      <c r="X198" s="258">
        <v>0.1</v>
      </c>
      <c r="Y198" s="259">
        <v>0.1</v>
      </c>
      <c r="Z198" s="259">
        <v>0.1</v>
      </c>
      <c r="AA198" s="259">
        <v>0.1</v>
      </c>
      <c r="AB198" s="259">
        <v>0.1</v>
      </c>
      <c r="AC198" s="259">
        <v>0.1</v>
      </c>
      <c r="AD198" s="259">
        <v>0.1</v>
      </c>
      <c r="AE198" s="259">
        <v>0.1</v>
      </c>
      <c r="AF198" s="259">
        <v>0.1</v>
      </c>
      <c r="AG198" s="259">
        <v>0.1</v>
      </c>
      <c r="AH198" s="259">
        <v>0.1</v>
      </c>
      <c r="AI198" s="259">
        <v>0.1</v>
      </c>
      <c r="AJ198" s="259">
        <v>0.1</v>
      </c>
      <c r="AK198" s="259">
        <v>0.1</v>
      </c>
      <c r="AL198" s="259">
        <v>0.1</v>
      </c>
      <c r="AM198" s="260">
        <v>0.1</v>
      </c>
      <c r="AN198" s="258">
        <v>0.1</v>
      </c>
      <c r="AO198" s="259">
        <v>0.1</v>
      </c>
      <c r="AP198" s="259">
        <v>0.1</v>
      </c>
      <c r="AQ198" s="259">
        <v>0.1</v>
      </c>
      <c r="AR198" s="259">
        <v>0.1</v>
      </c>
      <c r="AS198" s="259">
        <v>0.1</v>
      </c>
      <c r="AT198" s="259">
        <v>0.1</v>
      </c>
      <c r="AU198" s="259">
        <v>0.1</v>
      </c>
      <c r="AV198" s="259">
        <v>0.1</v>
      </c>
      <c r="AW198" s="259">
        <v>0.1</v>
      </c>
      <c r="AX198" s="259">
        <v>0.1</v>
      </c>
      <c r="AY198" s="259">
        <v>0.1</v>
      </c>
      <c r="AZ198" s="259">
        <v>0.1</v>
      </c>
      <c r="BA198" s="259">
        <v>0.1</v>
      </c>
      <c r="BB198" s="259">
        <v>0.1</v>
      </c>
      <c r="BC198" s="260">
        <v>0.1</v>
      </c>
      <c r="BD198">
        <v>0.1</v>
      </c>
      <c r="BE198">
        <v>0.1</v>
      </c>
      <c r="BF198">
        <v>0.1</v>
      </c>
      <c r="BG198">
        <v>0.1</v>
      </c>
      <c r="BH198">
        <v>0.1</v>
      </c>
      <c r="BI198">
        <v>0.1</v>
      </c>
      <c r="BJ198">
        <v>0.1</v>
      </c>
      <c r="BK198">
        <v>0.1</v>
      </c>
      <c r="BL198">
        <v>0.1</v>
      </c>
      <c r="BM198">
        <v>0.1</v>
      </c>
      <c r="BN198">
        <v>0.1</v>
      </c>
      <c r="BO198">
        <v>0.1</v>
      </c>
      <c r="BP198">
        <f t="shared" si="16"/>
        <v>1.2</v>
      </c>
      <c r="BS198">
        <v>195</v>
      </c>
      <c r="BT198" s="271">
        <v>3.46</v>
      </c>
      <c r="BU198" s="270">
        <v>2.4900000000000002</v>
      </c>
      <c r="BV198" s="2"/>
      <c r="BW198" s="2"/>
      <c r="BX198" s="2"/>
      <c r="BY198" s="258">
        <v>0.1</v>
      </c>
      <c r="BZ198" s="259">
        <v>0.1</v>
      </c>
      <c r="CA198" s="259">
        <v>0.1</v>
      </c>
      <c r="CB198" s="259">
        <v>0.1</v>
      </c>
      <c r="CC198" s="259">
        <v>0.1</v>
      </c>
      <c r="CD198" s="259">
        <v>0.1</v>
      </c>
      <c r="CE198" s="259">
        <v>0.1</v>
      </c>
      <c r="CF198" s="259">
        <v>0.1</v>
      </c>
      <c r="CG198" s="259">
        <v>0.1</v>
      </c>
      <c r="CH198" s="259">
        <v>0.1</v>
      </c>
      <c r="CI198" s="259">
        <v>0.1</v>
      </c>
      <c r="CJ198" s="259">
        <v>0.1</v>
      </c>
      <c r="CK198" s="259">
        <v>0.1</v>
      </c>
      <c r="CL198" s="259">
        <v>0.1</v>
      </c>
      <c r="CM198" s="259">
        <v>0.1</v>
      </c>
      <c r="CN198" s="259">
        <v>0.1</v>
      </c>
      <c r="CO198" s="259">
        <v>0.1</v>
      </c>
      <c r="CP198" s="259">
        <v>0.1</v>
      </c>
      <c r="CQ198" s="259">
        <v>0.1</v>
      </c>
      <c r="CR198" s="259">
        <v>0.1</v>
      </c>
      <c r="CS198" s="259">
        <v>0.1</v>
      </c>
      <c r="CT198" s="259">
        <v>0.1</v>
      </c>
      <c r="CU198" s="259">
        <v>0.1</v>
      </c>
      <c r="CV198" s="259">
        <v>0.1</v>
      </c>
      <c r="CW198" s="259">
        <v>0.1</v>
      </c>
      <c r="CX198" s="259">
        <v>0.1</v>
      </c>
      <c r="CY198" s="259">
        <v>0.1</v>
      </c>
      <c r="CZ198" s="259">
        <v>0.1</v>
      </c>
      <c r="DA198" s="259">
        <v>0.1</v>
      </c>
      <c r="DB198" s="259">
        <v>0.1</v>
      </c>
      <c r="DC198" s="259">
        <v>0.1</v>
      </c>
      <c r="DD198" s="259">
        <v>0.1</v>
      </c>
      <c r="DE198" s="259">
        <v>0.1</v>
      </c>
      <c r="DF198" s="259">
        <v>0.1</v>
      </c>
      <c r="DG198" s="260">
        <v>0.1</v>
      </c>
      <c r="DH198" s="258">
        <v>0.1</v>
      </c>
      <c r="DI198" s="259">
        <v>0.1</v>
      </c>
      <c r="DJ198" s="259">
        <v>0.1</v>
      </c>
      <c r="DK198" s="259">
        <v>0.1</v>
      </c>
      <c r="DL198" s="259">
        <v>0.1</v>
      </c>
      <c r="DM198" s="259">
        <v>0.1</v>
      </c>
      <c r="DN198" s="259">
        <v>0.1</v>
      </c>
      <c r="DO198" s="259">
        <v>0.1</v>
      </c>
      <c r="DP198" s="259">
        <v>0.1</v>
      </c>
      <c r="DQ198" s="259">
        <v>0.1</v>
      </c>
      <c r="DR198" s="259">
        <v>0.1</v>
      </c>
      <c r="DS198" s="259">
        <v>0.1</v>
      </c>
      <c r="DT198" s="259">
        <v>0.1</v>
      </c>
      <c r="DU198" s="259">
        <v>0.1</v>
      </c>
      <c r="DV198" s="259">
        <v>0.1</v>
      </c>
      <c r="DW198" s="259">
        <v>0.1</v>
      </c>
      <c r="DX198" s="259">
        <v>0.1</v>
      </c>
      <c r="DY198" s="259">
        <v>0.1</v>
      </c>
      <c r="DZ198" s="259">
        <v>0.1</v>
      </c>
      <c r="EA198" s="259">
        <v>0.1</v>
      </c>
      <c r="EB198" s="259">
        <v>0.1</v>
      </c>
      <c r="EC198" s="259">
        <v>0.1</v>
      </c>
      <c r="ED198" s="259">
        <v>0.1</v>
      </c>
      <c r="EE198" s="259">
        <v>0.1</v>
      </c>
      <c r="EF198" s="260">
        <v>0.1</v>
      </c>
      <c r="EJ198">
        <v>195</v>
      </c>
      <c r="EN198">
        <v>0.1</v>
      </c>
      <c r="EO198">
        <v>0.1</v>
      </c>
      <c r="EP198">
        <v>0.1</v>
      </c>
      <c r="EQ198">
        <v>0.1</v>
      </c>
      <c r="ER198">
        <v>0.1</v>
      </c>
      <c r="ES198">
        <v>0.1</v>
      </c>
      <c r="ET198">
        <v>0.1</v>
      </c>
      <c r="EU198">
        <v>0.1</v>
      </c>
      <c r="EV198">
        <v>0.1</v>
      </c>
      <c r="EW198">
        <v>0.1</v>
      </c>
      <c r="EX198">
        <v>0.1</v>
      </c>
      <c r="EY198">
        <v>0.1</v>
      </c>
      <c r="EZ198">
        <v>0.1</v>
      </c>
      <c r="FA198">
        <v>0.1</v>
      </c>
      <c r="FB198">
        <v>0.1</v>
      </c>
      <c r="FC198">
        <v>0.1</v>
      </c>
      <c r="FD198">
        <v>0.1</v>
      </c>
      <c r="FE198">
        <v>0.1</v>
      </c>
      <c r="FF198">
        <v>0.1</v>
      </c>
      <c r="FG198">
        <v>0.1</v>
      </c>
      <c r="FH198">
        <v>0.1</v>
      </c>
      <c r="FI198">
        <v>0.1</v>
      </c>
      <c r="FJ198">
        <v>0.1</v>
      </c>
      <c r="FK198">
        <v>0.1</v>
      </c>
      <c r="FL198">
        <v>0.1</v>
      </c>
      <c r="FM198">
        <v>0.1</v>
      </c>
      <c r="FN198">
        <v>0.1</v>
      </c>
      <c r="FO198">
        <v>0.1</v>
      </c>
      <c r="FP198">
        <v>0.1</v>
      </c>
      <c r="FQ198">
        <v>0.1</v>
      </c>
      <c r="FU198">
        <v>195</v>
      </c>
      <c r="GB198">
        <v>0.1</v>
      </c>
      <c r="GC198">
        <v>0.1</v>
      </c>
      <c r="GD198">
        <v>0.1</v>
      </c>
      <c r="GE198">
        <v>0.1</v>
      </c>
      <c r="GF198">
        <v>0.1</v>
      </c>
      <c r="GG198">
        <v>0.1</v>
      </c>
      <c r="GH198">
        <v>0.1</v>
      </c>
      <c r="GI198">
        <v>0.1</v>
      </c>
      <c r="GJ198">
        <v>0.1</v>
      </c>
      <c r="GK198">
        <v>0.1</v>
      </c>
      <c r="GL198">
        <v>0.1</v>
      </c>
      <c r="GM198">
        <v>0.1</v>
      </c>
      <c r="GN198">
        <v>0.1</v>
      </c>
      <c r="GO198">
        <v>0.1</v>
      </c>
      <c r="GP198">
        <v>0.1</v>
      </c>
      <c r="GQ198">
        <v>0.1</v>
      </c>
      <c r="GR198">
        <v>0.1</v>
      </c>
      <c r="GS198">
        <v>0.1</v>
      </c>
      <c r="GT198">
        <v>0.1</v>
      </c>
      <c r="GU198">
        <v>0.1</v>
      </c>
      <c r="GV198">
        <v>0.1</v>
      </c>
      <c r="GW198">
        <v>0.1</v>
      </c>
      <c r="GX198">
        <v>0.1</v>
      </c>
      <c r="GY198">
        <v>0.1</v>
      </c>
      <c r="GZ198">
        <v>0.1</v>
      </c>
      <c r="HA198">
        <v>0.1</v>
      </c>
      <c r="HB198">
        <v>0.1</v>
      </c>
      <c r="HC198">
        <v>0.1</v>
      </c>
      <c r="HD198">
        <v>0.1</v>
      </c>
      <c r="HE198">
        <v>0.1</v>
      </c>
      <c r="HF198">
        <v>0.1</v>
      </c>
      <c r="HG198">
        <v>0.1</v>
      </c>
      <c r="HH198">
        <v>0.1</v>
      </c>
      <c r="HI198">
        <v>0.1</v>
      </c>
      <c r="HJ198">
        <v>0.1</v>
      </c>
      <c r="HK198">
        <v>0.1</v>
      </c>
      <c r="HL198">
        <v>0.1</v>
      </c>
      <c r="HM198">
        <v>0.1</v>
      </c>
      <c r="HN198">
        <v>0.1</v>
      </c>
      <c r="HO198">
        <v>0.1</v>
      </c>
    </row>
    <row r="199" spans="1:223" ht="15.75" thickBot="1" x14ac:dyDescent="0.3">
      <c r="A199">
        <v>196</v>
      </c>
      <c r="B199" s="268">
        <v>1.51</v>
      </c>
      <c r="C199" s="269">
        <v>1.51</v>
      </c>
      <c r="D199" s="268">
        <v>1.51</v>
      </c>
      <c r="F199" s="2"/>
      <c r="G199" s="2"/>
      <c r="H199" s="258">
        <v>0.1</v>
      </c>
      <c r="I199" s="259">
        <v>0.1</v>
      </c>
      <c r="J199" s="259">
        <v>0.1</v>
      </c>
      <c r="K199" s="259">
        <v>0.1</v>
      </c>
      <c r="L199" s="259">
        <v>0.1</v>
      </c>
      <c r="M199" s="259">
        <v>0.1</v>
      </c>
      <c r="N199" s="259">
        <v>0.1</v>
      </c>
      <c r="O199" s="259">
        <v>0.1</v>
      </c>
      <c r="P199" s="259">
        <v>0.1</v>
      </c>
      <c r="Q199" s="259">
        <v>0.1</v>
      </c>
      <c r="R199" s="259">
        <v>0.1</v>
      </c>
      <c r="S199" s="259">
        <v>0.1</v>
      </c>
      <c r="T199" s="259">
        <v>0.1</v>
      </c>
      <c r="U199" s="259">
        <v>0.1</v>
      </c>
      <c r="V199" s="259">
        <v>0.1</v>
      </c>
      <c r="W199" s="260">
        <v>0.1</v>
      </c>
      <c r="X199" s="258">
        <v>0.1</v>
      </c>
      <c r="Y199" s="259">
        <v>0.1</v>
      </c>
      <c r="Z199" s="259">
        <v>0.1</v>
      </c>
      <c r="AA199" s="259">
        <v>0.1</v>
      </c>
      <c r="AB199" s="259">
        <v>0.1</v>
      </c>
      <c r="AC199" s="259">
        <v>0.1</v>
      </c>
      <c r="AD199" s="259">
        <v>0.1</v>
      </c>
      <c r="AE199" s="259">
        <v>0.1</v>
      </c>
      <c r="AF199" s="259">
        <v>0.1</v>
      </c>
      <c r="AG199" s="259">
        <v>0.1</v>
      </c>
      <c r="AH199" s="259">
        <v>0.1</v>
      </c>
      <c r="AI199" s="259">
        <v>0.1</v>
      </c>
      <c r="AJ199" s="259">
        <v>0.1</v>
      </c>
      <c r="AK199" s="259">
        <v>0.1</v>
      </c>
      <c r="AL199" s="259">
        <v>0.1</v>
      </c>
      <c r="AM199" s="260">
        <v>0.1</v>
      </c>
      <c r="AN199" s="258">
        <v>0.1</v>
      </c>
      <c r="AO199" s="259">
        <v>0.1</v>
      </c>
      <c r="AP199" s="259">
        <v>0.1</v>
      </c>
      <c r="AQ199" s="259">
        <v>0.1</v>
      </c>
      <c r="AR199" s="259">
        <v>0.1</v>
      </c>
      <c r="AS199" s="259">
        <v>0.1</v>
      </c>
      <c r="AT199" s="259">
        <v>0.1</v>
      </c>
      <c r="AU199" s="259">
        <v>0.1</v>
      </c>
      <c r="AV199" s="259">
        <v>0.1</v>
      </c>
      <c r="AW199" s="259">
        <v>0.1</v>
      </c>
      <c r="AX199" s="259">
        <v>0.1</v>
      </c>
      <c r="AY199" s="259">
        <v>0.1</v>
      </c>
      <c r="AZ199" s="259">
        <v>0.1</v>
      </c>
      <c r="BA199" s="259">
        <v>0.1</v>
      </c>
      <c r="BB199" s="259">
        <v>0.1</v>
      </c>
      <c r="BC199" s="260">
        <v>0.1</v>
      </c>
      <c r="BD199">
        <v>0.1</v>
      </c>
      <c r="BE199">
        <v>0.1</v>
      </c>
      <c r="BF199">
        <v>0.1</v>
      </c>
      <c r="BG199">
        <v>0.1</v>
      </c>
      <c r="BH199">
        <v>0.1</v>
      </c>
      <c r="BI199">
        <v>0.1</v>
      </c>
      <c r="BJ199">
        <v>0.1</v>
      </c>
      <c r="BK199">
        <v>0.1</v>
      </c>
      <c r="BL199">
        <v>0.1</v>
      </c>
      <c r="BM199">
        <v>0.1</v>
      </c>
      <c r="BN199">
        <v>0.1</v>
      </c>
      <c r="BO199">
        <v>0.1</v>
      </c>
      <c r="BP199">
        <f t="shared" si="16"/>
        <v>1.2</v>
      </c>
      <c r="BS199">
        <v>196</v>
      </c>
      <c r="BT199" s="270">
        <v>3.46</v>
      </c>
      <c r="BU199" s="271">
        <v>2.5</v>
      </c>
      <c r="BV199" s="2"/>
      <c r="BW199" s="2"/>
      <c r="BX199" s="2"/>
      <c r="BY199" s="258">
        <v>0.1</v>
      </c>
      <c r="BZ199" s="259">
        <v>0.1</v>
      </c>
      <c r="CA199" s="259">
        <v>0.1</v>
      </c>
      <c r="CB199" s="259">
        <v>0.1</v>
      </c>
      <c r="CC199" s="259">
        <v>0.1</v>
      </c>
      <c r="CD199" s="259">
        <v>0.1</v>
      </c>
      <c r="CE199" s="259">
        <v>0.1</v>
      </c>
      <c r="CF199" s="259">
        <v>0.1</v>
      </c>
      <c r="CG199" s="259">
        <v>0.1</v>
      </c>
      <c r="CH199" s="259">
        <v>0.1</v>
      </c>
      <c r="CI199" s="259">
        <v>0.1</v>
      </c>
      <c r="CJ199" s="259">
        <v>0.1</v>
      </c>
      <c r="CK199" s="259">
        <v>0.1</v>
      </c>
      <c r="CL199" s="259">
        <v>0.1</v>
      </c>
      <c r="CM199" s="259">
        <v>0.1</v>
      </c>
      <c r="CN199" s="259">
        <v>0.1</v>
      </c>
      <c r="CO199" s="259">
        <v>0.1</v>
      </c>
      <c r="CP199" s="259">
        <v>0.1</v>
      </c>
      <c r="CQ199" s="259">
        <v>0.1</v>
      </c>
      <c r="CR199" s="259">
        <v>0.1</v>
      </c>
      <c r="CS199" s="259">
        <v>0.1</v>
      </c>
      <c r="CT199" s="259">
        <v>0.1</v>
      </c>
      <c r="CU199" s="259">
        <v>0.1</v>
      </c>
      <c r="CV199" s="259">
        <v>0.1</v>
      </c>
      <c r="CW199" s="259">
        <v>0.1</v>
      </c>
      <c r="CX199" s="259">
        <v>0.1</v>
      </c>
      <c r="CY199" s="259">
        <v>0.1</v>
      </c>
      <c r="CZ199" s="259">
        <v>0.1</v>
      </c>
      <c r="DA199" s="259">
        <v>0.1</v>
      </c>
      <c r="DB199" s="259">
        <v>0.1</v>
      </c>
      <c r="DC199" s="259">
        <v>0.1</v>
      </c>
      <c r="DD199" s="259">
        <v>0.1</v>
      </c>
      <c r="DE199" s="259">
        <v>0.1</v>
      </c>
      <c r="DF199" s="259">
        <v>0.1</v>
      </c>
      <c r="DG199" s="260">
        <v>0.1</v>
      </c>
      <c r="DH199" s="258">
        <v>0.1</v>
      </c>
      <c r="DI199" s="259">
        <v>0.1</v>
      </c>
      <c r="DJ199" s="259">
        <v>0.1</v>
      </c>
      <c r="DK199" s="259">
        <v>0.1</v>
      </c>
      <c r="DL199" s="259">
        <v>0.1</v>
      </c>
      <c r="DM199" s="259">
        <v>0.1</v>
      </c>
      <c r="DN199" s="259">
        <v>0.1</v>
      </c>
      <c r="DO199" s="259">
        <v>0.1</v>
      </c>
      <c r="DP199" s="259">
        <v>0.1</v>
      </c>
      <c r="DQ199" s="259">
        <v>0.1</v>
      </c>
      <c r="DR199" s="259">
        <v>0.1</v>
      </c>
      <c r="DS199" s="259">
        <v>0.1</v>
      </c>
      <c r="DT199" s="259">
        <v>0.1</v>
      </c>
      <c r="DU199" s="259">
        <v>0.1</v>
      </c>
      <c r="DV199" s="259">
        <v>0.1</v>
      </c>
      <c r="DW199" s="259">
        <v>0.1</v>
      </c>
      <c r="DX199" s="259">
        <v>0.1</v>
      </c>
      <c r="DY199" s="259">
        <v>0.1</v>
      </c>
      <c r="DZ199" s="259">
        <v>0.1</v>
      </c>
      <c r="EA199" s="259">
        <v>0.1</v>
      </c>
      <c r="EB199" s="259">
        <v>0.1</v>
      </c>
      <c r="EC199" s="259">
        <v>0.1</v>
      </c>
      <c r="ED199" s="259">
        <v>0.1</v>
      </c>
      <c r="EE199" s="259">
        <v>0.1</v>
      </c>
      <c r="EF199" s="260">
        <v>0.1</v>
      </c>
      <c r="EJ199">
        <v>196</v>
      </c>
      <c r="EN199">
        <v>0.1</v>
      </c>
      <c r="EO199">
        <v>0.1</v>
      </c>
      <c r="EP199">
        <v>0.1</v>
      </c>
      <c r="EQ199">
        <v>0.1</v>
      </c>
      <c r="ER199">
        <v>0.1</v>
      </c>
      <c r="ES199">
        <v>0.1</v>
      </c>
      <c r="ET199">
        <v>0.1</v>
      </c>
      <c r="EU199">
        <v>0.1</v>
      </c>
      <c r="EV199">
        <v>0.1</v>
      </c>
      <c r="EW199">
        <v>0.1</v>
      </c>
      <c r="EX199">
        <v>0.1</v>
      </c>
      <c r="EY199">
        <v>0.1</v>
      </c>
      <c r="EZ199">
        <v>0.1</v>
      </c>
      <c r="FA199">
        <v>0.1</v>
      </c>
      <c r="FB199">
        <v>0.1</v>
      </c>
      <c r="FC199">
        <v>0.1</v>
      </c>
      <c r="FD199">
        <v>0.1</v>
      </c>
      <c r="FE199">
        <v>0.1</v>
      </c>
      <c r="FF199">
        <v>0.1</v>
      </c>
      <c r="FG199">
        <v>0.1</v>
      </c>
      <c r="FH199">
        <v>0.1</v>
      </c>
      <c r="FI199">
        <v>0.1</v>
      </c>
      <c r="FJ199">
        <v>0.1</v>
      </c>
      <c r="FK199">
        <v>0.1</v>
      </c>
      <c r="FL199">
        <v>0.1</v>
      </c>
      <c r="FM199">
        <v>0.1</v>
      </c>
      <c r="FN199">
        <v>0.1</v>
      </c>
      <c r="FO199">
        <v>0.1</v>
      </c>
      <c r="FP199">
        <v>0.1</v>
      </c>
      <c r="FQ199">
        <v>0.1</v>
      </c>
      <c r="FU199">
        <v>196</v>
      </c>
      <c r="GB199">
        <v>0.1</v>
      </c>
      <c r="GC199">
        <v>0.1</v>
      </c>
      <c r="GD199">
        <v>0.1</v>
      </c>
      <c r="GE199">
        <v>0.1</v>
      </c>
      <c r="GF199">
        <v>0.1</v>
      </c>
      <c r="GG199">
        <v>0.1</v>
      </c>
      <c r="GH199">
        <v>0.1</v>
      </c>
      <c r="GI199">
        <v>0.1</v>
      </c>
      <c r="GJ199">
        <v>0.1</v>
      </c>
      <c r="GK199">
        <v>0.1</v>
      </c>
      <c r="GL199">
        <v>0.1</v>
      </c>
      <c r="GM199">
        <v>0.1</v>
      </c>
      <c r="GN199">
        <v>0.1</v>
      </c>
      <c r="GO199">
        <v>0.1</v>
      </c>
      <c r="GP199">
        <v>0.1</v>
      </c>
      <c r="GQ199">
        <v>0.1</v>
      </c>
      <c r="GR199">
        <v>0.1</v>
      </c>
      <c r="GS199">
        <v>0.1</v>
      </c>
      <c r="GT199">
        <v>0.1</v>
      </c>
      <c r="GU199">
        <v>0.1</v>
      </c>
      <c r="GV199">
        <v>0.1</v>
      </c>
      <c r="GW199">
        <v>0.1</v>
      </c>
      <c r="GX199">
        <v>0.1</v>
      </c>
      <c r="GY199">
        <v>0.1</v>
      </c>
      <c r="GZ199">
        <v>0.1</v>
      </c>
      <c r="HA199">
        <v>0.1</v>
      </c>
      <c r="HB199">
        <v>0.1</v>
      </c>
      <c r="HC199">
        <v>0.1</v>
      </c>
      <c r="HD199">
        <v>0.1</v>
      </c>
      <c r="HE199">
        <v>0.1</v>
      </c>
      <c r="HF199">
        <v>0.1</v>
      </c>
      <c r="HG199">
        <v>0.1</v>
      </c>
      <c r="HH199">
        <v>0.1</v>
      </c>
      <c r="HI199">
        <v>0.1</v>
      </c>
      <c r="HJ199">
        <v>0.1</v>
      </c>
      <c r="HK199">
        <v>0.1</v>
      </c>
      <c r="HL199">
        <v>0.1</v>
      </c>
      <c r="HM199">
        <v>0.1</v>
      </c>
      <c r="HN199">
        <v>0.1</v>
      </c>
      <c r="HO199">
        <v>0.1</v>
      </c>
    </row>
    <row r="200" spans="1:223" ht="15.75" thickBot="1" x14ac:dyDescent="0.3">
      <c r="A200">
        <v>197</v>
      </c>
      <c r="B200" s="269">
        <v>1.51</v>
      </c>
      <c r="C200" s="268">
        <v>1.51</v>
      </c>
      <c r="D200" s="269">
        <v>1.51</v>
      </c>
      <c r="E200" s="2"/>
      <c r="F200" s="2"/>
      <c r="G200" s="2"/>
      <c r="H200" s="258">
        <v>0.1</v>
      </c>
      <c r="I200" s="259">
        <v>0.1</v>
      </c>
      <c r="J200" s="259">
        <v>0.1</v>
      </c>
      <c r="K200" s="259">
        <v>0.1</v>
      </c>
      <c r="L200" s="259">
        <v>0.1</v>
      </c>
      <c r="M200" s="259">
        <v>0.1</v>
      </c>
      <c r="N200" s="259">
        <v>0.1</v>
      </c>
      <c r="O200" s="259">
        <v>0.1</v>
      </c>
      <c r="P200" s="259">
        <v>0.1</v>
      </c>
      <c r="Q200" s="259">
        <v>0.1</v>
      </c>
      <c r="R200" s="259">
        <v>0.1</v>
      </c>
      <c r="S200" s="259">
        <v>0.1</v>
      </c>
      <c r="T200" s="259">
        <v>0.1</v>
      </c>
      <c r="U200" s="259">
        <v>0.1</v>
      </c>
      <c r="V200" s="259">
        <v>0.1</v>
      </c>
      <c r="W200" s="260">
        <v>0.1</v>
      </c>
      <c r="X200" s="258">
        <v>0.1</v>
      </c>
      <c r="Y200" s="259">
        <v>0.1</v>
      </c>
      <c r="Z200" s="259">
        <v>0.1</v>
      </c>
      <c r="AA200" s="259">
        <v>0.1</v>
      </c>
      <c r="AB200" s="259">
        <v>0.1</v>
      </c>
      <c r="AC200" s="259">
        <v>0.1</v>
      </c>
      <c r="AD200" s="259">
        <v>0.1</v>
      </c>
      <c r="AE200" s="259">
        <v>0.1</v>
      </c>
      <c r="AF200" s="259">
        <v>0.1</v>
      </c>
      <c r="AG200" s="259">
        <v>0.1</v>
      </c>
      <c r="AH200" s="259">
        <v>0.1</v>
      </c>
      <c r="AI200" s="259">
        <v>0.1</v>
      </c>
      <c r="AJ200" s="259">
        <v>0.1</v>
      </c>
      <c r="AK200" s="259">
        <v>0.1</v>
      </c>
      <c r="AL200" s="259">
        <v>0.1</v>
      </c>
      <c r="AM200" s="260">
        <v>0.1</v>
      </c>
      <c r="AN200" s="258">
        <v>0.1</v>
      </c>
      <c r="AO200" s="259">
        <v>0.1</v>
      </c>
      <c r="AP200" s="259">
        <v>0.1</v>
      </c>
      <c r="AQ200" s="259">
        <v>0.1</v>
      </c>
      <c r="AR200" s="259">
        <v>0.1</v>
      </c>
      <c r="AS200" s="259">
        <v>0.1</v>
      </c>
      <c r="AT200" s="259">
        <v>0.1</v>
      </c>
      <c r="AU200" s="259">
        <v>0.1</v>
      </c>
      <c r="AV200" s="259">
        <v>0.1</v>
      </c>
      <c r="AW200" s="259">
        <v>0.1</v>
      </c>
      <c r="AX200" s="259">
        <v>0.1</v>
      </c>
      <c r="AY200" s="259">
        <v>0.1</v>
      </c>
      <c r="AZ200" s="259">
        <v>0.1</v>
      </c>
      <c r="BA200" s="259">
        <v>0.1</v>
      </c>
      <c r="BB200" s="259">
        <v>0.1</v>
      </c>
      <c r="BC200" s="260">
        <v>0.1</v>
      </c>
      <c r="BD200">
        <v>0.1</v>
      </c>
      <c r="BE200">
        <v>0.1</v>
      </c>
      <c r="BF200">
        <v>0.1</v>
      </c>
      <c r="BG200">
        <v>0.1</v>
      </c>
      <c r="BH200">
        <v>0.1</v>
      </c>
      <c r="BI200">
        <v>0.1</v>
      </c>
      <c r="BJ200">
        <v>0.1</v>
      </c>
      <c r="BK200">
        <v>0.1</v>
      </c>
      <c r="BL200">
        <v>0.1</v>
      </c>
      <c r="BM200">
        <v>0.1</v>
      </c>
      <c r="BN200">
        <v>0.1</v>
      </c>
      <c r="BO200">
        <v>0.1</v>
      </c>
      <c r="BP200">
        <f t="shared" si="16"/>
        <v>1.2</v>
      </c>
      <c r="BS200">
        <v>197</v>
      </c>
      <c r="BT200" s="271">
        <v>3.46</v>
      </c>
      <c r="BU200" s="270">
        <v>2.5</v>
      </c>
      <c r="BV200" s="2"/>
      <c r="BW200" s="2"/>
      <c r="BX200" s="2"/>
      <c r="BY200" s="258">
        <v>0.1</v>
      </c>
      <c r="BZ200" s="259">
        <v>0.1</v>
      </c>
      <c r="CA200" s="259">
        <v>0.1</v>
      </c>
      <c r="CB200" s="259">
        <v>0.1</v>
      </c>
      <c r="CC200" s="259">
        <v>0.1</v>
      </c>
      <c r="CD200" s="259">
        <v>0.1</v>
      </c>
      <c r="CE200" s="259">
        <v>0.1</v>
      </c>
      <c r="CF200" s="259">
        <v>0.1</v>
      </c>
      <c r="CG200" s="259">
        <v>0.1</v>
      </c>
      <c r="CH200" s="259">
        <v>0.1</v>
      </c>
      <c r="CI200" s="259">
        <v>0.1</v>
      </c>
      <c r="CJ200" s="259">
        <v>0.1</v>
      </c>
      <c r="CK200" s="259">
        <v>0.1</v>
      </c>
      <c r="CL200" s="259">
        <v>0.1</v>
      </c>
      <c r="CM200" s="259">
        <v>0.1</v>
      </c>
      <c r="CN200" s="259">
        <v>0.1</v>
      </c>
      <c r="CO200" s="259">
        <v>0.1</v>
      </c>
      <c r="CP200" s="259">
        <v>0.1</v>
      </c>
      <c r="CQ200" s="259">
        <v>0.1</v>
      </c>
      <c r="CR200" s="259">
        <v>0.1</v>
      </c>
      <c r="CS200" s="259">
        <v>0.1</v>
      </c>
      <c r="CT200" s="259">
        <v>0.1</v>
      </c>
      <c r="CU200" s="259">
        <v>0.1</v>
      </c>
      <c r="CV200" s="259">
        <v>0.1</v>
      </c>
      <c r="CW200" s="259">
        <v>0.1</v>
      </c>
      <c r="CX200" s="259">
        <v>0.1</v>
      </c>
      <c r="CY200" s="259">
        <v>0.1</v>
      </c>
      <c r="CZ200" s="259">
        <v>0.1</v>
      </c>
      <c r="DA200" s="259">
        <v>0.1</v>
      </c>
      <c r="DB200" s="259">
        <v>0.1</v>
      </c>
      <c r="DC200" s="259">
        <v>0.1</v>
      </c>
      <c r="DD200" s="259">
        <v>0.1</v>
      </c>
      <c r="DE200" s="259">
        <v>0.1</v>
      </c>
      <c r="DF200" s="259">
        <v>0.1</v>
      </c>
      <c r="DG200" s="260">
        <v>0.1</v>
      </c>
      <c r="DH200" s="258">
        <v>0.1</v>
      </c>
      <c r="DI200" s="259">
        <v>0.1</v>
      </c>
      <c r="DJ200" s="259">
        <v>0.1</v>
      </c>
      <c r="DK200" s="259">
        <v>0.1</v>
      </c>
      <c r="DL200" s="259">
        <v>0.1</v>
      </c>
      <c r="DM200" s="259">
        <v>0.1</v>
      </c>
      <c r="DN200" s="259">
        <v>0.1</v>
      </c>
      <c r="DO200" s="259">
        <v>0.1</v>
      </c>
      <c r="DP200" s="259">
        <v>0.1</v>
      </c>
      <c r="DQ200" s="259">
        <v>0.1</v>
      </c>
      <c r="DR200" s="259">
        <v>0.1</v>
      </c>
      <c r="DS200" s="259">
        <v>0.1</v>
      </c>
      <c r="DT200" s="259">
        <v>0.1</v>
      </c>
      <c r="DU200" s="259">
        <v>0.1</v>
      </c>
      <c r="DV200" s="259">
        <v>0.1</v>
      </c>
      <c r="DW200" s="259">
        <v>0.1</v>
      </c>
      <c r="DX200" s="259">
        <v>0.1</v>
      </c>
      <c r="DY200" s="259">
        <v>0.1</v>
      </c>
      <c r="DZ200" s="259">
        <v>0.1</v>
      </c>
      <c r="EA200" s="259">
        <v>0.1</v>
      </c>
      <c r="EB200" s="259">
        <v>0.1</v>
      </c>
      <c r="EC200" s="259">
        <v>0.1</v>
      </c>
      <c r="ED200" s="259">
        <v>0.1</v>
      </c>
      <c r="EE200" s="259">
        <v>0.1</v>
      </c>
      <c r="EF200" s="260">
        <v>0.1</v>
      </c>
      <c r="EJ200">
        <v>197</v>
      </c>
      <c r="EN200">
        <v>0.1</v>
      </c>
      <c r="EO200">
        <v>0.1</v>
      </c>
      <c r="EP200">
        <v>0.1</v>
      </c>
      <c r="EQ200">
        <v>0.1</v>
      </c>
      <c r="ER200">
        <v>0.1</v>
      </c>
      <c r="ES200">
        <v>0.1</v>
      </c>
      <c r="ET200">
        <v>0.1</v>
      </c>
      <c r="EU200">
        <v>0.1</v>
      </c>
      <c r="EV200">
        <v>0.1</v>
      </c>
      <c r="EW200">
        <v>0.1</v>
      </c>
      <c r="EX200">
        <v>0.1</v>
      </c>
      <c r="EY200">
        <v>0.1</v>
      </c>
      <c r="EZ200">
        <v>0.1</v>
      </c>
      <c r="FA200">
        <v>0.1</v>
      </c>
      <c r="FB200">
        <v>0.1</v>
      </c>
      <c r="FC200">
        <v>0.1</v>
      </c>
      <c r="FD200">
        <v>0.1</v>
      </c>
      <c r="FE200">
        <v>0.1</v>
      </c>
      <c r="FF200">
        <v>0.1</v>
      </c>
      <c r="FG200">
        <v>0.1</v>
      </c>
      <c r="FH200">
        <v>0.1</v>
      </c>
      <c r="FI200">
        <v>0.1</v>
      </c>
      <c r="FJ200">
        <v>0.1</v>
      </c>
      <c r="FK200">
        <v>0.1</v>
      </c>
      <c r="FL200">
        <v>0.1</v>
      </c>
      <c r="FM200">
        <v>0.1</v>
      </c>
      <c r="FN200">
        <v>0.1</v>
      </c>
      <c r="FO200">
        <v>0.1</v>
      </c>
      <c r="FP200">
        <v>0.1</v>
      </c>
      <c r="FQ200">
        <v>0.1</v>
      </c>
      <c r="FU200">
        <v>197</v>
      </c>
      <c r="GB200">
        <v>0.1</v>
      </c>
      <c r="GC200">
        <v>0.1</v>
      </c>
      <c r="GD200">
        <v>0.1</v>
      </c>
      <c r="GE200">
        <v>0.1</v>
      </c>
      <c r="GF200">
        <v>0.1</v>
      </c>
      <c r="GG200">
        <v>0.1</v>
      </c>
      <c r="GH200">
        <v>0.1</v>
      </c>
      <c r="GI200">
        <v>0.1</v>
      </c>
      <c r="GJ200">
        <v>0.1</v>
      </c>
      <c r="GK200">
        <v>0.1</v>
      </c>
      <c r="GL200">
        <v>0.1</v>
      </c>
      <c r="GM200">
        <v>0.1</v>
      </c>
      <c r="GN200">
        <v>0.1</v>
      </c>
      <c r="GO200">
        <v>0.1</v>
      </c>
      <c r="GP200">
        <v>0.1</v>
      </c>
      <c r="GQ200">
        <v>0.1</v>
      </c>
      <c r="GR200">
        <v>0.1</v>
      </c>
      <c r="GS200">
        <v>0.1</v>
      </c>
      <c r="GT200">
        <v>0.1</v>
      </c>
      <c r="GU200">
        <v>0.1</v>
      </c>
      <c r="GV200">
        <v>0.1</v>
      </c>
      <c r="GW200">
        <v>0.1</v>
      </c>
      <c r="GX200">
        <v>0.1</v>
      </c>
      <c r="GY200">
        <v>0.1</v>
      </c>
      <c r="GZ200">
        <v>0.1</v>
      </c>
      <c r="HA200">
        <v>0.1</v>
      </c>
      <c r="HB200">
        <v>0.1</v>
      </c>
      <c r="HC200">
        <v>0.1</v>
      </c>
      <c r="HD200">
        <v>0.1</v>
      </c>
      <c r="HE200">
        <v>0.1</v>
      </c>
      <c r="HF200">
        <v>0.1</v>
      </c>
      <c r="HG200">
        <v>0.1</v>
      </c>
      <c r="HH200">
        <v>0.1</v>
      </c>
      <c r="HI200">
        <v>0.1</v>
      </c>
      <c r="HJ200">
        <v>0.1</v>
      </c>
      <c r="HK200">
        <v>0.1</v>
      </c>
      <c r="HL200">
        <v>0.1</v>
      </c>
      <c r="HM200">
        <v>0.1</v>
      </c>
      <c r="HN200">
        <v>0.1</v>
      </c>
      <c r="HO200">
        <v>0.1</v>
      </c>
    </row>
    <row r="201" spans="1:223" ht="15.75" thickBot="1" x14ac:dyDescent="0.3">
      <c r="A201">
        <v>198</v>
      </c>
      <c r="B201" s="269">
        <v>1.51</v>
      </c>
      <c r="C201" s="269">
        <v>1.51</v>
      </c>
      <c r="D201" s="269">
        <v>1.51</v>
      </c>
      <c r="E201" s="2"/>
      <c r="G201" s="2"/>
      <c r="H201" s="258">
        <v>0.1</v>
      </c>
      <c r="I201" s="259">
        <v>0.1</v>
      </c>
      <c r="J201" s="259">
        <v>0.1</v>
      </c>
      <c r="K201" s="259">
        <v>0.1</v>
      </c>
      <c r="L201" s="259">
        <v>0.1</v>
      </c>
      <c r="M201" s="259">
        <v>0.1</v>
      </c>
      <c r="N201" s="259">
        <v>0.1</v>
      </c>
      <c r="O201" s="259">
        <v>0.1</v>
      </c>
      <c r="P201" s="259">
        <v>0.1</v>
      </c>
      <c r="Q201" s="259">
        <v>0.1</v>
      </c>
      <c r="R201" s="259">
        <v>0.1</v>
      </c>
      <c r="S201" s="259">
        <v>0.1</v>
      </c>
      <c r="T201" s="259">
        <v>0.1</v>
      </c>
      <c r="U201" s="259">
        <v>0.1</v>
      </c>
      <c r="V201" s="259">
        <v>0.1</v>
      </c>
      <c r="W201" s="260">
        <v>0.1</v>
      </c>
      <c r="X201" s="258">
        <v>0.1</v>
      </c>
      <c r="Y201" s="259">
        <v>0.1</v>
      </c>
      <c r="Z201" s="259">
        <v>0.1</v>
      </c>
      <c r="AA201" s="259">
        <v>0.1</v>
      </c>
      <c r="AB201" s="259">
        <v>0.1</v>
      </c>
      <c r="AC201" s="259">
        <v>0.1</v>
      </c>
      <c r="AD201" s="259">
        <v>0.1</v>
      </c>
      <c r="AE201" s="259">
        <v>0.1</v>
      </c>
      <c r="AF201" s="259">
        <v>0.1</v>
      </c>
      <c r="AG201" s="259">
        <v>0.1</v>
      </c>
      <c r="AH201" s="259">
        <v>0.1</v>
      </c>
      <c r="AI201" s="259">
        <v>0.1</v>
      </c>
      <c r="AJ201" s="259">
        <v>0.1</v>
      </c>
      <c r="AK201" s="259">
        <v>0.1</v>
      </c>
      <c r="AL201" s="259">
        <v>0.1</v>
      </c>
      <c r="AM201" s="260">
        <v>0.1</v>
      </c>
      <c r="AN201" s="258">
        <v>0.1</v>
      </c>
      <c r="AO201" s="259">
        <v>0.1</v>
      </c>
      <c r="AP201" s="259">
        <v>0.1</v>
      </c>
      <c r="AQ201" s="259">
        <v>0.1</v>
      </c>
      <c r="AR201" s="259">
        <v>0.1</v>
      </c>
      <c r="AS201" s="259">
        <v>0.1</v>
      </c>
      <c r="AT201" s="259">
        <v>0.1</v>
      </c>
      <c r="AU201" s="259">
        <v>0.1</v>
      </c>
      <c r="AV201" s="259">
        <v>0.1</v>
      </c>
      <c r="AW201" s="259">
        <v>0.1</v>
      </c>
      <c r="AX201" s="259">
        <v>0.1</v>
      </c>
      <c r="AY201" s="259">
        <v>0.1</v>
      </c>
      <c r="AZ201" s="259">
        <v>0.1</v>
      </c>
      <c r="BA201" s="259">
        <v>0.1</v>
      </c>
      <c r="BB201" s="259">
        <v>0.1</v>
      </c>
      <c r="BC201" s="260">
        <v>0.1</v>
      </c>
      <c r="BD201">
        <v>0.1</v>
      </c>
      <c r="BE201">
        <v>0.1</v>
      </c>
      <c r="BF201">
        <v>0.1</v>
      </c>
      <c r="BG201">
        <v>0.1</v>
      </c>
      <c r="BH201">
        <v>0.1</v>
      </c>
      <c r="BI201">
        <v>0.1</v>
      </c>
      <c r="BJ201">
        <v>0.1</v>
      </c>
      <c r="BK201">
        <v>0.1</v>
      </c>
      <c r="BL201">
        <v>0.1</v>
      </c>
      <c r="BM201">
        <v>0.1</v>
      </c>
      <c r="BN201">
        <v>0.1</v>
      </c>
      <c r="BO201">
        <v>0.1</v>
      </c>
      <c r="BP201">
        <f t="shared" si="16"/>
        <v>1.2</v>
      </c>
      <c r="BS201">
        <v>198</v>
      </c>
      <c r="BT201" s="270">
        <v>3.46</v>
      </c>
      <c r="BU201" s="271">
        <v>2.5</v>
      </c>
      <c r="BV201" s="2"/>
      <c r="BW201" s="2"/>
      <c r="BX201" s="2"/>
      <c r="BY201" s="258">
        <v>0.1</v>
      </c>
      <c r="BZ201" s="259">
        <v>0.1</v>
      </c>
      <c r="CA201" s="259">
        <v>0.1</v>
      </c>
      <c r="CB201" s="259">
        <v>0.1</v>
      </c>
      <c r="CC201" s="259">
        <v>0.1</v>
      </c>
      <c r="CD201" s="259">
        <v>0.1</v>
      </c>
      <c r="CE201" s="259">
        <v>0.1</v>
      </c>
      <c r="CF201" s="259">
        <v>0.1</v>
      </c>
      <c r="CG201" s="259">
        <v>0.1</v>
      </c>
      <c r="CH201" s="259">
        <v>0.1</v>
      </c>
      <c r="CI201" s="259">
        <v>0.1</v>
      </c>
      <c r="CJ201" s="259">
        <v>0.1</v>
      </c>
      <c r="CK201" s="259">
        <v>0.1</v>
      </c>
      <c r="CL201" s="259">
        <v>0.1</v>
      </c>
      <c r="CM201" s="259">
        <v>0.1</v>
      </c>
      <c r="CN201" s="259">
        <v>0.1</v>
      </c>
      <c r="CO201" s="259">
        <v>0.1</v>
      </c>
      <c r="CP201" s="259">
        <v>0.1</v>
      </c>
      <c r="CQ201" s="259">
        <v>0.1</v>
      </c>
      <c r="CR201" s="259">
        <v>0.1</v>
      </c>
      <c r="CS201" s="259">
        <v>0.1</v>
      </c>
      <c r="CT201" s="259">
        <v>0.1</v>
      </c>
      <c r="CU201" s="259">
        <v>0.1</v>
      </c>
      <c r="CV201" s="259">
        <v>0.1</v>
      </c>
      <c r="CW201" s="259">
        <v>0.1</v>
      </c>
      <c r="CX201" s="259">
        <v>0.1</v>
      </c>
      <c r="CY201" s="259">
        <v>0.1</v>
      </c>
      <c r="CZ201" s="259">
        <v>0.1</v>
      </c>
      <c r="DA201" s="259">
        <v>0.1</v>
      </c>
      <c r="DB201" s="259">
        <v>0.1</v>
      </c>
      <c r="DC201" s="259">
        <v>0.1</v>
      </c>
      <c r="DD201" s="259">
        <v>0.1</v>
      </c>
      <c r="DE201" s="259">
        <v>0.1</v>
      </c>
      <c r="DF201" s="259">
        <v>0.1</v>
      </c>
      <c r="DG201" s="260">
        <v>0.1</v>
      </c>
      <c r="DH201" s="258">
        <v>0.1</v>
      </c>
      <c r="DI201" s="259">
        <v>0.1</v>
      </c>
      <c r="DJ201" s="259">
        <v>0.1</v>
      </c>
      <c r="DK201" s="259">
        <v>0.1</v>
      </c>
      <c r="DL201" s="259">
        <v>0.1</v>
      </c>
      <c r="DM201" s="259">
        <v>0.1</v>
      </c>
      <c r="DN201" s="259">
        <v>0.1</v>
      </c>
      <c r="DO201" s="259">
        <v>0.1</v>
      </c>
      <c r="DP201" s="259">
        <v>0.1</v>
      </c>
      <c r="DQ201" s="259">
        <v>0.1</v>
      </c>
      <c r="DR201" s="259">
        <v>0.1</v>
      </c>
      <c r="DS201" s="259">
        <v>0.1</v>
      </c>
      <c r="DT201" s="259">
        <v>0.1</v>
      </c>
      <c r="DU201" s="259">
        <v>0.1</v>
      </c>
      <c r="DV201" s="259">
        <v>0.1</v>
      </c>
      <c r="DW201" s="259">
        <v>0.1</v>
      </c>
      <c r="DX201" s="259">
        <v>0.1</v>
      </c>
      <c r="DY201" s="259">
        <v>0.1</v>
      </c>
      <c r="DZ201" s="259">
        <v>0.1</v>
      </c>
      <c r="EA201" s="259">
        <v>0.1</v>
      </c>
      <c r="EB201" s="259">
        <v>0.1</v>
      </c>
      <c r="EC201" s="259">
        <v>0.1</v>
      </c>
      <c r="ED201" s="259">
        <v>0.1</v>
      </c>
      <c r="EE201" s="259">
        <v>0.1</v>
      </c>
      <c r="EF201" s="260">
        <v>0.1</v>
      </c>
      <c r="EJ201">
        <v>198</v>
      </c>
      <c r="EN201">
        <v>0.1</v>
      </c>
      <c r="EO201">
        <v>0.1</v>
      </c>
      <c r="EP201">
        <v>0.1</v>
      </c>
      <c r="EQ201">
        <v>0.1</v>
      </c>
      <c r="ER201">
        <v>0.1</v>
      </c>
      <c r="ES201">
        <v>0.1</v>
      </c>
      <c r="ET201">
        <v>0.1</v>
      </c>
      <c r="EU201">
        <v>0.1</v>
      </c>
      <c r="EV201">
        <v>0.1</v>
      </c>
      <c r="EW201">
        <v>0.1</v>
      </c>
      <c r="EX201">
        <v>0.1</v>
      </c>
      <c r="EY201">
        <v>0.1</v>
      </c>
      <c r="EZ201">
        <v>0.1</v>
      </c>
      <c r="FA201">
        <v>0.1</v>
      </c>
      <c r="FB201">
        <v>0.1</v>
      </c>
      <c r="FC201">
        <v>0.1</v>
      </c>
      <c r="FD201">
        <v>0.1</v>
      </c>
      <c r="FE201">
        <v>0.1</v>
      </c>
      <c r="FF201">
        <v>0.1</v>
      </c>
      <c r="FG201">
        <v>0.1</v>
      </c>
      <c r="FH201">
        <v>0.1</v>
      </c>
      <c r="FI201">
        <v>0.1</v>
      </c>
      <c r="FJ201">
        <v>0.1</v>
      </c>
      <c r="FK201">
        <v>0.1</v>
      </c>
      <c r="FL201">
        <v>0.1</v>
      </c>
      <c r="FM201">
        <v>0.1</v>
      </c>
      <c r="FN201">
        <v>0.1</v>
      </c>
      <c r="FO201">
        <v>0.1</v>
      </c>
      <c r="FP201">
        <v>0.1</v>
      </c>
      <c r="FQ201">
        <v>0.1</v>
      </c>
      <c r="FU201">
        <v>198</v>
      </c>
      <c r="GB201">
        <v>0.1</v>
      </c>
      <c r="GC201">
        <v>0.1</v>
      </c>
      <c r="GD201">
        <v>0.1</v>
      </c>
      <c r="GE201">
        <v>0.1</v>
      </c>
      <c r="GF201">
        <v>0.1</v>
      </c>
      <c r="GG201">
        <v>0.1</v>
      </c>
      <c r="GH201">
        <v>0.1</v>
      </c>
      <c r="GI201">
        <v>0.1</v>
      </c>
      <c r="GJ201">
        <v>0.1</v>
      </c>
      <c r="GK201">
        <v>0.1</v>
      </c>
      <c r="GL201">
        <v>0.1</v>
      </c>
      <c r="GM201">
        <v>0.1</v>
      </c>
      <c r="GN201">
        <v>0.1</v>
      </c>
      <c r="GO201">
        <v>0.1</v>
      </c>
      <c r="GP201">
        <v>0.1</v>
      </c>
      <c r="GQ201">
        <v>0.1</v>
      </c>
      <c r="GR201">
        <v>0.1</v>
      </c>
      <c r="GS201">
        <v>0.1</v>
      </c>
      <c r="GT201">
        <v>0.1</v>
      </c>
      <c r="GU201">
        <v>0.1</v>
      </c>
      <c r="GV201">
        <v>0.1</v>
      </c>
      <c r="GW201">
        <v>0.1</v>
      </c>
      <c r="GX201">
        <v>0.1</v>
      </c>
      <c r="GY201">
        <v>0.1</v>
      </c>
      <c r="GZ201">
        <v>0.1</v>
      </c>
      <c r="HA201">
        <v>0.1</v>
      </c>
      <c r="HB201">
        <v>0.1</v>
      </c>
      <c r="HC201">
        <v>0.1</v>
      </c>
      <c r="HD201">
        <v>0.1</v>
      </c>
      <c r="HE201">
        <v>0.1</v>
      </c>
      <c r="HF201">
        <v>0.1</v>
      </c>
      <c r="HG201">
        <v>0.1</v>
      </c>
      <c r="HH201">
        <v>0.1</v>
      </c>
      <c r="HI201">
        <v>0.1</v>
      </c>
      <c r="HJ201">
        <v>0.1</v>
      </c>
      <c r="HK201">
        <v>0.1</v>
      </c>
      <c r="HL201">
        <v>0.1</v>
      </c>
      <c r="HM201">
        <v>0.1</v>
      </c>
      <c r="HN201">
        <v>0.1</v>
      </c>
      <c r="HO201">
        <v>0.1</v>
      </c>
    </row>
    <row r="202" spans="1:223" ht="15.75" thickBot="1" x14ac:dyDescent="0.3">
      <c r="A202">
        <v>199</v>
      </c>
      <c r="B202" s="268">
        <v>1.51</v>
      </c>
      <c r="C202" s="268">
        <v>1.51</v>
      </c>
      <c r="D202" s="268">
        <v>1.51</v>
      </c>
      <c r="E202" s="2"/>
      <c r="G202" s="2"/>
      <c r="H202" s="258">
        <v>0.1</v>
      </c>
      <c r="I202" s="259">
        <v>0.1</v>
      </c>
      <c r="J202" s="259">
        <v>0.1</v>
      </c>
      <c r="K202" s="259">
        <v>0.1</v>
      </c>
      <c r="L202" s="259">
        <v>0.1</v>
      </c>
      <c r="M202" s="259">
        <v>0.1</v>
      </c>
      <c r="N202" s="259">
        <v>0.1</v>
      </c>
      <c r="O202" s="259">
        <v>0.1</v>
      </c>
      <c r="P202" s="259">
        <v>0.1</v>
      </c>
      <c r="Q202" s="259">
        <v>0.1</v>
      </c>
      <c r="R202" s="259">
        <v>0.1</v>
      </c>
      <c r="S202" s="259">
        <v>0.1</v>
      </c>
      <c r="T202" s="259">
        <v>0.1</v>
      </c>
      <c r="U202" s="259">
        <v>0.1</v>
      </c>
      <c r="V202" s="259">
        <v>0.1</v>
      </c>
      <c r="W202" s="260">
        <v>0.1</v>
      </c>
      <c r="X202" s="258">
        <v>0.1</v>
      </c>
      <c r="Y202" s="259">
        <v>0.1</v>
      </c>
      <c r="Z202" s="259">
        <v>0.1</v>
      </c>
      <c r="AA202" s="259">
        <v>0.1</v>
      </c>
      <c r="AB202" s="259">
        <v>0.1</v>
      </c>
      <c r="AC202" s="259">
        <v>0.1</v>
      </c>
      <c r="AD202" s="259">
        <v>0.1</v>
      </c>
      <c r="AE202" s="259">
        <v>0.1</v>
      </c>
      <c r="AF202" s="259">
        <v>0.1</v>
      </c>
      <c r="AG202" s="259">
        <v>0.1</v>
      </c>
      <c r="AH202" s="259">
        <v>0.1</v>
      </c>
      <c r="AI202" s="259">
        <v>0.1</v>
      </c>
      <c r="AJ202" s="259">
        <v>0.1</v>
      </c>
      <c r="AK202" s="259">
        <v>0.1</v>
      </c>
      <c r="AL202" s="259">
        <v>0.1</v>
      </c>
      <c r="AM202" s="260">
        <v>0.1</v>
      </c>
      <c r="AN202" s="258">
        <v>0.1</v>
      </c>
      <c r="AO202" s="259">
        <v>0.1</v>
      </c>
      <c r="AP202" s="259">
        <v>0.1</v>
      </c>
      <c r="AQ202" s="259">
        <v>0.1</v>
      </c>
      <c r="AR202" s="259">
        <v>0.1</v>
      </c>
      <c r="AS202" s="259">
        <v>0.1</v>
      </c>
      <c r="AT202" s="259">
        <v>0.1</v>
      </c>
      <c r="AU202" s="259">
        <v>0.1</v>
      </c>
      <c r="AV202" s="259">
        <v>0.1</v>
      </c>
      <c r="AW202" s="259">
        <v>0.1</v>
      </c>
      <c r="AX202" s="259">
        <v>0.1</v>
      </c>
      <c r="AY202" s="259">
        <v>0.1</v>
      </c>
      <c r="AZ202" s="259">
        <v>0.1</v>
      </c>
      <c r="BA202" s="259">
        <v>0.1</v>
      </c>
      <c r="BB202" s="259">
        <v>0.1</v>
      </c>
      <c r="BC202" s="260">
        <v>0.1</v>
      </c>
      <c r="BD202">
        <v>0.1</v>
      </c>
      <c r="BE202">
        <v>0.1</v>
      </c>
      <c r="BF202">
        <v>0.1</v>
      </c>
      <c r="BG202">
        <v>0.1</v>
      </c>
      <c r="BH202">
        <v>0.1</v>
      </c>
      <c r="BI202">
        <v>0.1</v>
      </c>
      <c r="BJ202">
        <v>0.1</v>
      </c>
      <c r="BK202">
        <v>0.1</v>
      </c>
      <c r="BL202">
        <v>0.1</v>
      </c>
      <c r="BM202">
        <v>0.1</v>
      </c>
      <c r="BN202">
        <v>0.1</v>
      </c>
      <c r="BO202">
        <v>0.1</v>
      </c>
      <c r="BP202">
        <f t="shared" si="16"/>
        <v>1.2</v>
      </c>
      <c r="BS202">
        <v>199</v>
      </c>
      <c r="BT202" s="271">
        <v>3.46</v>
      </c>
      <c r="BU202" s="270">
        <v>2.5</v>
      </c>
      <c r="BV202" s="2"/>
      <c r="BW202" s="2"/>
      <c r="BX202" s="2"/>
      <c r="BY202" s="258">
        <v>0.1</v>
      </c>
      <c r="BZ202" s="259">
        <v>0.1</v>
      </c>
      <c r="CA202" s="259">
        <v>0.1</v>
      </c>
      <c r="CB202" s="259">
        <v>0.1</v>
      </c>
      <c r="CC202" s="259">
        <v>0.1</v>
      </c>
      <c r="CD202" s="259">
        <v>0.1</v>
      </c>
      <c r="CE202" s="259">
        <v>0.1</v>
      </c>
      <c r="CF202" s="259">
        <v>0.1</v>
      </c>
      <c r="CG202" s="259">
        <v>0.1</v>
      </c>
      <c r="CH202" s="259">
        <v>0.1</v>
      </c>
      <c r="CI202" s="259">
        <v>0.1</v>
      </c>
      <c r="CJ202" s="259">
        <v>0.1</v>
      </c>
      <c r="CK202" s="259">
        <v>0.1</v>
      </c>
      <c r="CL202" s="259">
        <v>0.1</v>
      </c>
      <c r="CM202" s="259">
        <v>0.1</v>
      </c>
      <c r="CN202" s="259">
        <v>0.1</v>
      </c>
      <c r="CO202" s="259">
        <v>0.1</v>
      </c>
      <c r="CP202" s="259">
        <v>0.1</v>
      </c>
      <c r="CQ202" s="259">
        <v>0.1</v>
      </c>
      <c r="CR202" s="259">
        <v>0.1</v>
      </c>
      <c r="CS202" s="259">
        <v>0.1</v>
      </c>
      <c r="CT202" s="259">
        <v>0.1</v>
      </c>
      <c r="CU202" s="259">
        <v>0.1</v>
      </c>
      <c r="CV202" s="259">
        <v>0.1</v>
      </c>
      <c r="CW202" s="259">
        <v>0.1</v>
      </c>
      <c r="CX202" s="259">
        <v>0.1</v>
      </c>
      <c r="CY202" s="259">
        <v>0.1</v>
      </c>
      <c r="CZ202" s="259">
        <v>0.1</v>
      </c>
      <c r="DA202" s="259">
        <v>0.1</v>
      </c>
      <c r="DB202" s="259">
        <v>0.1</v>
      </c>
      <c r="DC202" s="259">
        <v>0.1</v>
      </c>
      <c r="DD202" s="259">
        <v>0.1</v>
      </c>
      <c r="DE202" s="259">
        <v>0.1</v>
      </c>
      <c r="DF202" s="259">
        <v>0.1</v>
      </c>
      <c r="DG202" s="260">
        <v>0.1</v>
      </c>
      <c r="DH202" s="258">
        <v>0.1</v>
      </c>
      <c r="DI202" s="259">
        <v>0.1</v>
      </c>
      <c r="DJ202" s="259">
        <v>0.1</v>
      </c>
      <c r="DK202" s="259">
        <v>0.1</v>
      </c>
      <c r="DL202" s="259">
        <v>0.1</v>
      </c>
      <c r="DM202" s="259">
        <v>0.1</v>
      </c>
      <c r="DN202" s="259">
        <v>0.1</v>
      </c>
      <c r="DO202" s="259">
        <v>0.1</v>
      </c>
      <c r="DP202" s="259">
        <v>0.1</v>
      </c>
      <c r="DQ202" s="259">
        <v>0.1</v>
      </c>
      <c r="DR202" s="259">
        <v>0.1</v>
      </c>
      <c r="DS202" s="259">
        <v>0.1</v>
      </c>
      <c r="DT202" s="259">
        <v>0.1</v>
      </c>
      <c r="DU202" s="259">
        <v>0.1</v>
      </c>
      <c r="DV202" s="259">
        <v>0.1</v>
      </c>
      <c r="DW202" s="259">
        <v>0.1</v>
      </c>
      <c r="DX202" s="259">
        <v>0.1</v>
      </c>
      <c r="DY202" s="259">
        <v>0.1</v>
      </c>
      <c r="DZ202" s="259">
        <v>0.1</v>
      </c>
      <c r="EA202" s="259">
        <v>0.1</v>
      </c>
      <c r="EB202" s="259">
        <v>0.1</v>
      </c>
      <c r="EC202" s="259">
        <v>0.1</v>
      </c>
      <c r="ED202" s="259">
        <v>0.1</v>
      </c>
      <c r="EE202" s="259">
        <v>0.1</v>
      </c>
      <c r="EF202" s="260">
        <v>0.1</v>
      </c>
      <c r="EJ202">
        <v>199</v>
      </c>
      <c r="EN202">
        <v>0.1</v>
      </c>
      <c r="EO202">
        <v>0.1</v>
      </c>
      <c r="EP202">
        <v>0.1</v>
      </c>
      <c r="EQ202">
        <v>0.1</v>
      </c>
      <c r="ER202">
        <v>0.1</v>
      </c>
      <c r="ES202">
        <v>0.1</v>
      </c>
      <c r="ET202">
        <v>0.1</v>
      </c>
      <c r="EU202">
        <v>0.1</v>
      </c>
      <c r="EV202">
        <v>0.1</v>
      </c>
      <c r="EW202">
        <v>0.1</v>
      </c>
      <c r="EX202">
        <v>0.1</v>
      </c>
      <c r="EY202">
        <v>0.1</v>
      </c>
      <c r="EZ202">
        <v>0.1</v>
      </c>
      <c r="FA202">
        <v>0.1</v>
      </c>
      <c r="FB202">
        <v>0.1</v>
      </c>
      <c r="FC202">
        <v>0.1</v>
      </c>
      <c r="FD202">
        <v>0.1</v>
      </c>
      <c r="FE202">
        <v>0.1</v>
      </c>
      <c r="FF202">
        <v>0.1</v>
      </c>
      <c r="FG202">
        <v>0.1</v>
      </c>
      <c r="FH202">
        <v>0.1</v>
      </c>
      <c r="FI202">
        <v>0.1</v>
      </c>
      <c r="FJ202">
        <v>0.1</v>
      </c>
      <c r="FK202">
        <v>0.1</v>
      </c>
      <c r="FL202">
        <v>0.1</v>
      </c>
      <c r="FM202">
        <v>0.1</v>
      </c>
      <c r="FN202">
        <v>0.1</v>
      </c>
      <c r="FO202">
        <v>0.1</v>
      </c>
      <c r="FP202">
        <v>0.1</v>
      </c>
      <c r="FQ202">
        <v>0.1</v>
      </c>
      <c r="FU202">
        <v>199</v>
      </c>
      <c r="GB202">
        <v>0.1</v>
      </c>
      <c r="GC202">
        <v>0.1</v>
      </c>
      <c r="GD202">
        <v>0.1</v>
      </c>
      <c r="GE202">
        <v>0.1</v>
      </c>
      <c r="GF202">
        <v>0.1</v>
      </c>
      <c r="GG202">
        <v>0.1</v>
      </c>
      <c r="GH202">
        <v>0.1</v>
      </c>
      <c r="GI202">
        <v>0.1</v>
      </c>
      <c r="GJ202">
        <v>0.1</v>
      </c>
      <c r="GK202">
        <v>0.1</v>
      </c>
      <c r="GL202">
        <v>0.1</v>
      </c>
      <c r="GM202">
        <v>0.1</v>
      </c>
      <c r="GN202">
        <v>0.1</v>
      </c>
      <c r="GO202">
        <v>0.1</v>
      </c>
      <c r="GP202">
        <v>0.1</v>
      </c>
      <c r="GQ202">
        <v>0.1</v>
      </c>
      <c r="GR202">
        <v>0.1</v>
      </c>
      <c r="GS202">
        <v>0.1</v>
      </c>
      <c r="GT202">
        <v>0.1</v>
      </c>
      <c r="GU202">
        <v>0.1</v>
      </c>
      <c r="GV202">
        <v>0.1</v>
      </c>
      <c r="GW202">
        <v>0.1</v>
      </c>
      <c r="GX202">
        <v>0.1</v>
      </c>
      <c r="GY202">
        <v>0.1</v>
      </c>
      <c r="GZ202">
        <v>0.1</v>
      </c>
      <c r="HA202">
        <v>0.1</v>
      </c>
      <c r="HB202">
        <v>0.1</v>
      </c>
      <c r="HC202">
        <v>0.1</v>
      </c>
      <c r="HD202">
        <v>0.1</v>
      </c>
      <c r="HE202">
        <v>0.1</v>
      </c>
      <c r="HF202">
        <v>0.1</v>
      </c>
      <c r="HG202">
        <v>0.1</v>
      </c>
      <c r="HH202">
        <v>0.1</v>
      </c>
      <c r="HI202">
        <v>0.1</v>
      </c>
      <c r="HJ202">
        <v>0.1</v>
      </c>
      <c r="HK202">
        <v>0.1</v>
      </c>
      <c r="HL202">
        <v>0.1</v>
      </c>
      <c r="HM202">
        <v>0.1</v>
      </c>
      <c r="HN202">
        <v>0.1</v>
      </c>
      <c r="HO202">
        <v>0.1</v>
      </c>
    </row>
    <row r="203" spans="1:223" ht="15.75" thickBot="1" x14ac:dyDescent="0.3">
      <c r="A203">
        <v>200</v>
      </c>
      <c r="B203" s="268">
        <v>1.29</v>
      </c>
      <c r="C203" s="268">
        <v>1.39</v>
      </c>
      <c r="D203" s="269">
        <v>1.39</v>
      </c>
      <c r="E203" s="268">
        <v>1.36</v>
      </c>
      <c r="G203" s="2"/>
      <c r="H203" s="258">
        <v>0.1</v>
      </c>
      <c r="I203" s="259">
        <v>0.1</v>
      </c>
      <c r="J203" s="259">
        <v>0.1</v>
      </c>
      <c r="K203" s="259">
        <v>0.1</v>
      </c>
      <c r="L203" s="259">
        <v>0.1</v>
      </c>
      <c r="M203" s="259">
        <v>0.1</v>
      </c>
      <c r="N203" s="259">
        <v>0.1</v>
      </c>
      <c r="O203" s="259">
        <v>0.1</v>
      </c>
      <c r="P203" s="259">
        <v>0.1</v>
      </c>
      <c r="Q203" s="259">
        <v>0.1</v>
      </c>
      <c r="R203" s="259">
        <v>0.1</v>
      </c>
      <c r="S203" s="259">
        <v>0.1</v>
      </c>
      <c r="T203" s="260">
        <v>0.1</v>
      </c>
      <c r="U203" s="258">
        <v>0.1</v>
      </c>
      <c r="V203" s="259">
        <v>0.1</v>
      </c>
      <c r="W203" s="259">
        <v>0.1</v>
      </c>
      <c r="X203" s="259">
        <v>0.1</v>
      </c>
      <c r="Y203" s="259">
        <v>0.1</v>
      </c>
      <c r="Z203" s="259">
        <v>0.1</v>
      </c>
      <c r="AA203" s="259">
        <v>0.1</v>
      </c>
      <c r="AB203" s="259">
        <v>0.1</v>
      </c>
      <c r="AC203" s="259">
        <v>0.1</v>
      </c>
      <c r="AD203" s="259">
        <v>0.1</v>
      </c>
      <c r="AE203" s="259">
        <v>0.1</v>
      </c>
      <c r="AF203" s="259">
        <v>0.1</v>
      </c>
      <c r="AG203" s="259">
        <v>0.1</v>
      </c>
      <c r="AH203" s="260">
        <v>0.1</v>
      </c>
      <c r="AI203" s="258">
        <v>0.1</v>
      </c>
      <c r="AJ203" s="259">
        <v>0.1</v>
      </c>
      <c r="AK203" s="259">
        <v>0.1</v>
      </c>
      <c r="AL203" s="259">
        <v>0.1</v>
      </c>
      <c r="AM203" s="259">
        <v>0.1</v>
      </c>
      <c r="AN203" s="259">
        <v>0.1</v>
      </c>
      <c r="AO203" s="259">
        <v>0.1</v>
      </c>
      <c r="AP203" s="259">
        <v>0.1</v>
      </c>
      <c r="AQ203" s="259">
        <v>0.1</v>
      </c>
      <c r="AR203" s="259">
        <v>0.1</v>
      </c>
      <c r="AS203" s="259">
        <v>0.1</v>
      </c>
      <c r="AT203" s="259">
        <v>0.1</v>
      </c>
      <c r="AU203" s="259">
        <v>0.1</v>
      </c>
      <c r="AV203" s="260">
        <v>0.1</v>
      </c>
      <c r="AW203" s="258">
        <v>0.1</v>
      </c>
      <c r="AX203" s="259">
        <v>0.1</v>
      </c>
      <c r="AY203" s="259">
        <v>0.1</v>
      </c>
      <c r="AZ203" s="259">
        <v>0.1</v>
      </c>
      <c r="BA203" s="259">
        <v>0.1</v>
      </c>
      <c r="BB203" s="259">
        <v>0.1</v>
      </c>
      <c r="BC203" s="259">
        <v>0.1</v>
      </c>
      <c r="BD203" s="259">
        <v>0.1</v>
      </c>
      <c r="BE203" s="259">
        <v>0.1</v>
      </c>
      <c r="BF203" s="259">
        <v>0.1</v>
      </c>
      <c r="BG203" s="259">
        <v>0.1</v>
      </c>
      <c r="BH203" s="259">
        <v>0.1</v>
      </c>
      <c r="BI203" s="259">
        <v>0.1</v>
      </c>
      <c r="BJ203" s="260">
        <v>0.1</v>
      </c>
      <c r="BK203">
        <v>0.1</v>
      </c>
      <c r="BL203">
        <v>0.1</v>
      </c>
      <c r="BM203">
        <v>0.1</v>
      </c>
      <c r="BN203">
        <v>0.1</v>
      </c>
      <c r="BO203">
        <v>0.1</v>
      </c>
      <c r="BP203">
        <f>SUM(BK203:BO203)</f>
        <v>0.5</v>
      </c>
      <c r="BS203">
        <v>200</v>
      </c>
      <c r="BT203" s="270">
        <v>3.45</v>
      </c>
      <c r="BU203" s="271">
        <v>2.5</v>
      </c>
      <c r="BV203" s="2"/>
      <c r="BW203" s="2"/>
      <c r="BX203" s="2"/>
      <c r="BY203" s="258">
        <v>0.1</v>
      </c>
      <c r="BZ203" s="259">
        <v>0.1</v>
      </c>
      <c r="CA203" s="259">
        <v>0.1</v>
      </c>
      <c r="CB203" s="259">
        <v>0.1</v>
      </c>
      <c r="CC203" s="259">
        <v>0.1</v>
      </c>
      <c r="CD203" s="259">
        <v>0.1</v>
      </c>
      <c r="CE203" s="259">
        <v>0.1</v>
      </c>
      <c r="CF203" s="259">
        <v>0.1</v>
      </c>
      <c r="CG203" s="259">
        <v>0.1</v>
      </c>
      <c r="CH203" s="259">
        <v>0.1</v>
      </c>
      <c r="CI203" s="259">
        <v>0.1</v>
      </c>
      <c r="CJ203" s="259">
        <v>0.1</v>
      </c>
      <c r="CK203" s="259">
        <v>0.1</v>
      </c>
      <c r="CL203" s="259">
        <v>0.1</v>
      </c>
      <c r="CM203" s="259">
        <v>0.1</v>
      </c>
      <c r="CN203" s="259">
        <v>0.1</v>
      </c>
      <c r="CO203" s="259">
        <v>0.1</v>
      </c>
      <c r="CP203" s="259">
        <v>0.1</v>
      </c>
      <c r="CQ203" s="259">
        <v>0.1</v>
      </c>
      <c r="CR203" s="259">
        <v>0.1</v>
      </c>
      <c r="CS203" s="259">
        <v>0.1</v>
      </c>
      <c r="CT203" s="259">
        <v>0.1</v>
      </c>
      <c r="CU203" s="259">
        <v>0.1</v>
      </c>
      <c r="CV203" s="259">
        <v>0.1</v>
      </c>
      <c r="CW203" s="259">
        <v>0.1</v>
      </c>
      <c r="CX203" s="259">
        <v>0.1</v>
      </c>
      <c r="CY203" s="259">
        <v>0.1</v>
      </c>
      <c r="CZ203" s="259">
        <v>0.1</v>
      </c>
      <c r="DA203" s="259">
        <v>0.1</v>
      </c>
      <c r="DB203" s="259">
        <v>0.1</v>
      </c>
      <c r="DC203" s="259">
        <v>0.1</v>
      </c>
      <c r="DD203" s="259">
        <v>0.1</v>
      </c>
      <c r="DE203" s="259">
        <v>0.1</v>
      </c>
      <c r="DF203" s="259">
        <v>0.1</v>
      </c>
      <c r="DG203" s="260">
        <v>0.1</v>
      </c>
      <c r="DH203" s="258">
        <v>0.1</v>
      </c>
      <c r="DI203" s="259">
        <v>0.1</v>
      </c>
      <c r="DJ203" s="259">
        <v>0.1</v>
      </c>
      <c r="DK203" s="259">
        <v>0.1</v>
      </c>
      <c r="DL203" s="259">
        <v>0.1</v>
      </c>
      <c r="DM203" s="259">
        <v>0.1</v>
      </c>
      <c r="DN203" s="259">
        <v>0.1</v>
      </c>
      <c r="DO203" s="259">
        <v>0.1</v>
      </c>
      <c r="DP203" s="259">
        <v>0.1</v>
      </c>
      <c r="DQ203" s="259">
        <v>0.1</v>
      </c>
      <c r="DR203" s="259">
        <v>0.1</v>
      </c>
      <c r="DS203" s="259">
        <v>0.1</v>
      </c>
      <c r="DT203" s="259">
        <v>0.1</v>
      </c>
      <c r="DU203" s="259">
        <v>0.1</v>
      </c>
      <c r="DV203" s="259">
        <v>0.1</v>
      </c>
      <c r="DW203" s="259">
        <v>0.1</v>
      </c>
      <c r="DX203" s="259">
        <v>0.1</v>
      </c>
      <c r="DY203" s="259">
        <v>0.1</v>
      </c>
      <c r="DZ203" s="259">
        <v>0.1</v>
      </c>
      <c r="EA203" s="259">
        <v>0.1</v>
      </c>
      <c r="EB203" s="259">
        <v>0.1</v>
      </c>
      <c r="EC203" s="259">
        <v>0.1</v>
      </c>
      <c r="ED203" s="259">
        <v>0.1</v>
      </c>
      <c r="EE203" s="259">
        <v>0.1</v>
      </c>
      <c r="EF203" s="260">
        <v>0.1</v>
      </c>
      <c r="EJ203">
        <v>200</v>
      </c>
      <c r="EN203">
        <v>0.1</v>
      </c>
      <c r="EO203">
        <v>0.1</v>
      </c>
      <c r="EP203">
        <v>0.1</v>
      </c>
      <c r="EQ203">
        <v>0.1</v>
      </c>
      <c r="ER203">
        <v>0.1</v>
      </c>
      <c r="ES203">
        <v>0.1</v>
      </c>
      <c r="ET203">
        <v>0.1</v>
      </c>
      <c r="EU203">
        <v>0.1</v>
      </c>
      <c r="EV203">
        <v>0.1</v>
      </c>
      <c r="EW203">
        <v>0.1</v>
      </c>
      <c r="EX203">
        <v>0.1</v>
      </c>
      <c r="EY203">
        <v>0.1</v>
      </c>
      <c r="EZ203">
        <v>0.1</v>
      </c>
      <c r="FA203">
        <v>0.1</v>
      </c>
      <c r="FB203">
        <v>0.1</v>
      </c>
      <c r="FC203">
        <v>0.1</v>
      </c>
      <c r="FD203">
        <v>0.1</v>
      </c>
      <c r="FE203">
        <v>0.1</v>
      </c>
      <c r="FF203">
        <v>0.1</v>
      </c>
      <c r="FG203">
        <v>0.1</v>
      </c>
      <c r="FH203">
        <v>0.1</v>
      </c>
      <c r="FI203">
        <v>0.1</v>
      </c>
      <c r="FJ203">
        <v>0.1</v>
      </c>
      <c r="FK203">
        <v>0.1</v>
      </c>
      <c r="FL203">
        <v>0.1</v>
      </c>
      <c r="FM203">
        <v>0.1</v>
      </c>
      <c r="FN203">
        <v>0.1</v>
      </c>
      <c r="FO203">
        <v>0.1</v>
      </c>
      <c r="FP203">
        <v>0.1</v>
      </c>
      <c r="FQ203">
        <v>0.1</v>
      </c>
      <c r="FU203">
        <v>200</v>
      </c>
      <c r="GB203">
        <v>0.1</v>
      </c>
      <c r="GC203">
        <v>0.1</v>
      </c>
      <c r="GD203">
        <v>0.1</v>
      </c>
      <c r="GE203">
        <v>0.1</v>
      </c>
      <c r="GF203">
        <v>0.1</v>
      </c>
      <c r="GG203">
        <v>0.1</v>
      </c>
      <c r="GH203">
        <v>0.1</v>
      </c>
      <c r="GI203">
        <v>0.1</v>
      </c>
      <c r="GJ203">
        <v>0.1</v>
      </c>
      <c r="GK203">
        <v>0.1</v>
      </c>
      <c r="GL203">
        <v>0.1</v>
      </c>
      <c r="GM203">
        <v>0.1</v>
      </c>
      <c r="GN203">
        <v>0.1</v>
      </c>
      <c r="GO203">
        <v>0.1</v>
      </c>
      <c r="GP203">
        <v>0.1</v>
      </c>
      <c r="GQ203">
        <v>0.1</v>
      </c>
      <c r="GR203">
        <v>0.1</v>
      </c>
      <c r="GS203">
        <v>0.1</v>
      </c>
      <c r="GT203">
        <v>0.1</v>
      </c>
      <c r="GU203">
        <v>0.1</v>
      </c>
      <c r="GV203">
        <v>0.1</v>
      </c>
      <c r="GW203">
        <v>0.1</v>
      </c>
      <c r="GX203">
        <v>0.1</v>
      </c>
      <c r="GY203">
        <v>0.1</v>
      </c>
      <c r="GZ203">
        <v>0.1</v>
      </c>
      <c r="HA203">
        <v>0.1</v>
      </c>
      <c r="HB203">
        <v>0.1</v>
      </c>
      <c r="HC203">
        <v>0.1</v>
      </c>
      <c r="HD203">
        <v>0.1</v>
      </c>
      <c r="HE203">
        <v>0.1</v>
      </c>
      <c r="HF203">
        <v>0.1</v>
      </c>
      <c r="HG203">
        <v>0.1</v>
      </c>
      <c r="HH203">
        <v>0.1</v>
      </c>
      <c r="HI203">
        <v>0.1</v>
      </c>
      <c r="HJ203">
        <v>0.1</v>
      </c>
      <c r="HK203">
        <v>0.1</v>
      </c>
      <c r="HL203">
        <v>0.1</v>
      </c>
      <c r="HM203">
        <v>0.1</v>
      </c>
      <c r="HN203">
        <v>0.1</v>
      </c>
      <c r="HO203">
        <v>0.1</v>
      </c>
    </row>
    <row r="204" spans="1:223" ht="15.75" thickBot="1" x14ac:dyDescent="0.3">
      <c r="A204">
        <v>201</v>
      </c>
      <c r="B204" s="269">
        <v>1.31</v>
      </c>
      <c r="C204" s="269">
        <v>1.39</v>
      </c>
      <c r="D204" s="268">
        <v>1.39</v>
      </c>
      <c r="E204" s="268">
        <v>1.39</v>
      </c>
      <c r="G204" s="2"/>
      <c r="H204" s="258">
        <v>0.1</v>
      </c>
      <c r="I204" s="259">
        <v>0.1</v>
      </c>
      <c r="J204" s="259">
        <v>0.1</v>
      </c>
      <c r="K204" s="259">
        <v>0.1</v>
      </c>
      <c r="L204" s="259">
        <v>0.1</v>
      </c>
      <c r="M204" s="259">
        <v>0.1</v>
      </c>
      <c r="N204" s="259">
        <v>0.1</v>
      </c>
      <c r="O204" s="259">
        <v>0.1</v>
      </c>
      <c r="P204" s="259">
        <v>0.1</v>
      </c>
      <c r="Q204" s="259">
        <v>0.1</v>
      </c>
      <c r="R204" s="259">
        <v>0.1</v>
      </c>
      <c r="S204" s="259">
        <v>0.1</v>
      </c>
      <c r="T204" s="259">
        <v>0.1</v>
      </c>
      <c r="U204" s="260">
        <v>0.1</v>
      </c>
      <c r="V204" s="258">
        <v>0.1</v>
      </c>
      <c r="W204" s="259">
        <v>0.1</v>
      </c>
      <c r="X204" s="259">
        <v>0.1</v>
      </c>
      <c r="Y204" s="259">
        <v>0.1</v>
      </c>
      <c r="Z204" s="259">
        <v>0.1</v>
      </c>
      <c r="AA204" s="259">
        <v>0.1</v>
      </c>
      <c r="AB204" s="259">
        <v>0.1</v>
      </c>
      <c r="AC204" s="259">
        <v>0.1</v>
      </c>
      <c r="AD204" s="259">
        <v>0.1</v>
      </c>
      <c r="AE204" s="259">
        <v>0.1</v>
      </c>
      <c r="AF204" s="259">
        <v>0.1</v>
      </c>
      <c r="AG204" s="259">
        <v>0.1</v>
      </c>
      <c r="AH204" s="259">
        <v>0.1</v>
      </c>
      <c r="AI204" s="260">
        <v>0.1</v>
      </c>
      <c r="AJ204" s="258">
        <v>0.1</v>
      </c>
      <c r="AK204" s="259">
        <v>0.1</v>
      </c>
      <c r="AL204" s="259">
        <v>0.1</v>
      </c>
      <c r="AM204" s="259">
        <v>0.1</v>
      </c>
      <c r="AN204" s="259">
        <v>0.1</v>
      </c>
      <c r="AO204" s="259">
        <v>0.1</v>
      </c>
      <c r="AP204" s="259">
        <v>0.1</v>
      </c>
      <c r="AQ204" s="259">
        <v>0.1</v>
      </c>
      <c r="AR204" s="259">
        <v>0.1</v>
      </c>
      <c r="AS204" s="259">
        <v>0.1</v>
      </c>
      <c r="AT204" s="259">
        <v>0.1</v>
      </c>
      <c r="AU204" s="259">
        <v>0.1</v>
      </c>
      <c r="AV204" s="259">
        <v>0.1</v>
      </c>
      <c r="AW204" s="260">
        <v>0.1</v>
      </c>
      <c r="AX204" s="258">
        <v>0.1</v>
      </c>
      <c r="AY204" s="259">
        <v>0.1</v>
      </c>
      <c r="AZ204" s="259">
        <v>0.1</v>
      </c>
      <c r="BA204" s="259">
        <v>0.1</v>
      </c>
      <c r="BB204" s="259">
        <v>0.1</v>
      </c>
      <c r="BC204" s="259">
        <v>0.1</v>
      </c>
      <c r="BD204" s="259">
        <v>0.1</v>
      </c>
      <c r="BE204" s="259">
        <v>0.1</v>
      </c>
      <c r="BF204" s="259">
        <v>0.1</v>
      </c>
      <c r="BG204" s="259">
        <v>0.1</v>
      </c>
      <c r="BH204" s="259">
        <v>0.1</v>
      </c>
      <c r="BI204" s="259">
        <v>0.1</v>
      </c>
      <c r="BJ204" s="259">
        <v>0.1</v>
      </c>
      <c r="BK204" s="260">
        <v>0.1</v>
      </c>
      <c r="BL204">
        <v>0.1</v>
      </c>
      <c r="BM204">
        <v>0.1</v>
      </c>
      <c r="BN204">
        <v>0.1</v>
      </c>
      <c r="BO204">
        <v>0.1</v>
      </c>
      <c r="BP204">
        <f>SUM(BL204:BO204)</f>
        <v>0.4</v>
      </c>
      <c r="BS204">
        <v>201</v>
      </c>
      <c r="BT204" s="271">
        <v>3.45</v>
      </c>
      <c r="BU204" s="270">
        <v>2.5</v>
      </c>
      <c r="BV204" s="2"/>
      <c r="BW204" s="2"/>
      <c r="BX204" s="2"/>
      <c r="BY204" s="258">
        <v>0.1</v>
      </c>
      <c r="BZ204" s="259">
        <v>0.1</v>
      </c>
      <c r="CA204" s="259">
        <v>0.1</v>
      </c>
      <c r="CB204" s="259">
        <v>0.1</v>
      </c>
      <c r="CC204" s="259">
        <v>0.1</v>
      </c>
      <c r="CD204" s="259">
        <v>0.1</v>
      </c>
      <c r="CE204" s="259">
        <v>0.1</v>
      </c>
      <c r="CF204" s="259">
        <v>0.1</v>
      </c>
      <c r="CG204" s="259">
        <v>0.1</v>
      </c>
      <c r="CH204" s="259">
        <v>0.1</v>
      </c>
      <c r="CI204" s="259">
        <v>0.1</v>
      </c>
      <c r="CJ204" s="259">
        <v>0.1</v>
      </c>
      <c r="CK204" s="259">
        <v>0.1</v>
      </c>
      <c r="CL204" s="259">
        <v>0.1</v>
      </c>
      <c r="CM204" s="259">
        <v>0.1</v>
      </c>
      <c r="CN204" s="259">
        <v>0.1</v>
      </c>
      <c r="CO204" s="259">
        <v>0.1</v>
      </c>
      <c r="CP204" s="259">
        <v>0.1</v>
      </c>
      <c r="CQ204" s="259">
        <v>0.1</v>
      </c>
      <c r="CR204" s="259">
        <v>0.1</v>
      </c>
      <c r="CS204" s="259">
        <v>0.1</v>
      </c>
      <c r="CT204" s="259">
        <v>0.1</v>
      </c>
      <c r="CU204" s="259">
        <v>0.1</v>
      </c>
      <c r="CV204" s="259">
        <v>0.1</v>
      </c>
      <c r="CW204" s="259">
        <v>0.1</v>
      </c>
      <c r="CX204" s="259">
        <v>0.1</v>
      </c>
      <c r="CY204" s="259">
        <v>0.1</v>
      </c>
      <c r="CZ204" s="259">
        <v>0.1</v>
      </c>
      <c r="DA204" s="259">
        <v>0.1</v>
      </c>
      <c r="DB204" s="259">
        <v>0.1</v>
      </c>
      <c r="DC204" s="259">
        <v>0.1</v>
      </c>
      <c r="DD204" s="259">
        <v>0.1</v>
      </c>
      <c r="DE204" s="259">
        <v>0.1</v>
      </c>
      <c r="DF204" s="259">
        <v>0.1</v>
      </c>
      <c r="DG204" s="263">
        <v>0.1</v>
      </c>
      <c r="DH204" s="258">
        <v>0.1</v>
      </c>
      <c r="DI204" s="259">
        <v>0.1</v>
      </c>
      <c r="DJ204" s="259">
        <v>0.1</v>
      </c>
      <c r="DK204" s="259">
        <v>0.1</v>
      </c>
      <c r="DL204" s="259">
        <v>0.1</v>
      </c>
      <c r="DM204" s="259">
        <v>0.1</v>
      </c>
      <c r="DN204" s="259">
        <v>0.1</v>
      </c>
      <c r="DO204" s="259">
        <v>0.1</v>
      </c>
      <c r="DP204" s="259">
        <v>0.1</v>
      </c>
      <c r="DQ204" s="259">
        <v>0.1</v>
      </c>
      <c r="DR204" s="259">
        <v>0.1</v>
      </c>
      <c r="DS204" s="259">
        <v>0.1</v>
      </c>
      <c r="DT204" s="259">
        <v>0.1</v>
      </c>
      <c r="DU204" s="259">
        <v>0.1</v>
      </c>
      <c r="DV204" s="259">
        <v>0.1</v>
      </c>
      <c r="DW204" s="259">
        <v>0.1</v>
      </c>
      <c r="DX204" s="259">
        <v>0.1</v>
      </c>
      <c r="DY204" s="259">
        <v>0.1</v>
      </c>
      <c r="DZ204" s="259">
        <v>0.1</v>
      </c>
      <c r="EA204" s="259">
        <v>0.1</v>
      </c>
      <c r="EB204" s="259">
        <v>0.1</v>
      </c>
      <c r="EC204" s="259">
        <v>0.1</v>
      </c>
      <c r="ED204" s="259">
        <v>0.1</v>
      </c>
      <c r="EE204" s="259">
        <v>0.1</v>
      </c>
      <c r="EF204" s="260">
        <v>0.1</v>
      </c>
      <c r="EJ204">
        <v>201</v>
      </c>
      <c r="EN204">
        <v>0.1</v>
      </c>
      <c r="EO204">
        <v>0.1</v>
      </c>
      <c r="EP204">
        <v>0.1</v>
      </c>
      <c r="EQ204">
        <v>0.1</v>
      </c>
      <c r="ER204">
        <v>0.1</v>
      </c>
      <c r="ES204">
        <v>0.1</v>
      </c>
      <c r="ET204">
        <v>0.1</v>
      </c>
      <c r="EU204">
        <v>0.1</v>
      </c>
      <c r="EV204">
        <v>0.1</v>
      </c>
      <c r="EW204">
        <v>0.1</v>
      </c>
      <c r="EX204">
        <v>0.1</v>
      </c>
      <c r="EY204">
        <v>0.1</v>
      </c>
      <c r="EZ204">
        <v>0.1</v>
      </c>
      <c r="FA204">
        <v>0.1</v>
      </c>
      <c r="FB204">
        <v>0.1</v>
      </c>
      <c r="FC204">
        <v>0.1</v>
      </c>
      <c r="FD204">
        <v>0.1</v>
      </c>
      <c r="FE204">
        <v>0.1</v>
      </c>
      <c r="FF204">
        <v>0.1</v>
      </c>
      <c r="FG204">
        <v>0.1</v>
      </c>
      <c r="FH204">
        <v>0.1</v>
      </c>
      <c r="FI204">
        <v>0.1</v>
      </c>
      <c r="FJ204">
        <v>0.1</v>
      </c>
      <c r="FK204">
        <v>0.1</v>
      </c>
      <c r="FL204">
        <v>0.1</v>
      </c>
      <c r="FM204">
        <v>0.1</v>
      </c>
      <c r="FN204">
        <v>0.1</v>
      </c>
      <c r="FO204">
        <v>0.1</v>
      </c>
      <c r="FP204">
        <v>0.1</v>
      </c>
      <c r="FQ204">
        <v>0.1</v>
      </c>
      <c r="FU204">
        <v>201</v>
      </c>
      <c r="GB204">
        <v>0.1</v>
      </c>
      <c r="GC204">
        <v>0.1</v>
      </c>
      <c r="GD204">
        <v>0.1</v>
      </c>
      <c r="GE204">
        <v>0.1</v>
      </c>
      <c r="GF204">
        <v>0.1</v>
      </c>
      <c r="GG204">
        <v>0.1</v>
      </c>
      <c r="GH204">
        <v>0.1</v>
      </c>
      <c r="GI204">
        <v>0.1</v>
      </c>
      <c r="GJ204">
        <v>0.1</v>
      </c>
      <c r="GK204">
        <v>0.1</v>
      </c>
      <c r="GL204">
        <v>0.1</v>
      </c>
      <c r="GM204">
        <v>0.1</v>
      </c>
      <c r="GN204">
        <v>0.1</v>
      </c>
      <c r="GO204">
        <v>0.1</v>
      </c>
      <c r="GP204">
        <v>0.1</v>
      </c>
      <c r="GQ204">
        <v>0.1</v>
      </c>
      <c r="GR204">
        <v>0.1</v>
      </c>
      <c r="GS204">
        <v>0.1</v>
      </c>
      <c r="GT204">
        <v>0.1</v>
      </c>
      <c r="GU204">
        <v>0.1</v>
      </c>
      <c r="GV204">
        <v>0.1</v>
      </c>
      <c r="GW204">
        <v>0.1</v>
      </c>
      <c r="GX204">
        <v>0.1</v>
      </c>
      <c r="GY204">
        <v>0.1</v>
      </c>
      <c r="GZ204">
        <v>0.1</v>
      </c>
      <c r="HA204">
        <v>0.1</v>
      </c>
      <c r="HB204">
        <v>0.1</v>
      </c>
      <c r="HC204">
        <v>0.1</v>
      </c>
      <c r="HD204">
        <v>0.1</v>
      </c>
      <c r="HE204">
        <v>0.1</v>
      </c>
      <c r="HF204">
        <v>0.1</v>
      </c>
      <c r="HG204">
        <v>0.1</v>
      </c>
      <c r="HH204">
        <v>0.1</v>
      </c>
      <c r="HI204">
        <v>0.1</v>
      </c>
      <c r="HJ204">
        <v>0.1</v>
      </c>
      <c r="HK204">
        <v>0.1</v>
      </c>
      <c r="HL204">
        <v>0.1</v>
      </c>
      <c r="HM204">
        <v>0.1</v>
      </c>
      <c r="HN204">
        <v>0.1</v>
      </c>
      <c r="HO204">
        <v>0.1</v>
      </c>
    </row>
    <row r="205" spans="1:223" ht="15.75" thickBot="1" x14ac:dyDescent="0.3">
      <c r="A205">
        <v>202</v>
      </c>
      <c r="B205" s="269">
        <v>1.39</v>
      </c>
      <c r="E205" s="2"/>
      <c r="G205" s="2"/>
      <c r="H205" s="258">
        <v>0.1</v>
      </c>
      <c r="I205" s="259">
        <v>0.1</v>
      </c>
      <c r="J205" s="259">
        <v>0.1</v>
      </c>
      <c r="K205" s="259">
        <v>0.1</v>
      </c>
      <c r="L205" s="259">
        <v>0.1</v>
      </c>
      <c r="M205" s="259">
        <v>0.1</v>
      </c>
      <c r="N205" s="259">
        <v>0.1</v>
      </c>
      <c r="O205" s="259">
        <v>0.1</v>
      </c>
      <c r="P205" s="259">
        <v>0.1</v>
      </c>
      <c r="Q205" s="259">
        <v>0.1</v>
      </c>
      <c r="R205" s="259">
        <v>0.1</v>
      </c>
      <c r="S205" s="259">
        <v>0.1</v>
      </c>
      <c r="T205" s="259">
        <v>0.1</v>
      </c>
      <c r="U205" s="260">
        <v>0.1</v>
      </c>
      <c r="V205">
        <v>0.1</v>
      </c>
      <c r="W205">
        <v>0.1</v>
      </c>
      <c r="X205">
        <v>0.1</v>
      </c>
      <c r="Y205">
        <v>0.1</v>
      </c>
      <c r="Z205">
        <v>0.1</v>
      </c>
      <c r="AA205">
        <v>0.1</v>
      </c>
      <c r="AB205">
        <v>0.1</v>
      </c>
      <c r="AC205">
        <v>0.1</v>
      </c>
      <c r="AD205">
        <v>0.1</v>
      </c>
      <c r="AE205">
        <v>0.1</v>
      </c>
      <c r="AF205">
        <v>0.1</v>
      </c>
      <c r="AG205">
        <v>0.1</v>
      </c>
      <c r="AH205">
        <v>0.1</v>
      </c>
      <c r="AI205">
        <v>0.1</v>
      </c>
      <c r="AJ205">
        <v>0.1</v>
      </c>
      <c r="AK205">
        <v>0.1</v>
      </c>
      <c r="AL205">
        <v>0.1</v>
      </c>
      <c r="AM205">
        <v>0.1</v>
      </c>
      <c r="AN205">
        <v>0.1</v>
      </c>
      <c r="AO205">
        <v>0.1</v>
      </c>
      <c r="AP205">
        <v>0.1</v>
      </c>
      <c r="AQ205">
        <v>0.1</v>
      </c>
      <c r="AR205">
        <v>0.1</v>
      </c>
      <c r="AS205">
        <v>0.1</v>
      </c>
      <c r="AT205">
        <v>0.1</v>
      </c>
      <c r="AU205">
        <v>0.1</v>
      </c>
      <c r="AV205">
        <v>0.1</v>
      </c>
      <c r="AW205">
        <v>0.1</v>
      </c>
      <c r="AX205">
        <v>0.1</v>
      </c>
      <c r="AY205">
        <v>0.1</v>
      </c>
      <c r="AZ205">
        <v>0.1</v>
      </c>
      <c r="BA205">
        <v>0.1</v>
      </c>
      <c r="BB205">
        <v>0.1</v>
      </c>
      <c r="BC205">
        <v>0.1</v>
      </c>
      <c r="BD205">
        <v>0.1</v>
      </c>
      <c r="BE205">
        <v>0.1</v>
      </c>
      <c r="BF205">
        <v>0.1</v>
      </c>
      <c r="BG205">
        <v>0.1</v>
      </c>
      <c r="BH205">
        <v>0.1</v>
      </c>
      <c r="BI205">
        <v>0.1</v>
      </c>
      <c r="BJ205">
        <v>0.1</v>
      </c>
      <c r="BK205">
        <v>0.1</v>
      </c>
      <c r="BL205">
        <v>0.1</v>
      </c>
      <c r="BM205">
        <v>0.1</v>
      </c>
      <c r="BN205">
        <v>0.1</v>
      </c>
      <c r="BO205">
        <v>0.1</v>
      </c>
      <c r="BP205">
        <f>SUM(V205:BO205)</f>
        <v>4.5999999999999996</v>
      </c>
      <c r="BS205">
        <v>202</v>
      </c>
      <c r="BT205" s="270">
        <v>3.39</v>
      </c>
      <c r="BU205" s="271">
        <v>2.5</v>
      </c>
      <c r="BV205" s="2"/>
      <c r="BW205" s="2"/>
      <c r="BX205" s="2"/>
      <c r="BY205" s="258">
        <v>0.1</v>
      </c>
      <c r="BZ205" s="259">
        <v>0.1</v>
      </c>
      <c r="CA205" s="259">
        <v>0.1</v>
      </c>
      <c r="CB205" s="259">
        <v>0.1</v>
      </c>
      <c r="CC205" s="259">
        <v>0.1</v>
      </c>
      <c r="CD205" s="259">
        <v>0.1</v>
      </c>
      <c r="CE205" s="259">
        <v>0.1</v>
      </c>
      <c r="CF205" s="259">
        <v>0.1</v>
      </c>
      <c r="CG205" s="259">
        <v>0.1</v>
      </c>
      <c r="CH205" s="259">
        <v>0.1</v>
      </c>
      <c r="CI205" s="259">
        <v>0.1</v>
      </c>
      <c r="CJ205" s="259">
        <v>0.1</v>
      </c>
      <c r="CK205" s="259">
        <v>0.1</v>
      </c>
      <c r="CL205" s="259">
        <v>0.1</v>
      </c>
      <c r="CM205" s="259">
        <v>0.1</v>
      </c>
      <c r="CN205" s="259">
        <v>0.1</v>
      </c>
      <c r="CO205" s="259">
        <v>0.1</v>
      </c>
      <c r="CP205" s="259">
        <v>0.1</v>
      </c>
      <c r="CQ205" s="259">
        <v>0.1</v>
      </c>
      <c r="CR205" s="259">
        <v>0.1</v>
      </c>
      <c r="CS205" s="259">
        <v>0.1</v>
      </c>
      <c r="CT205" s="259">
        <v>0.1</v>
      </c>
      <c r="CU205" s="259">
        <v>0.1</v>
      </c>
      <c r="CV205" s="259">
        <v>0.1</v>
      </c>
      <c r="CW205" s="259">
        <v>0.1</v>
      </c>
      <c r="CX205" s="259">
        <v>0.1</v>
      </c>
      <c r="CY205" s="259">
        <v>0.1</v>
      </c>
      <c r="CZ205" s="259">
        <v>0.1</v>
      </c>
      <c r="DA205" s="259">
        <v>0.1</v>
      </c>
      <c r="DB205" s="259">
        <v>0.1</v>
      </c>
      <c r="DC205" s="259">
        <v>0.1</v>
      </c>
      <c r="DD205" s="259">
        <v>0.1</v>
      </c>
      <c r="DE205" s="259">
        <v>0.1</v>
      </c>
      <c r="DF205" s="260">
        <v>0.1</v>
      </c>
      <c r="DG205" s="258">
        <v>0.1</v>
      </c>
      <c r="DH205" s="259">
        <v>0.1</v>
      </c>
      <c r="DI205" s="259">
        <v>0.1</v>
      </c>
      <c r="DJ205" s="259">
        <v>0.1</v>
      </c>
      <c r="DK205" s="259">
        <v>0.1</v>
      </c>
      <c r="DL205" s="259">
        <v>0.1</v>
      </c>
      <c r="DM205" s="259">
        <v>0.1</v>
      </c>
      <c r="DN205" s="259">
        <v>0.1</v>
      </c>
      <c r="DO205" s="259">
        <v>0.1</v>
      </c>
      <c r="DP205" s="259">
        <v>0.1</v>
      </c>
      <c r="DQ205" s="259">
        <v>0.1</v>
      </c>
      <c r="DR205" s="259">
        <v>0.1</v>
      </c>
      <c r="DS205" s="259">
        <v>0.1</v>
      </c>
      <c r="DT205" s="259">
        <v>0.1</v>
      </c>
      <c r="DU205" s="259">
        <v>0.1</v>
      </c>
      <c r="DV205" s="259">
        <v>0.1</v>
      </c>
      <c r="DW205" s="259">
        <v>0.1</v>
      </c>
      <c r="DX205" s="259">
        <v>0.1</v>
      </c>
      <c r="DY205" s="259">
        <v>0.1</v>
      </c>
      <c r="DZ205" s="259">
        <v>0.1</v>
      </c>
      <c r="EA205" s="259">
        <v>0.1</v>
      </c>
      <c r="EB205" s="259">
        <v>0.1</v>
      </c>
      <c r="EC205" s="259">
        <v>0.1</v>
      </c>
      <c r="ED205" s="259">
        <v>0.1</v>
      </c>
      <c r="EE205" s="260">
        <v>0.1</v>
      </c>
      <c r="EF205">
        <v>0.1</v>
      </c>
      <c r="EG205">
        <f>SUM(EF205)</f>
        <v>0.1</v>
      </c>
      <c r="EJ205">
        <v>202</v>
      </c>
      <c r="EN205">
        <v>0.1</v>
      </c>
      <c r="EO205">
        <v>0.1</v>
      </c>
      <c r="EP205">
        <v>0.1</v>
      </c>
      <c r="EQ205">
        <v>0.1</v>
      </c>
      <c r="ER205">
        <v>0.1</v>
      </c>
      <c r="ES205">
        <v>0.1</v>
      </c>
      <c r="ET205">
        <v>0.1</v>
      </c>
      <c r="EU205">
        <v>0.1</v>
      </c>
      <c r="EV205">
        <v>0.1</v>
      </c>
      <c r="EW205">
        <v>0.1</v>
      </c>
      <c r="EX205">
        <v>0.1</v>
      </c>
      <c r="EY205">
        <v>0.1</v>
      </c>
      <c r="EZ205">
        <v>0.1</v>
      </c>
      <c r="FA205">
        <v>0.1</v>
      </c>
      <c r="FB205">
        <v>0.1</v>
      </c>
      <c r="FC205">
        <v>0.1</v>
      </c>
      <c r="FD205">
        <v>0.1</v>
      </c>
      <c r="FE205">
        <v>0.1</v>
      </c>
      <c r="FF205">
        <v>0.1</v>
      </c>
      <c r="FG205">
        <v>0.1</v>
      </c>
      <c r="FH205">
        <v>0.1</v>
      </c>
      <c r="FI205">
        <v>0.1</v>
      </c>
      <c r="FJ205">
        <v>0.1</v>
      </c>
      <c r="FK205">
        <v>0.1</v>
      </c>
      <c r="FL205">
        <v>0.1</v>
      </c>
      <c r="FM205">
        <v>0.1</v>
      </c>
      <c r="FN205">
        <v>0.1</v>
      </c>
      <c r="FO205">
        <v>0.1</v>
      </c>
      <c r="FP205">
        <v>0.1</v>
      </c>
      <c r="FQ205">
        <v>0.1</v>
      </c>
      <c r="FU205">
        <v>202</v>
      </c>
      <c r="GB205">
        <v>0.1</v>
      </c>
      <c r="GC205">
        <v>0.1</v>
      </c>
      <c r="GD205">
        <v>0.1</v>
      </c>
      <c r="GE205">
        <v>0.1</v>
      </c>
      <c r="GF205">
        <v>0.1</v>
      </c>
      <c r="GG205">
        <v>0.1</v>
      </c>
      <c r="GH205">
        <v>0.1</v>
      </c>
      <c r="GI205">
        <v>0.1</v>
      </c>
      <c r="GJ205">
        <v>0.1</v>
      </c>
      <c r="GK205">
        <v>0.1</v>
      </c>
      <c r="GL205">
        <v>0.1</v>
      </c>
      <c r="GM205">
        <v>0.1</v>
      </c>
      <c r="GN205">
        <v>0.1</v>
      </c>
      <c r="GO205">
        <v>0.1</v>
      </c>
      <c r="GP205">
        <v>0.1</v>
      </c>
      <c r="GQ205">
        <v>0.1</v>
      </c>
      <c r="GR205">
        <v>0.1</v>
      </c>
      <c r="GS205">
        <v>0.1</v>
      </c>
      <c r="GT205">
        <v>0.1</v>
      </c>
      <c r="GU205">
        <v>0.1</v>
      </c>
      <c r="GV205">
        <v>0.1</v>
      </c>
      <c r="GW205">
        <v>0.1</v>
      </c>
      <c r="GX205">
        <v>0.1</v>
      </c>
      <c r="GY205">
        <v>0.1</v>
      </c>
      <c r="GZ205">
        <v>0.1</v>
      </c>
      <c r="HA205">
        <v>0.1</v>
      </c>
      <c r="HB205">
        <v>0.1</v>
      </c>
      <c r="HC205">
        <v>0.1</v>
      </c>
      <c r="HD205">
        <v>0.1</v>
      </c>
      <c r="HE205">
        <v>0.1</v>
      </c>
      <c r="HF205">
        <v>0.1</v>
      </c>
      <c r="HG205">
        <v>0.1</v>
      </c>
      <c r="HH205">
        <v>0.1</v>
      </c>
      <c r="HI205">
        <v>0.1</v>
      </c>
      <c r="HJ205">
        <v>0.1</v>
      </c>
      <c r="HK205">
        <v>0.1</v>
      </c>
      <c r="HL205">
        <v>0.1</v>
      </c>
      <c r="HM205">
        <v>0.1</v>
      </c>
      <c r="HN205">
        <v>0.1</v>
      </c>
      <c r="HO205">
        <v>0.1</v>
      </c>
    </row>
    <row r="206" spans="1:223" ht="15.75" thickBot="1" x14ac:dyDescent="0.3">
      <c r="A206">
        <v>203</v>
      </c>
      <c r="C206" s="2"/>
      <c r="D206" s="2"/>
      <c r="E206" s="2"/>
      <c r="G206" s="2"/>
      <c r="H206">
        <v>0.1</v>
      </c>
      <c r="I206">
        <v>0.1</v>
      </c>
      <c r="J206">
        <v>0.1</v>
      </c>
      <c r="K206">
        <v>0.1</v>
      </c>
      <c r="L206">
        <v>0.1</v>
      </c>
      <c r="M206">
        <v>0.1</v>
      </c>
      <c r="N206">
        <v>0.1</v>
      </c>
      <c r="O206">
        <v>0.1</v>
      </c>
      <c r="P206">
        <v>0.1</v>
      </c>
      <c r="Q206">
        <v>0.1</v>
      </c>
      <c r="R206">
        <v>0.1</v>
      </c>
      <c r="S206">
        <v>0.1</v>
      </c>
      <c r="T206">
        <v>0.1</v>
      </c>
      <c r="U206">
        <v>0.1</v>
      </c>
      <c r="V206">
        <v>0.1</v>
      </c>
      <c r="W206">
        <v>0.1</v>
      </c>
      <c r="X206">
        <v>0.1</v>
      </c>
      <c r="Y206">
        <v>0.1</v>
      </c>
      <c r="Z206">
        <v>0.1</v>
      </c>
      <c r="AA206">
        <v>0.1</v>
      </c>
      <c r="AB206">
        <v>0.1</v>
      </c>
      <c r="AC206">
        <v>0.1</v>
      </c>
      <c r="AD206">
        <v>0.1</v>
      </c>
      <c r="AE206">
        <v>0.1</v>
      </c>
      <c r="AF206">
        <v>0.1</v>
      </c>
      <c r="AG206">
        <v>0.1</v>
      </c>
      <c r="AH206">
        <v>0.1</v>
      </c>
      <c r="AI206">
        <v>0.1</v>
      </c>
      <c r="AJ206">
        <v>0.1</v>
      </c>
      <c r="AK206">
        <v>0.1</v>
      </c>
      <c r="AL206">
        <v>0.1</v>
      </c>
      <c r="AM206">
        <v>0.1</v>
      </c>
      <c r="AN206">
        <v>0.1</v>
      </c>
      <c r="AO206">
        <v>0.1</v>
      </c>
      <c r="AP206">
        <v>0.1</v>
      </c>
      <c r="AQ206">
        <v>0.1</v>
      </c>
      <c r="AR206">
        <v>0.1</v>
      </c>
      <c r="AS206">
        <v>0.1</v>
      </c>
      <c r="AT206">
        <v>0.1</v>
      </c>
      <c r="AU206">
        <v>0.1</v>
      </c>
      <c r="AV206">
        <v>0.1</v>
      </c>
      <c r="AW206">
        <v>0.1</v>
      </c>
      <c r="AX206">
        <v>0.1</v>
      </c>
      <c r="AY206">
        <v>0.1</v>
      </c>
      <c r="AZ206">
        <v>0.1</v>
      </c>
      <c r="BA206">
        <v>0.1</v>
      </c>
      <c r="BB206">
        <v>0.1</v>
      </c>
      <c r="BC206">
        <v>0.1</v>
      </c>
      <c r="BD206">
        <v>0.1</v>
      </c>
      <c r="BE206">
        <v>0.1</v>
      </c>
      <c r="BF206">
        <v>0.1</v>
      </c>
      <c r="BG206">
        <v>0.1</v>
      </c>
      <c r="BH206">
        <v>0.1</v>
      </c>
      <c r="BI206">
        <v>0.1</v>
      </c>
      <c r="BJ206">
        <v>0.1</v>
      </c>
      <c r="BK206">
        <v>0.1</v>
      </c>
      <c r="BL206">
        <v>0.1</v>
      </c>
      <c r="BM206">
        <v>0.1</v>
      </c>
      <c r="BN206">
        <v>0.1</v>
      </c>
      <c r="BO206">
        <v>0.1</v>
      </c>
      <c r="BS206">
        <v>203</v>
      </c>
      <c r="BT206" s="271">
        <v>3.39</v>
      </c>
      <c r="BU206" s="270">
        <v>2.54</v>
      </c>
      <c r="BV206" s="2"/>
      <c r="BW206" s="2"/>
      <c r="BX206" s="2"/>
      <c r="BY206" s="258">
        <v>0.1</v>
      </c>
      <c r="BZ206" s="259">
        <v>0.1</v>
      </c>
      <c r="CA206" s="259">
        <v>0.1</v>
      </c>
      <c r="CB206" s="259">
        <v>0.1</v>
      </c>
      <c r="CC206" s="259">
        <v>0.1</v>
      </c>
      <c r="CD206" s="259">
        <v>0.1</v>
      </c>
      <c r="CE206" s="259">
        <v>0.1</v>
      </c>
      <c r="CF206" s="259">
        <v>0.1</v>
      </c>
      <c r="CG206" s="259">
        <v>0.1</v>
      </c>
      <c r="CH206" s="259">
        <v>0.1</v>
      </c>
      <c r="CI206" s="259">
        <v>0.1</v>
      </c>
      <c r="CJ206" s="259">
        <v>0.1</v>
      </c>
      <c r="CK206" s="259">
        <v>0.1</v>
      </c>
      <c r="CL206" s="259">
        <v>0.1</v>
      </c>
      <c r="CM206" s="259">
        <v>0.1</v>
      </c>
      <c r="CN206" s="259">
        <v>0.1</v>
      </c>
      <c r="CO206" s="259">
        <v>0.1</v>
      </c>
      <c r="CP206" s="259">
        <v>0.1</v>
      </c>
      <c r="CQ206" s="259">
        <v>0.1</v>
      </c>
      <c r="CR206" s="259">
        <v>0.1</v>
      </c>
      <c r="CS206" s="259">
        <v>0.1</v>
      </c>
      <c r="CT206" s="259">
        <v>0.1</v>
      </c>
      <c r="CU206" s="259">
        <v>0.1</v>
      </c>
      <c r="CV206" s="259">
        <v>0.1</v>
      </c>
      <c r="CW206" s="259">
        <v>0.1</v>
      </c>
      <c r="CX206" s="259">
        <v>0.1</v>
      </c>
      <c r="CY206" s="259">
        <v>0.1</v>
      </c>
      <c r="CZ206" s="259">
        <v>0.1</v>
      </c>
      <c r="DA206" s="259">
        <v>0.1</v>
      </c>
      <c r="DB206" s="259">
        <v>0.1</v>
      </c>
      <c r="DC206" s="259">
        <v>0.1</v>
      </c>
      <c r="DD206" s="259">
        <v>0.1</v>
      </c>
      <c r="DE206" s="259">
        <v>0.1</v>
      </c>
      <c r="DF206" s="260">
        <v>0.1</v>
      </c>
      <c r="DG206" s="258">
        <v>0.1</v>
      </c>
      <c r="DH206" s="259">
        <v>0.1</v>
      </c>
      <c r="DI206" s="259">
        <v>0.1</v>
      </c>
      <c r="DJ206" s="259">
        <v>0.1</v>
      </c>
      <c r="DK206" s="259">
        <v>0.1</v>
      </c>
      <c r="DL206" s="259">
        <v>0.1</v>
      </c>
      <c r="DM206" s="259">
        <v>0.1</v>
      </c>
      <c r="DN206" s="259">
        <v>0.1</v>
      </c>
      <c r="DO206" s="259">
        <v>0.1</v>
      </c>
      <c r="DP206" s="259">
        <v>0.1</v>
      </c>
      <c r="DQ206" s="259">
        <v>0.1</v>
      </c>
      <c r="DR206" s="259">
        <v>0.1</v>
      </c>
      <c r="DS206" s="259">
        <v>0.1</v>
      </c>
      <c r="DT206" s="259">
        <v>0.1</v>
      </c>
      <c r="DU206" s="259">
        <v>0.1</v>
      </c>
      <c r="DV206" s="259">
        <v>0.1</v>
      </c>
      <c r="DW206" s="259">
        <v>0.1</v>
      </c>
      <c r="DX206" s="259">
        <v>0.1</v>
      </c>
      <c r="DY206" s="259">
        <v>0.1</v>
      </c>
      <c r="DZ206" s="259">
        <v>0.1</v>
      </c>
      <c r="EA206" s="259">
        <v>0.1</v>
      </c>
      <c r="EB206" s="259">
        <v>0.1</v>
      </c>
      <c r="EC206" s="259">
        <v>0.1</v>
      </c>
      <c r="ED206" s="259">
        <v>0.1</v>
      </c>
      <c r="EE206" s="259">
        <v>0.1</v>
      </c>
      <c r="EF206" s="260">
        <v>0.1</v>
      </c>
      <c r="EJ206">
        <v>203</v>
      </c>
      <c r="EN206">
        <v>0.1</v>
      </c>
      <c r="EO206">
        <v>0.1</v>
      </c>
      <c r="EP206">
        <v>0.1</v>
      </c>
      <c r="EQ206">
        <v>0.1</v>
      </c>
      <c r="ER206">
        <v>0.1</v>
      </c>
      <c r="ES206">
        <v>0.1</v>
      </c>
      <c r="ET206">
        <v>0.1</v>
      </c>
      <c r="EU206">
        <v>0.1</v>
      </c>
      <c r="EV206">
        <v>0.1</v>
      </c>
      <c r="EW206">
        <v>0.1</v>
      </c>
      <c r="EX206">
        <v>0.1</v>
      </c>
      <c r="EY206">
        <v>0.1</v>
      </c>
      <c r="EZ206">
        <v>0.1</v>
      </c>
      <c r="FA206">
        <v>0.1</v>
      </c>
      <c r="FB206">
        <v>0.1</v>
      </c>
      <c r="FC206">
        <v>0.1</v>
      </c>
      <c r="FD206">
        <v>0.1</v>
      </c>
      <c r="FE206">
        <v>0.1</v>
      </c>
      <c r="FF206">
        <v>0.1</v>
      </c>
      <c r="FG206">
        <v>0.1</v>
      </c>
      <c r="FH206">
        <v>0.1</v>
      </c>
      <c r="FI206">
        <v>0.1</v>
      </c>
      <c r="FJ206">
        <v>0.1</v>
      </c>
      <c r="FK206">
        <v>0.1</v>
      </c>
      <c r="FL206">
        <v>0.1</v>
      </c>
      <c r="FM206">
        <v>0.1</v>
      </c>
      <c r="FN206">
        <v>0.1</v>
      </c>
      <c r="FO206">
        <v>0.1</v>
      </c>
      <c r="FP206">
        <v>0.1</v>
      </c>
      <c r="FQ206">
        <v>0.1</v>
      </c>
      <c r="FU206">
        <v>203</v>
      </c>
      <c r="GB206">
        <v>0.1</v>
      </c>
      <c r="GC206">
        <v>0.1</v>
      </c>
      <c r="GD206">
        <v>0.1</v>
      </c>
      <c r="GE206">
        <v>0.1</v>
      </c>
      <c r="GF206">
        <v>0.1</v>
      </c>
      <c r="GG206">
        <v>0.1</v>
      </c>
      <c r="GH206">
        <v>0.1</v>
      </c>
      <c r="GI206">
        <v>0.1</v>
      </c>
      <c r="GJ206">
        <v>0.1</v>
      </c>
      <c r="GK206">
        <v>0.1</v>
      </c>
      <c r="GL206">
        <v>0.1</v>
      </c>
      <c r="GM206">
        <v>0.1</v>
      </c>
      <c r="GN206">
        <v>0.1</v>
      </c>
      <c r="GO206">
        <v>0.1</v>
      </c>
      <c r="GP206">
        <v>0.1</v>
      </c>
      <c r="GQ206">
        <v>0.1</v>
      </c>
      <c r="GR206">
        <v>0.1</v>
      </c>
      <c r="GS206">
        <v>0.1</v>
      </c>
      <c r="GT206">
        <v>0.1</v>
      </c>
      <c r="GU206">
        <v>0.1</v>
      </c>
      <c r="GV206">
        <v>0.1</v>
      </c>
      <c r="GW206">
        <v>0.1</v>
      </c>
      <c r="GX206">
        <v>0.1</v>
      </c>
      <c r="GY206">
        <v>0.1</v>
      </c>
      <c r="GZ206">
        <v>0.1</v>
      </c>
      <c r="HA206">
        <v>0.1</v>
      </c>
      <c r="HB206">
        <v>0.1</v>
      </c>
      <c r="HC206">
        <v>0.1</v>
      </c>
      <c r="HD206">
        <v>0.1</v>
      </c>
      <c r="HE206">
        <v>0.1</v>
      </c>
      <c r="HF206">
        <v>0.1</v>
      </c>
      <c r="HG206">
        <v>0.1</v>
      </c>
      <c r="HH206">
        <v>0.1</v>
      </c>
      <c r="HI206">
        <v>0.1</v>
      </c>
      <c r="HJ206">
        <v>0.1</v>
      </c>
      <c r="HK206">
        <v>0.1</v>
      </c>
      <c r="HL206">
        <v>0.1</v>
      </c>
      <c r="HM206">
        <v>0.1</v>
      </c>
      <c r="HN206">
        <v>0.1</v>
      </c>
      <c r="HO206">
        <v>0.1</v>
      </c>
    </row>
    <row r="207" spans="1:223" ht="15.75" thickBot="1" x14ac:dyDescent="0.3">
      <c r="A207">
        <v>204</v>
      </c>
      <c r="C207" s="2"/>
      <c r="D207" s="2"/>
      <c r="E207" s="2"/>
      <c r="G207" s="2"/>
      <c r="H207">
        <v>0.1</v>
      </c>
      <c r="I207">
        <v>0.1</v>
      </c>
      <c r="J207">
        <v>0.1</v>
      </c>
      <c r="K207">
        <v>0.1</v>
      </c>
      <c r="L207">
        <v>0.1</v>
      </c>
      <c r="M207">
        <v>0.1</v>
      </c>
      <c r="N207">
        <v>0.1</v>
      </c>
      <c r="O207">
        <v>0.1</v>
      </c>
      <c r="P207">
        <v>0.1</v>
      </c>
      <c r="Q207">
        <v>0.1</v>
      </c>
      <c r="R207">
        <v>0.1</v>
      </c>
      <c r="S207">
        <v>0.1</v>
      </c>
      <c r="T207">
        <v>0.1</v>
      </c>
      <c r="U207">
        <v>0.1</v>
      </c>
      <c r="V207">
        <v>0.1</v>
      </c>
      <c r="W207">
        <v>0.1</v>
      </c>
      <c r="X207">
        <v>0.1</v>
      </c>
      <c r="Y207">
        <v>0.1</v>
      </c>
      <c r="Z207">
        <v>0.1</v>
      </c>
      <c r="AA207">
        <v>0.1</v>
      </c>
      <c r="AB207">
        <v>0.1</v>
      </c>
      <c r="AC207">
        <v>0.1</v>
      </c>
      <c r="AD207">
        <v>0.1</v>
      </c>
      <c r="AE207">
        <v>0.1</v>
      </c>
      <c r="AF207">
        <v>0.1</v>
      </c>
      <c r="AG207">
        <v>0.1</v>
      </c>
      <c r="AH207">
        <v>0.1</v>
      </c>
      <c r="AI207">
        <v>0.1</v>
      </c>
      <c r="AJ207">
        <v>0.1</v>
      </c>
      <c r="AK207">
        <v>0.1</v>
      </c>
      <c r="AL207">
        <v>0.1</v>
      </c>
      <c r="AM207">
        <v>0.1</v>
      </c>
      <c r="AN207">
        <v>0.1</v>
      </c>
      <c r="AO207">
        <v>0.1</v>
      </c>
      <c r="AP207">
        <v>0.1</v>
      </c>
      <c r="AQ207">
        <v>0.1</v>
      </c>
      <c r="AR207">
        <v>0.1</v>
      </c>
      <c r="AS207">
        <v>0.1</v>
      </c>
      <c r="AT207">
        <v>0.1</v>
      </c>
      <c r="AU207">
        <v>0.1</v>
      </c>
      <c r="AV207">
        <v>0.1</v>
      </c>
      <c r="AW207">
        <v>0.1</v>
      </c>
      <c r="AX207">
        <v>0.1</v>
      </c>
      <c r="AY207">
        <v>0.1</v>
      </c>
      <c r="AZ207">
        <v>0.1</v>
      </c>
      <c r="BA207">
        <v>0.1</v>
      </c>
      <c r="BB207">
        <v>0.1</v>
      </c>
      <c r="BC207">
        <v>0.1</v>
      </c>
      <c r="BD207">
        <v>0.1</v>
      </c>
      <c r="BE207">
        <v>0.1</v>
      </c>
      <c r="BF207">
        <v>0.1</v>
      </c>
      <c r="BG207">
        <v>0.1</v>
      </c>
      <c r="BH207">
        <v>0.1</v>
      </c>
      <c r="BI207">
        <v>0.1</v>
      </c>
      <c r="BJ207">
        <v>0.1</v>
      </c>
      <c r="BK207">
        <v>0.1</v>
      </c>
      <c r="BL207">
        <v>0.1</v>
      </c>
      <c r="BM207">
        <v>0.1</v>
      </c>
      <c r="BN207">
        <v>0.1</v>
      </c>
      <c r="BO207">
        <v>0.1</v>
      </c>
      <c r="BS207">
        <v>204</v>
      </c>
      <c r="BT207" s="270">
        <v>3.36</v>
      </c>
      <c r="BU207" s="271">
        <v>2.5499999999999998</v>
      </c>
      <c r="BV207" s="2"/>
      <c r="BW207" s="2"/>
      <c r="BX207" s="2"/>
      <c r="BY207" s="258">
        <v>0.1</v>
      </c>
      <c r="BZ207" s="259">
        <v>0.1</v>
      </c>
      <c r="CA207" s="259">
        <v>0.1</v>
      </c>
      <c r="CB207" s="259">
        <v>0.1</v>
      </c>
      <c r="CC207" s="259">
        <v>0.1</v>
      </c>
      <c r="CD207" s="259">
        <v>0.1</v>
      </c>
      <c r="CE207" s="259">
        <v>0.1</v>
      </c>
      <c r="CF207" s="259">
        <v>0.1</v>
      </c>
      <c r="CG207" s="259">
        <v>0.1</v>
      </c>
      <c r="CH207" s="259">
        <v>0.1</v>
      </c>
      <c r="CI207" s="259">
        <v>0.1</v>
      </c>
      <c r="CJ207" s="259">
        <v>0.1</v>
      </c>
      <c r="CK207" s="259">
        <v>0.1</v>
      </c>
      <c r="CL207" s="259">
        <v>0.1</v>
      </c>
      <c r="CM207" s="259">
        <v>0.1</v>
      </c>
      <c r="CN207" s="259">
        <v>0.1</v>
      </c>
      <c r="CO207" s="259">
        <v>0.1</v>
      </c>
      <c r="CP207" s="259">
        <v>0.1</v>
      </c>
      <c r="CQ207" s="259">
        <v>0.1</v>
      </c>
      <c r="CR207" s="259">
        <v>0.1</v>
      </c>
      <c r="CS207" s="259">
        <v>0.1</v>
      </c>
      <c r="CT207" s="259">
        <v>0.1</v>
      </c>
      <c r="CU207" s="259">
        <v>0.1</v>
      </c>
      <c r="CV207" s="259">
        <v>0.1</v>
      </c>
      <c r="CW207" s="259">
        <v>0.1</v>
      </c>
      <c r="CX207" s="259">
        <v>0.1</v>
      </c>
      <c r="CY207" s="259">
        <v>0.1</v>
      </c>
      <c r="CZ207" s="259">
        <v>0.1</v>
      </c>
      <c r="DA207" s="259">
        <v>0.1</v>
      </c>
      <c r="DB207" s="259">
        <v>0.1</v>
      </c>
      <c r="DC207" s="259">
        <v>0.1</v>
      </c>
      <c r="DD207" s="259">
        <v>0.1</v>
      </c>
      <c r="DE207" s="259">
        <v>0.1</v>
      </c>
      <c r="DF207" s="260">
        <v>0.1</v>
      </c>
      <c r="DG207" s="258">
        <v>0.1</v>
      </c>
      <c r="DH207" s="259">
        <v>0.1</v>
      </c>
      <c r="DI207" s="259">
        <v>0.1</v>
      </c>
      <c r="DJ207" s="259">
        <v>0.1</v>
      </c>
      <c r="DK207" s="259">
        <v>0.1</v>
      </c>
      <c r="DL207" s="259">
        <v>0.1</v>
      </c>
      <c r="DM207" s="259">
        <v>0.1</v>
      </c>
      <c r="DN207" s="259">
        <v>0.1</v>
      </c>
      <c r="DO207" s="259">
        <v>0.1</v>
      </c>
      <c r="DP207" s="259">
        <v>0.1</v>
      </c>
      <c r="DQ207" s="259">
        <v>0.1</v>
      </c>
      <c r="DR207" s="259">
        <v>0.1</v>
      </c>
      <c r="DS207" s="259">
        <v>0.1</v>
      </c>
      <c r="DT207" s="259">
        <v>0.1</v>
      </c>
      <c r="DU207" s="259">
        <v>0.1</v>
      </c>
      <c r="DV207" s="259">
        <v>0.1</v>
      </c>
      <c r="DW207" s="259">
        <v>0.1</v>
      </c>
      <c r="DX207" s="259">
        <v>0.1</v>
      </c>
      <c r="DY207" s="259">
        <v>0.1</v>
      </c>
      <c r="DZ207" s="259">
        <v>0.1</v>
      </c>
      <c r="EA207" s="259">
        <v>0.1</v>
      </c>
      <c r="EB207" s="259">
        <v>0.1</v>
      </c>
      <c r="EC207" s="259">
        <v>0.1</v>
      </c>
      <c r="ED207" s="259">
        <v>0.1</v>
      </c>
      <c r="EE207" s="259">
        <v>0.1</v>
      </c>
      <c r="EF207" s="260">
        <v>0.1</v>
      </c>
      <c r="EJ207">
        <v>204</v>
      </c>
      <c r="EN207">
        <v>0.1</v>
      </c>
      <c r="EO207">
        <v>0.1</v>
      </c>
      <c r="EP207">
        <v>0.1</v>
      </c>
      <c r="EQ207">
        <v>0.1</v>
      </c>
      <c r="ER207">
        <v>0.1</v>
      </c>
      <c r="ES207">
        <v>0.1</v>
      </c>
      <c r="ET207">
        <v>0.1</v>
      </c>
      <c r="EU207">
        <v>0.1</v>
      </c>
      <c r="EV207">
        <v>0.1</v>
      </c>
      <c r="EW207">
        <v>0.1</v>
      </c>
      <c r="EX207">
        <v>0.1</v>
      </c>
      <c r="EY207">
        <v>0.1</v>
      </c>
      <c r="EZ207">
        <v>0.1</v>
      </c>
      <c r="FA207">
        <v>0.1</v>
      </c>
      <c r="FB207">
        <v>0.1</v>
      </c>
      <c r="FC207">
        <v>0.1</v>
      </c>
      <c r="FD207">
        <v>0.1</v>
      </c>
      <c r="FE207">
        <v>0.1</v>
      </c>
      <c r="FF207">
        <v>0.1</v>
      </c>
      <c r="FG207">
        <v>0.1</v>
      </c>
      <c r="FH207">
        <v>0.1</v>
      </c>
      <c r="FI207">
        <v>0.1</v>
      </c>
      <c r="FJ207">
        <v>0.1</v>
      </c>
      <c r="FK207">
        <v>0.1</v>
      </c>
      <c r="FL207">
        <v>0.1</v>
      </c>
      <c r="FM207">
        <v>0.1</v>
      </c>
      <c r="FN207">
        <v>0.1</v>
      </c>
      <c r="FO207">
        <v>0.1</v>
      </c>
      <c r="FP207">
        <v>0.1</v>
      </c>
      <c r="FQ207">
        <v>0.1</v>
      </c>
      <c r="FU207">
        <v>204</v>
      </c>
      <c r="GB207">
        <v>0.1</v>
      </c>
      <c r="GC207">
        <v>0.1</v>
      </c>
      <c r="GD207">
        <v>0.1</v>
      </c>
      <c r="GE207">
        <v>0.1</v>
      </c>
      <c r="GF207">
        <v>0.1</v>
      </c>
      <c r="GG207">
        <v>0.1</v>
      </c>
      <c r="GH207">
        <v>0.1</v>
      </c>
      <c r="GI207">
        <v>0.1</v>
      </c>
      <c r="GJ207">
        <v>0.1</v>
      </c>
      <c r="GK207">
        <v>0.1</v>
      </c>
      <c r="GL207">
        <v>0.1</v>
      </c>
      <c r="GM207">
        <v>0.1</v>
      </c>
      <c r="GN207">
        <v>0.1</v>
      </c>
      <c r="GO207">
        <v>0.1</v>
      </c>
      <c r="GP207">
        <v>0.1</v>
      </c>
      <c r="GQ207">
        <v>0.1</v>
      </c>
      <c r="GR207">
        <v>0.1</v>
      </c>
      <c r="GS207">
        <v>0.1</v>
      </c>
      <c r="GT207">
        <v>0.1</v>
      </c>
      <c r="GU207">
        <v>0.1</v>
      </c>
      <c r="GV207">
        <v>0.1</v>
      </c>
      <c r="GW207">
        <v>0.1</v>
      </c>
      <c r="GX207">
        <v>0.1</v>
      </c>
      <c r="GY207">
        <v>0.1</v>
      </c>
      <c r="GZ207">
        <v>0.1</v>
      </c>
      <c r="HA207">
        <v>0.1</v>
      </c>
      <c r="HB207">
        <v>0.1</v>
      </c>
      <c r="HC207">
        <v>0.1</v>
      </c>
      <c r="HD207">
        <v>0.1</v>
      </c>
      <c r="HE207">
        <v>0.1</v>
      </c>
      <c r="HF207">
        <v>0.1</v>
      </c>
      <c r="HG207">
        <v>0.1</v>
      </c>
      <c r="HH207">
        <v>0.1</v>
      </c>
      <c r="HI207">
        <v>0.1</v>
      </c>
      <c r="HJ207">
        <v>0.1</v>
      </c>
      <c r="HK207">
        <v>0.1</v>
      </c>
      <c r="HL207">
        <v>0.1</v>
      </c>
      <c r="HM207">
        <v>0.1</v>
      </c>
      <c r="HN207">
        <v>0.1</v>
      </c>
      <c r="HO207">
        <v>0.1</v>
      </c>
    </row>
    <row r="208" spans="1:223" ht="15.75" thickBot="1" x14ac:dyDescent="0.3">
      <c r="A208">
        <v>205</v>
      </c>
      <c r="C208" s="2"/>
      <c r="D208" s="2"/>
      <c r="E208" s="2"/>
      <c r="G208" s="2"/>
      <c r="H208">
        <v>0.1</v>
      </c>
      <c r="I208">
        <v>0.1</v>
      </c>
      <c r="J208">
        <v>0.1</v>
      </c>
      <c r="K208">
        <v>0.1</v>
      </c>
      <c r="L208">
        <v>0.1</v>
      </c>
      <c r="M208">
        <v>0.1</v>
      </c>
      <c r="N208">
        <v>0.1</v>
      </c>
      <c r="O208">
        <v>0.1</v>
      </c>
      <c r="P208">
        <v>0.1</v>
      </c>
      <c r="Q208">
        <v>0.1</v>
      </c>
      <c r="R208">
        <v>0.1</v>
      </c>
      <c r="S208">
        <v>0.1</v>
      </c>
      <c r="T208">
        <v>0.1</v>
      </c>
      <c r="U208">
        <v>0.1</v>
      </c>
      <c r="V208">
        <v>0.1</v>
      </c>
      <c r="W208">
        <v>0.1</v>
      </c>
      <c r="X208">
        <v>0.1</v>
      </c>
      <c r="Y208">
        <v>0.1</v>
      </c>
      <c r="Z208">
        <v>0.1</v>
      </c>
      <c r="AA208">
        <v>0.1</v>
      </c>
      <c r="AB208">
        <v>0.1</v>
      </c>
      <c r="AC208">
        <v>0.1</v>
      </c>
      <c r="AD208">
        <v>0.1</v>
      </c>
      <c r="AE208">
        <v>0.1</v>
      </c>
      <c r="AF208">
        <v>0.1</v>
      </c>
      <c r="AG208">
        <v>0.1</v>
      </c>
      <c r="AH208">
        <v>0.1</v>
      </c>
      <c r="AI208">
        <v>0.1</v>
      </c>
      <c r="AJ208">
        <v>0.1</v>
      </c>
      <c r="AK208">
        <v>0.1</v>
      </c>
      <c r="AL208">
        <v>0.1</v>
      </c>
      <c r="AM208">
        <v>0.1</v>
      </c>
      <c r="AN208">
        <v>0.1</v>
      </c>
      <c r="AO208">
        <v>0.1</v>
      </c>
      <c r="AP208">
        <v>0.1</v>
      </c>
      <c r="AQ208">
        <v>0.1</v>
      </c>
      <c r="AR208">
        <v>0.1</v>
      </c>
      <c r="AS208">
        <v>0.1</v>
      </c>
      <c r="AT208">
        <v>0.1</v>
      </c>
      <c r="AU208">
        <v>0.1</v>
      </c>
      <c r="AV208">
        <v>0.1</v>
      </c>
      <c r="AW208">
        <v>0.1</v>
      </c>
      <c r="AX208">
        <v>0.1</v>
      </c>
      <c r="AY208">
        <v>0.1</v>
      </c>
      <c r="AZ208">
        <v>0.1</v>
      </c>
      <c r="BA208">
        <v>0.1</v>
      </c>
      <c r="BB208">
        <v>0.1</v>
      </c>
      <c r="BC208">
        <v>0.1</v>
      </c>
      <c r="BD208">
        <v>0.1</v>
      </c>
      <c r="BE208">
        <v>0.1</v>
      </c>
      <c r="BF208">
        <v>0.1</v>
      </c>
      <c r="BG208">
        <v>0.1</v>
      </c>
      <c r="BH208">
        <v>0.1</v>
      </c>
      <c r="BI208">
        <v>0.1</v>
      </c>
      <c r="BJ208">
        <v>0.1</v>
      </c>
      <c r="BK208">
        <v>0.1</v>
      </c>
      <c r="BL208">
        <v>0.1</v>
      </c>
      <c r="BM208">
        <v>0.1</v>
      </c>
      <c r="BN208">
        <v>0.1</v>
      </c>
      <c r="BO208">
        <v>0.1</v>
      </c>
      <c r="BS208">
        <v>205</v>
      </c>
      <c r="BT208" s="271">
        <v>3.34</v>
      </c>
      <c r="BU208" s="270">
        <v>2.5499999999999998</v>
      </c>
      <c r="BV208" s="2"/>
      <c r="BW208" s="2"/>
      <c r="BX208" s="2"/>
      <c r="BY208" s="258">
        <v>0.1</v>
      </c>
      <c r="BZ208" s="259">
        <v>0.1</v>
      </c>
      <c r="CA208" s="259">
        <v>0.1</v>
      </c>
      <c r="CB208" s="259">
        <v>0.1</v>
      </c>
      <c r="CC208" s="259">
        <v>0.1</v>
      </c>
      <c r="CD208" s="259">
        <v>0.1</v>
      </c>
      <c r="CE208" s="259">
        <v>0.1</v>
      </c>
      <c r="CF208" s="259">
        <v>0.1</v>
      </c>
      <c r="CG208" s="259">
        <v>0.1</v>
      </c>
      <c r="CH208" s="259">
        <v>0.1</v>
      </c>
      <c r="CI208" s="259">
        <v>0.1</v>
      </c>
      <c r="CJ208" s="259">
        <v>0.1</v>
      </c>
      <c r="CK208" s="259">
        <v>0.1</v>
      </c>
      <c r="CL208" s="259">
        <v>0.1</v>
      </c>
      <c r="CM208" s="259">
        <v>0.1</v>
      </c>
      <c r="CN208" s="259">
        <v>0.1</v>
      </c>
      <c r="CO208" s="259">
        <v>0.1</v>
      </c>
      <c r="CP208" s="259">
        <v>0.1</v>
      </c>
      <c r="CQ208" s="259">
        <v>0.1</v>
      </c>
      <c r="CR208" s="259">
        <v>0.1</v>
      </c>
      <c r="CS208" s="259">
        <v>0.1</v>
      </c>
      <c r="CT208" s="259">
        <v>0.1</v>
      </c>
      <c r="CU208" s="259">
        <v>0.1</v>
      </c>
      <c r="CV208" s="259">
        <v>0.1</v>
      </c>
      <c r="CW208" s="259">
        <v>0.1</v>
      </c>
      <c r="CX208" s="259">
        <v>0.1</v>
      </c>
      <c r="CY208" s="259">
        <v>0.1</v>
      </c>
      <c r="CZ208" s="259">
        <v>0.1</v>
      </c>
      <c r="DA208" s="259">
        <v>0.1</v>
      </c>
      <c r="DB208" s="259">
        <v>0.1</v>
      </c>
      <c r="DC208" s="259">
        <v>0.1</v>
      </c>
      <c r="DD208" s="259">
        <v>0.1</v>
      </c>
      <c r="DE208" s="259">
        <v>0.1</v>
      </c>
      <c r="DF208" s="260">
        <v>0.1</v>
      </c>
      <c r="DG208" s="258">
        <v>0.1</v>
      </c>
      <c r="DH208" s="259">
        <v>0.1</v>
      </c>
      <c r="DI208" s="259">
        <v>0.1</v>
      </c>
      <c r="DJ208" s="259">
        <v>0.1</v>
      </c>
      <c r="DK208" s="259">
        <v>0.1</v>
      </c>
      <c r="DL208" s="259">
        <v>0.1</v>
      </c>
      <c r="DM208" s="259">
        <v>0.1</v>
      </c>
      <c r="DN208" s="259">
        <v>0.1</v>
      </c>
      <c r="DO208" s="259">
        <v>0.1</v>
      </c>
      <c r="DP208" s="259">
        <v>0.1</v>
      </c>
      <c r="DQ208" s="259">
        <v>0.1</v>
      </c>
      <c r="DR208" s="259">
        <v>0.1</v>
      </c>
      <c r="DS208" s="259">
        <v>0.1</v>
      </c>
      <c r="DT208" s="259">
        <v>0.1</v>
      </c>
      <c r="DU208" s="259">
        <v>0.1</v>
      </c>
      <c r="DV208" s="259">
        <v>0.1</v>
      </c>
      <c r="DW208" s="259">
        <v>0.1</v>
      </c>
      <c r="DX208" s="259">
        <v>0.1</v>
      </c>
      <c r="DY208" s="259">
        <v>0.1</v>
      </c>
      <c r="DZ208" s="259">
        <v>0.1</v>
      </c>
      <c r="EA208" s="259">
        <v>0.1</v>
      </c>
      <c r="EB208" s="259">
        <v>0.1</v>
      </c>
      <c r="EC208" s="259">
        <v>0.1</v>
      </c>
      <c r="ED208" s="259">
        <v>0.1</v>
      </c>
      <c r="EE208" s="259">
        <v>0.1</v>
      </c>
      <c r="EF208" s="260">
        <v>0.1</v>
      </c>
      <c r="EJ208">
        <v>205</v>
      </c>
      <c r="EN208">
        <v>0.1</v>
      </c>
      <c r="EO208">
        <v>0.1</v>
      </c>
      <c r="EP208">
        <v>0.1</v>
      </c>
      <c r="EQ208">
        <v>0.1</v>
      </c>
      <c r="ER208">
        <v>0.1</v>
      </c>
      <c r="ES208">
        <v>0.1</v>
      </c>
      <c r="ET208">
        <v>0.1</v>
      </c>
      <c r="EU208">
        <v>0.1</v>
      </c>
      <c r="EV208">
        <v>0.1</v>
      </c>
      <c r="EW208">
        <v>0.1</v>
      </c>
      <c r="EX208">
        <v>0.1</v>
      </c>
      <c r="EY208">
        <v>0.1</v>
      </c>
      <c r="EZ208">
        <v>0.1</v>
      </c>
      <c r="FA208">
        <v>0.1</v>
      </c>
      <c r="FB208">
        <v>0.1</v>
      </c>
      <c r="FC208">
        <v>0.1</v>
      </c>
      <c r="FD208">
        <v>0.1</v>
      </c>
      <c r="FE208">
        <v>0.1</v>
      </c>
      <c r="FF208">
        <v>0.1</v>
      </c>
      <c r="FG208">
        <v>0.1</v>
      </c>
      <c r="FH208">
        <v>0.1</v>
      </c>
      <c r="FI208">
        <v>0.1</v>
      </c>
      <c r="FJ208">
        <v>0.1</v>
      </c>
      <c r="FK208">
        <v>0.1</v>
      </c>
      <c r="FL208">
        <v>0.1</v>
      </c>
      <c r="FM208">
        <v>0.1</v>
      </c>
      <c r="FN208">
        <v>0.1</v>
      </c>
      <c r="FO208">
        <v>0.1</v>
      </c>
      <c r="FP208">
        <v>0.1</v>
      </c>
      <c r="FQ208">
        <v>0.1</v>
      </c>
      <c r="FU208">
        <v>205</v>
      </c>
      <c r="GB208">
        <v>0.1</v>
      </c>
      <c r="GC208">
        <v>0.1</v>
      </c>
      <c r="GD208">
        <v>0.1</v>
      </c>
      <c r="GE208">
        <v>0.1</v>
      </c>
      <c r="GF208">
        <v>0.1</v>
      </c>
      <c r="GG208">
        <v>0.1</v>
      </c>
      <c r="GH208">
        <v>0.1</v>
      </c>
      <c r="GI208">
        <v>0.1</v>
      </c>
      <c r="GJ208">
        <v>0.1</v>
      </c>
      <c r="GK208">
        <v>0.1</v>
      </c>
      <c r="GL208">
        <v>0.1</v>
      </c>
      <c r="GM208">
        <v>0.1</v>
      </c>
      <c r="GN208">
        <v>0.1</v>
      </c>
      <c r="GO208">
        <v>0.1</v>
      </c>
      <c r="GP208">
        <v>0.1</v>
      </c>
      <c r="GQ208">
        <v>0.1</v>
      </c>
      <c r="GR208">
        <v>0.1</v>
      </c>
      <c r="GS208">
        <v>0.1</v>
      </c>
      <c r="GT208">
        <v>0.1</v>
      </c>
      <c r="GU208">
        <v>0.1</v>
      </c>
      <c r="GV208">
        <v>0.1</v>
      </c>
      <c r="GW208">
        <v>0.1</v>
      </c>
      <c r="GX208">
        <v>0.1</v>
      </c>
      <c r="GY208">
        <v>0.1</v>
      </c>
      <c r="GZ208">
        <v>0.1</v>
      </c>
      <c r="HA208">
        <v>0.1</v>
      </c>
      <c r="HB208">
        <v>0.1</v>
      </c>
      <c r="HC208">
        <v>0.1</v>
      </c>
      <c r="HD208">
        <v>0.1</v>
      </c>
      <c r="HE208">
        <v>0.1</v>
      </c>
      <c r="HF208">
        <v>0.1</v>
      </c>
      <c r="HG208">
        <v>0.1</v>
      </c>
      <c r="HH208">
        <v>0.1</v>
      </c>
      <c r="HI208">
        <v>0.1</v>
      </c>
      <c r="HJ208">
        <v>0.1</v>
      </c>
      <c r="HK208">
        <v>0.1</v>
      </c>
      <c r="HL208">
        <v>0.1</v>
      </c>
      <c r="HM208">
        <v>0.1</v>
      </c>
      <c r="HN208">
        <v>0.1</v>
      </c>
      <c r="HO208">
        <v>0.1</v>
      </c>
    </row>
    <row r="209" spans="1:223" ht="15.75" thickBot="1" x14ac:dyDescent="0.3">
      <c r="A209">
        <v>206</v>
      </c>
      <c r="C209" s="2"/>
      <c r="D209" s="2"/>
      <c r="E209" s="2"/>
      <c r="G209" s="2"/>
      <c r="H209">
        <v>0.1</v>
      </c>
      <c r="I209">
        <v>0.1</v>
      </c>
      <c r="J209">
        <v>0.1</v>
      </c>
      <c r="K209">
        <v>0.1</v>
      </c>
      <c r="L209">
        <v>0.1</v>
      </c>
      <c r="M209">
        <v>0.1</v>
      </c>
      <c r="N209">
        <v>0.1</v>
      </c>
      <c r="O209">
        <v>0.1</v>
      </c>
      <c r="P209">
        <v>0.1</v>
      </c>
      <c r="Q209">
        <v>0.1</v>
      </c>
      <c r="R209">
        <v>0.1</v>
      </c>
      <c r="S209">
        <v>0.1</v>
      </c>
      <c r="T209">
        <v>0.1</v>
      </c>
      <c r="U209">
        <v>0.1</v>
      </c>
      <c r="V209">
        <v>0.1</v>
      </c>
      <c r="W209">
        <v>0.1</v>
      </c>
      <c r="X209">
        <v>0.1</v>
      </c>
      <c r="Y209">
        <v>0.1</v>
      </c>
      <c r="Z209">
        <v>0.1</v>
      </c>
      <c r="AA209">
        <v>0.1</v>
      </c>
      <c r="AB209">
        <v>0.1</v>
      </c>
      <c r="AC209">
        <v>0.1</v>
      </c>
      <c r="AD209">
        <v>0.1</v>
      </c>
      <c r="AE209">
        <v>0.1</v>
      </c>
      <c r="AF209">
        <v>0.1</v>
      </c>
      <c r="AG209">
        <v>0.1</v>
      </c>
      <c r="AH209">
        <v>0.1</v>
      </c>
      <c r="AI209">
        <v>0.1</v>
      </c>
      <c r="AJ209">
        <v>0.1</v>
      </c>
      <c r="AK209">
        <v>0.1</v>
      </c>
      <c r="AL209">
        <v>0.1</v>
      </c>
      <c r="AM209">
        <v>0.1</v>
      </c>
      <c r="AN209">
        <v>0.1</v>
      </c>
      <c r="AO209">
        <v>0.1</v>
      </c>
      <c r="AP209">
        <v>0.1</v>
      </c>
      <c r="AQ209">
        <v>0.1</v>
      </c>
      <c r="AR209">
        <v>0.1</v>
      </c>
      <c r="AS209">
        <v>0.1</v>
      </c>
      <c r="AT209">
        <v>0.1</v>
      </c>
      <c r="AU209">
        <v>0.1</v>
      </c>
      <c r="AV209">
        <v>0.1</v>
      </c>
      <c r="AW209">
        <v>0.1</v>
      </c>
      <c r="AX209">
        <v>0.1</v>
      </c>
      <c r="AY209">
        <v>0.1</v>
      </c>
      <c r="AZ209">
        <v>0.1</v>
      </c>
      <c r="BA209">
        <v>0.1</v>
      </c>
      <c r="BB209">
        <v>0.1</v>
      </c>
      <c r="BC209">
        <v>0.1</v>
      </c>
      <c r="BD209">
        <v>0.1</v>
      </c>
      <c r="BE209">
        <v>0.1</v>
      </c>
      <c r="BF209">
        <v>0.1</v>
      </c>
      <c r="BG209">
        <v>0.1</v>
      </c>
      <c r="BH209">
        <v>0.1</v>
      </c>
      <c r="BI209">
        <v>0.1</v>
      </c>
      <c r="BJ209">
        <v>0.1</v>
      </c>
      <c r="BK209">
        <v>0.1</v>
      </c>
      <c r="BL209">
        <v>0.1</v>
      </c>
      <c r="BM209">
        <v>0.1</v>
      </c>
      <c r="BN209">
        <v>0.1</v>
      </c>
      <c r="BO209">
        <v>0.1</v>
      </c>
      <c r="BS209">
        <v>206</v>
      </c>
      <c r="BT209" s="270">
        <v>3.34</v>
      </c>
      <c r="BU209" s="271">
        <v>2.56</v>
      </c>
      <c r="BV209" s="2"/>
      <c r="BW209" s="2"/>
      <c r="BX209" s="2"/>
      <c r="BY209" s="258">
        <v>0.1</v>
      </c>
      <c r="BZ209" s="259">
        <v>0.1</v>
      </c>
      <c r="CA209" s="259">
        <v>0.1</v>
      </c>
      <c r="CB209" s="259">
        <v>0.1</v>
      </c>
      <c r="CC209" s="259">
        <v>0.1</v>
      </c>
      <c r="CD209" s="259">
        <v>0.1</v>
      </c>
      <c r="CE209" s="259">
        <v>0.1</v>
      </c>
      <c r="CF209" s="259">
        <v>0.1</v>
      </c>
      <c r="CG209" s="259">
        <v>0.1</v>
      </c>
      <c r="CH209" s="259">
        <v>0.1</v>
      </c>
      <c r="CI209" s="259">
        <v>0.1</v>
      </c>
      <c r="CJ209" s="259">
        <v>0.1</v>
      </c>
      <c r="CK209" s="259">
        <v>0.1</v>
      </c>
      <c r="CL209" s="259">
        <v>0.1</v>
      </c>
      <c r="CM209" s="259">
        <v>0.1</v>
      </c>
      <c r="CN209" s="259">
        <v>0.1</v>
      </c>
      <c r="CO209" s="259">
        <v>0.1</v>
      </c>
      <c r="CP209" s="259">
        <v>0.1</v>
      </c>
      <c r="CQ209" s="259">
        <v>0.1</v>
      </c>
      <c r="CR209" s="259">
        <v>0.1</v>
      </c>
      <c r="CS209" s="259">
        <v>0.1</v>
      </c>
      <c r="CT209" s="259">
        <v>0.1</v>
      </c>
      <c r="CU209" s="259">
        <v>0.1</v>
      </c>
      <c r="CV209" s="259">
        <v>0.1</v>
      </c>
      <c r="CW209" s="259">
        <v>0.1</v>
      </c>
      <c r="CX209" s="259">
        <v>0.1</v>
      </c>
      <c r="CY209" s="259">
        <v>0.1</v>
      </c>
      <c r="CZ209" s="259">
        <v>0.1</v>
      </c>
      <c r="DA209" s="259">
        <v>0.1</v>
      </c>
      <c r="DB209" s="259">
        <v>0.1</v>
      </c>
      <c r="DC209" s="259">
        <v>0.1</v>
      </c>
      <c r="DD209" s="259">
        <v>0.1</v>
      </c>
      <c r="DE209" s="259">
        <v>0.1</v>
      </c>
      <c r="DF209" s="260">
        <v>0.1</v>
      </c>
      <c r="DG209" s="258">
        <v>0.1</v>
      </c>
      <c r="DH209" s="259">
        <v>0.1</v>
      </c>
      <c r="DI209" s="259">
        <v>0.1</v>
      </c>
      <c r="DJ209" s="259">
        <v>0.1</v>
      </c>
      <c r="DK209" s="259">
        <v>0.1</v>
      </c>
      <c r="DL209" s="259">
        <v>0.1</v>
      </c>
      <c r="DM209" s="259">
        <v>0.1</v>
      </c>
      <c r="DN209" s="259">
        <v>0.1</v>
      </c>
      <c r="DO209" s="259">
        <v>0.1</v>
      </c>
      <c r="DP209" s="259">
        <v>0.1</v>
      </c>
      <c r="DQ209" s="259">
        <v>0.1</v>
      </c>
      <c r="DR209" s="259">
        <v>0.1</v>
      </c>
      <c r="DS209" s="259">
        <v>0.1</v>
      </c>
      <c r="DT209" s="259">
        <v>0.1</v>
      </c>
      <c r="DU209" s="259">
        <v>0.1</v>
      </c>
      <c r="DV209" s="259">
        <v>0.1</v>
      </c>
      <c r="DW209" s="259">
        <v>0.1</v>
      </c>
      <c r="DX209" s="259">
        <v>0.1</v>
      </c>
      <c r="DY209" s="259">
        <v>0.1</v>
      </c>
      <c r="DZ209" s="259">
        <v>0.1</v>
      </c>
      <c r="EA209" s="259">
        <v>0.1</v>
      </c>
      <c r="EB209" s="259">
        <v>0.1</v>
      </c>
      <c r="EC209" s="259">
        <v>0.1</v>
      </c>
      <c r="ED209" s="259">
        <v>0.1</v>
      </c>
      <c r="EE209" s="259">
        <v>0.1</v>
      </c>
      <c r="EF209" s="260">
        <v>0.1</v>
      </c>
      <c r="EJ209">
        <v>206</v>
      </c>
      <c r="EN209">
        <v>0.1</v>
      </c>
      <c r="EO209">
        <v>0.1</v>
      </c>
      <c r="EP209">
        <v>0.1</v>
      </c>
      <c r="EQ209">
        <v>0.1</v>
      </c>
      <c r="ER209">
        <v>0.1</v>
      </c>
      <c r="ES209">
        <v>0.1</v>
      </c>
      <c r="ET209">
        <v>0.1</v>
      </c>
      <c r="EU209">
        <v>0.1</v>
      </c>
      <c r="EV209">
        <v>0.1</v>
      </c>
      <c r="EW209">
        <v>0.1</v>
      </c>
      <c r="EX209">
        <v>0.1</v>
      </c>
      <c r="EY209">
        <v>0.1</v>
      </c>
      <c r="EZ209">
        <v>0.1</v>
      </c>
      <c r="FA209">
        <v>0.1</v>
      </c>
      <c r="FB209">
        <v>0.1</v>
      </c>
      <c r="FC209">
        <v>0.1</v>
      </c>
      <c r="FD209">
        <v>0.1</v>
      </c>
      <c r="FE209">
        <v>0.1</v>
      </c>
      <c r="FF209">
        <v>0.1</v>
      </c>
      <c r="FG209">
        <v>0.1</v>
      </c>
      <c r="FH209">
        <v>0.1</v>
      </c>
      <c r="FI209">
        <v>0.1</v>
      </c>
      <c r="FJ209">
        <v>0.1</v>
      </c>
      <c r="FK209">
        <v>0.1</v>
      </c>
      <c r="FL209">
        <v>0.1</v>
      </c>
      <c r="FM209">
        <v>0.1</v>
      </c>
      <c r="FN209">
        <v>0.1</v>
      </c>
      <c r="FO209">
        <v>0.1</v>
      </c>
      <c r="FP209">
        <v>0.1</v>
      </c>
      <c r="FQ209">
        <v>0.1</v>
      </c>
      <c r="FU209">
        <v>206</v>
      </c>
      <c r="GB209">
        <v>0.1</v>
      </c>
      <c r="GC209">
        <v>0.1</v>
      </c>
      <c r="GD209">
        <v>0.1</v>
      </c>
      <c r="GE209">
        <v>0.1</v>
      </c>
      <c r="GF209">
        <v>0.1</v>
      </c>
      <c r="GG209">
        <v>0.1</v>
      </c>
      <c r="GH209">
        <v>0.1</v>
      </c>
      <c r="GI209">
        <v>0.1</v>
      </c>
      <c r="GJ209">
        <v>0.1</v>
      </c>
      <c r="GK209">
        <v>0.1</v>
      </c>
      <c r="GL209">
        <v>0.1</v>
      </c>
      <c r="GM209">
        <v>0.1</v>
      </c>
      <c r="GN209">
        <v>0.1</v>
      </c>
      <c r="GO209">
        <v>0.1</v>
      </c>
      <c r="GP209">
        <v>0.1</v>
      </c>
      <c r="GQ209">
        <v>0.1</v>
      </c>
      <c r="GR209">
        <v>0.1</v>
      </c>
      <c r="GS209">
        <v>0.1</v>
      </c>
      <c r="GT209">
        <v>0.1</v>
      </c>
      <c r="GU209">
        <v>0.1</v>
      </c>
      <c r="GV209">
        <v>0.1</v>
      </c>
      <c r="GW209">
        <v>0.1</v>
      </c>
      <c r="GX209">
        <v>0.1</v>
      </c>
      <c r="GY209">
        <v>0.1</v>
      </c>
      <c r="GZ209">
        <v>0.1</v>
      </c>
      <c r="HA209">
        <v>0.1</v>
      </c>
      <c r="HB209">
        <v>0.1</v>
      </c>
      <c r="HC209">
        <v>0.1</v>
      </c>
      <c r="HD209">
        <v>0.1</v>
      </c>
      <c r="HE209">
        <v>0.1</v>
      </c>
      <c r="HF209">
        <v>0.1</v>
      </c>
      <c r="HG209">
        <v>0.1</v>
      </c>
      <c r="HH209">
        <v>0.1</v>
      </c>
      <c r="HI209">
        <v>0.1</v>
      </c>
      <c r="HJ209">
        <v>0.1</v>
      </c>
      <c r="HK209">
        <v>0.1</v>
      </c>
      <c r="HL209">
        <v>0.1</v>
      </c>
      <c r="HM209">
        <v>0.1</v>
      </c>
      <c r="HN209">
        <v>0.1</v>
      </c>
      <c r="HO209">
        <v>0.1</v>
      </c>
    </row>
    <row r="210" spans="1:223" ht="15.75" thickBot="1" x14ac:dyDescent="0.3">
      <c r="A210">
        <v>207</v>
      </c>
      <c r="C210" s="2"/>
      <c r="D210" s="2"/>
      <c r="E210" s="2"/>
      <c r="G210" s="2"/>
      <c r="H210">
        <v>0.1</v>
      </c>
      <c r="I210">
        <v>0.1</v>
      </c>
      <c r="J210">
        <v>0.1</v>
      </c>
      <c r="K210">
        <v>0.1</v>
      </c>
      <c r="L210">
        <v>0.1</v>
      </c>
      <c r="M210">
        <v>0.1</v>
      </c>
      <c r="N210">
        <v>0.1</v>
      </c>
      <c r="O210">
        <v>0.1</v>
      </c>
      <c r="P210">
        <v>0.1</v>
      </c>
      <c r="Q210">
        <v>0.1</v>
      </c>
      <c r="R210">
        <v>0.1</v>
      </c>
      <c r="S210">
        <v>0.1</v>
      </c>
      <c r="T210">
        <v>0.1</v>
      </c>
      <c r="U210">
        <v>0.1</v>
      </c>
      <c r="V210">
        <v>0.1</v>
      </c>
      <c r="W210">
        <v>0.1</v>
      </c>
      <c r="X210">
        <v>0.1</v>
      </c>
      <c r="Y210">
        <v>0.1</v>
      </c>
      <c r="Z210">
        <v>0.1</v>
      </c>
      <c r="AA210">
        <v>0.1</v>
      </c>
      <c r="AB210">
        <v>0.1</v>
      </c>
      <c r="AC210">
        <v>0.1</v>
      </c>
      <c r="AD210">
        <v>0.1</v>
      </c>
      <c r="AE210">
        <v>0.1</v>
      </c>
      <c r="AF210">
        <v>0.1</v>
      </c>
      <c r="AG210">
        <v>0.1</v>
      </c>
      <c r="AH210">
        <v>0.1</v>
      </c>
      <c r="AI210">
        <v>0.1</v>
      </c>
      <c r="AJ210">
        <v>0.1</v>
      </c>
      <c r="AK210">
        <v>0.1</v>
      </c>
      <c r="AL210">
        <v>0.1</v>
      </c>
      <c r="AM210">
        <v>0.1</v>
      </c>
      <c r="AN210">
        <v>0.1</v>
      </c>
      <c r="AO210">
        <v>0.1</v>
      </c>
      <c r="AP210">
        <v>0.1</v>
      </c>
      <c r="AQ210">
        <v>0.1</v>
      </c>
      <c r="AR210">
        <v>0.1</v>
      </c>
      <c r="AS210">
        <v>0.1</v>
      </c>
      <c r="AT210">
        <v>0.1</v>
      </c>
      <c r="AU210">
        <v>0.1</v>
      </c>
      <c r="AV210">
        <v>0.1</v>
      </c>
      <c r="AW210">
        <v>0.1</v>
      </c>
      <c r="AX210">
        <v>0.1</v>
      </c>
      <c r="AY210">
        <v>0.1</v>
      </c>
      <c r="AZ210">
        <v>0.1</v>
      </c>
      <c r="BA210">
        <v>0.1</v>
      </c>
      <c r="BB210">
        <v>0.1</v>
      </c>
      <c r="BC210">
        <v>0.1</v>
      </c>
      <c r="BD210">
        <v>0.1</v>
      </c>
      <c r="BE210">
        <v>0.1</v>
      </c>
      <c r="BF210">
        <v>0.1</v>
      </c>
      <c r="BG210">
        <v>0.1</v>
      </c>
      <c r="BH210">
        <v>0.1</v>
      </c>
      <c r="BI210">
        <v>0.1</v>
      </c>
      <c r="BJ210">
        <v>0.1</v>
      </c>
      <c r="BK210">
        <v>0.1</v>
      </c>
      <c r="BL210">
        <v>0.1</v>
      </c>
      <c r="BM210">
        <v>0.1</v>
      </c>
      <c r="BN210">
        <v>0.1</v>
      </c>
      <c r="BO210">
        <v>0.1</v>
      </c>
      <c r="BS210">
        <v>207</v>
      </c>
      <c r="BT210" s="271">
        <v>3.34</v>
      </c>
      <c r="BU210" s="270">
        <v>2.57</v>
      </c>
      <c r="BV210" s="2"/>
      <c r="BW210" s="2"/>
      <c r="BX210" s="2"/>
      <c r="BY210" s="258">
        <v>0.1</v>
      </c>
      <c r="BZ210" s="259">
        <v>0.1</v>
      </c>
      <c r="CA210" s="259">
        <v>0.1</v>
      </c>
      <c r="CB210" s="259">
        <v>0.1</v>
      </c>
      <c r="CC210" s="259">
        <v>0.1</v>
      </c>
      <c r="CD210" s="259">
        <v>0.1</v>
      </c>
      <c r="CE210" s="259">
        <v>0.1</v>
      </c>
      <c r="CF210" s="259">
        <v>0.1</v>
      </c>
      <c r="CG210" s="259">
        <v>0.1</v>
      </c>
      <c r="CH210" s="259">
        <v>0.1</v>
      </c>
      <c r="CI210" s="259">
        <v>0.1</v>
      </c>
      <c r="CJ210" s="259">
        <v>0.1</v>
      </c>
      <c r="CK210" s="259">
        <v>0.1</v>
      </c>
      <c r="CL210" s="259">
        <v>0.1</v>
      </c>
      <c r="CM210" s="259">
        <v>0.1</v>
      </c>
      <c r="CN210" s="259">
        <v>0.1</v>
      </c>
      <c r="CO210" s="259">
        <v>0.1</v>
      </c>
      <c r="CP210" s="259">
        <v>0.1</v>
      </c>
      <c r="CQ210" s="259">
        <v>0.1</v>
      </c>
      <c r="CR210" s="259">
        <v>0.1</v>
      </c>
      <c r="CS210" s="259">
        <v>0.1</v>
      </c>
      <c r="CT210" s="259">
        <v>0.1</v>
      </c>
      <c r="CU210" s="259">
        <v>0.1</v>
      </c>
      <c r="CV210" s="259">
        <v>0.1</v>
      </c>
      <c r="CW210" s="259">
        <v>0.1</v>
      </c>
      <c r="CX210" s="259">
        <v>0.1</v>
      </c>
      <c r="CY210" s="259">
        <v>0.1</v>
      </c>
      <c r="CZ210" s="259">
        <v>0.1</v>
      </c>
      <c r="DA210" s="259">
        <v>0.1</v>
      </c>
      <c r="DB210" s="259">
        <v>0.1</v>
      </c>
      <c r="DC210" s="259">
        <v>0.1</v>
      </c>
      <c r="DD210" s="259">
        <v>0.1</v>
      </c>
      <c r="DE210" s="259">
        <v>0.1</v>
      </c>
      <c r="DF210" s="260">
        <v>0.1</v>
      </c>
      <c r="DG210" s="258">
        <v>0.1</v>
      </c>
      <c r="DH210" s="259">
        <v>0.1</v>
      </c>
      <c r="DI210" s="259">
        <v>0.1</v>
      </c>
      <c r="DJ210" s="259">
        <v>0.1</v>
      </c>
      <c r="DK210" s="259">
        <v>0.1</v>
      </c>
      <c r="DL210" s="259">
        <v>0.1</v>
      </c>
      <c r="DM210" s="259">
        <v>0.1</v>
      </c>
      <c r="DN210" s="259">
        <v>0.1</v>
      </c>
      <c r="DO210" s="259">
        <v>0.1</v>
      </c>
      <c r="DP210" s="259">
        <v>0.1</v>
      </c>
      <c r="DQ210" s="259">
        <v>0.1</v>
      </c>
      <c r="DR210" s="259">
        <v>0.1</v>
      </c>
      <c r="DS210" s="259">
        <v>0.1</v>
      </c>
      <c r="DT210" s="259">
        <v>0.1</v>
      </c>
      <c r="DU210" s="259">
        <v>0.1</v>
      </c>
      <c r="DV210" s="259">
        <v>0.1</v>
      </c>
      <c r="DW210" s="259">
        <v>0.1</v>
      </c>
      <c r="DX210" s="259">
        <v>0.1</v>
      </c>
      <c r="DY210" s="259">
        <v>0.1</v>
      </c>
      <c r="DZ210" s="259">
        <v>0.1</v>
      </c>
      <c r="EA210" s="259">
        <v>0.1</v>
      </c>
      <c r="EB210" s="259">
        <v>0.1</v>
      </c>
      <c r="EC210" s="259">
        <v>0.1</v>
      </c>
      <c r="ED210" s="259">
        <v>0.1</v>
      </c>
      <c r="EE210" s="259">
        <v>0.1</v>
      </c>
      <c r="EF210" s="260">
        <v>0.1</v>
      </c>
      <c r="EJ210">
        <v>207</v>
      </c>
      <c r="EN210">
        <v>0.1</v>
      </c>
      <c r="EO210">
        <v>0.1</v>
      </c>
      <c r="EP210">
        <v>0.1</v>
      </c>
      <c r="EQ210">
        <v>0.1</v>
      </c>
      <c r="ER210">
        <v>0.1</v>
      </c>
      <c r="ES210">
        <v>0.1</v>
      </c>
      <c r="ET210">
        <v>0.1</v>
      </c>
      <c r="EU210">
        <v>0.1</v>
      </c>
      <c r="EV210">
        <v>0.1</v>
      </c>
      <c r="EW210">
        <v>0.1</v>
      </c>
      <c r="EX210">
        <v>0.1</v>
      </c>
      <c r="EY210">
        <v>0.1</v>
      </c>
      <c r="EZ210">
        <v>0.1</v>
      </c>
      <c r="FA210">
        <v>0.1</v>
      </c>
      <c r="FB210">
        <v>0.1</v>
      </c>
      <c r="FC210">
        <v>0.1</v>
      </c>
      <c r="FD210">
        <v>0.1</v>
      </c>
      <c r="FE210">
        <v>0.1</v>
      </c>
      <c r="FF210">
        <v>0.1</v>
      </c>
      <c r="FG210">
        <v>0.1</v>
      </c>
      <c r="FH210">
        <v>0.1</v>
      </c>
      <c r="FI210">
        <v>0.1</v>
      </c>
      <c r="FJ210">
        <v>0.1</v>
      </c>
      <c r="FK210">
        <v>0.1</v>
      </c>
      <c r="FL210">
        <v>0.1</v>
      </c>
      <c r="FM210">
        <v>0.1</v>
      </c>
      <c r="FN210">
        <v>0.1</v>
      </c>
      <c r="FO210">
        <v>0.1</v>
      </c>
      <c r="FP210">
        <v>0.1</v>
      </c>
      <c r="FQ210">
        <v>0.1</v>
      </c>
      <c r="FU210">
        <v>207</v>
      </c>
      <c r="GB210">
        <v>0.1</v>
      </c>
      <c r="GC210">
        <v>0.1</v>
      </c>
      <c r="GD210">
        <v>0.1</v>
      </c>
      <c r="GE210">
        <v>0.1</v>
      </c>
      <c r="GF210">
        <v>0.1</v>
      </c>
      <c r="GG210">
        <v>0.1</v>
      </c>
      <c r="GH210">
        <v>0.1</v>
      </c>
      <c r="GI210">
        <v>0.1</v>
      </c>
      <c r="GJ210">
        <v>0.1</v>
      </c>
      <c r="GK210">
        <v>0.1</v>
      </c>
      <c r="GL210">
        <v>0.1</v>
      </c>
      <c r="GM210">
        <v>0.1</v>
      </c>
      <c r="GN210">
        <v>0.1</v>
      </c>
      <c r="GO210">
        <v>0.1</v>
      </c>
      <c r="GP210">
        <v>0.1</v>
      </c>
      <c r="GQ210">
        <v>0.1</v>
      </c>
      <c r="GR210">
        <v>0.1</v>
      </c>
      <c r="GS210">
        <v>0.1</v>
      </c>
      <c r="GT210">
        <v>0.1</v>
      </c>
      <c r="GU210">
        <v>0.1</v>
      </c>
      <c r="GV210">
        <v>0.1</v>
      </c>
      <c r="GW210">
        <v>0.1</v>
      </c>
      <c r="GX210">
        <v>0.1</v>
      </c>
      <c r="GY210">
        <v>0.1</v>
      </c>
      <c r="GZ210">
        <v>0.1</v>
      </c>
      <c r="HA210">
        <v>0.1</v>
      </c>
      <c r="HB210">
        <v>0.1</v>
      </c>
      <c r="HC210">
        <v>0.1</v>
      </c>
      <c r="HD210">
        <v>0.1</v>
      </c>
      <c r="HE210">
        <v>0.1</v>
      </c>
      <c r="HF210">
        <v>0.1</v>
      </c>
      <c r="HG210">
        <v>0.1</v>
      </c>
      <c r="HH210">
        <v>0.1</v>
      </c>
      <c r="HI210">
        <v>0.1</v>
      </c>
      <c r="HJ210">
        <v>0.1</v>
      </c>
      <c r="HK210">
        <v>0.1</v>
      </c>
      <c r="HL210">
        <v>0.1</v>
      </c>
      <c r="HM210">
        <v>0.1</v>
      </c>
      <c r="HN210">
        <v>0.1</v>
      </c>
      <c r="HO210">
        <v>0.1</v>
      </c>
    </row>
    <row r="211" spans="1:223" ht="15.75" thickBot="1" x14ac:dyDescent="0.3">
      <c r="A211">
        <v>208</v>
      </c>
      <c r="C211" s="2"/>
      <c r="D211" s="2"/>
      <c r="E211" s="2"/>
      <c r="G211" s="2"/>
      <c r="H211">
        <v>0.1</v>
      </c>
      <c r="I211">
        <v>0.1</v>
      </c>
      <c r="J211">
        <v>0.1</v>
      </c>
      <c r="K211">
        <v>0.1</v>
      </c>
      <c r="L211">
        <v>0.1</v>
      </c>
      <c r="M211">
        <v>0.1</v>
      </c>
      <c r="N211">
        <v>0.1</v>
      </c>
      <c r="O211">
        <v>0.1</v>
      </c>
      <c r="P211">
        <v>0.1</v>
      </c>
      <c r="Q211">
        <v>0.1</v>
      </c>
      <c r="R211">
        <v>0.1</v>
      </c>
      <c r="S211">
        <v>0.1</v>
      </c>
      <c r="T211">
        <v>0.1</v>
      </c>
      <c r="U211">
        <v>0.1</v>
      </c>
      <c r="V211">
        <v>0.1</v>
      </c>
      <c r="W211">
        <v>0.1</v>
      </c>
      <c r="X211">
        <v>0.1</v>
      </c>
      <c r="Y211">
        <v>0.1</v>
      </c>
      <c r="Z211">
        <v>0.1</v>
      </c>
      <c r="AA211">
        <v>0.1</v>
      </c>
      <c r="AB211">
        <v>0.1</v>
      </c>
      <c r="AC211">
        <v>0.1</v>
      </c>
      <c r="AD211">
        <v>0.1</v>
      </c>
      <c r="AE211">
        <v>0.1</v>
      </c>
      <c r="AF211">
        <v>0.1</v>
      </c>
      <c r="AG211">
        <v>0.1</v>
      </c>
      <c r="AH211">
        <v>0.1</v>
      </c>
      <c r="AI211">
        <v>0.1</v>
      </c>
      <c r="AJ211">
        <v>0.1</v>
      </c>
      <c r="AK211">
        <v>0.1</v>
      </c>
      <c r="AL211">
        <v>0.1</v>
      </c>
      <c r="AM211">
        <v>0.1</v>
      </c>
      <c r="AN211">
        <v>0.1</v>
      </c>
      <c r="AO211">
        <v>0.1</v>
      </c>
      <c r="AP211">
        <v>0.1</v>
      </c>
      <c r="AQ211">
        <v>0.1</v>
      </c>
      <c r="AR211">
        <v>0.1</v>
      </c>
      <c r="AS211">
        <v>0.1</v>
      </c>
      <c r="AT211">
        <v>0.1</v>
      </c>
      <c r="AU211">
        <v>0.1</v>
      </c>
      <c r="AV211">
        <v>0.1</v>
      </c>
      <c r="AW211">
        <v>0.1</v>
      </c>
      <c r="AX211">
        <v>0.1</v>
      </c>
      <c r="AY211">
        <v>0.1</v>
      </c>
      <c r="AZ211">
        <v>0.1</v>
      </c>
      <c r="BA211">
        <v>0.1</v>
      </c>
      <c r="BB211">
        <v>0.1</v>
      </c>
      <c r="BC211">
        <v>0.1</v>
      </c>
      <c r="BD211">
        <v>0.1</v>
      </c>
      <c r="BE211">
        <v>0.1</v>
      </c>
      <c r="BF211">
        <v>0.1</v>
      </c>
      <c r="BG211">
        <v>0.1</v>
      </c>
      <c r="BH211">
        <v>0.1</v>
      </c>
      <c r="BI211">
        <v>0.1</v>
      </c>
      <c r="BJ211">
        <v>0.1</v>
      </c>
      <c r="BK211">
        <v>0.1</v>
      </c>
      <c r="BL211">
        <v>0.1</v>
      </c>
      <c r="BM211">
        <v>0.1</v>
      </c>
      <c r="BN211">
        <v>0.1</v>
      </c>
      <c r="BO211">
        <v>0.1</v>
      </c>
      <c r="BS211">
        <v>208</v>
      </c>
      <c r="BT211" s="270">
        <v>3.32</v>
      </c>
      <c r="BU211" s="271">
        <v>2.57</v>
      </c>
      <c r="BV211" s="2"/>
      <c r="BW211" s="2"/>
      <c r="BX211" s="2"/>
      <c r="BY211" s="258">
        <v>0.1</v>
      </c>
      <c r="BZ211" s="259">
        <v>0.1</v>
      </c>
      <c r="CA211" s="259">
        <v>0.1</v>
      </c>
      <c r="CB211" s="259">
        <v>0.1</v>
      </c>
      <c r="CC211" s="259">
        <v>0.1</v>
      </c>
      <c r="CD211" s="259">
        <v>0.1</v>
      </c>
      <c r="CE211" s="259">
        <v>0.1</v>
      </c>
      <c r="CF211" s="259">
        <v>0.1</v>
      </c>
      <c r="CG211" s="259">
        <v>0.1</v>
      </c>
      <c r="CH211" s="259">
        <v>0.1</v>
      </c>
      <c r="CI211" s="259">
        <v>0.1</v>
      </c>
      <c r="CJ211" s="259">
        <v>0.1</v>
      </c>
      <c r="CK211" s="259">
        <v>0.1</v>
      </c>
      <c r="CL211" s="259">
        <v>0.1</v>
      </c>
      <c r="CM211" s="259">
        <v>0.1</v>
      </c>
      <c r="CN211" s="259">
        <v>0.1</v>
      </c>
      <c r="CO211" s="259">
        <v>0.1</v>
      </c>
      <c r="CP211" s="259">
        <v>0.1</v>
      </c>
      <c r="CQ211" s="259">
        <v>0.1</v>
      </c>
      <c r="CR211" s="259">
        <v>0.1</v>
      </c>
      <c r="CS211" s="259">
        <v>0.1</v>
      </c>
      <c r="CT211" s="259">
        <v>0.1</v>
      </c>
      <c r="CU211" s="259">
        <v>0.1</v>
      </c>
      <c r="CV211" s="259">
        <v>0.1</v>
      </c>
      <c r="CW211" s="259">
        <v>0.1</v>
      </c>
      <c r="CX211" s="259">
        <v>0.1</v>
      </c>
      <c r="CY211" s="259">
        <v>0.1</v>
      </c>
      <c r="CZ211" s="259">
        <v>0.1</v>
      </c>
      <c r="DA211" s="259">
        <v>0.1</v>
      </c>
      <c r="DB211" s="259">
        <v>0.1</v>
      </c>
      <c r="DC211" s="259">
        <v>0.1</v>
      </c>
      <c r="DD211" s="259">
        <v>0.1</v>
      </c>
      <c r="DE211" s="259">
        <v>0.1</v>
      </c>
      <c r="DF211" s="260">
        <v>0.1</v>
      </c>
      <c r="DG211" s="258">
        <v>0.1</v>
      </c>
      <c r="DH211" s="259">
        <v>0.1</v>
      </c>
      <c r="DI211" s="259">
        <v>0.1</v>
      </c>
      <c r="DJ211" s="259">
        <v>0.1</v>
      </c>
      <c r="DK211" s="259">
        <v>0.1</v>
      </c>
      <c r="DL211" s="259">
        <v>0.1</v>
      </c>
      <c r="DM211" s="259">
        <v>0.1</v>
      </c>
      <c r="DN211" s="259">
        <v>0.1</v>
      </c>
      <c r="DO211" s="259">
        <v>0.1</v>
      </c>
      <c r="DP211" s="259">
        <v>0.1</v>
      </c>
      <c r="DQ211" s="259">
        <v>0.1</v>
      </c>
      <c r="DR211" s="259">
        <v>0.1</v>
      </c>
      <c r="DS211" s="259">
        <v>0.1</v>
      </c>
      <c r="DT211" s="259">
        <v>0.1</v>
      </c>
      <c r="DU211" s="259">
        <v>0.1</v>
      </c>
      <c r="DV211" s="259">
        <v>0.1</v>
      </c>
      <c r="DW211" s="259">
        <v>0.1</v>
      </c>
      <c r="DX211" s="259">
        <v>0.1</v>
      </c>
      <c r="DY211" s="259">
        <v>0.1</v>
      </c>
      <c r="DZ211" s="259">
        <v>0.1</v>
      </c>
      <c r="EA211" s="259">
        <v>0.1</v>
      </c>
      <c r="EB211" s="259">
        <v>0.1</v>
      </c>
      <c r="EC211" s="259">
        <v>0.1</v>
      </c>
      <c r="ED211" s="259">
        <v>0.1</v>
      </c>
      <c r="EE211" s="259">
        <v>0.1</v>
      </c>
      <c r="EF211" s="260">
        <v>0.1</v>
      </c>
      <c r="EJ211">
        <v>208</v>
      </c>
      <c r="EN211">
        <v>0.1</v>
      </c>
      <c r="EO211">
        <v>0.1</v>
      </c>
      <c r="EP211">
        <v>0.1</v>
      </c>
      <c r="EQ211">
        <v>0.1</v>
      </c>
      <c r="ER211">
        <v>0.1</v>
      </c>
      <c r="ES211">
        <v>0.1</v>
      </c>
      <c r="ET211">
        <v>0.1</v>
      </c>
      <c r="EU211">
        <v>0.1</v>
      </c>
      <c r="EV211">
        <v>0.1</v>
      </c>
      <c r="EW211">
        <v>0.1</v>
      </c>
      <c r="EX211">
        <v>0.1</v>
      </c>
      <c r="EY211">
        <v>0.1</v>
      </c>
      <c r="EZ211">
        <v>0.1</v>
      </c>
      <c r="FA211">
        <v>0.1</v>
      </c>
      <c r="FB211">
        <v>0.1</v>
      </c>
      <c r="FC211">
        <v>0.1</v>
      </c>
      <c r="FD211">
        <v>0.1</v>
      </c>
      <c r="FE211">
        <v>0.1</v>
      </c>
      <c r="FF211">
        <v>0.1</v>
      </c>
      <c r="FG211">
        <v>0.1</v>
      </c>
      <c r="FH211">
        <v>0.1</v>
      </c>
      <c r="FI211">
        <v>0.1</v>
      </c>
      <c r="FJ211">
        <v>0.1</v>
      </c>
      <c r="FK211">
        <v>0.1</v>
      </c>
      <c r="FL211">
        <v>0.1</v>
      </c>
      <c r="FM211">
        <v>0.1</v>
      </c>
      <c r="FN211">
        <v>0.1</v>
      </c>
      <c r="FO211">
        <v>0.1</v>
      </c>
      <c r="FP211">
        <v>0.1</v>
      </c>
      <c r="FQ211">
        <v>0.1</v>
      </c>
      <c r="FU211">
        <v>208</v>
      </c>
      <c r="GB211">
        <v>0.1</v>
      </c>
      <c r="GC211">
        <v>0.1</v>
      </c>
      <c r="GD211">
        <v>0.1</v>
      </c>
      <c r="GE211">
        <v>0.1</v>
      </c>
      <c r="GF211">
        <v>0.1</v>
      </c>
      <c r="GG211">
        <v>0.1</v>
      </c>
      <c r="GH211">
        <v>0.1</v>
      </c>
      <c r="GI211">
        <v>0.1</v>
      </c>
      <c r="GJ211">
        <v>0.1</v>
      </c>
      <c r="GK211">
        <v>0.1</v>
      </c>
      <c r="GL211">
        <v>0.1</v>
      </c>
      <c r="GM211">
        <v>0.1</v>
      </c>
      <c r="GN211">
        <v>0.1</v>
      </c>
      <c r="GO211">
        <v>0.1</v>
      </c>
      <c r="GP211">
        <v>0.1</v>
      </c>
      <c r="GQ211">
        <v>0.1</v>
      </c>
      <c r="GR211">
        <v>0.1</v>
      </c>
      <c r="GS211">
        <v>0.1</v>
      </c>
      <c r="GT211">
        <v>0.1</v>
      </c>
      <c r="GU211">
        <v>0.1</v>
      </c>
      <c r="GV211">
        <v>0.1</v>
      </c>
      <c r="GW211">
        <v>0.1</v>
      </c>
      <c r="GX211">
        <v>0.1</v>
      </c>
      <c r="GY211">
        <v>0.1</v>
      </c>
      <c r="GZ211">
        <v>0.1</v>
      </c>
      <c r="HA211">
        <v>0.1</v>
      </c>
      <c r="HB211">
        <v>0.1</v>
      </c>
      <c r="HC211">
        <v>0.1</v>
      </c>
      <c r="HD211">
        <v>0.1</v>
      </c>
      <c r="HE211">
        <v>0.1</v>
      </c>
      <c r="HF211">
        <v>0.1</v>
      </c>
      <c r="HG211">
        <v>0.1</v>
      </c>
      <c r="HH211">
        <v>0.1</v>
      </c>
      <c r="HI211">
        <v>0.1</v>
      </c>
      <c r="HJ211">
        <v>0.1</v>
      </c>
      <c r="HK211">
        <v>0.1</v>
      </c>
      <c r="HL211">
        <v>0.1</v>
      </c>
      <c r="HM211">
        <v>0.1</v>
      </c>
      <c r="HN211">
        <v>0.1</v>
      </c>
      <c r="HO211">
        <v>0.1</v>
      </c>
    </row>
    <row r="212" spans="1:223" ht="15.75" thickBot="1" x14ac:dyDescent="0.3">
      <c r="A212">
        <v>209</v>
      </c>
      <c r="C212" s="2"/>
      <c r="D212" s="2"/>
      <c r="E212" s="2"/>
      <c r="G212" s="2"/>
      <c r="H212">
        <v>0.1</v>
      </c>
      <c r="I212">
        <v>0.1</v>
      </c>
      <c r="J212">
        <v>0.1</v>
      </c>
      <c r="K212">
        <v>0.1</v>
      </c>
      <c r="L212">
        <v>0.1</v>
      </c>
      <c r="M212">
        <v>0.1</v>
      </c>
      <c r="N212">
        <v>0.1</v>
      </c>
      <c r="O212">
        <v>0.1</v>
      </c>
      <c r="P212">
        <v>0.1</v>
      </c>
      <c r="Q212">
        <v>0.1</v>
      </c>
      <c r="R212">
        <v>0.1</v>
      </c>
      <c r="S212">
        <v>0.1</v>
      </c>
      <c r="T212">
        <v>0.1</v>
      </c>
      <c r="U212">
        <v>0.1</v>
      </c>
      <c r="V212">
        <v>0.1</v>
      </c>
      <c r="W212">
        <v>0.1</v>
      </c>
      <c r="X212">
        <v>0.1</v>
      </c>
      <c r="Y212">
        <v>0.1</v>
      </c>
      <c r="Z212">
        <v>0.1</v>
      </c>
      <c r="AA212">
        <v>0.1</v>
      </c>
      <c r="AB212">
        <v>0.1</v>
      </c>
      <c r="AC212">
        <v>0.1</v>
      </c>
      <c r="AD212">
        <v>0.1</v>
      </c>
      <c r="AE212">
        <v>0.1</v>
      </c>
      <c r="AF212">
        <v>0.1</v>
      </c>
      <c r="AG212">
        <v>0.1</v>
      </c>
      <c r="AH212">
        <v>0.1</v>
      </c>
      <c r="AI212">
        <v>0.1</v>
      </c>
      <c r="AJ212">
        <v>0.1</v>
      </c>
      <c r="AK212">
        <v>0.1</v>
      </c>
      <c r="AL212">
        <v>0.1</v>
      </c>
      <c r="AM212">
        <v>0.1</v>
      </c>
      <c r="AN212">
        <v>0.1</v>
      </c>
      <c r="AO212">
        <v>0.1</v>
      </c>
      <c r="AP212">
        <v>0.1</v>
      </c>
      <c r="AQ212">
        <v>0.1</v>
      </c>
      <c r="AR212">
        <v>0.1</v>
      </c>
      <c r="AS212">
        <v>0.1</v>
      </c>
      <c r="AT212">
        <v>0.1</v>
      </c>
      <c r="AU212">
        <v>0.1</v>
      </c>
      <c r="AV212">
        <v>0.1</v>
      </c>
      <c r="AW212">
        <v>0.1</v>
      </c>
      <c r="AX212">
        <v>0.1</v>
      </c>
      <c r="AY212">
        <v>0.1</v>
      </c>
      <c r="AZ212">
        <v>0.1</v>
      </c>
      <c r="BA212">
        <v>0.1</v>
      </c>
      <c r="BB212">
        <v>0.1</v>
      </c>
      <c r="BC212">
        <v>0.1</v>
      </c>
      <c r="BD212">
        <v>0.1</v>
      </c>
      <c r="BE212">
        <v>0.1</v>
      </c>
      <c r="BF212">
        <v>0.1</v>
      </c>
      <c r="BG212">
        <v>0.1</v>
      </c>
      <c r="BH212">
        <v>0.1</v>
      </c>
      <c r="BI212">
        <v>0.1</v>
      </c>
      <c r="BJ212">
        <v>0.1</v>
      </c>
      <c r="BK212">
        <v>0.1</v>
      </c>
      <c r="BL212">
        <v>0.1</v>
      </c>
      <c r="BM212">
        <v>0.1</v>
      </c>
      <c r="BN212">
        <v>0.1</v>
      </c>
      <c r="BO212">
        <v>0.1</v>
      </c>
      <c r="BS212">
        <v>209</v>
      </c>
      <c r="BT212" s="271">
        <v>3.32</v>
      </c>
      <c r="BU212" s="270">
        <v>2.59</v>
      </c>
      <c r="BV212" s="2"/>
      <c r="BW212" s="2"/>
      <c r="BX212" s="2"/>
      <c r="BY212" s="258">
        <v>0.1</v>
      </c>
      <c r="BZ212" s="259">
        <v>0.1</v>
      </c>
      <c r="CA212" s="259">
        <v>0.1</v>
      </c>
      <c r="CB212" s="259">
        <v>0.1</v>
      </c>
      <c r="CC212" s="259">
        <v>0.1</v>
      </c>
      <c r="CD212" s="259">
        <v>0.1</v>
      </c>
      <c r="CE212" s="259">
        <v>0.1</v>
      </c>
      <c r="CF212" s="259">
        <v>0.1</v>
      </c>
      <c r="CG212" s="259">
        <v>0.1</v>
      </c>
      <c r="CH212" s="259">
        <v>0.1</v>
      </c>
      <c r="CI212" s="259">
        <v>0.1</v>
      </c>
      <c r="CJ212" s="259">
        <v>0.1</v>
      </c>
      <c r="CK212" s="259">
        <v>0.1</v>
      </c>
      <c r="CL212" s="259">
        <v>0.1</v>
      </c>
      <c r="CM212" s="259">
        <v>0.1</v>
      </c>
      <c r="CN212" s="259">
        <v>0.1</v>
      </c>
      <c r="CO212" s="259">
        <v>0.1</v>
      </c>
      <c r="CP212" s="259">
        <v>0.1</v>
      </c>
      <c r="CQ212" s="259">
        <v>0.1</v>
      </c>
      <c r="CR212" s="259">
        <v>0.1</v>
      </c>
      <c r="CS212" s="259">
        <v>0.1</v>
      </c>
      <c r="CT212" s="259">
        <v>0.1</v>
      </c>
      <c r="CU212" s="259">
        <v>0.1</v>
      </c>
      <c r="CV212" s="259">
        <v>0.1</v>
      </c>
      <c r="CW212" s="259">
        <v>0.1</v>
      </c>
      <c r="CX212" s="259">
        <v>0.1</v>
      </c>
      <c r="CY212" s="259">
        <v>0.1</v>
      </c>
      <c r="CZ212" s="259">
        <v>0.1</v>
      </c>
      <c r="DA212" s="259">
        <v>0.1</v>
      </c>
      <c r="DB212" s="259">
        <v>0.1</v>
      </c>
      <c r="DC212" s="259">
        <v>0.1</v>
      </c>
      <c r="DD212" s="259">
        <v>0.1</v>
      </c>
      <c r="DE212" s="259">
        <v>0.1</v>
      </c>
      <c r="DF212" s="260">
        <v>0.1</v>
      </c>
      <c r="DG212" s="258">
        <v>0.1</v>
      </c>
      <c r="DH212" s="259">
        <v>0.1</v>
      </c>
      <c r="DI212" s="259">
        <v>0.1</v>
      </c>
      <c r="DJ212" s="259">
        <v>0.1</v>
      </c>
      <c r="DK212" s="259">
        <v>0.1</v>
      </c>
      <c r="DL212" s="259">
        <v>0.1</v>
      </c>
      <c r="DM212" s="259">
        <v>0.1</v>
      </c>
      <c r="DN212" s="259">
        <v>0.1</v>
      </c>
      <c r="DO212" s="259">
        <v>0.1</v>
      </c>
      <c r="DP212" s="259">
        <v>0.1</v>
      </c>
      <c r="DQ212" s="259">
        <v>0.1</v>
      </c>
      <c r="DR212" s="259">
        <v>0.1</v>
      </c>
      <c r="DS212" s="259">
        <v>0.1</v>
      </c>
      <c r="DT212" s="259">
        <v>0.1</v>
      </c>
      <c r="DU212" s="259">
        <v>0.1</v>
      </c>
      <c r="DV212" s="259">
        <v>0.1</v>
      </c>
      <c r="DW212" s="259">
        <v>0.1</v>
      </c>
      <c r="DX212" s="259">
        <v>0.1</v>
      </c>
      <c r="DY212" s="259">
        <v>0.1</v>
      </c>
      <c r="DZ212" s="259">
        <v>0.1</v>
      </c>
      <c r="EA212" s="259">
        <v>0.1</v>
      </c>
      <c r="EB212" s="259">
        <v>0.1</v>
      </c>
      <c r="EC212" s="259">
        <v>0.1</v>
      </c>
      <c r="ED212" s="259">
        <v>0.1</v>
      </c>
      <c r="EE212" s="259">
        <v>0.1</v>
      </c>
      <c r="EF212" s="260">
        <v>0.1</v>
      </c>
      <c r="EJ212">
        <v>209</v>
      </c>
      <c r="EN212">
        <v>0.1</v>
      </c>
      <c r="EO212">
        <v>0.1</v>
      </c>
      <c r="EP212">
        <v>0.1</v>
      </c>
      <c r="EQ212">
        <v>0.1</v>
      </c>
      <c r="ER212">
        <v>0.1</v>
      </c>
      <c r="ES212">
        <v>0.1</v>
      </c>
      <c r="ET212">
        <v>0.1</v>
      </c>
      <c r="EU212">
        <v>0.1</v>
      </c>
      <c r="EV212">
        <v>0.1</v>
      </c>
      <c r="EW212">
        <v>0.1</v>
      </c>
      <c r="EX212">
        <v>0.1</v>
      </c>
      <c r="EY212">
        <v>0.1</v>
      </c>
      <c r="EZ212">
        <v>0.1</v>
      </c>
      <c r="FA212">
        <v>0.1</v>
      </c>
      <c r="FB212">
        <v>0.1</v>
      </c>
      <c r="FC212">
        <v>0.1</v>
      </c>
      <c r="FD212">
        <v>0.1</v>
      </c>
      <c r="FE212">
        <v>0.1</v>
      </c>
      <c r="FF212">
        <v>0.1</v>
      </c>
      <c r="FG212">
        <v>0.1</v>
      </c>
      <c r="FH212">
        <v>0.1</v>
      </c>
      <c r="FI212">
        <v>0.1</v>
      </c>
      <c r="FJ212">
        <v>0.1</v>
      </c>
      <c r="FK212">
        <v>0.1</v>
      </c>
      <c r="FL212">
        <v>0.1</v>
      </c>
      <c r="FM212">
        <v>0.1</v>
      </c>
      <c r="FN212">
        <v>0.1</v>
      </c>
      <c r="FO212">
        <v>0.1</v>
      </c>
      <c r="FP212">
        <v>0.1</v>
      </c>
      <c r="FQ212">
        <v>0.1</v>
      </c>
      <c r="FU212">
        <v>209</v>
      </c>
      <c r="GB212">
        <v>0.1</v>
      </c>
      <c r="GC212">
        <v>0.1</v>
      </c>
      <c r="GD212">
        <v>0.1</v>
      </c>
      <c r="GE212">
        <v>0.1</v>
      </c>
      <c r="GF212">
        <v>0.1</v>
      </c>
      <c r="GG212">
        <v>0.1</v>
      </c>
      <c r="GH212">
        <v>0.1</v>
      </c>
      <c r="GI212">
        <v>0.1</v>
      </c>
      <c r="GJ212">
        <v>0.1</v>
      </c>
      <c r="GK212">
        <v>0.1</v>
      </c>
      <c r="GL212">
        <v>0.1</v>
      </c>
      <c r="GM212">
        <v>0.1</v>
      </c>
      <c r="GN212">
        <v>0.1</v>
      </c>
      <c r="GO212">
        <v>0.1</v>
      </c>
      <c r="GP212">
        <v>0.1</v>
      </c>
      <c r="GQ212">
        <v>0.1</v>
      </c>
      <c r="GR212">
        <v>0.1</v>
      </c>
      <c r="GS212">
        <v>0.1</v>
      </c>
      <c r="GT212">
        <v>0.1</v>
      </c>
      <c r="GU212">
        <v>0.1</v>
      </c>
      <c r="GV212">
        <v>0.1</v>
      </c>
      <c r="GW212">
        <v>0.1</v>
      </c>
      <c r="GX212">
        <v>0.1</v>
      </c>
      <c r="GY212">
        <v>0.1</v>
      </c>
      <c r="GZ212">
        <v>0.1</v>
      </c>
      <c r="HA212">
        <v>0.1</v>
      </c>
      <c r="HB212">
        <v>0.1</v>
      </c>
      <c r="HC212">
        <v>0.1</v>
      </c>
      <c r="HD212">
        <v>0.1</v>
      </c>
      <c r="HE212">
        <v>0.1</v>
      </c>
      <c r="HF212">
        <v>0.1</v>
      </c>
      <c r="HG212">
        <v>0.1</v>
      </c>
      <c r="HH212">
        <v>0.1</v>
      </c>
      <c r="HI212">
        <v>0.1</v>
      </c>
      <c r="HJ212">
        <v>0.1</v>
      </c>
      <c r="HK212">
        <v>0.1</v>
      </c>
      <c r="HL212">
        <v>0.1</v>
      </c>
      <c r="HM212">
        <v>0.1</v>
      </c>
      <c r="HN212">
        <v>0.1</v>
      </c>
      <c r="HO212">
        <v>0.1</v>
      </c>
    </row>
    <row r="213" spans="1:223" ht="15.75" thickBot="1" x14ac:dyDescent="0.3">
      <c r="A213">
        <v>210</v>
      </c>
      <c r="C213" s="2"/>
      <c r="D213" s="2"/>
      <c r="E213" s="2"/>
      <c r="G213" s="2"/>
      <c r="H213">
        <v>0.1</v>
      </c>
      <c r="I213">
        <v>0.1</v>
      </c>
      <c r="J213">
        <v>0.1</v>
      </c>
      <c r="K213">
        <v>0.1</v>
      </c>
      <c r="L213">
        <v>0.1</v>
      </c>
      <c r="M213">
        <v>0.1</v>
      </c>
      <c r="N213">
        <v>0.1</v>
      </c>
      <c r="O213">
        <v>0.1</v>
      </c>
      <c r="P213">
        <v>0.1</v>
      </c>
      <c r="Q213">
        <v>0.1</v>
      </c>
      <c r="R213">
        <v>0.1</v>
      </c>
      <c r="S213">
        <v>0.1</v>
      </c>
      <c r="T213">
        <v>0.1</v>
      </c>
      <c r="U213">
        <v>0.1</v>
      </c>
      <c r="V213">
        <v>0.1</v>
      </c>
      <c r="W213">
        <v>0.1</v>
      </c>
      <c r="X213">
        <v>0.1</v>
      </c>
      <c r="Y213">
        <v>0.1</v>
      </c>
      <c r="Z213">
        <v>0.1</v>
      </c>
      <c r="AA213">
        <v>0.1</v>
      </c>
      <c r="AB213">
        <v>0.1</v>
      </c>
      <c r="AC213">
        <v>0.1</v>
      </c>
      <c r="AD213">
        <v>0.1</v>
      </c>
      <c r="AE213">
        <v>0.1</v>
      </c>
      <c r="AF213">
        <v>0.1</v>
      </c>
      <c r="AG213">
        <v>0.1</v>
      </c>
      <c r="AH213">
        <v>0.1</v>
      </c>
      <c r="AI213">
        <v>0.1</v>
      </c>
      <c r="AJ213">
        <v>0.1</v>
      </c>
      <c r="AK213">
        <v>0.1</v>
      </c>
      <c r="AL213">
        <v>0.1</v>
      </c>
      <c r="AM213">
        <v>0.1</v>
      </c>
      <c r="AN213">
        <v>0.1</v>
      </c>
      <c r="AO213">
        <v>0.1</v>
      </c>
      <c r="AP213">
        <v>0.1</v>
      </c>
      <c r="AQ213">
        <v>0.1</v>
      </c>
      <c r="AR213">
        <v>0.1</v>
      </c>
      <c r="AS213">
        <v>0.1</v>
      </c>
      <c r="AT213">
        <v>0.1</v>
      </c>
      <c r="AU213">
        <v>0.1</v>
      </c>
      <c r="AV213">
        <v>0.1</v>
      </c>
      <c r="AW213">
        <v>0.1</v>
      </c>
      <c r="AX213">
        <v>0.1</v>
      </c>
      <c r="AY213">
        <v>0.1</v>
      </c>
      <c r="AZ213">
        <v>0.1</v>
      </c>
      <c r="BA213">
        <v>0.1</v>
      </c>
      <c r="BB213">
        <v>0.1</v>
      </c>
      <c r="BC213">
        <v>0.1</v>
      </c>
      <c r="BD213">
        <v>0.1</v>
      </c>
      <c r="BE213">
        <v>0.1</v>
      </c>
      <c r="BF213">
        <v>0.1</v>
      </c>
      <c r="BG213">
        <v>0.1</v>
      </c>
      <c r="BH213">
        <v>0.1</v>
      </c>
      <c r="BI213">
        <v>0.1</v>
      </c>
      <c r="BJ213">
        <v>0.1</v>
      </c>
      <c r="BK213">
        <v>0.1</v>
      </c>
      <c r="BL213">
        <v>0.1</v>
      </c>
      <c r="BM213">
        <v>0.1</v>
      </c>
      <c r="BN213">
        <v>0.1</v>
      </c>
      <c r="BO213">
        <v>0.1</v>
      </c>
      <c r="BS213">
        <v>210</v>
      </c>
      <c r="BT213" s="270">
        <v>3.32</v>
      </c>
      <c r="BU213" s="271">
        <v>2.59</v>
      </c>
      <c r="BV213" s="2"/>
      <c r="BW213" s="2"/>
      <c r="BX213" s="2"/>
      <c r="BY213" s="258">
        <v>0.1</v>
      </c>
      <c r="BZ213" s="259">
        <v>0.1</v>
      </c>
      <c r="CA213" s="259">
        <v>0.1</v>
      </c>
      <c r="CB213" s="259">
        <v>0.1</v>
      </c>
      <c r="CC213" s="259">
        <v>0.1</v>
      </c>
      <c r="CD213" s="259">
        <v>0.1</v>
      </c>
      <c r="CE213" s="259">
        <v>0.1</v>
      </c>
      <c r="CF213" s="259">
        <v>0.1</v>
      </c>
      <c r="CG213" s="259">
        <v>0.1</v>
      </c>
      <c r="CH213" s="259">
        <v>0.1</v>
      </c>
      <c r="CI213" s="259">
        <v>0.1</v>
      </c>
      <c r="CJ213" s="259">
        <v>0.1</v>
      </c>
      <c r="CK213" s="259">
        <v>0.1</v>
      </c>
      <c r="CL213" s="259">
        <v>0.1</v>
      </c>
      <c r="CM213" s="259">
        <v>0.1</v>
      </c>
      <c r="CN213" s="259">
        <v>0.1</v>
      </c>
      <c r="CO213" s="259">
        <v>0.1</v>
      </c>
      <c r="CP213" s="259">
        <v>0.1</v>
      </c>
      <c r="CQ213" s="259">
        <v>0.1</v>
      </c>
      <c r="CR213" s="259">
        <v>0.1</v>
      </c>
      <c r="CS213" s="259">
        <v>0.1</v>
      </c>
      <c r="CT213" s="259">
        <v>0.1</v>
      </c>
      <c r="CU213" s="259">
        <v>0.1</v>
      </c>
      <c r="CV213" s="259">
        <v>0.1</v>
      </c>
      <c r="CW213" s="259">
        <v>0.1</v>
      </c>
      <c r="CX213" s="259">
        <v>0.1</v>
      </c>
      <c r="CY213" s="259">
        <v>0.1</v>
      </c>
      <c r="CZ213" s="259">
        <v>0.1</v>
      </c>
      <c r="DA213" s="259">
        <v>0.1</v>
      </c>
      <c r="DB213" s="259">
        <v>0.1</v>
      </c>
      <c r="DC213" s="259">
        <v>0.1</v>
      </c>
      <c r="DD213" s="259">
        <v>0.1</v>
      </c>
      <c r="DE213" s="259">
        <v>0.1</v>
      </c>
      <c r="DF213" s="260">
        <v>0.1</v>
      </c>
      <c r="DG213" s="258">
        <v>0.1</v>
      </c>
      <c r="DH213" s="259">
        <v>0.1</v>
      </c>
      <c r="DI213" s="259">
        <v>0.1</v>
      </c>
      <c r="DJ213" s="259">
        <v>0.1</v>
      </c>
      <c r="DK213" s="259">
        <v>0.1</v>
      </c>
      <c r="DL213" s="259">
        <v>0.1</v>
      </c>
      <c r="DM213" s="259">
        <v>0.1</v>
      </c>
      <c r="DN213" s="259">
        <v>0.1</v>
      </c>
      <c r="DO213" s="259">
        <v>0.1</v>
      </c>
      <c r="DP213" s="259">
        <v>0.1</v>
      </c>
      <c r="DQ213" s="259">
        <v>0.1</v>
      </c>
      <c r="DR213" s="259">
        <v>0.1</v>
      </c>
      <c r="DS213" s="259">
        <v>0.1</v>
      </c>
      <c r="DT213" s="259">
        <v>0.1</v>
      </c>
      <c r="DU213" s="259">
        <v>0.1</v>
      </c>
      <c r="DV213" s="259">
        <v>0.1</v>
      </c>
      <c r="DW213" s="259">
        <v>0.1</v>
      </c>
      <c r="DX213" s="259">
        <v>0.1</v>
      </c>
      <c r="DY213" s="259">
        <v>0.1</v>
      </c>
      <c r="DZ213" s="259">
        <v>0.1</v>
      </c>
      <c r="EA213" s="259">
        <v>0.1</v>
      </c>
      <c r="EB213" s="259">
        <v>0.1</v>
      </c>
      <c r="EC213" s="259">
        <v>0.1</v>
      </c>
      <c r="ED213" s="259">
        <v>0.1</v>
      </c>
      <c r="EE213" s="259">
        <v>0.1</v>
      </c>
      <c r="EF213" s="260">
        <v>0.1</v>
      </c>
      <c r="EJ213">
        <v>210</v>
      </c>
      <c r="EN213">
        <v>0.1</v>
      </c>
      <c r="EO213">
        <v>0.1</v>
      </c>
      <c r="EP213">
        <v>0.1</v>
      </c>
      <c r="EQ213">
        <v>0.1</v>
      </c>
      <c r="ER213">
        <v>0.1</v>
      </c>
      <c r="ES213">
        <v>0.1</v>
      </c>
      <c r="ET213">
        <v>0.1</v>
      </c>
      <c r="EU213">
        <v>0.1</v>
      </c>
      <c r="EV213">
        <v>0.1</v>
      </c>
      <c r="EW213">
        <v>0.1</v>
      </c>
      <c r="EX213">
        <v>0.1</v>
      </c>
      <c r="EY213">
        <v>0.1</v>
      </c>
      <c r="EZ213">
        <v>0.1</v>
      </c>
      <c r="FA213">
        <v>0.1</v>
      </c>
      <c r="FB213">
        <v>0.1</v>
      </c>
      <c r="FC213">
        <v>0.1</v>
      </c>
      <c r="FD213">
        <v>0.1</v>
      </c>
      <c r="FE213">
        <v>0.1</v>
      </c>
      <c r="FF213">
        <v>0.1</v>
      </c>
      <c r="FG213">
        <v>0.1</v>
      </c>
      <c r="FH213">
        <v>0.1</v>
      </c>
      <c r="FI213">
        <v>0.1</v>
      </c>
      <c r="FJ213">
        <v>0.1</v>
      </c>
      <c r="FK213">
        <v>0.1</v>
      </c>
      <c r="FL213">
        <v>0.1</v>
      </c>
      <c r="FM213">
        <v>0.1</v>
      </c>
      <c r="FN213">
        <v>0.1</v>
      </c>
      <c r="FO213">
        <v>0.1</v>
      </c>
      <c r="FP213">
        <v>0.1</v>
      </c>
      <c r="FQ213">
        <v>0.1</v>
      </c>
      <c r="FU213">
        <v>210</v>
      </c>
      <c r="GB213">
        <v>0.1</v>
      </c>
      <c r="GC213">
        <v>0.1</v>
      </c>
      <c r="GD213">
        <v>0.1</v>
      </c>
      <c r="GE213">
        <v>0.1</v>
      </c>
      <c r="GF213">
        <v>0.1</v>
      </c>
      <c r="GG213">
        <v>0.1</v>
      </c>
      <c r="GH213">
        <v>0.1</v>
      </c>
      <c r="GI213">
        <v>0.1</v>
      </c>
      <c r="GJ213">
        <v>0.1</v>
      </c>
      <c r="GK213">
        <v>0.1</v>
      </c>
      <c r="GL213">
        <v>0.1</v>
      </c>
      <c r="GM213">
        <v>0.1</v>
      </c>
      <c r="GN213">
        <v>0.1</v>
      </c>
      <c r="GO213">
        <v>0.1</v>
      </c>
      <c r="GP213">
        <v>0.1</v>
      </c>
      <c r="GQ213">
        <v>0.1</v>
      </c>
      <c r="GR213">
        <v>0.1</v>
      </c>
      <c r="GS213">
        <v>0.1</v>
      </c>
      <c r="GT213">
        <v>0.1</v>
      </c>
      <c r="GU213">
        <v>0.1</v>
      </c>
      <c r="GV213">
        <v>0.1</v>
      </c>
      <c r="GW213">
        <v>0.1</v>
      </c>
      <c r="GX213">
        <v>0.1</v>
      </c>
      <c r="GY213">
        <v>0.1</v>
      </c>
      <c r="GZ213">
        <v>0.1</v>
      </c>
      <c r="HA213">
        <v>0.1</v>
      </c>
      <c r="HB213">
        <v>0.1</v>
      </c>
      <c r="HC213">
        <v>0.1</v>
      </c>
      <c r="HD213">
        <v>0.1</v>
      </c>
      <c r="HE213">
        <v>0.1</v>
      </c>
      <c r="HF213">
        <v>0.1</v>
      </c>
      <c r="HG213">
        <v>0.1</v>
      </c>
      <c r="HH213">
        <v>0.1</v>
      </c>
      <c r="HI213">
        <v>0.1</v>
      </c>
      <c r="HJ213">
        <v>0.1</v>
      </c>
      <c r="HK213">
        <v>0.1</v>
      </c>
      <c r="HL213">
        <v>0.1</v>
      </c>
      <c r="HM213">
        <v>0.1</v>
      </c>
      <c r="HN213">
        <v>0.1</v>
      </c>
      <c r="HO213">
        <v>0.1</v>
      </c>
    </row>
    <row r="214" spans="1:223" ht="15.75" thickBot="1" x14ac:dyDescent="0.3">
      <c r="A214">
        <v>211</v>
      </c>
      <c r="C214" s="2"/>
      <c r="D214" s="2"/>
      <c r="E214" s="2"/>
      <c r="G214" s="2"/>
      <c r="H214">
        <v>0.1</v>
      </c>
      <c r="I214">
        <v>0.1</v>
      </c>
      <c r="J214">
        <v>0.1</v>
      </c>
      <c r="K214">
        <v>0.1</v>
      </c>
      <c r="L214">
        <v>0.1</v>
      </c>
      <c r="M214">
        <v>0.1</v>
      </c>
      <c r="N214">
        <v>0.1</v>
      </c>
      <c r="O214">
        <v>0.1</v>
      </c>
      <c r="P214">
        <v>0.1</v>
      </c>
      <c r="Q214">
        <v>0.1</v>
      </c>
      <c r="R214">
        <v>0.1</v>
      </c>
      <c r="S214">
        <v>0.1</v>
      </c>
      <c r="T214">
        <v>0.1</v>
      </c>
      <c r="U214">
        <v>0.1</v>
      </c>
      <c r="V214">
        <v>0.1</v>
      </c>
      <c r="W214">
        <v>0.1</v>
      </c>
      <c r="X214">
        <v>0.1</v>
      </c>
      <c r="Y214">
        <v>0.1</v>
      </c>
      <c r="Z214">
        <v>0.1</v>
      </c>
      <c r="AA214">
        <v>0.1</v>
      </c>
      <c r="AB214">
        <v>0.1</v>
      </c>
      <c r="AC214">
        <v>0.1</v>
      </c>
      <c r="AD214">
        <v>0.1</v>
      </c>
      <c r="AE214">
        <v>0.1</v>
      </c>
      <c r="AF214">
        <v>0.1</v>
      </c>
      <c r="AG214">
        <v>0.1</v>
      </c>
      <c r="AH214">
        <v>0.1</v>
      </c>
      <c r="AI214">
        <v>0.1</v>
      </c>
      <c r="AJ214">
        <v>0.1</v>
      </c>
      <c r="AK214">
        <v>0.1</v>
      </c>
      <c r="AL214">
        <v>0.1</v>
      </c>
      <c r="AM214">
        <v>0.1</v>
      </c>
      <c r="AN214">
        <v>0.1</v>
      </c>
      <c r="AO214">
        <v>0.1</v>
      </c>
      <c r="AP214">
        <v>0.1</v>
      </c>
      <c r="AQ214">
        <v>0.1</v>
      </c>
      <c r="AR214">
        <v>0.1</v>
      </c>
      <c r="AS214">
        <v>0.1</v>
      </c>
      <c r="AT214">
        <v>0.1</v>
      </c>
      <c r="AU214">
        <v>0.1</v>
      </c>
      <c r="AV214">
        <v>0.1</v>
      </c>
      <c r="AW214">
        <v>0.1</v>
      </c>
      <c r="AX214">
        <v>0.1</v>
      </c>
      <c r="AY214">
        <v>0.1</v>
      </c>
      <c r="AZ214">
        <v>0.1</v>
      </c>
      <c r="BA214">
        <v>0.1</v>
      </c>
      <c r="BB214">
        <v>0.1</v>
      </c>
      <c r="BC214">
        <v>0.1</v>
      </c>
      <c r="BD214">
        <v>0.1</v>
      </c>
      <c r="BE214">
        <v>0.1</v>
      </c>
      <c r="BF214">
        <v>0.1</v>
      </c>
      <c r="BG214">
        <v>0.1</v>
      </c>
      <c r="BH214">
        <v>0.1</v>
      </c>
      <c r="BI214">
        <v>0.1</v>
      </c>
      <c r="BJ214">
        <v>0.1</v>
      </c>
      <c r="BK214">
        <v>0.1</v>
      </c>
      <c r="BL214">
        <v>0.1</v>
      </c>
      <c r="BM214">
        <v>0.1</v>
      </c>
      <c r="BN214">
        <v>0.1</v>
      </c>
      <c r="BO214">
        <v>0.1</v>
      </c>
      <c r="BS214">
        <v>211</v>
      </c>
      <c r="BT214" s="271">
        <v>3.32</v>
      </c>
      <c r="BU214" s="270">
        <v>2.6</v>
      </c>
      <c r="BV214" s="2"/>
      <c r="BW214" s="2"/>
      <c r="BX214" s="2"/>
      <c r="BY214" s="258">
        <v>0.1</v>
      </c>
      <c r="BZ214" s="259">
        <v>0.1</v>
      </c>
      <c r="CA214" s="259">
        <v>0.1</v>
      </c>
      <c r="CB214" s="259">
        <v>0.1</v>
      </c>
      <c r="CC214" s="259">
        <v>0.1</v>
      </c>
      <c r="CD214" s="259">
        <v>0.1</v>
      </c>
      <c r="CE214" s="259">
        <v>0.1</v>
      </c>
      <c r="CF214" s="259">
        <v>0.1</v>
      </c>
      <c r="CG214" s="259">
        <v>0.1</v>
      </c>
      <c r="CH214" s="259">
        <v>0.1</v>
      </c>
      <c r="CI214" s="259">
        <v>0.1</v>
      </c>
      <c r="CJ214" s="259">
        <v>0.1</v>
      </c>
      <c r="CK214" s="259">
        <v>0.1</v>
      </c>
      <c r="CL214" s="259">
        <v>0.1</v>
      </c>
      <c r="CM214" s="259">
        <v>0.1</v>
      </c>
      <c r="CN214" s="259">
        <v>0.1</v>
      </c>
      <c r="CO214" s="259">
        <v>0.1</v>
      </c>
      <c r="CP214" s="259">
        <v>0.1</v>
      </c>
      <c r="CQ214" s="259">
        <v>0.1</v>
      </c>
      <c r="CR214" s="259">
        <v>0.1</v>
      </c>
      <c r="CS214" s="259">
        <v>0.1</v>
      </c>
      <c r="CT214" s="259">
        <v>0.1</v>
      </c>
      <c r="CU214" s="259">
        <v>0.1</v>
      </c>
      <c r="CV214" s="259">
        <v>0.1</v>
      </c>
      <c r="CW214" s="259">
        <v>0.1</v>
      </c>
      <c r="CX214" s="259">
        <v>0.1</v>
      </c>
      <c r="CY214" s="259">
        <v>0.1</v>
      </c>
      <c r="CZ214" s="259">
        <v>0.1</v>
      </c>
      <c r="DA214" s="259">
        <v>0.1</v>
      </c>
      <c r="DB214" s="259">
        <v>0.1</v>
      </c>
      <c r="DC214" s="259">
        <v>0.1</v>
      </c>
      <c r="DD214" s="259">
        <v>0.1</v>
      </c>
      <c r="DE214" s="259">
        <v>0.1</v>
      </c>
      <c r="DF214" s="260">
        <v>0.1</v>
      </c>
      <c r="DG214" s="258">
        <v>0.1</v>
      </c>
      <c r="DH214" s="259">
        <v>0.1</v>
      </c>
      <c r="DI214" s="259">
        <v>0.1</v>
      </c>
      <c r="DJ214" s="259">
        <v>0.1</v>
      </c>
      <c r="DK214" s="259">
        <v>0.1</v>
      </c>
      <c r="DL214" s="259">
        <v>0.1</v>
      </c>
      <c r="DM214" s="259">
        <v>0.1</v>
      </c>
      <c r="DN214" s="259">
        <v>0.1</v>
      </c>
      <c r="DO214" s="259">
        <v>0.1</v>
      </c>
      <c r="DP214" s="259">
        <v>0.1</v>
      </c>
      <c r="DQ214" s="259">
        <v>0.1</v>
      </c>
      <c r="DR214" s="259">
        <v>0.1</v>
      </c>
      <c r="DS214" s="259">
        <v>0.1</v>
      </c>
      <c r="DT214" s="259">
        <v>0.1</v>
      </c>
      <c r="DU214" s="259">
        <v>0.1</v>
      </c>
      <c r="DV214" s="259">
        <v>0.1</v>
      </c>
      <c r="DW214" s="259">
        <v>0.1</v>
      </c>
      <c r="DX214" s="259">
        <v>0.1</v>
      </c>
      <c r="DY214" s="259">
        <v>0.1</v>
      </c>
      <c r="DZ214" s="259">
        <v>0.1</v>
      </c>
      <c r="EA214" s="259">
        <v>0.1</v>
      </c>
      <c r="EB214" s="259">
        <v>0.1</v>
      </c>
      <c r="EC214" s="259">
        <v>0.1</v>
      </c>
      <c r="ED214" s="259">
        <v>0.1</v>
      </c>
      <c r="EE214" s="259">
        <v>0.1</v>
      </c>
      <c r="EF214" s="260">
        <v>0.1</v>
      </c>
      <c r="EJ214">
        <v>211</v>
      </c>
      <c r="EN214">
        <v>0.1</v>
      </c>
      <c r="EO214">
        <v>0.1</v>
      </c>
      <c r="EP214">
        <v>0.1</v>
      </c>
      <c r="EQ214">
        <v>0.1</v>
      </c>
      <c r="ER214">
        <v>0.1</v>
      </c>
      <c r="ES214">
        <v>0.1</v>
      </c>
      <c r="ET214">
        <v>0.1</v>
      </c>
      <c r="EU214">
        <v>0.1</v>
      </c>
      <c r="EV214">
        <v>0.1</v>
      </c>
      <c r="EW214">
        <v>0.1</v>
      </c>
      <c r="EX214">
        <v>0.1</v>
      </c>
      <c r="EY214">
        <v>0.1</v>
      </c>
      <c r="EZ214">
        <v>0.1</v>
      </c>
      <c r="FA214">
        <v>0.1</v>
      </c>
      <c r="FB214">
        <v>0.1</v>
      </c>
      <c r="FC214">
        <v>0.1</v>
      </c>
      <c r="FD214">
        <v>0.1</v>
      </c>
      <c r="FE214">
        <v>0.1</v>
      </c>
      <c r="FF214">
        <v>0.1</v>
      </c>
      <c r="FG214">
        <v>0.1</v>
      </c>
      <c r="FH214">
        <v>0.1</v>
      </c>
      <c r="FI214">
        <v>0.1</v>
      </c>
      <c r="FJ214">
        <v>0.1</v>
      </c>
      <c r="FK214">
        <v>0.1</v>
      </c>
      <c r="FL214">
        <v>0.1</v>
      </c>
      <c r="FM214">
        <v>0.1</v>
      </c>
      <c r="FN214">
        <v>0.1</v>
      </c>
      <c r="FO214">
        <v>0.1</v>
      </c>
      <c r="FP214">
        <v>0.1</v>
      </c>
      <c r="FQ214">
        <v>0.1</v>
      </c>
      <c r="FU214">
        <v>211</v>
      </c>
      <c r="GB214">
        <v>0.1</v>
      </c>
      <c r="GC214">
        <v>0.1</v>
      </c>
      <c r="GD214">
        <v>0.1</v>
      </c>
      <c r="GE214">
        <v>0.1</v>
      </c>
      <c r="GF214">
        <v>0.1</v>
      </c>
      <c r="GG214">
        <v>0.1</v>
      </c>
      <c r="GH214">
        <v>0.1</v>
      </c>
      <c r="GI214">
        <v>0.1</v>
      </c>
      <c r="GJ214">
        <v>0.1</v>
      </c>
      <c r="GK214">
        <v>0.1</v>
      </c>
      <c r="GL214">
        <v>0.1</v>
      </c>
      <c r="GM214">
        <v>0.1</v>
      </c>
      <c r="GN214">
        <v>0.1</v>
      </c>
      <c r="GO214">
        <v>0.1</v>
      </c>
      <c r="GP214">
        <v>0.1</v>
      </c>
      <c r="GQ214">
        <v>0.1</v>
      </c>
      <c r="GR214">
        <v>0.1</v>
      </c>
      <c r="GS214">
        <v>0.1</v>
      </c>
      <c r="GT214">
        <v>0.1</v>
      </c>
      <c r="GU214">
        <v>0.1</v>
      </c>
      <c r="GV214">
        <v>0.1</v>
      </c>
      <c r="GW214">
        <v>0.1</v>
      </c>
      <c r="GX214">
        <v>0.1</v>
      </c>
      <c r="GY214">
        <v>0.1</v>
      </c>
      <c r="GZ214">
        <v>0.1</v>
      </c>
      <c r="HA214">
        <v>0.1</v>
      </c>
      <c r="HB214">
        <v>0.1</v>
      </c>
      <c r="HC214">
        <v>0.1</v>
      </c>
      <c r="HD214">
        <v>0.1</v>
      </c>
      <c r="HE214">
        <v>0.1</v>
      </c>
      <c r="HF214">
        <v>0.1</v>
      </c>
      <c r="HG214">
        <v>0.1</v>
      </c>
      <c r="HH214">
        <v>0.1</v>
      </c>
      <c r="HI214">
        <v>0.1</v>
      </c>
      <c r="HJ214">
        <v>0.1</v>
      </c>
      <c r="HK214">
        <v>0.1</v>
      </c>
      <c r="HL214">
        <v>0.1</v>
      </c>
      <c r="HM214">
        <v>0.1</v>
      </c>
      <c r="HN214">
        <v>0.1</v>
      </c>
      <c r="HO214">
        <v>0.1</v>
      </c>
    </row>
    <row r="215" spans="1:223" ht="15.75" thickBot="1" x14ac:dyDescent="0.3">
      <c r="A215">
        <v>212</v>
      </c>
      <c r="C215" s="2"/>
      <c r="D215" s="2"/>
      <c r="E215" s="2"/>
      <c r="G215" s="2"/>
      <c r="H215">
        <v>0.1</v>
      </c>
      <c r="I215">
        <v>0.1</v>
      </c>
      <c r="J215">
        <v>0.1</v>
      </c>
      <c r="K215">
        <v>0.1</v>
      </c>
      <c r="L215">
        <v>0.1</v>
      </c>
      <c r="M215">
        <v>0.1</v>
      </c>
      <c r="N215">
        <v>0.1</v>
      </c>
      <c r="O215">
        <v>0.1</v>
      </c>
      <c r="P215">
        <v>0.1</v>
      </c>
      <c r="Q215">
        <v>0.1</v>
      </c>
      <c r="R215">
        <v>0.1</v>
      </c>
      <c r="S215">
        <v>0.1</v>
      </c>
      <c r="T215">
        <v>0.1</v>
      </c>
      <c r="U215">
        <v>0.1</v>
      </c>
      <c r="V215">
        <v>0.1</v>
      </c>
      <c r="W215">
        <v>0.1</v>
      </c>
      <c r="X215">
        <v>0.1</v>
      </c>
      <c r="Y215">
        <v>0.1</v>
      </c>
      <c r="Z215">
        <v>0.1</v>
      </c>
      <c r="AA215">
        <v>0.1</v>
      </c>
      <c r="AB215">
        <v>0.1</v>
      </c>
      <c r="AC215">
        <v>0.1</v>
      </c>
      <c r="AD215">
        <v>0.1</v>
      </c>
      <c r="AE215">
        <v>0.1</v>
      </c>
      <c r="AF215">
        <v>0.1</v>
      </c>
      <c r="AG215">
        <v>0.1</v>
      </c>
      <c r="AH215">
        <v>0.1</v>
      </c>
      <c r="AI215">
        <v>0.1</v>
      </c>
      <c r="AJ215">
        <v>0.1</v>
      </c>
      <c r="AK215">
        <v>0.1</v>
      </c>
      <c r="AL215">
        <v>0.1</v>
      </c>
      <c r="AM215">
        <v>0.1</v>
      </c>
      <c r="AN215">
        <v>0.1</v>
      </c>
      <c r="AO215">
        <v>0.1</v>
      </c>
      <c r="AP215">
        <v>0.1</v>
      </c>
      <c r="AQ215">
        <v>0.1</v>
      </c>
      <c r="AR215">
        <v>0.1</v>
      </c>
      <c r="AS215">
        <v>0.1</v>
      </c>
      <c r="AT215">
        <v>0.1</v>
      </c>
      <c r="AU215">
        <v>0.1</v>
      </c>
      <c r="AV215">
        <v>0.1</v>
      </c>
      <c r="AW215">
        <v>0.1</v>
      </c>
      <c r="AX215">
        <v>0.1</v>
      </c>
      <c r="AY215">
        <v>0.1</v>
      </c>
      <c r="AZ215">
        <v>0.1</v>
      </c>
      <c r="BA215">
        <v>0.1</v>
      </c>
      <c r="BB215">
        <v>0.1</v>
      </c>
      <c r="BC215">
        <v>0.1</v>
      </c>
      <c r="BD215">
        <v>0.1</v>
      </c>
      <c r="BE215">
        <v>0.1</v>
      </c>
      <c r="BF215">
        <v>0.1</v>
      </c>
      <c r="BG215">
        <v>0.1</v>
      </c>
      <c r="BH215">
        <v>0.1</v>
      </c>
      <c r="BI215">
        <v>0.1</v>
      </c>
      <c r="BJ215">
        <v>0.1</v>
      </c>
      <c r="BK215">
        <v>0.1</v>
      </c>
      <c r="BL215">
        <v>0.1</v>
      </c>
      <c r="BM215">
        <v>0.1</v>
      </c>
      <c r="BN215">
        <v>0.1</v>
      </c>
      <c r="BO215">
        <v>0.1</v>
      </c>
      <c r="BS215">
        <v>212</v>
      </c>
      <c r="BT215" s="270">
        <v>3.32</v>
      </c>
      <c r="BU215" s="271">
        <v>2.6</v>
      </c>
      <c r="BV215" s="2"/>
      <c r="BW215" s="2"/>
      <c r="BX215" s="2"/>
      <c r="BY215" s="258">
        <v>0.1</v>
      </c>
      <c r="BZ215" s="259">
        <v>0.1</v>
      </c>
      <c r="CA215" s="259">
        <v>0.1</v>
      </c>
      <c r="CB215" s="259">
        <v>0.1</v>
      </c>
      <c r="CC215" s="259">
        <v>0.1</v>
      </c>
      <c r="CD215" s="259">
        <v>0.1</v>
      </c>
      <c r="CE215" s="259">
        <v>0.1</v>
      </c>
      <c r="CF215" s="259">
        <v>0.1</v>
      </c>
      <c r="CG215" s="259">
        <v>0.1</v>
      </c>
      <c r="CH215" s="259">
        <v>0.1</v>
      </c>
      <c r="CI215" s="259">
        <v>0.1</v>
      </c>
      <c r="CJ215" s="259">
        <v>0.1</v>
      </c>
      <c r="CK215" s="259">
        <v>0.1</v>
      </c>
      <c r="CL215" s="259">
        <v>0.1</v>
      </c>
      <c r="CM215" s="259">
        <v>0.1</v>
      </c>
      <c r="CN215" s="259">
        <v>0.1</v>
      </c>
      <c r="CO215" s="259">
        <v>0.1</v>
      </c>
      <c r="CP215" s="259">
        <v>0.1</v>
      </c>
      <c r="CQ215" s="259">
        <v>0.1</v>
      </c>
      <c r="CR215" s="259">
        <v>0.1</v>
      </c>
      <c r="CS215" s="259">
        <v>0.1</v>
      </c>
      <c r="CT215" s="259">
        <v>0.1</v>
      </c>
      <c r="CU215" s="259">
        <v>0.1</v>
      </c>
      <c r="CV215" s="259">
        <v>0.1</v>
      </c>
      <c r="CW215" s="259">
        <v>0.1</v>
      </c>
      <c r="CX215" s="259">
        <v>0.1</v>
      </c>
      <c r="CY215" s="259">
        <v>0.1</v>
      </c>
      <c r="CZ215" s="259">
        <v>0.1</v>
      </c>
      <c r="DA215" s="259">
        <v>0.1</v>
      </c>
      <c r="DB215" s="259">
        <v>0.1</v>
      </c>
      <c r="DC215" s="259">
        <v>0.1</v>
      </c>
      <c r="DD215" s="259">
        <v>0.1</v>
      </c>
      <c r="DE215" s="259">
        <v>0.1</v>
      </c>
      <c r="DF215" s="260">
        <v>0.1</v>
      </c>
      <c r="DG215" s="258">
        <v>0.1</v>
      </c>
      <c r="DH215" s="259">
        <v>0.1</v>
      </c>
      <c r="DI215" s="259">
        <v>0.1</v>
      </c>
      <c r="DJ215" s="259">
        <v>0.1</v>
      </c>
      <c r="DK215" s="259">
        <v>0.1</v>
      </c>
      <c r="DL215" s="259">
        <v>0.1</v>
      </c>
      <c r="DM215" s="259">
        <v>0.1</v>
      </c>
      <c r="DN215" s="259">
        <v>0.1</v>
      </c>
      <c r="DO215" s="259">
        <v>0.1</v>
      </c>
      <c r="DP215" s="259">
        <v>0.1</v>
      </c>
      <c r="DQ215" s="259">
        <v>0.1</v>
      </c>
      <c r="DR215" s="259">
        <v>0.1</v>
      </c>
      <c r="DS215" s="259">
        <v>0.1</v>
      </c>
      <c r="DT215" s="259">
        <v>0.1</v>
      </c>
      <c r="DU215" s="259">
        <v>0.1</v>
      </c>
      <c r="DV215" s="259">
        <v>0.1</v>
      </c>
      <c r="DW215" s="259">
        <v>0.1</v>
      </c>
      <c r="DX215" s="259">
        <v>0.1</v>
      </c>
      <c r="DY215" s="259">
        <v>0.1</v>
      </c>
      <c r="DZ215" s="259">
        <v>0.1</v>
      </c>
      <c r="EA215" s="259">
        <v>0.1</v>
      </c>
      <c r="EB215" s="259">
        <v>0.1</v>
      </c>
      <c r="EC215" s="259">
        <v>0.1</v>
      </c>
      <c r="ED215" s="259">
        <v>0.1</v>
      </c>
      <c r="EE215" s="259">
        <v>0.1</v>
      </c>
      <c r="EF215" s="260">
        <v>0.1</v>
      </c>
      <c r="EJ215">
        <v>212</v>
      </c>
      <c r="EN215">
        <v>0.1</v>
      </c>
      <c r="EO215">
        <v>0.1</v>
      </c>
      <c r="EP215">
        <v>0.1</v>
      </c>
      <c r="EQ215">
        <v>0.1</v>
      </c>
      <c r="ER215">
        <v>0.1</v>
      </c>
      <c r="ES215">
        <v>0.1</v>
      </c>
      <c r="ET215">
        <v>0.1</v>
      </c>
      <c r="EU215">
        <v>0.1</v>
      </c>
      <c r="EV215">
        <v>0.1</v>
      </c>
      <c r="EW215">
        <v>0.1</v>
      </c>
      <c r="EX215">
        <v>0.1</v>
      </c>
      <c r="EY215">
        <v>0.1</v>
      </c>
      <c r="EZ215">
        <v>0.1</v>
      </c>
      <c r="FA215">
        <v>0.1</v>
      </c>
      <c r="FB215">
        <v>0.1</v>
      </c>
      <c r="FC215">
        <v>0.1</v>
      </c>
      <c r="FD215">
        <v>0.1</v>
      </c>
      <c r="FE215">
        <v>0.1</v>
      </c>
      <c r="FF215">
        <v>0.1</v>
      </c>
      <c r="FG215">
        <v>0.1</v>
      </c>
      <c r="FH215">
        <v>0.1</v>
      </c>
      <c r="FI215">
        <v>0.1</v>
      </c>
      <c r="FJ215">
        <v>0.1</v>
      </c>
      <c r="FK215">
        <v>0.1</v>
      </c>
      <c r="FL215">
        <v>0.1</v>
      </c>
      <c r="FM215">
        <v>0.1</v>
      </c>
      <c r="FN215">
        <v>0.1</v>
      </c>
      <c r="FO215">
        <v>0.1</v>
      </c>
      <c r="FP215">
        <v>0.1</v>
      </c>
      <c r="FQ215">
        <v>0.1</v>
      </c>
      <c r="FU215">
        <v>212</v>
      </c>
      <c r="GB215">
        <v>0.1</v>
      </c>
      <c r="GC215">
        <v>0.1</v>
      </c>
      <c r="GD215">
        <v>0.1</v>
      </c>
      <c r="GE215">
        <v>0.1</v>
      </c>
      <c r="GF215">
        <v>0.1</v>
      </c>
      <c r="GG215">
        <v>0.1</v>
      </c>
      <c r="GH215">
        <v>0.1</v>
      </c>
      <c r="GI215">
        <v>0.1</v>
      </c>
      <c r="GJ215">
        <v>0.1</v>
      </c>
      <c r="GK215">
        <v>0.1</v>
      </c>
      <c r="GL215">
        <v>0.1</v>
      </c>
      <c r="GM215">
        <v>0.1</v>
      </c>
      <c r="GN215">
        <v>0.1</v>
      </c>
      <c r="GO215">
        <v>0.1</v>
      </c>
      <c r="GP215">
        <v>0.1</v>
      </c>
      <c r="GQ215">
        <v>0.1</v>
      </c>
      <c r="GR215">
        <v>0.1</v>
      </c>
      <c r="GS215">
        <v>0.1</v>
      </c>
      <c r="GT215">
        <v>0.1</v>
      </c>
      <c r="GU215">
        <v>0.1</v>
      </c>
      <c r="GV215">
        <v>0.1</v>
      </c>
      <c r="GW215">
        <v>0.1</v>
      </c>
      <c r="GX215">
        <v>0.1</v>
      </c>
      <c r="GY215">
        <v>0.1</v>
      </c>
      <c r="GZ215">
        <v>0.1</v>
      </c>
      <c r="HA215">
        <v>0.1</v>
      </c>
      <c r="HB215">
        <v>0.1</v>
      </c>
      <c r="HC215">
        <v>0.1</v>
      </c>
      <c r="HD215">
        <v>0.1</v>
      </c>
      <c r="HE215">
        <v>0.1</v>
      </c>
      <c r="HF215">
        <v>0.1</v>
      </c>
      <c r="HG215">
        <v>0.1</v>
      </c>
      <c r="HH215">
        <v>0.1</v>
      </c>
      <c r="HI215">
        <v>0.1</v>
      </c>
      <c r="HJ215">
        <v>0.1</v>
      </c>
      <c r="HK215">
        <v>0.1</v>
      </c>
      <c r="HL215">
        <v>0.1</v>
      </c>
      <c r="HM215">
        <v>0.1</v>
      </c>
      <c r="HN215">
        <v>0.1</v>
      </c>
      <c r="HO215">
        <v>0.1</v>
      </c>
    </row>
    <row r="216" spans="1:223" ht="15.75" thickBot="1" x14ac:dyDescent="0.3">
      <c r="A216">
        <v>213</v>
      </c>
      <c r="C216" s="2"/>
      <c r="D216" s="2"/>
      <c r="E216" s="2"/>
      <c r="G216" s="2"/>
      <c r="H216">
        <v>0.1</v>
      </c>
      <c r="I216">
        <v>0.1</v>
      </c>
      <c r="J216">
        <v>0.1</v>
      </c>
      <c r="K216">
        <v>0.1</v>
      </c>
      <c r="L216">
        <v>0.1</v>
      </c>
      <c r="M216">
        <v>0.1</v>
      </c>
      <c r="N216">
        <v>0.1</v>
      </c>
      <c r="O216">
        <v>0.1</v>
      </c>
      <c r="P216">
        <v>0.1</v>
      </c>
      <c r="Q216">
        <v>0.1</v>
      </c>
      <c r="R216">
        <v>0.1</v>
      </c>
      <c r="S216">
        <v>0.1</v>
      </c>
      <c r="T216">
        <v>0.1</v>
      </c>
      <c r="U216">
        <v>0.1</v>
      </c>
      <c r="V216">
        <v>0.1</v>
      </c>
      <c r="W216">
        <v>0.1</v>
      </c>
      <c r="X216">
        <v>0.1</v>
      </c>
      <c r="Y216">
        <v>0.1</v>
      </c>
      <c r="Z216">
        <v>0.1</v>
      </c>
      <c r="AA216">
        <v>0.1</v>
      </c>
      <c r="AB216">
        <v>0.1</v>
      </c>
      <c r="AC216">
        <v>0.1</v>
      </c>
      <c r="AD216">
        <v>0.1</v>
      </c>
      <c r="AE216">
        <v>0.1</v>
      </c>
      <c r="AF216">
        <v>0.1</v>
      </c>
      <c r="AG216">
        <v>0.1</v>
      </c>
      <c r="AH216">
        <v>0.1</v>
      </c>
      <c r="AI216">
        <v>0.1</v>
      </c>
      <c r="AJ216">
        <v>0.1</v>
      </c>
      <c r="AK216">
        <v>0.1</v>
      </c>
      <c r="AL216">
        <v>0.1</v>
      </c>
      <c r="AM216">
        <v>0.1</v>
      </c>
      <c r="AN216">
        <v>0.1</v>
      </c>
      <c r="AO216">
        <v>0.1</v>
      </c>
      <c r="AP216">
        <v>0.1</v>
      </c>
      <c r="AQ216">
        <v>0.1</v>
      </c>
      <c r="AR216">
        <v>0.1</v>
      </c>
      <c r="AS216">
        <v>0.1</v>
      </c>
      <c r="AT216">
        <v>0.1</v>
      </c>
      <c r="AU216">
        <v>0.1</v>
      </c>
      <c r="AV216">
        <v>0.1</v>
      </c>
      <c r="AW216">
        <v>0.1</v>
      </c>
      <c r="AX216">
        <v>0.1</v>
      </c>
      <c r="AY216">
        <v>0.1</v>
      </c>
      <c r="AZ216">
        <v>0.1</v>
      </c>
      <c r="BA216">
        <v>0.1</v>
      </c>
      <c r="BB216">
        <v>0.1</v>
      </c>
      <c r="BC216">
        <v>0.1</v>
      </c>
      <c r="BD216">
        <v>0.1</v>
      </c>
      <c r="BE216">
        <v>0.1</v>
      </c>
      <c r="BF216">
        <v>0.1</v>
      </c>
      <c r="BG216">
        <v>0.1</v>
      </c>
      <c r="BH216">
        <v>0.1</v>
      </c>
      <c r="BI216">
        <v>0.1</v>
      </c>
      <c r="BJ216">
        <v>0.1</v>
      </c>
      <c r="BK216">
        <v>0.1</v>
      </c>
      <c r="BL216">
        <v>0.1</v>
      </c>
      <c r="BM216">
        <v>0.1</v>
      </c>
      <c r="BN216">
        <v>0.1</v>
      </c>
      <c r="BO216">
        <v>0.1</v>
      </c>
      <c r="BS216">
        <v>213</v>
      </c>
      <c r="BT216" s="271">
        <v>3.32</v>
      </c>
      <c r="BU216" s="270">
        <v>2.6</v>
      </c>
      <c r="BV216" s="2"/>
      <c r="BW216" s="2"/>
      <c r="BX216" s="2"/>
      <c r="BY216" s="258">
        <v>0.1</v>
      </c>
      <c r="BZ216" s="259">
        <v>0.1</v>
      </c>
      <c r="CA216" s="259">
        <v>0.1</v>
      </c>
      <c r="CB216" s="259">
        <v>0.1</v>
      </c>
      <c r="CC216" s="259">
        <v>0.1</v>
      </c>
      <c r="CD216" s="259">
        <v>0.1</v>
      </c>
      <c r="CE216" s="259">
        <v>0.1</v>
      </c>
      <c r="CF216" s="259">
        <v>0.1</v>
      </c>
      <c r="CG216" s="259">
        <v>0.1</v>
      </c>
      <c r="CH216" s="259">
        <v>0.1</v>
      </c>
      <c r="CI216" s="259">
        <v>0.1</v>
      </c>
      <c r="CJ216" s="259">
        <v>0.1</v>
      </c>
      <c r="CK216" s="259">
        <v>0.1</v>
      </c>
      <c r="CL216" s="259">
        <v>0.1</v>
      </c>
      <c r="CM216" s="259">
        <v>0.1</v>
      </c>
      <c r="CN216" s="259">
        <v>0.1</v>
      </c>
      <c r="CO216" s="259">
        <v>0.1</v>
      </c>
      <c r="CP216" s="259">
        <v>0.1</v>
      </c>
      <c r="CQ216" s="259">
        <v>0.1</v>
      </c>
      <c r="CR216" s="259">
        <v>0.1</v>
      </c>
      <c r="CS216" s="259">
        <v>0.1</v>
      </c>
      <c r="CT216" s="259">
        <v>0.1</v>
      </c>
      <c r="CU216" s="259">
        <v>0.1</v>
      </c>
      <c r="CV216" s="259">
        <v>0.1</v>
      </c>
      <c r="CW216" s="259">
        <v>0.1</v>
      </c>
      <c r="CX216" s="259">
        <v>0.1</v>
      </c>
      <c r="CY216" s="259">
        <v>0.1</v>
      </c>
      <c r="CZ216" s="259">
        <v>0.1</v>
      </c>
      <c r="DA216" s="259">
        <v>0.1</v>
      </c>
      <c r="DB216" s="259">
        <v>0.1</v>
      </c>
      <c r="DC216" s="259">
        <v>0.1</v>
      </c>
      <c r="DD216" s="259">
        <v>0.1</v>
      </c>
      <c r="DE216" s="259">
        <v>0.1</v>
      </c>
      <c r="DF216" s="260">
        <v>0.1</v>
      </c>
      <c r="DG216" s="258">
        <v>0.1</v>
      </c>
      <c r="DH216" s="259">
        <v>0.1</v>
      </c>
      <c r="DI216" s="259">
        <v>0.1</v>
      </c>
      <c r="DJ216" s="259">
        <v>0.1</v>
      </c>
      <c r="DK216" s="259">
        <v>0.1</v>
      </c>
      <c r="DL216" s="259">
        <v>0.1</v>
      </c>
      <c r="DM216" s="259">
        <v>0.1</v>
      </c>
      <c r="DN216" s="259">
        <v>0.1</v>
      </c>
      <c r="DO216" s="259">
        <v>0.1</v>
      </c>
      <c r="DP216" s="259">
        <v>0.1</v>
      </c>
      <c r="DQ216" s="259">
        <v>0.1</v>
      </c>
      <c r="DR216" s="259">
        <v>0.1</v>
      </c>
      <c r="DS216" s="259">
        <v>0.1</v>
      </c>
      <c r="DT216" s="259">
        <v>0.1</v>
      </c>
      <c r="DU216" s="259">
        <v>0.1</v>
      </c>
      <c r="DV216" s="259">
        <v>0.1</v>
      </c>
      <c r="DW216" s="259">
        <v>0.1</v>
      </c>
      <c r="DX216" s="259">
        <v>0.1</v>
      </c>
      <c r="DY216" s="259">
        <v>0.1</v>
      </c>
      <c r="DZ216" s="259">
        <v>0.1</v>
      </c>
      <c r="EA216" s="259">
        <v>0.1</v>
      </c>
      <c r="EB216" s="259">
        <v>0.1</v>
      </c>
      <c r="EC216" s="259">
        <v>0.1</v>
      </c>
      <c r="ED216" s="259">
        <v>0.1</v>
      </c>
      <c r="EE216" s="259">
        <v>0.1</v>
      </c>
      <c r="EF216" s="260">
        <v>0.1</v>
      </c>
      <c r="EJ216">
        <v>213</v>
      </c>
      <c r="EN216">
        <v>0.1</v>
      </c>
      <c r="EO216">
        <v>0.1</v>
      </c>
      <c r="EP216">
        <v>0.1</v>
      </c>
      <c r="EQ216">
        <v>0.1</v>
      </c>
      <c r="ER216">
        <v>0.1</v>
      </c>
      <c r="ES216">
        <v>0.1</v>
      </c>
      <c r="ET216">
        <v>0.1</v>
      </c>
      <c r="EU216">
        <v>0.1</v>
      </c>
      <c r="EV216">
        <v>0.1</v>
      </c>
      <c r="EW216">
        <v>0.1</v>
      </c>
      <c r="EX216">
        <v>0.1</v>
      </c>
      <c r="EY216">
        <v>0.1</v>
      </c>
      <c r="EZ216">
        <v>0.1</v>
      </c>
      <c r="FA216">
        <v>0.1</v>
      </c>
      <c r="FB216">
        <v>0.1</v>
      </c>
      <c r="FC216">
        <v>0.1</v>
      </c>
      <c r="FD216">
        <v>0.1</v>
      </c>
      <c r="FE216">
        <v>0.1</v>
      </c>
      <c r="FF216">
        <v>0.1</v>
      </c>
      <c r="FG216">
        <v>0.1</v>
      </c>
      <c r="FH216">
        <v>0.1</v>
      </c>
      <c r="FI216">
        <v>0.1</v>
      </c>
      <c r="FJ216">
        <v>0.1</v>
      </c>
      <c r="FK216">
        <v>0.1</v>
      </c>
      <c r="FL216">
        <v>0.1</v>
      </c>
      <c r="FM216">
        <v>0.1</v>
      </c>
      <c r="FN216">
        <v>0.1</v>
      </c>
      <c r="FO216">
        <v>0.1</v>
      </c>
      <c r="FP216">
        <v>0.1</v>
      </c>
      <c r="FQ216">
        <v>0.1</v>
      </c>
      <c r="FU216">
        <v>213</v>
      </c>
      <c r="GB216">
        <v>0.1</v>
      </c>
      <c r="GC216">
        <v>0.1</v>
      </c>
      <c r="GD216">
        <v>0.1</v>
      </c>
      <c r="GE216">
        <v>0.1</v>
      </c>
      <c r="GF216">
        <v>0.1</v>
      </c>
      <c r="GG216">
        <v>0.1</v>
      </c>
      <c r="GH216">
        <v>0.1</v>
      </c>
      <c r="GI216">
        <v>0.1</v>
      </c>
      <c r="GJ216">
        <v>0.1</v>
      </c>
      <c r="GK216">
        <v>0.1</v>
      </c>
      <c r="GL216">
        <v>0.1</v>
      </c>
      <c r="GM216">
        <v>0.1</v>
      </c>
      <c r="GN216">
        <v>0.1</v>
      </c>
      <c r="GO216">
        <v>0.1</v>
      </c>
      <c r="GP216">
        <v>0.1</v>
      </c>
      <c r="GQ216">
        <v>0.1</v>
      </c>
      <c r="GR216">
        <v>0.1</v>
      </c>
      <c r="GS216">
        <v>0.1</v>
      </c>
      <c r="GT216">
        <v>0.1</v>
      </c>
      <c r="GU216">
        <v>0.1</v>
      </c>
      <c r="GV216">
        <v>0.1</v>
      </c>
      <c r="GW216">
        <v>0.1</v>
      </c>
      <c r="GX216">
        <v>0.1</v>
      </c>
      <c r="GY216">
        <v>0.1</v>
      </c>
      <c r="GZ216">
        <v>0.1</v>
      </c>
      <c r="HA216">
        <v>0.1</v>
      </c>
      <c r="HB216">
        <v>0.1</v>
      </c>
      <c r="HC216">
        <v>0.1</v>
      </c>
      <c r="HD216">
        <v>0.1</v>
      </c>
      <c r="HE216">
        <v>0.1</v>
      </c>
      <c r="HF216">
        <v>0.1</v>
      </c>
      <c r="HG216">
        <v>0.1</v>
      </c>
      <c r="HH216">
        <v>0.1</v>
      </c>
      <c r="HI216">
        <v>0.1</v>
      </c>
      <c r="HJ216">
        <v>0.1</v>
      </c>
      <c r="HK216">
        <v>0.1</v>
      </c>
      <c r="HL216">
        <v>0.1</v>
      </c>
      <c r="HM216">
        <v>0.1</v>
      </c>
      <c r="HN216">
        <v>0.1</v>
      </c>
      <c r="HO216">
        <v>0.1</v>
      </c>
    </row>
    <row r="217" spans="1:223" ht="15.75" thickBot="1" x14ac:dyDescent="0.3">
      <c r="A217">
        <v>214</v>
      </c>
      <c r="C217" s="2"/>
      <c r="D217" s="2"/>
      <c r="E217" s="2"/>
      <c r="G217" s="2"/>
      <c r="H217">
        <v>0.1</v>
      </c>
      <c r="I217">
        <v>0.1</v>
      </c>
      <c r="J217">
        <v>0.1</v>
      </c>
      <c r="K217">
        <v>0.1</v>
      </c>
      <c r="L217">
        <v>0.1</v>
      </c>
      <c r="M217">
        <v>0.1</v>
      </c>
      <c r="N217">
        <v>0.1</v>
      </c>
      <c r="O217">
        <v>0.1</v>
      </c>
      <c r="P217">
        <v>0.1</v>
      </c>
      <c r="Q217">
        <v>0.1</v>
      </c>
      <c r="R217">
        <v>0.1</v>
      </c>
      <c r="S217">
        <v>0.1</v>
      </c>
      <c r="T217">
        <v>0.1</v>
      </c>
      <c r="U217">
        <v>0.1</v>
      </c>
      <c r="V217">
        <v>0.1</v>
      </c>
      <c r="W217">
        <v>0.1</v>
      </c>
      <c r="X217">
        <v>0.1</v>
      </c>
      <c r="Y217">
        <v>0.1</v>
      </c>
      <c r="Z217">
        <v>0.1</v>
      </c>
      <c r="AA217">
        <v>0.1</v>
      </c>
      <c r="AB217">
        <v>0.1</v>
      </c>
      <c r="AC217">
        <v>0.1</v>
      </c>
      <c r="AD217">
        <v>0.1</v>
      </c>
      <c r="AE217">
        <v>0.1</v>
      </c>
      <c r="AF217">
        <v>0.1</v>
      </c>
      <c r="AG217">
        <v>0.1</v>
      </c>
      <c r="AH217">
        <v>0.1</v>
      </c>
      <c r="AI217">
        <v>0.1</v>
      </c>
      <c r="AJ217">
        <v>0.1</v>
      </c>
      <c r="AK217">
        <v>0.1</v>
      </c>
      <c r="AL217">
        <v>0.1</v>
      </c>
      <c r="AM217">
        <v>0.1</v>
      </c>
      <c r="AN217">
        <v>0.1</v>
      </c>
      <c r="AO217">
        <v>0.1</v>
      </c>
      <c r="AP217">
        <v>0.1</v>
      </c>
      <c r="AQ217">
        <v>0.1</v>
      </c>
      <c r="AR217">
        <v>0.1</v>
      </c>
      <c r="AS217">
        <v>0.1</v>
      </c>
      <c r="AT217">
        <v>0.1</v>
      </c>
      <c r="AU217">
        <v>0.1</v>
      </c>
      <c r="AV217">
        <v>0.1</v>
      </c>
      <c r="AW217">
        <v>0.1</v>
      </c>
      <c r="AX217">
        <v>0.1</v>
      </c>
      <c r="AY217">
        <v>0.1</v>
      </c>
      <c r="AZ217">
        <v>0.1</v>
      </c>
      <c r="BA217">
        <v>0.1</v>
      </c>
      <c r="BB217">
        <v>0.1</v>
      </c>
      <c r="BC217">
        <v>0.1</v>
      </c>
      <c r="BD217">
        <v>0.1</v>
      </c>
      <c r="BE217">
        <v>0.1</v>
      </c>
      <c r="BF217">
        <v>0.1</v>
      </c>
      <c r="BG217">
        <v>0.1</v>
      </c>
      <c r="BH217">
        <v>0.1</v>
      </c>
      <c r="BI217">
        <v>0.1</v>
      </c>
      <c r="BJ217">
        <v>0.1</v>
      </c>
      <c r="BK217">
        <v>0.1</v>
      </c>
      <c r="BL217">
        <v>0.1</v>
      </c>
      <c r="BM217">
        <v>0.1</v>
      </c>
      <c r="BN217">
        <v>0.1</v>
      </c>
      <c r="BO217">
        <v>0.1</v>
      </c>
      <c r="BS217">
        <v>214</v>
      </c>
      <c r="BT217" s="270">
        <v>3.32</v>
      </c>
      <c r="BU217" s="271">
        <v>2.6</v>
      </c>
      <c r="BV217" s="2"/>
      <c r="BW217" s="2"/>
      <c r="BX217" s="2"/>
      <c r="BY217" s="258">
        <v>0.1</v>
      </c>
      <c r="BZ217" s="259">
        <v>0.1</v>
      </c>
      <c r="CA217" s="259">
        <v>0.1</v>
      </c>
      <c r="CB217" s="259">
        <v>0.1</v>
      </c>
      <c r="CC217" s="259">
        <v>0.1</v>
      </c>
      <c r="CD217" s="259">
        <v>0.1</v>
      </c>
      <c r="CE217" s="259">
        <v>0.1</v>
      </c>
      <c r="CF217" s="259">
        <v>0.1</v>
      </c>
      <c r="CG217" s="259">
        <v>0.1</v>
      </c>
      <c r="CH217" s="259">
        <v>0.1</v>
      </c>
      <c r="CI217" s="259">
        <v>0.1</v>
      </c>
      <c r="CJ217" s="259">
        <v>0.1</v>
      </c>
      <c r="CK217" s="259">
        <v>0.1</v>
      </c>
      <c r="CL217" s="259">
        <v>0.1</v>
      </c>
      <c r="CM217" s="259">
        <v>0.1</v>
      </c>
      <c r="CN217" s="259">
        <v>0.1</v>
      </c>
      <c r="CO217" s="259">
        <v>0.1</v>
      </c>
      <c r="CP217" s="259">
        <v>0.1</v>
      </c>
      <c r="CQ217" s="259">
        <v>0.1</v>
      </c>
      <c r="CR217" s="259">
        <v>0.1</v>
      </c>
      <c r="CS217" s="259">
        <v>0.1</v>
      </c>
      <c r="CT217" s="259">
        <v>0.1</v>
      </c>
      <c r="CU217" s="259">
        <v>0.1</v>
      </c>
      <c r="CV217" s="259">
        <v>0.1</v>
      </c>
      <c r="CW217" s="259">
        <v>0.1</v>
      </c>
      <c r="CX217" s="259">
        <v>0.1</v>
      </c>
      <c r="CY217" s="259">
        <v>0.1</v>
      </c>
      <c r="CZ217" s="259">
        <v>0.1</v>
      </c>
      <c r="DA217" s="259">
        <v>0.1</v>
      </c>
      <c r="DB217" s="259">
        <v>0.1</v>
      </c>
      <c r="DC217" s="259">
        <v>0.1</v>
      </c>
      <c r="DD217" s="259">
        <v>0.1</v>
      </c>
      <c r="DE217" s="259">
        <v>0.1</v>
      </c>
      <c r="DF217" s="260">
        <v>0.1</v>
      </c>
      <c r="DG217" s="258">
        <v>0.1</v>
      </c>
      <c r="DH217" s="259">
        <v>0.1</v>
      </c>
      <c r="DI217" s="259">
        <v>0.1</v>
      </c>
      <c r="DJ217" s="259">
        <v>0.1</v>
      </c>
      <c r="DK217" s="259">
        <v>0.1</v>
      </c>
      <c r="DL217" s="259">
        <v>0.1</v>
      </c>
      <c r="DM217" s="259">
        <v>0.1</v>
      </c>
      <c r="DN217" s="259">
        <v>0.1</v>
      </c>
      <c r="DO217" s="259">
        <v>0.1</v>
      </c>
      <c r="DP217" s="259">
        <v>0.1</v>
      </c>
      <c r="DQ217" s="259">
        <v>0.1</v>
      </c>
      <c r="DR217" s="259">
        <v>0.1</v>
      </c>
      <c r="DS217" s="259">
        <v>0.1</v>
      </c>
      <c r="DT217" s="259">
        <v>0.1</v>
      </c>
      <c r="DU217" s="259">
        <v>0.1</v>
      </c>
      <c r="DV217" s="259">
        <v>0.1</v>
      </c>
      <c r="DW217" s="259">
        <v>0.1</v>
      </c>
      <c r="DX217" s="259">
        <v>0.1</v>
      </c>
      <c r="DY217" s="259">
        <v>0.1</v>
      </c>
      <c r="DZ217" s="259">
        <v>0.1</v>
      </c>
      <c r="EA217" s="259">
        <v>0.1</v>
      </c>
      <c r="EB217" s="259">
        <v>0.1</v>
      </c>
      <c r="EC217" s="259">
        <v>0.1</v>
      </c>
      <c r="ED217" s="259">
        <v>0.1</v>
      </c>
      <c r="EE217" s="259">
        <v>0.1</v>
      </c>
      <c r="EF217" s="260">
        <v>0.1</v>
      </c>
      <c r="EJ217">
        <v>214</v>
      </c>
      <c r="EN217">
        <v>0.1</v>
      </c>
      <c r="EO217">
        <v>0.1</v>
      </c>
      <c r="EP217">
        <v>0.1</v>
      </c>
      <c r="EQ217">
        <v>0.1</v>
      </c>
      <c r="ER217">
        <v>0.1</v>
      </c>
      <c r="ES217">
        <v>0.1</v>
      </c>
      <c r="ET217">
        <v>0.1</v>
      </c>
      <c r="EU217">
        <v>0.1</v>
      </c>
      <c r="EV217">
        <v>0.1</v>
      </c>
      <c r="EW217">
        <v>0.1</v>
      </c>
      <c r="EX217">
        <v>0.1</v>
      </c>
      <c r="EY217">
        <v>0.1</v>
      </c>
      <c r="EZ217">
        <v>0.1</v>
      </c>
      <c r="FA217">
        <v>0.1</v>
      </c>
      <c r="FB217">
        <v>0.1</v>
      </c>
      <c r="FC217">
        <v>0.1</v>
      </c>
      <c r="FD217">
        <v>0.1</v>
      </c>
      <c r="FE217">
        <v>0.1</v>
      </c>
      <c r="FF217">
        <v>0.1</v>
      </c>
      <c r="FG217">
        <v>0.1</v>
      </c>
      <c r="FH217">
        <v>0.1</v>
      </c>
      <c r="FI217">
        <v>0.1</v>
      </c>
      <c r="FJ217">
        <v>0.1</v>
      </c>
      <c r="FK217">
        <v>0.1</v>
      </c>
      <c r="FL217">
        <v>0.1</v>
      </c>
      <c r="FM217">
        <v>0.1</v>
      </c>
      <c r="FN217">
        <v>0.1</v>
      </c>
      <c r="FO217">
        <v>0.1</v>
      </c>
      <c r="FP217">
        <v>0.1</v>
      </c>
      <c r="FQ217">
        <v>0.1</v>
      </c>
      <c r="FU217">
        <v>214</v>
      </c>
      <c r="GB217">
        <v>0.1</v>
      </c>
      <c r="GC217">
        <v>0.1</v>
      </c>
      <c r="GD217">
        <v>0.1</v>
      </c>
      <c r="GE217">
        <v>0.1</v>
      </c>
      <c r="GF217">
        <v>0.1</v>
      </c>
      <c r="GG217">
        <v>0.1</v>
      </c>
      <c r="GH217">
        <v>0.1</v>
      </c>
      <c r="GI217">
        <v>0.1</v>
      </c>
      <c r="GJ217">
        <v>0.1</v>
      </c>
      <c r="GK217">
        <v>0.1</v>
      </c>
      <c r="GL217">
        <v>0.1</v>
      </c>
      <c r="GM217">
        <v>0.1</v>
      </c>
      <c r="GN217">
        <v>0.1</v>
      </c>
      <c r="GO217">
        <v>0.1</v>
      </c>
      <c r="GP217">
        <v>0.1</v>
      </c>
      <c r="GQ217">
        <v>0.1</v>
      </c>
      <c r="GR217">
        <v>0.1</v>
      </c>
      <c r="GS217">
        <v>0.1</v>
      </c>
      <c r="GT217">
        <v>0.1</v>
      </c>
      <c r="GU217">
        <v>0.1</v>
      </c>
      <c r="GV217">
        <v>0.1</v>
      </c>
      <c r="GW217">
        <v>0.1</v>
      </c>
      <c r="GX217">
        <v>0.1</v>
      </c>
      <c r="GY217">
        <v>0.1</v>
      </c>
      <c r="GZ217">
        <v>0.1</v>
      </c>
      <c r="HA217">
        <v>0.1</v>
      </c>
      <c r="HB217">
        <v>0.1</v>
      </c>
      <c r="HC217">
        <v>0.1</v>
      </c>
      <c r="HD217">
        <v>0.1</v>
      </c>
      <c r="HE217">
        <v>0.1</v>
      </c>
      <c r="HF217">
        <v>0.1</v>
      </c>
      <c r="HG217">
        <v>0.1</v>
      </c>
      <c r="HH217">
        <v>0.1</v>
      </c>
      <c r="HI217">
        <v>0.1</v>
      </c>
      <c r="HJ217">
        <v>0.1</v>
      </c>
      <c r="HK217">
        <v>0.1</v>
      </c>
      <c r="HL217">
        <v>0.1</v>
      </c>
      <c r="HM217">
        <v>0.1</v>
      </c>
      <c r="HN217">
        <v>0.1</v>
      </c>
      <c r="HO217">
        <v>0.1</v>
      </c>
    </row>
    <row r="218" spans="1:223" ht="15.75" thickBot="1" x14ac:dyDescent="0.3">
      <c r="A218">
        <v>215</v>
      </c>
      <c r="C218" s="2"/>
      <c r="D218" s="2"/>
      <c r="E218" s="2"/>
      <c r="G218" s="2"/>
      <c r="H218">
        <v>0.1</v>
      </c>
      <c r="I218">
        <v>0.1</v>
      </c>
      <c r="J218">
        <v>0.1</v>
      </c>
      <c r="K218">
        <v>0.1</v>
      </c>
      <c r="L218">
        <v>0.1</v>
      </c>
      <c r="M218">
        <v>0.1</v>
      </c>
      <c r="N218">
        <v>0.1</v>
      </c>
      <c r="O218">
        <v>0.1</v>
      </c>
      <c r="P218">
        <v>0.1</v>
      </c>
      <c r="Q218">
        <v>0.1</v>
      </c>
      <c r="R218">
        <v>0.1</v>
      </c>
      <c r="S218">
        <v>0.1</v>
      </c>
      <c r="T218">
        <v>0.1</v>
      </c>
      <c r="U218">
        <v>0.1</v>
      </c>
      <c r="V218">
        <v>0.1</v>
      </c>
      <c r="W218">
        <v>0.1</v>
      </c>
      <c r="X218">
        <v>0.1</v>
      </c>
      <c r="Y218">
        <v>0.1</v>
      </c>
      <c r="Z218">
        <v>0.1</v>
      </c>
      <c r="AA218">
        <v>0.1</v>
      </c>
      <c r="AB218">
        <v>0.1</v>
      </c>
      <c r="AC218">
        <v>0.1</v>
      </c>
      <c r="AD218">
        <v>0.1</v>
      </c>
      <c r="AE218">
        <v>0.1</v>
      </c>
      <c r="AF218">
        <v>0.1</v>
      </c>
      <c r="AG218">
        <v>0.1</v>
      </c>
      <c r="AH218">
        <v>0.1</v>
      </c>
      <c r="AI218">
        <v>0.1</v>
      </c>
      <c r="AJ218">
        <v>0.1</v>
      </c>
      <c r="AK218">
        <v>0.1</v>
      </c>
      <c r="AL218">
        <v>0.1</v>
      </c>
      <c r="AM218">
        <v>0.1</v>
      </c>
      <c r="AN218">
        <v>0.1</v>
      </c>
      <c r="AO218">
        <v>0.1</v>
      </c>
      <c r="AP218">
        <v>0.1</v>
      </c>
      <c r="AQ218">
        <v>0.1</v>
      </c>
      <c r="AR218">
        <v>0.1</v>
      </c>
      <c r="AS218">
        <v>0.1</v>
      </c>
      <c r="AT218">
        <v>0.1</v>
      </c>
      <c r="AU218">
        <v>0.1</v>
      </c>
      <c r="AV218">
        <v>0.1</v>
      </c>
      <c r="AW218">
        <v>0.1</v>
      </c>
      <c r="AX218">
        <v>0.1</v>
      </c>
      <c r="AY218">
        <v>0.1</v>
      </c>
      <c r="AZ218">
        <v>0.1</v>
      </c>
      <c r="BA218">
        <v>0.1</v>
      </c>
      <c r="BB218">
        <v>0.1</v>
      </c>
      <c r="BC218">
        <v>0.1</v>
      </c>
      <c r="BD218">
        <v>0.1</v>
      </c>
      <c r="BE218">
        <v>0.1</v>
      </c>
      <c r="BF218">
        <v>0.1</v>
      </c>
      <c r="BG218">
        <v>0.1</v>
      </c>
      <c r="BH218">
        <v>0.1</v>
      </c>
      <c r="BI218">
        <v>0.1</v>
      </c>
      <c r="BJ218">
        <v>0.1</v>
      </c>
      <c r="BK218">
        <v>0.1</v>
      </c>
      <c r="BL218">
        <v>0.1</v>
      </c>
      <c r="BM218">
        <v>0.1</v>
      </c>
      <c r="BN218">
        <v>0.1</v>
      </c>
      <c r="BO218">
        <v>0.1</v>
      </c>
      <c r="BS218">
        <v>215</v>
      </c>
      <c r="BT218" s="271">
        <v>3.32</v>
      </c>
      <c r="BU218" s="270">
        <v>2.6</v>
      </c>
      <c r="BV218" s="2"/>
      <c r="BW218" s="2"/>
      <c r="BX218" s="2"/>
      <c r="BY218" s="258">
        <v>0.1</v>
      </c>
      <c r="BZ218" s="259">
        <v>0.1</v>
      </c>
      <c r="CA218" s="259">
        <v>0.1</v>
      </c>
      <c r="CB218" s="259">
        <v>0.1</v>
      </c>
      <c r="CC218" s="259">
        <v>0.1</v>
      </c>
      <c r="CD218" s="259">
        <v>0.1</v>
      </c>
      <c r="CE218" s="259">
        <v>0.1</v>
      </c>
      <c r="CF218" s="259">
        <v>0.1</v>
      </c>
      <c r="CG218" s="259">
        <v>0.1</v>
      </c>
      <c r="CH218" s="259">
        <v>0.1</v>
      </c>
      <c r="CI218" s="259">
        <v>0.1</v>
      </c>
      <c r="CJ218" s="259">
        <v>0.1</v>
      </c>
      <c r="CK218" s="259">
        <v>0.1</v>
      </c>
      <c r="CL218" s="259">
        <v>0.1</v>
      </c>
      <c r="CM218" s="259">
        <v>0.1</v>
      </c>
      <c r="CN218" s="259">
        <v>0.1</v>
      </c>
      <c r="CO218" s="259">
        <v>0.1</v>
      </c>
      <c r="CP218" s="259">
        <v>0.1</v>
      </c>
      <c r="CQ218" s="259">
        <v>0.1</v>
      </c>
      <c r="CR218" s="259">
        <v>0.1</v>
      </c>
      <c r="CS218" s="259">
        <v>0.1</v>
      </c>
      <c r="CT218" s="259">
        <v>0.1</v>
      </c>
      <c r="CU218" s="259">
        <v>0.1</v>
      </c>
      <c r="CV218" s="259">
        <v>0.1</v>
      </c>
      <c r="CW218" s="259">
        <v>0.1</v>
      </c>
      <c r="CX218" s="259">
        <v>0.1</v>
      </c>
      <c r="CY218" s="259">
        <v>0.1</v>
      </c>
      <c r="CZ218" s="259">
        <v>0.1</v>
      </c>
      <c r="DA218" s="259">
        <v>0.1</v>
      </c>
      <c r="DB218" s="259">
        <v>0.1</v>
      </c>
      <c r="DC218" s="259">
        <v>0.1</v>
      </c>
      <c r="DD218" s="259">
        <v>0.1</v>
      </c>
      <c r="DE218" s="259">
        <v>0.1</v>
      </c>
      <c r="DF218" s="260">
        <v>0.1</v>
      </c>
      <c r="DG218" s="258">
        <v>0.1</v>
      </c>
      <c r="DH218" s="259">
        <v>0.1</v>
      </c>
      <c r="DI218" s="259">
        <v>0.1</v>
      </c>
      <c r="DJ218" s="259">
        <v>0.1</v>
      </c>
      <c r="DK218" s="259">
        <v>0.1</v>
      </c>
      <c r="DL218" s="259">
        <v>0.1</v>
      </c>
      <c r="DM218" s="259">
        <v>0.1</v>
      </c>
      <c r="DN218" s="259">
        <v>0.1</v>
      </c>
      <c r="DO218" s="259">
        <v>0.1</v>
      </c>
      <c r="DP218" s="259">
        <v>0.1</v>
      </c>
      <c r="DQ218" s="259">
        <v>0.1</v>
      </c>
      <c r="DR218" s="259">
        <v>0.1</v>
      </c>
      <c r="DS218" s="259">
        <v>0.1</v>
      </c>
      <c r="DT218" s="259">
        <v>0.1</v>
      </c>
      <c r="DU218" s="259">
        <v>0.1</v>
      </c>
      <c r="DV218" s="259">
        <v>0.1</v>
      </c>
      <c r="DW218" s="259">
        <v>0.1</v>
      </c>
      <c r="DX218" s="259">
        <v>0.1</v>
      </c>
      <c r="DY218" s="259">
        <v>0.1</v>
      </c>
      <c r="DZ218" s="259">
        <v>0.1</v>
      </c>
      <c r="EA218" s="259">
        <v>0.1</v>
      </c>
      <c r="EB218" s="259">
        <v>0.1</v>
      </c>
      <c r="EC218" s="259">
        <v>0.1</v>
      </c>
      <c r="ED218" s="259">
        <v>0.1</v>
      </c>
      <c r="EE218" s="259">
        <v>0.1</v>
      </c>
      <c r="EF218" s="260">
        <v>0.1</v>
      </c>
      <c r="EJ218">
        <v>215</v>
      </c>
      <c r="EN218">
        <v>0.1</v>
      </c>
      <c r="EO218">
        <v>0.1</v>
      </c>
      <c r="EP218">
        <v>0.1</v>
      </c>
      <c r="EQ218">
        <v>0.1</v>
      </c>
      <c r="ER218">
        <v>0.1</v>
      </c>
      <c r="ES218">
        <v>0.1</v>
      </c>
      <c r="ET218">
        <v>0.1</v>
      </c>
      <c r="EU218">
        <v>0.1</v>
      </c>
      <c r="EV218">
        <v>0.1</v>
      </c>
      <c r="EW218">
        <v>0.1</v>
      </c>
      <c r="EX218">
        <v>0.1</v>
      </c>
      <c r="EY218">
        <v>0.1</v>
      </c>
      <c r="EZ218">
        <v>0.1</v>
      </c>
      <c r="FA218">
        <v>0.1</v>
      </c>
      <c r="FB218">
        <v>0.1</v>
      </c>
      <c r="FC218">
        <v>0.1</v>
      </c>
      <c r="FD218">
        <v>0.1</v>
      </c>
      <c r="FE218">
        <v>0.1</v>
      </c>
      <c r="FF218">
        <v>0.1</v>
      </c>
      <c r="FG218">
        <v>0.1</v>
      </c>
      <c r="FH218">
        <v>0.1</v>
      </c>
      <c r="FI218">
        <v>0.1</v>
      </c>
      <c r="FJ218">
        <v>0.1</v>
      </c>
      <c r="FK218">
        <v>0.1</v>
      </c>
      <c r="FL218">
        <v>0.1</v>
      </c>
      <c r="FM218">
        <v>0.1</v>
      </c>
      <c r="FN218">
        <v>0.1</v>
      </c>
      <c r="FO218">
        <v>0.1</v>
      </c>
      <c r="FP218">
        <v>0.1</v>
      </c>
      <c r="FQ218">
        <v>0.1</v>
      </c>
      <c r="FU218">
        <v>215</v>
      </c>
      <c r="GB218">
        <v>0.1</v>
      </c>
      <c r="GC218">
        <v>0.1</v>
      </c>
      <c r="GD218">
        <v>0.1</v>
      </c>
      <c r="GE218">
        <v>0.1</v>
      </c>
      <c r="GF218">
        <v>0.1</v>
      </c>
      <c r="GG218">
        <v>0.1</v>
      </c>
      <c r="GH218">
        <v>0.1</v>
      </c>
      <c r="GI218">
        <v>0.1</v>
      </c>
      <c r="GJ218">
        <v>0.1</v>
      </c>
      <c r="GK218">
        <v>0.1</v>
      </c>
      <c r="GL218">
        <v>0.1</v>
      </c>
      <c r="GM218">
        <v>0.1</v>
      </c>
      <c r="GN218">
        <v>0.1</v>
      </c>
      <c r="GO218">
        <v>0.1</v>
      </c>
      <c r="GP218">
        <v>0.1</v>
      </c>
      <c r="GQ218">
        <v>0.1</v>
      </c>
      <c r="GR218">
        <v>0.1</v>
      </c>
      <c r="GS218">
        <v>0.1</v>
      </c>
      <c r="GT218">
        <v>0.1</v>
      </c>
      <c r="GU218">
        <v>0.1</v>
      </c>
      <c r="GV218">
        <v>0.1</v>
      </c>
      <c r="GW218">
        <v>0.1</v>
      </c>
      <c r="GX218">
        <v>0.1</v>
      </c>
      <c r="GY218">
        <v>0.1</v>
      </c>
      <c r="GZ218">
        <v>0.1</v>
      </c>
      <c r="HA218">
        <v>0.1</v>
      </c>
      <c r="HB218">
        <v>0.1</v>
      </c>
      <c r="HC218">
        <v>0.1</v>
      </c>
      <c r="HD218">
        <v>0.1</v>
      </c>
      <c r="HE218">
        <v>0.1</v>
      </c>
      <c r="HF218">
        <v>0.1</v>
      </c>
      <c r="HG218">
        <v>0.1</v>
      </c>
      <c r="HH218">
        <v>0.1</v>
      </c>
      <c r="HI218">
        <v>0.1</v>
      </c>
      <c r="HJ218">
        <v>0.1</v>
      </c>
      <c r="HK218">
        <v>0.1</v>
      </c>
      <c r="HL218">
        <v>0.1</v>
      </c>
      <c r="HM218">
        <v>0.1</v>
      </c>
      <c r="HN218">
        <v>0.1</v>
      </c>
      <c r="HO218">
        <v>0.1</v>
      </c>
    </row>
    <row r="219" spans="1:223" ht="15.75" thickBot="1" x14ac:dyDescent="0.3">
      <c r="A219">
        <v>216</v>
      </c>
      <c r="C219" s="2"/>
      <c r="D219" s="2"/>
      <c r="E219" s="2"/>
      <c r="G219" s="2"/>
      <c r="H219">
        <v>0.1</v>
      </c>
      <c r="I219">
        <v>0.1</v>
      </c>
      <c r="J219">
        <v>0.1</v>
      </c>
      <c r="K219">
        <v>0.1</v>
      </c>
      <c r="L219">
        <v>0.1</v>
      </c>
      <c r="M219">
        <v>0.1</v>
      </c>
      <c r="N219">
        <v>0.1</v>
      </c>
      <c r="O219">
        <v>0.1</v>
      </c>
      <c r="P219">
        <v>0.1</v>
      </c>
      <c r="Q219">
        <v>0.1</v>
      </c>
      <c r="R219">
        <v>0.1</v>
      </c>
      <c r="S219">
        <v>0.1</v>
      </c>
      <c r="T219">
        <v>0.1</v>
      </c>
      <c r="U219">
        <v>0.1</v>
      </c>
      <c r="V219">
        <v>0.1</v>
      </c>
      <c r="W219">
        <v>0.1</v>
      </c>
      <c r="X219">
        <v>0.1</v>
      </c>
      <c r="Y219">
        <v>0.1</v>
      </c>
      <c r="Z219">
        <v>0.1</v>
      </c>
      <c r="AA219">
        <v>0.1</v>
      </c>
      <c r="AB219">
        <v>0.1</v>
      </c>
      <c r="AC219">
        <v>0.1</v>
      </c>
      <c r="AD219">
        <v>0.1</v>
      </c>
      <c r="AE219">
        <v>0.1</v>
      </c>
      <c r="AF219">
        <v>0.1</v>
      </c>
      <c r="AG219">
        <v>0.1</v>
      </c>
      <c r="AH219">
        <v>0.1</v>
      </c>
      <c r="AI219">
        <v>0.1</v>
      </c>
      <c r="AJ219">
        <v>0.1</v>
      </c>
      <c r="AK219">
        <v>0.1</v>
      </c>
      <c r="AL219">
        <v>0.1</v>
      </c>
      <c r="AM219">
        <v>0.1</v>
      </c>
      <c r="AN219">
        <v>0.1</v>
      </c>
      <c r="AO219">
        <v>0.1</v>
      </c>
      <c r="AP219">
        <v>0.1</v>
      </c>
      <c r="AQ219">
        <v>0.1</v>
      </c>
      <c r="AR219">
        <v>0.1</v>
      </c>
      <c r="AS219">
        <v>0.1</v>
      </c>
      <c r="AT219">
        <v>0.1</v>
      </c>
      <c r="AU219">
        <v>0.1</v>
      </c>
      <c r="AV219">
        <v>0.1</v>
      </c>
      <c r="AW219">
        <v>0.1</v>
      </c>
      <c r="AX219">
        <v>0.1</v>
      </c>
      <c r="AY219">
        <v>0.1</v>
      </c>
      <c r="AZ219">
        <v>0.1</v>
      </c>
      <c r="BA219">
        <v>0.1</v>
      </c>
      <c r="BB219">
        <v>0.1</v>
      </c>
      <c r="BC219">
        <v>0.1</v>
      </c>
      <c r="BD219">
        <v>0.1</v>
      </c>
      <c r="BE219">
        <v>0.1</v>
      </c>
      <c r="BF219">
        <v>0.1</v>
      </c>
      <c r="BG219">
        <v>0.1</v>
      </c>
      <c r="BH219">
        <v>0.1</v>
      </c>
      <c r="BI219">
        <v>0.1</v>
      </c>
      <c r="BJ219">
        <v>0.1</v>
      </c>
      <c r="BK219">
        <v>0.1</v>
      </c>
      <c r="BL219">
        <v>0.1</v>
      </c>
      <c r="BM219">
        <v>0.1</v>
      </c>
      <c r="BN219">
        <v>0.1</v>
      </c>
      <c r="BO219">
        <v>0.1</v>
      </c>
      <c r="BS219">
        <v>216</v>
      </c>
      <c r="BT219" s="270">
        <v>3.32</v>
      </c>
      <c r="BU219" s="271">
        <v>2.6</v>
      </c>
      <c r="BV219" s="2"/>
      <c r="BW219" s="2"/>
      <c r="BX219" s="2"/>
      <c r="BY219" s="258">
        <v>0.1</v>
      </c>
      <c r="BZ219" s="259">
        <v>0.1</v>
      </c>
      <c r="CA219" s="259">
        <v>0.1</v>
      </c>
      <c r="CB219" s="259">
        <v>0.1</v>
      </c>
      <c r="CC219" s="259">
        <v>0.1</v>
      </c>
      <c r="CD219" s="259">
        <v>0.1</v>
      </c>
      <c r="CE219" s="259">
        <v>0.1</v>
      </c>
      <c r="CF219" s="259">
        <v>0.1</v>
      </c>
      <c r="CG219" s="259">
        <v>0.1</v>
      </c>
      <c r="CH219" s="259">
        <v>0.1</v>
      </c>
      <c r="CI219" s="259">
        <v>0.1</v>
      </c>
      <c r="CJ219" s="259">
        <v>0.1</v>
      </c>
      <c r="CK219" s="259">
        <v>0.1</v>
      </c>
      <c r="CL219" s="259">
        <v>0.1</v>
      </c>
      <c r="CM219" s="259">
        <v>0.1</v>
      </c>
      <c r="CN219" s="259">
        <v>0.1</v>
      </c>
      <c r="CO219" s="259">
        <v>0.1</v>
      </c>
      <c r="CP219" s="259">
        <v>0.1</v>
      </c>
      <c r="CQ219" s="259">
        <v>0.1</v>
      </c>
      <c r="CR219" s="259">
        <v>0.1</v>
      </c>
      <c r="CS219" s="259">
        <v>0.1</v>
      </c>
      <c r="CT219" s="259">
        <v>0.1</v>
      </c>
      <c r="CU219" s="259">
        <v>0.1</v>
      </c>
      <c r="CV219" s="259">
        <v>0.1</v>
      </c>
      <c r="CW219" s="259">
        <v>0.1</v>
      </c>
      <c r="CX219" s="259">
        <v>0.1</v>
      </c>
      <c r="CY219" s="259">
        <v>0.1</v>
      </c>
      <c r="CZ219" s="259">
        <v>0.1</v>
      </c>
      <c r="DA219" s="259">
        <v>0.1</v>
      </c>
      <c r="DB219" s="259">
        <v>0.1</v>
      </c>
      <c r="DC219" s="259">
        <v>0.1</v>
      </c>
      <c r="DD219" s="259">
        <v>0.1</v>
      </c>
      <c r="DE219" s="259">
        <v>0.1</v>
      </c>
      <c r="DF219" s="260">
        <v>0.1</v>
      </c>
      <c r="DG219" s="258">
        <v>0.1</v>
      </c>
      <c r="DH219" s="259">
        <v>0.1</v>
      </c>
      <c r="DI219" s="259">
        <v>0.1</v>
      </c>
      <c r="DJ219" s="259">
        <v>0.1</v>
      </c>
      <c r="DK219" s="259">
        <v>0.1</v>
      </c>
      <c r="DL219" s="259">
        <v>0.1</v>
      </c>
      <c r="DM219" s="259">
        <v>0.1</v>
      </c>
      <c r="DN219" s="259">
        <v>0.1</v>
      </c>
      <c r="DO219" s="259">
        <v>0.1</v>
      </c>
      <c r="DP219" s="259">
        <v>0.1</v>
      </c>
      <c r="DQ219" s="259">
        <v>0.1</v>
      </c>
      <c r="DR219" s="259">
        <v>0.1</v>
      </c>
      <c r="DS219" s="259">
        <v>0.1</v>
      </c>
      <c r="DT219" s="259">
        <v>0.1</v>
      </c>
      <c r="DU219" s="259">
        <v>0.1</v>
      </c>
      <c r="DV219" s="259">
        <v>0.1</v>
      </c>
      <c r="DW219" s="259">
        <v>0.1</v>
      </c>
      <c r="DX219" s="259">
        <v>0.1</v>
      </c>
      <c r="DY219" s="259">
        <v>0.1</v>
      </c>
      <c r="DZ219" s="259">
        <v>0.1</v>
      </c>
      <c r="EA219" s="259">
        <v>0.1</v>
      </c>
      <c r="EB219" s="259">
        <v>0.1</v>
      </c>
      <c r="EC219" s="259">
        <v>0.1</v>
      </c>
      <c r="ED219" s="259">
        <v>0.1</v>
      </c>
      <c r="EE219" s="259">
        <v>0.1</v>
      </c>
      <c r="EF219" s="260">
        <v>0.1</v>
      </c>
      <c r="EJ219">
        <v>216</v>
      </c>
      <c r="EN219">
        <v>0.1</v>
      </c>
      <c r="EO219">
        <v>0.1</v>
      </c>
      <c r="EP219">
        <v>0.1</v>
      </c>
      <c r="EQ219">
        <v>0.1</v>
      </c>
      <c r="ER219">
        <v>0.1</v>
      </c>
      <c r="ES219">
        <v>0.1</v>
      </c>
      <c r="ET219">
        <v>0.1</v>
      </c>
      <c r="EU219">
        <v>0.1</v>
      </c>
      <c r="EV219">
        <v>0.1</v>
      </c>
      <c r="EW219">
        <v>0.1</v>
      </c>
      <c r="EX219">
        <v>0.1</v>
      </c>
      <c r="EY219">
        <v>0.1</v>
      </c>
      <c r="EZ219">
        <v>0.1</v>
      </c>
      <c r="FA219">
        <v>0.1</v>
      </c>
      <c r="FB219">
        <v>0.1</v>
      </c>
      <c r="FC219">
        <v>0.1</v>
      </c>
      <c r="FD219">
        <v>0.1</v>
      </c>
      <c r="FE219">
        <v>0.1</v>
      </c>
      <c r="FF219">
        <v>0.1</v>
      </c>
      <c r="FG219">
        <v>0.1</v>
      </c>
      <c r="FH219">
        <v>0.1</v>
      </c>
      <c r="FI219">
        <v>0.1</v>
      </c>
      <c r="FJ219">
        <v>0.1</v>
      </c>
      <c r="FK219">
        <v>0.1</v>
      </c>
      <c r="FL219">
        <v>0.1</v>
      </c>
      <c r="FM219">
        <v>0.1</v>
      </c>
      <c r="FN219">
        <v>0.1</v>
      </c>
      <c r="FO219">
        <v>0.1</v>
      </c>
      <c r="FP219">
        <v>0.1</v>
      </c>
      <c r="FQ219">
        <v>0.1</v>
      </c>
      <c r="FU219">
        <v>216</v>
      </c>
      <c r="GB219">
        <v>0.1</v>
      </c>
      <c r="GC219">
        <v>0.1</v>
      </c>
      <c r="GD219">
        <v>0.1</v>
      </c>
      <c r="GE219">
        <v>0.1</v>
      </c>
      <c r="GF219">
        <v>0.1</v>
      </c>
      <c r="GG219">
        <v>0.1</v>
      </c>
      <c r="GH219">
        <v>0.1</v>
      </c>
      <c r="GI219">
        <v>0.1</v>
      </c>
      <c r="GJ219">
        <v>0.1</v>
      </c>
      <c r="GK219">
        <v>0.1</v>
      </c>
      <c r="GL219">
        <v>0.1</v>
      </c>
      <c r="GM219">
        <v>0.1</v>
      </c>
      <c r="GN219">
        <v>0.1</v>
      </c>
      <c r="GO219">
        <v>0.1</v>
      </c>
      <c r="GP219">
        <v>0.1</v>
      </c>
      <c r="GQ219">
        <v>0.1</v>
      </c>
      <c r="GR219">
        <v>0.1</v>
      </c>
      <c r="GS219">
        <v>0.1</v>
      </c>
      <c r="GT219">
        <v>0.1</v>
      </c>
      <c r="GU219">
        <v>0.1</v>
      </c>
      <c r="GV219">
        <v>0.1</v>
      </c>
      <c r="GW219">
        <v>0.1</v>
      </c>
      <c r="GX219">
        <v>0.1</v>
      </c>
      <c r="GY219">
        <v>0.1</v>
      </c>
      <c r="GZ219">
        <v>0.1</v>
      </c>
      <c r="HA219">
        <v>0.1</v>
      </c>
      <c r="HB219">
        <v>0.1</v>
      </c>
      <c r="HC219">
        <v>0.1</v>
      </c>
      <c r="HD219">
        <v>0.1</v>
      </c>
      <c r="HE219">
        <v>0.1</v>
      </c>
      <c r="HF219">
        <v>0.1</v>
      </c>
      <c r="HG219">
        <v>0.1</v>
      </c>
      <c r="HH219">
        <v>0.1</v>
      </c>
      <c r="HI219">
        <v>0.1</v>
      </c>
      <c r="HJ219">
        <v>0.1</v>
      </c>
      <c r="HK219">
        <v>0.1</v>
      </c>
      <c r="HL219">
        <v>0.1</v>
      </c>
      <c r="HM219">
        <v>0.1</v>
      </c>
      <c r="HN219">
        <v>0.1</v>
      </c>
      <c r="HO219">
        <v>0.1</v>
      </c>
    </row>
    <row r="220" spans="1:223" ht="15.75" thickBot="1" x14ac:dyDescent="0.3">
      <c r="A220">
        <v>217</v>
      </c>
      <c r="C220" s="2"/>
      <c r="D220" s="2"/>
      <c r="E220" s="2"/>
      <c r="G220" s="2"/>
      <c r="H220">
        <v>0.1</v>
      </c>
      <c r="I220">
        <v>0.1</v>
      </c>
      <c r="J220">
        <v>0.1</v>
      </c>
      <c r="K220">
        <v>0.1</v>
      </c>
      <c r="L220">
        <v>0.1</v>
      </c>
      <c r="M220">
        <v>0.1</v>
      </c>
      <c r="N220">
        <v>0.1</v>
      </c>
      <c r="O220">
        <v>0.1</v>
      </c>
      <c r="P220">
        <v>0.1</v>
      </c>
      <c r="Q220">
        <v>0.1</v>
      </c>
      <c r="R220">
        <v>0.1</v>
      </c>
      <c r="S220">
        <v>0.1</v>
      </c>
      <c r="T220">
        <v>0.1</v>
      </c>
      <c r="U220">
        <v>0.1</v>
      </c>
      <c r="V220">
        <v>0.1</v>
      </c>
      <c r="W220">
        <v>0.1</v>
      </c>
      <c r="X220">
        <v>0.1</v>
      </c>
      <c r="Y220">
        <v>0.1</v>
      </c>
      <c r="Z220">
        <v>0.1</v>
      </c>
      <c r="AA220">
        <v>0.1</v>
      </c>
      <c r="AB220">
        <v>0.1</v>
      </c>
      <c r="AC220">
        <v>0.1</v>
      </c>
      <c r="AD220">
        <v>0.1</v>
      </c>
      <c r="AE220">
        <v>0.1</v>
      </c>
      <c r="AF220">
        <v>0.1</v>
      </c>
      <c r="AG220">
        <v>0.1</v>
      </c>
      <c r="AH220">
        <v>0.1</v>
      </c>
      <c r="AI220">
        <v>0.1</v>
      </c>
      <c r="AJ220">
        <v>0.1</v>
      </c>
      <c r="AK220">
        <v>0.1</v>
      </c>
      <c r="AL220">
        <v>0.1</v>
      </c>
      <c r="AM220">
        <v>0.1</v>
      </c>
      <c r="AN220">
        <v>0.1</v>
      </c>
      <c r="AO220">
        <v>0.1</v>
      </c>
      <c r="AP220">
        <v>0.1</v>
      </c>
      <c r="AQ220">
        <v>0.1</v>
      </c>
      <c r="AR220">
        <v>0.1</v>
      </c>
      <c r="AS220">
        <v>0.1</v>
      </c>
      <c r="AT220">
        <v>0.1</v>
      </c>
      <c r="AU220">
        <v>0.1</v>
      </c>
      <c r="AV220">
        <v>0.1</v>
      </c>
      <c r="AW220">
        <v>0.1</v>
      </c>
      <c r="AX220">
        <v>0.1</v>
      </c>
      <c r="AY220">
        <v>0.1</v>
      </c>
      <c r="AZ220">
        <v>0.1</v>
      </c>
      <c r="BA220">
        <v>0.1</v>
      </c>
      <c r="BB220">
        <v>0.1</v>
      </c>
      <c r="BC220">
        <v>0.1</v>
      </c>
      <c r="BD220">
        <v>0.1</v>
      </c>
      <c r="BE220">
        <v>0.1</v>
      </c>
      <c r="BF220">
        <v>0.1</v>
      </c>
      <c r="BG220">
        <v>0.1</v>
      </c>
      <c r="BH220">
        <v>0.1</v>
      </c>
      <c r="BI220">
        <v>0.1</v>
      </c>
      <c r="BJ220">
        <v>0.1</v>
      </c>
      <c r="BK220">
        <v>0.1</v>
      </c>
      <c r="BL220">
        <v>0.1</v>
      </c>
      <c r="BM220">
        <v>0.1</v>
      </c>
      <c r="BN220">
        <v>0.1</v>
      </c>
      <c r="BO220">
        <v>0.1</v>
      </c>
      <c r="BS220">
        <v>217</v>
      </c>
      <c r="BT220" s="271">
        <v>3.32</v>
      </c>
      <c r="BU220" s="270">
        <v>2.6</v>
      </c>
      <c r="BV220" s="2"/>
      <c r="BW220" s="2"/>
      <c r="BX220" s="2"/>
      <c r="BY220" s="258">
        <v>0.1</v>
      </c>
      <c r="BZ220" s="259">
        <v>0.1</v>
      </c>
      <c r="CA220" s="259">
        <v>0.1</v>
      </c>
      <c r="CB220" s="259">
        <v>0.1</v>
      </c>
      <c r="CC220" s="259">
        <v>0.1</v>
      </c>
      <c r="CD220" s="259">
        <v>0.1</v>
      </c>
      <c r="CE220" s="259">
        <v>0.1</v>
      </c>
      <c r="CF220" s="259">
        <v>0.1</v>
      </c>
      <c r="CG220" s="259">
        <v>0.1</v>
      </c>
      <c r="CH220" s="259">
        <v>0.1</v>
      </c>
      <c r="CI220" s="259">
        <v>0.1</v>
      </c>
      <c r="CJ220" s="259">
        <v>0.1</v>
      </c>
      <c r="CK220" s="259">
        <v>0.1</v>
      </c>
      <c r="CL220" s="259">
        <v>0.1</v>
      </c>
      <c r="CM220" s="259">
        <v>0.1</v>
      </c>
      <c r="CN220" s="259">
        <v>0.1</v>
      </c>
      <c r="CO220" s="259">
        <v>0.1</v>
      </c>
      <c r="CP220" s="259">
        <v>0.1</v>
      </c>
      <c r="CQ220" s="259">
        <v>0.1</v>
      </c>
      <c r="CR220" s="259">
        <v>0.1</v>
      </c>
      <c r="CS220" s="259">
        <v>0.1</v>
      </c>
      <c r="CT220" s="259">
        <v>0.1</v>
      </c>
      <c r="CU220" s="259">
        <v>0.1</v>
      </c>
      <c r="CV220" s="259">
        <v>0.1</v>
      </c>
      <c r="CW220" s="259">
        <v>0.1</v>
      </c>
      <c r="CX220" s="259">
        <v>0.1</v>
      </c>
      <c r="CY220" s="259">
        <v>0.1</v>
      </c>
      <c r="CZ220" s="259">
        <v>0.1</v>
      </c>
      <c r="DA220" s="259">
        <v>0.1</v>
      </c>
      <c r="DB220" s="259">
        <v>0.1</v>
      </c>
      <c r="DC220" s="259">
        <v>0.1</v>
      </c>
      <c r="DD220" s="259">
        <v>0.1</v>
      </c>
      <c r="DE220" s="259">
        <v>0.1</v>
      </c>
      <c r="DF220" s="260">
        <v>0.1</v>
      </c>
      <c r="DG220" s="258">
        <v>0.1</v>
      </c>
      <c r="DH220" s="259">
        <v>0.1</v>
      </c>
      <c r="DI220" s="259">
        <v>0.1</v>
      </c>
      <c r="DJ220" s="259">
        <v>0.1</v>
      </c>
      <c r="DK220" s="259">
        <v>0.1</v>
      </c>
      <c r="DL220" s="259">
        <v>0.1</v>
      </c>
      <c r="DM220" s="259">
        <v>0.1</v>
      </c>
      <c r="DN220" s="259">
        <v>0.1</v>
      </c>
      <c r="DO220" s="259">
        <v>0.1</v>
      </c>
      <c r="DP220" s="259">
        <v>0.1</v>
      </c>
      <c r="DQ220" s="259">
        <v>0.1</v>
      </c>
      <c r="DR220" s="259">
        <v>0.1</v>
      </c>
      <c r="DS220" s="259">
        <v>0.1</v>
      </c>
      <c r="DT220" s="259">
        <v>0.1</v>
      </c>
      <c r="DU220" s="259">
        <v>0.1</v>
      </c>
      <c r="DV220" s="259">
        <v>0.1</v>
      </c>
      <c r="DW220" s="259">
        <v>0.1</v>
      </c>
      <c r="DX220" s="259">
        <v>0.1</v>
      </c>
      <c r="DY220" s="259">
        <v>0.1</v>
      </c>
      <c r="DZ220" s="259">
        <v>0.1</v>
      </c>
      <c r="EA220" s="259">
        <v>0.1</v>
      </c>
      <c r="EB220" s="259">
        <v>0.1</v>
      </c>
      <c r="EC220" s="259">
        <v>0.1</v>
      </c>
      <c r="ED220" s="259">
        <v>0.1</v>
      </c>
      <c r="EE220" s="259">
        <v>0.1</v>
      </c>
      <c r="EF220" s="260">
        <v>0.1</v>
      </c>
      <c r="EJ220">
        <v>217</v>
      </c>
      <c r="EN220">
        <v>0.1</v>
      </c>
      <c r="EO220">
        <v>0.1</v>
      </c>
      <c r="EP220">
        <v>0.1</v>
      </c>
      <c r="EQ220">
        <v>0.1</v>
      </c>
      <c r="ER220">
        <v>0.1</v>
      </c>
      <c r="ES220">
        <v>0.1</v>
      </c>
      <c r="ET220">
        <v>0.1</v>
      </c>
      <c r="EU220">
        <v>0.1</v>
      </c>
      <c r="EV220">
        <v>0.1</v>
      </c>
      <c r="EW220">
        <v>0.1</v>
      </c>
      <c r="EX220">
        <v>0.1</v>
      </c>
      <c r="EY220">
        <v>0.1</v>
      </c>
      <c r="EZ220">
        <v>0.1</v>
      </c>
      <c r="FA220">
        <v>0.1</v>
      </c>
      <c r="FB220">
        <v>0.1</v>
      </c>
      <c r="FC220">
        <v>0.1</v>
      </c>
      <c r="FD220">
        <v>0.1</v>
      </c>
      <c r="FE220">
        <v>0.1</v>
      </c>
      <c r="FF220">
        <v>0.1</v>
      </c>
      <c r="FG220">
        <v>0.1</v>
      </c>
      <c r="FH220">
        <v>0.1</v>
      </c>
      <c r="FI220">
        <v>0.1</v>
      </c>
      <c r="FJ220">
        <v>0.1</v>
      </c>
      <c r="FK220">
        <v>0.1</v>
      </c>
      <c r="FL220">
        <v>0.1</v>
      </c>
      <c r="FM220">
        <v>0.1</v>
      </c>
      <c r="FN220">
        <v>0.1</v>
      </c>
      <c r="FO220">
        <v>0.1</v>
      </c>
      <c r="FP220">
        <v>0.1</v>
      </c>
      <c r="FQ220">
        <v>0.1</v>
      </c>
      <c r="FU220">
        <v>217</v>
      </c>
      <c r="GB220">
        <v>0.1</v>
      </c>
      <c r="GC220">
        <v>0.1</v>
      </c>
      <c r="GD220">
        <v>0.1</v>
      </c>
      <c r="GE220">
        <v>0.1</v>
      </c>
      <c r="GF220">
        <v>0.1</v>
      </c>
      <c r="GG220">
        <v>0.1</v>
      </c>
      <c r="GH220">
        <v>0.1</v>
      </c>
      <c r="GI220">
        <v>0.1</v>
      </c>
      <c r="GJ220">
        <v>0.1</v>
      </c>
      <c r="GK220">
        <v>0.1</v>
      </c>
      <c r="GL220">
        <v>0.1</v>
      </c>
      <c r="GM220">
        <v>0.1</v>
      </c>
      <c r="GN220">
        <v>0.1</v>
      </c>
      <c r="GO220">
        <v>0.1</v>
      </c>
      <c r="GP220">
        <v>0.1</v>
      </c>
      <c r="GQ220">
        <v>0.1</v>
      </c>
      <c r="GR220">
        <v>0.1</v>
      </c>
      <c r="GS220">
        <v>0.1</v>
      </c>
      <c r="GT220">
        <v>0.1</v>
      </c>
      <c r="GU220">
        <v>0.1</v>
      </c>
      <c r="GV220">
        <v>0.1</v>
      </c>
      <c r="GW220">
        <v>0.1</v>
      </c>
      <c r="GX220">
        <v>0.1</v>
      </c>
      <c r="GY220">
        <v>0.1</v>
      </c>
      <c r="GZ220">
        <v>0.1</v>
      </c>
      <c r="HA220">
        <v>0.1</v>
      </c>
      <c r="HB220">
        <v>0.1</v>
      </c>
      <c r="HC220">
        <v>0.1</v>
      </c>
      <c r="HD220">
        <v>0.1</v>
      </c>
      <c r="HE220">
        <v>0.1</v>
      </c>
      <c r="HF220">
        <v>0.1</v>
      </c>
      <c r="HG220">
        <v>0.1</v>
      </c>
      <c r="HH220">
        <v>0.1</v>
      </c>
      <c r="HI220">
        <v>0.1</v>
      </c>
      <c r="HJ220">
        <v>0.1</v>
      </c>
      <c r="HK220">
        <v>0.1</v>
      </c>
      <c r="HL220">
        <v>0.1</v>
      </c>
      <c r="HM220">
        <v>0.1</v>
      </c>
      <c r="HN220">
        <v>0.1</v>
      </c>
      <c r="HO220">
        <v>0.1</v>
      </c>
    </row>
    <row r="221" spans="1:223" ht="15.75" thickBot="1" x14ac:dyDescent="0.3">
      <c r="A221">
        <v>218</v>
      </c>
      <c r="C221" s="2"/>
      <c r="D221" s="2"/>
      <c r="E221" s="2"/>
      <c r="G221" s="2"/>
      <c r="H221">
        <v>0.1</v>
      </c>
      <c r="I221">
        <v>0.1</v>
      </c>
      <c r="J221">
        <v>0.1</v>
      </c>
      <c r="K221">
        <v>0.1</v>
      </c>
      <c r="L221">
        <v>0.1</v>
      </c>
      <c r="M221">
        <v>0.1</v>
      </c>
      <c r="N221">
        <v>0.1</v>
      </c>
      <c r="O221">
        <v>0.1</v>
      </c>
      <c r="P221">
        <v>0.1</v>
      </c>
      <c r="Q221">
        <v>0.1</v>
      </c>
      <c r="R221">
        <v>0.1</v>
      </c>
      <c r="S221">
        <v>0.1</v>
      </c>
      <c r="T221">
        <v>0.1</v>
      </c>
      <c r="U221">
        <v>0.1</v>
      </c>
      <c r="V221">
        <v>0.1</v>
      </c>
      <c r="W221">
        <v>0.1</v>
      </c>
      <c r="X221">
        <v>0.1</v>
      </c>
      <c r="Y221">
        <v>0.1</v>
      </c>
      <c r="Z221">
        <v>0.1</v>
      </c>
      <c r="AA221">
        <v>0.1</v>
      </c>
      <c r="AB221">
        <v>0.1</v>
      </c>
      <c r="AC221">
        <v>0.1</v>
      </c>
      <c r="AD221">
        <v>0.1</v>
      </c>
      <c r="AE221">
        <v>0.1</v>
      </c>
      <c r="AF221">
        <v>0.1</v>
      </c>
      <c r="AG221">
        <v>0.1</v>
      </c>
      <c r="AH221">
        <v>0.1</v>
      </c>
      <c r="AI221">
        <v>0.1</v>
      </c>
      <c r="AJ221">
        <v>0.1</v>
      </c>
      <c r="AK221">
        <v>0.1</v>
      </c>
      <c r="AL221">
        <v>0.1</v>
      </c>
      <c r="AM221">
        <v>0.1</v>
      </c>
      <c r="AN221">
        <v>0.1</v>
      </c>
      <c r="AO221">
        <v>0.1</v>
      </c>
      <c r="AP221">
        <v>0.1</v>
      </c>
      <c r="AQ221">
        <v>0.1</v>
      </c>
      <c r="AR221">
        <v>0.1</v>
      </c>
      <c r="AS221">
        <v>0.1</v>
      </c>
      <c r="AT221">
        <v>0.1</v>
      </c>
      <c r="AU221">
        <v>0.1</v>
      </c>
      <c r="AV221">
        <v>0.1</v>
      </c>
      <c r="AW221">
        <v>0.1</v>
      </c>
      <c r="AX221">
        <v>0.1</v>
      </c>
      <c r="AY221">
        <v>0.1</v>
      </c>
      <c r="AZ221">
        <v>0.1</v>
      </c>
      <c r="BA221">
        <v>0.1</v>
      </c>
      <c r="BB221">
        <v>0.1</v>
      </c>
      <c r="BC221">
        <v>0.1</v>
      </c>
      <c r="BD221">
        <v>0.1</v>
      </c>
      <c r="BE221">
        <v>0.1</v>
      </c>
      <c r="BF221">
        <v>0.1</v>
      </c>
      <c r="BG221">
        <v>0.1</v>
      </c>
      <c r="BH221">
        <v>0.1</v>
      </c>
      <c r="BI221">
        <v>0.1</v>
      </c>
      <c r="BJ221">
        <v>0.1</v>
      </c>
      <c r="BK221">
        <v>0.1</v>
      </c>
      <c r="BL221">
        <v>0.1</v>
      </c>
      <c r="BM221">
        <v>0.1</v>
      </c>
      <c r="BN221">
        <v>0.1</v>
      </c>
      <c r="BO221">
        <v>0.1</v>
      </c>
      <c r="BS221">
        <v>218</v>
      </c>
      <c r="BT221" s="270">
        <v>3.32</v>
      </c>
      <c r="BU221" s="271">
        <v>2.6</v>
      </c>
      <c r="BV221" s="2"/>
      <c r="BW221" s="2"/>
      <c r="BX221" s="2"/>
      <c r="BY221" s="258">
        <v>0.1</v>
      </c>
      <c r="BZ221" s="259">
        <v>0.1</v>
      </c>
      <c r="CA221" s="259">
        <v>0.1</v>
      </c>
      <c r="CB221" s="259">
        <v>0.1</v>
      </c>
      <c r="CC221" s="259">
        <v>0.1</v>
      </c>
      <c r="CD221" s="259">
        <v>0.1</v>
      </c>
      <c r="CE221" s="259">
        <v>0.1</v>
      </c>
      <c r="CF221" s="259">
        <v>0.1</v>
      </c>
      <c r="CG221" s="259">
        <v>0.1</v>
      </c>
      <c r="CH221" s="259">
        <v>0.1</v>
      </c>
      <c r="CI221" s="259">
        <v>0.1</v>
      </c>
      <c r="CJ221" s="259">
        <v>0.1</v>
      </c>
      <c r="CK221" s="259">
        <v>0.1</v>
      </c>
      <c r="CL221" s="259">
        <v>0.1</v>
      </c>
      <c r="CM221" s="259">
        <v>0.1</v>
      </c>
      <c r="CN221" s="259">
        <v>0.1</v>
      </c>
      <c r="CO221" s="259">
        <v>0.1</v>
      </c>
      <c r="CP221" s="259">
        <v>0.1</v>
      </c>
      <c r="CQ221" s="259">
        <v>0.1</v>
      </c>
      <c r="CR221" s="259">
        <v>0.1</v>
      </c>
      <c r="CS221" s="259">
        <v>0.1</v>
      </c>
      <c r="CT221" s="259">
        <v>0.1</v>
      </c>
      <c r="CU221" s="259">
        <v>0.1</v>
      </c>
      <c r="CV221" s="259">
        <v>0.1</v>
      </c>
      <c r="CW221" s="259">
        <v>0.1</v>
      </c>
      <c r="CX221" s="259">
        <v>0.1</v>
      </c>
      <c r="CY221" s="259">
        <v>0.1</v>
      </c>
      <c r="CZ221" s="259">
        <v>0.1</v>
      </c>
      <c r="DA221" s="259">
        <v>0.1</v>
      </c>
      <c r="DB221" s="259">
        <v>0.1</v>
      </c>
      <c r="DC221" s="259">
        <v>0.1</v>
      </c>
      <c r="DD221" s="259">
        <v>0.1</v>
      </c>
      <c r="DE221" s="259">
        <v>0.1</v>
      </c>
      <c r="DF221" s="260">
        <v>0.1</v>
      </c>
      <c r="DG221" s="258">
        <v>0.1</v>
      </c>
      <c r="DH221" s="259">
        <v>0.1</v>
      </c>
      <c r="DI221" s="259">
        <v>0.1</v>
      </c>
      <c r="DJ221" s="259">
        <v>0.1</v>
      </c>
      <c r="DK221" s="259">
        <v>0.1</v>
      </c>
      <c r="DL221" s="259">
        <v>0.1</v>
      </c>
      <c r="DM221" s="259">
        <v>0.1</v>
      </c>
      <c r="DN221" s="259">
        <v>0.1</v>
      </c>
      <c r="DO221" s="259">
        <v>0.1</v>
      </c>
      <c r="DP221" s="259">
        <v>0.1</v>
      </c>
      <c r="DQ221" s="259">
        <v>0.1</v>
      </c>
      <c r="DR221" s="259">
        <v>0.1</v>
      </c>
      <c r="DS221" s="259">
        <v>0.1</v>
      </c>
      <c r="DT221" s="259">
        <v>0.1</v>
      </c>
      <c r="DU221" s="259">
        <v>0.1</v>
      </c>
      <c r="DV221" s="259">
        <v>0.1</v>
      </c>
      <c r="DW221" s="259">
        <v>0.1</v>
      </c>
      <c r="DX221" s="259">
        <v>0.1</v>
      </c>
      <c r="DY221" s="259">
        <v>0.1</v>
      </c>
      <c r="DZ221" s="259">
        <v>0.1</v>
      </c>
      <c r="EA221" s="259">
        <v>0.1</v>
      </c>
      <c r="EB221" s="259">
        <v>0.1</v>
      </c>
      <c r="EC221" s="259">
        <v>0.1</v>
      </c>
      <c r="ED221" s="259">
        <v>0.1</v>
      </c>
      <c r="EE221" s="259">
        <v>0.1</v>
      </c>
      <c r="EF221" s="260">
        <v>0.1</v>
      </c>
      <c r="EJ221">
        <v>218</v>
      </c>
      <c r="EN221">
        <v>0.1</v>
      </c>
      <c r="EO221">
        <v>0.1</v>
      </c>
      <c r="EP221">
        <v>0.1</v>
      </c>
      <c r="EQ221">
        <v>0.1</v>
      </c>
      <c r="ER221">
        <v>0.1</v>
      </c>
      <c r="ES221">
        <v>0.1</v>
      </c>
      <c r="ET221">
        <v>0.1</v>
      </c>
      <c r="EU221">
        <v>0.1</v>
      </c>
      <c r="EV221">
        <v>0.1</v>
      </c>
      <c r="EW221">
        <v>0.1</v>
      </c>
      <c r="EX221">
        <v>0.1</v>
      </c>
      <c r="EY221">
        <v>0.1</v>
      </c>
      <c r="EZ221">
        <v>0.1</v>
      </c>
      <c r="FA221">
        <v>0.1</v>
      </c>
      <c r="FB221">
        <v>0.1</v>
      </c>
      <c r="FC221">
        <v>0.1</v>
      </c>
      <c r="FD221">
        <v>0.1</v>
      </c>
      <c r="FE221">
        <v>0.1</v>
      </c>
      <c r="FF221">
        <v>0.1</v>
      </c>
      <c r="FG221">
        <v>0.1</v>
      </c>
      <c r="FH221">
        <v>0.1</v>
      </c>
      <c r="FI221">
        <v>0.1</v>
      </c>
      <c r="FJ221">
        <v>0.1</v>
      </c>
      <c r="FK221">
        <v>0.1</v>
      </c>
      <c r="FL221">
        <v>0.1</v>
      </c>
      <c r="FM221">
        <v>0.1</v>
      </c>
      <c r="FN221">
        <v>0.1</v>
      </c>
      <c r="FO221">
        <v>0.1</v>
      </c>
      <c r="FP221">
        <v>0.1</v>
      </c>
      <c r="FQ221">
        <v>0.1</v>
      </c>
      <c r="FU221">
        <v>218</v>
      </c>
      <c r="GB221">
        <v>0.1</v>
      </c>
      <c r="GC221">
        <v>0.1</v>
      </c>
      <c r="GD221">
        <v>0.1</v>
      </c>
      <c r="GE221">
        <v>0.1</v>
      </c>
      <c r="GF221">
        <v>0.1</v>
      </c>
      <c r="GG221">
        <v>0.1</v>
      </c>
      <c r="GH221">
        <v>0.1</v>
      </c>
      <c r="GI221">
        <v>0.1</v>
      </c>
      <c r="GJ221">
        <v>0.1</v>
      </c>
      <c r="GK221">
        <v>0.1</v>
      </c>
      <c r="GL221">
        <v>0.1</v>
      </c>
      <c r="GM221">
        <v>0.1</v>
      </c>
      <c r="GN221">
        <v>0.1</v>
      </c>
      <c r="GO221">
        <v>0.1</v>
      </c>
      <c r="GP221">
        <v>0.1</v>
      </c>
      <c r="GQ221">
        <v>0.1</v>
      </c>
      <c r="GR221">
        <v>0.1</v>
      </c>
      <c r="GS221">
        <v>0.1</v>
      </c>
      <c r="GT221">
        <v>0.1</v>
      </c>
      <c r="GU221">
        <v>0.1</v>
      </c>
      <c r="GV221">
        <v>0.1</v>
      </c>
      <c r="GW221">
        <v>0.1</v>
      </c>
      <c r="GX221">
        <v>0.1</v>
      </c>
      <c r="GY221">
        <v>0.1</v>
      </c>
      <c r="GZ221">
        <v>0.1</v>
      </c>
      <c r="HA221">
        <v>0.1</v>
      </c>
      <c r="HB221">
        <v>0.1</v>
      </c>
      <c r="HC221">
        <v>0.1</v>
      </c>
      <c r="HD221">
        <v>0.1</v>
      </c>
      <c r="HE221">
        <v>0.1</v>
      </c>
      <c r="HF221">
        <v>0.1</v>
      </c>
      <c r="HG221">
        <v>0.1</v>
      </c>
      <c r="HH221">
        <v>0.1</v>
      </c>
      <c r="HI221">
        <v>0.1</v>
      </c>
      <c r="HJ221">
        <v>0.1</v>
      </c>
      <c r="HK221">
        <v>0.1</v>
      </c>
      <c r="HL221">
        <v>0.1</v>
      </c>
      <c r="HM221">
        <v>0.1</v>
      </c>
      <c r="HN221">
        <v>0.1</v>
      </c>
      <c r="HO221">
        <v>0.1</v>
      </c>
    </row>
    <row r="222" spans="1:223" ht="15.75" thickBot="1" x14ac:dyDescent="0.3">
      <c r="A222">
        <v>219</v>
      </c>
      <c r="C222" s="2"/>
      <c r="D222" s="2"/>
      <c r="E222" s="2"/>
      <c r="G222" s="2"/>
      <c r="H222">
        <v>0.1</v>
      </c>
      <c r="I222">
        <v>0.1</v>
      </c>
      <c r="J222">
        <v>0.1</v>
      </c>
      <c r="K222">
        <v>0.1</v>
      </c>
      <c r="L222">
        <v>0.1</v>
      </c>
      <c r="M222">
        <v>0.1</v>
      </c>
      <c r="N222">
        <v>0.1</v>
      </c>
      <c r="O222">
        <v>0.1</v>
      </c>
      <c r="P222">
        <v>0.1</v>
      </c>
      <c r="Q222">
        <v>0.1</v>
      </c>
      <c r="R222">
        <v>0.1</v>
      </c>
      <c r="S222">
        <v>0.1</v>
      </c>
      <c r="T222">
        <v>0.1</v>
      </c>
      <c r="U222">
        <v>0.1</v>
      </c>
      <c r="V222">
        <v>0.1</v>
      </c>
      <c r="W222">
        <v>0.1</v>
      </c>
      <c r="X222">
        <v>0.1</v>
      </c>
      <c r="Y222">
        <v>0.1</v>
      </c>
      <c r="Z222">
        <v>0.1</v>
      </c>
      <c r="AA222">
        <v>0.1</v>
      </c>
      <c r="AB222">
        <v>0.1</v>
      </c>
      <c r="AC222">
        <v>0.1</v>
      </c>
      <c r="AD222">
        <v>0.1</v>
      </c>
      <c r="AE222">
        <v>0.1</v>
      </c>
      <c r="AF222">
        <v>0.1</v>
      </c>
      <c r="AG222">
        <v>0.1</v>
      </c>
      <c r="AH222">
        <v>0.1</v>
      </c>
      <c r="AI222">
        <v>0.1</v>
      </c>
      <c r="AJ222">
        <v>0.1</v>
      </c>
      <c r="AK222">
        <v>0.1</v>
      </c>
      <c r="AL222">
        <v>0.1</v>
      </c>
      <c r="AM222">
        <v>0.1</v>
      </c>
      <c r="AN222">
        <v>0.1</v>
      </c>
      <c r="AO222">
        <v>0.1</v>
      </c>
      <c r="AP222">
        <v>0.1</v>
      </c>
      <c r="AQ222">
        <v>0.1</v>
      </c>
      <c r="AR222">
        <v>0.1</v>
      </c>
      <c r="AS222">
        <v>0.1</v>
      </c>
      <c r="AT222">
        <v>0.1</v>
      </c>
      <c r="AU222">
        <v>0.1</v>
      </c>
      <c r="AV222">
        <v>0.1</v>
      </c>
      <c r="AW222">
        <v>0.1</v>
      </c>
      <c r="AX222">
        <v>0.1</v>
      </c>
      <c r="AY222">
        <v>0.1</v>
      </c>
      <c r="AZ222">
        <v>0.1</v>
      </c>
      <c r="BA222">
        <v>0.1</v>
      </c>
      <c r="BB222">
        <v>0.1</v>
      </c>
      <c r="BC222">
        <v>0.1</v>
      </c>
      <c r="BD222">
        <v>0.1</v>
      </c>
      <c r="BE222">
        <v>0.1</v>
      </c>
      <c r="BF222">
        <v>0.1</v>
      </c>
      <c r="BG222">
        <v>0.1</v>
      </c>
      <c r="BH222">
        <v>0.1</v>
      </c>
      <c r="BI222">
        <v>0.1</v>
      </c>
      <c r="BJ222">
        <v>0.1</v>
      </c>
      <c r="BK222">
        <v>0.1</v>
      </c>
      <c r="BL222">
        <v>0.1</v>
      </c>
      <c r="BM222">
        <v>0.1</v>
      </c>
      <c r="BN222">
        <v>0.1</v>
      </c>
      <c r="BO222">
        <v>0.1</v>
      </c>
      <c r="BS222">
        <v>219</v>
      </c>
      <c r="BT222" s="271">
        <v>3.32</v>
      </c>
      <c r="BU222" s="270">
        <v>2.6</v>
      </c>
      <c r="BV222" s="2"/>
      <c r="BW222" s="2"/>
      <c r="BX222" s="2"/>
      <c r="BY222" s="258">
        <v>0.1</v>
      </c>
      <c r="BZ222" s="259">
        <v>0.1</v>
      </c>
      <c r="CA222" s="259">
        <v>0.1</v>
      </c>
      <c r="CB222" s="259">
        <v>0.1</v>
      </c>
      <c r="CC222" s="259">
        <v>0.1</v>
      </c>
      <c r="CD222" s="259">
        <v>0.1</v>
      </c>
      <c r="CE222" s="259">
        <v>0.1</v>
      </c>
      <c r="CF222" s="259">
        <v>0.1</v>
      </c>
      <c r="CG222" s="259">
        <v>0.1</v>
      </c>
      <c r="CH222" s="259">
        <v>0.1</v>
      </c>
      <c r="CI222" s="259">
        <v>0.1</v>
      </c>
      <c r="CJ222" s="259">
        <v>0.1</v>
      </c>
      <c r="CK222" s="259">
        <v>0.1</v>
      </c>
      <c r="CL222" s="259">
        <v>0.1</v>
      </c>
      <c r="CM222" s="259">
        <v>0.1</v>
      </c>
      <c r="CN222" s="259">
        <v>0.1</v>
      </c>
      <c r="CO222" s="259">
        <v>0.1</v>
      </c>
      <c r="CP222" s="259">
        <v>0.1</v>
      </c>
      <c r="CQ222" s="259">
        <v>0.1</v>
      </c>
      <c r="CR222" s="259">
        <v>0.1</v>
      </c>
      <c r="CS222" s="259">
        <v>0.1</v>
      </c>
      <c r="CT222" s="259">
        <v>0.1</v>
      </c>
      <c r="CU222" s="259">
        <v>0.1</v>
      </c>
      <c r="CV222" s="259">
        <v>0.1</v>
      </c>
      <c r="CW222" s="259">
        <v>0.1</v>
      </c>
      <c r="CX222" s="259">
        <v>0.1</v>
      </c>
      <c r="CY222" s="259">
        <v>0.1</v>
      </c>
      <c r="CZ222" s="259">
        <v>0.1</v>
      </c>
      <c r="DA222" s="259">
        <v>0.1</v>
      </c>
      <c r="DB222" s="259">
        <v>0.1</v>
      </c>
      <c r="DC222" s="259">
        <v>0.1</v>
      </c>
      <c r="DD222" s="259">
        <v>0.1</v>
      </c>
      <c r="DE222" s="259">
        <v>0.1</v>
      </c>
      <c r="DF222" s="260">
        <v>0.1</v>
      </c>
      <c r="DG222" s="258">
        <v>0.1</v>
      </c>
      <c r="DH222" s="259">
        <v>0.1</v>
      </c>
      <c r="DI222" s="259">
        <v>0.1</v>
      </c>
      <c r="DJ222" s="259">
        <v>0.1</v>
      </c>
      <c r="DK222" s="259">
        <v>0.1</v>
      </c>
      <c r="DL222" s="259">
        <v>0.1</v>
      </c>
      <c r="DM222" s="259">
        <v>0.1</v>
      </c>
      <c r="DN222" s="259">
        <v>0.1</v>
      </c>
      <c r="DO222" s="259">
        <v>0.1</v>
      </c>
      <c r="DP222" s="259">
        <v>0.1</v>
      </c>
      <c r="DQ222" s="259">
        <v>0.1</v>
      </c>
      <c r="DR222" s="259">
        <v>0.1</v>
      </c>
      <c r="DS222" s="259">
        <v>0.1</v>
      </c>
      <c r="DT222" s="259">
        <v>0.1</v>
      </c>
      <c r="DU222" s="259">
        <v>0.1</v>
      </c>
      <c r="DV222" s="259">
        <v>0.1</v>
      </c>
      <c r="DW222" s="259">
        <v>0.1</v>
      </c>
      <c r="DX222" s="259">
        <v>0.1</v>
      </c>
      <c r="DY222" s="259">
        <v>0.1</v>
      </c>
      <c r="DZ222" s="259">
        <v>0.1</v>
      </c>
      <c r="EA222" s="259">
        <v>0.1</v>
      </c>
      <c r="EB222" s="259">
        <v>0.1</v>
      </c>
      <c r="EC222" s="259">
        <v>0.1</v>
      </c>
      <c r="ED222" s="259">
        <v>0.1</v>
      </c>
      <c r="EE222" s="259">
        <v>0.1</v>
      </c>
      <c r="EF222" s="260">
        <v>0.1</v>
      </c>
      <c r="EJ222">
        <v>219</v>
      </c>
      <c r="EN222">
        <v>0.1</v>
      </c>
      <c r="EO222">
        <v>0.1</v>
      </c>
      <c r="EP222">
        <v>0.1</v>
      </c>
      <c r="EQ222">
        <v>0.1</v>
      </c>
      <c r="ER222">
        <v>0.1</v>
      </c>
      <c r="ES222">
        <v>0.1</v>
      </c>
      <c r="ET222">
        <v>0.1</v>
      </c>
      <c r="EU222">
        <v>0.1</v>
      </c>
      <c r="EV222">
        <v>0.1</v>
      </c>
      <c r="EW222">
        <v>0.1</v>
      </c>
      <c r="EX222">
        <v>0.1</v>
      </c>
      <c r="EY222">
        <v>0.1</v>
      </c>
      <c r="EZ222">
        <v>0.1</v>
      </c>
      <c r="FA222">
        <v>0.1</v>
      </c>
      <c r="FB222">
        <v>0.1</v>
      </c>
      <c r="FC222">
        <v>0.1</v>
      </c>
      <c r="FD222">
        <v>0.1</v>
      </c>
      <c r="FE222">
        <v>0.1</v>
      </c>
      <c r="FF222">
        <v>0.1</v>
      </c>
      <c r="FG222">
        <v>0.1</v>
      </c>
      <c r="FH222">
        <v>0.1</v>
      </c>
      <c r="FI222">
        <v>0.1</v>
      </c>
      <c r="FJ222">
        <v>0.1</v>
      </c>
      <c r="FK222">
        <v>0.1</v>
      </c>
      <c r="FL222">
        <v>0.1</v>
      </c>
      <c r="FM222">
        <v>0.1</v>
      </c>
      <c r="FN222">
        <v>0.1</v>
      </c>
      <c r="FO222">
        <v>0.1</v>
      </c>
      <c r="FP222">
        <v>0.1</v>
      </c>
      <c r="FQ222">
        <v>0.1</v>
      </c>
      <c r="FU222">
        <v>219</v>
      </c>
      <c r="GB222">
        <v>0.1</v>
      </c>
      <c r="GC222">
        <v>0.1</v>
      </c>
      <c r="GD222">
        <v>0.1</v>
      </c>
      <c r="GE222">
        <v>0.1</v>
      </c>
      <c r="GF222">
        <v>0.1</v>
      </c>
      <c r="GG222">
        <v>0.1</v>
      </c>
      <c r="GH222">
        <v>0.1</v>
      </c>
      <c r="GI222">
        <v>0.1</v>
      </c>
      <c r="GJ222">
        <v>0.1</v>
      </c>
      <c r="GK222">
        <v>0.1</v>
      </c>
      <c r="GL222">
        <v>0.1</v>
      </c>
      <c r="GM222">
        <v>0.1</v>
      </c>
      <c r="GN222">
        <v>0.1</v>
      </c>
      <c r="GO222">
        <v>0.1</v>
      </c>
      <c r="GP222">
        <v>0.1</v>
      </c>
      <c r="GQ222">
        <v>0.1</v>
      </c>
      <c r="GR222">
        <v>0.1</v>
      </c>
      <c r="GS222">
        <v>0.1</v>
      </c>
      <c r="GT222">
        <v>0.1</v>
      </c>
      <c r="GU222">
        <v>0.1</v>
      </c>
      <c r="GV222">
        <v>0.1</v>
      </c>
      <c r="GW222">
        <v>0.1</v>
      </c>
      <c r="GX222">
        <v>0.1</v>
      </c>
      <c r="GY222">
        <v>0.1</v>
      </c>
      <c r="GZ222">
        <v>0.1</v>
      </c>
      <c r="HA222">
        <v>0.1</v>
      </c>
      <c r="HB222">
        <v>0.1</v>
      </c>
      <c r="HC222">
        <v>0.1</v>
      </c>
      <c r="HD222">
        <v>0.1</v>
      </c>
      <c r="HE222">
        <v>0.1</v>
      </c>
      <c r="HF222">
        <v>0.1</v>
      </c>
      <c r="HG222">
        <v>0.1</v>
      </c>
      <c r="HH222">
        <v>0.1</v>
      </c>
      <c r="HI222">
        <v>0.1</v>
      </c>
      <c r="HJ222">
        <v>0.1</v>
      </c>
      <c r="HK222">
        <v>0.1</v>
      </c>
      <c r="HL222">
        <v>0.1</v>
      </c>
      <c r="HM222">
        <v>0.1</v>
      </c>
      <c r="HN222">
        <v>0.1</v>
      </c>
      <c r="HO222">
        <v>0.1</v>
      </c>
    </row>
    <row r="223" spans="1:223" ht="15.75" thickBot="1" x14ac:dyDescent="0.3">
      <c r="A223">
        <v>220</v>
      </c>
      <c r="C223" s="2"/>
      <c r="D223" s="2"/>
      <c r="E223" s="2"/>
      <c r="G223" s="2"/>
      <c r="H223">
        <v>0.1</v>
      </c>
      <c r="I223">
        <v>0.1</v>
      </c>
      <c r="J223">
        <v>0.1</v>
      </c>
      <c r="K223">
        <v>0.1</v>
      </c>
      <c r="L223">
        <v>0.1</v>
      </c>
      <c r="M223">
        <v>0.1</v>
      </c>
      <c r="N223">
        <v>0.1</v>
      </c>
      <c r="O223">
        <v>0.1</v>
      </c>
      <c r="P223">
        <v>0.1</v>
      </c>
      <c r="Q223">
        <v>0.1</v>
      </c>
      <c r="R223">
        <v>0.1</v>
      </c>
      <c r="S223">
        <v>0.1</v>
      </c>
      <c r="T223">
        <v>0.1</v>
      </c>
      <c r="U223">
        <v>0.1</v>
      </c>
      <c r="V223">
        <v>0.1</v>
      </c>
      <c r="W223">
        <v>0.1</v>
      </c>
      <c r="X223">
        <v>0.1</v>
      </c>
      <c r="Y223">
        <v>0.1</v>
      </c>
      <c r="Z223">
        <v>0.1</v>
      </c>
      <c r="AA223">
        <v>0.1</v>
      </c>
      <c r="AB223">
        <v>0.1</v>
      </c>
      <c r="AC223">
        <v>0.1</v>
      </c>
      <c r="AD223">
        <v>0.1</v>
      </c>
      <c r="AE223">
        <v>0.1</v>
      </c>
      <c r="AF223">
        <v>0.1</v>
      </c>
      <c r="AG223">
        <v>0.1</v>
      </c>
      <c r="AH223">
        <v>0.1</v>
      </c>
      <c r="AI223">
        <v>0.1</v>
      </c>
      <c r="AJ223">
        <v>0.1</v>
      </c>
      <c r="AK223">
        <v>0.1</v>
      </c>
      <c r="AL223">
        <v>0.1</v>
      </c>
      <c r="AM223">
        <v>0.1</v>
      </c>
      <c r="AN223">
        <v>0.1</v>
      </c>
      <c r="AO223">
        <v>0.1</v>
      </c>
      <c r="AP223">
        <v>0.1</v>
      </c>
      <c r="AQ223">
        <v>0.1</v>
      </c>
      <c r="AR223">
        <v>0.1</v>
      </c>
      <c r="AS223">
        <v>0.1</v>
      </c>
      <c r="AT223">
        <v>0.1</v>
      </c>
      <c r="AU223">
        <v>0.1</v>
      </c>
      <c r="AV223">
        <v>0.1</v>
      </c>
      <c r="AW223">
        <v>0.1</v>
      </c>
      <c r="AX223">
        <v>0.1</v>
      </c>
      <c r="AY223">
        <v>0.1</v>
      </c>
      <c r="AZ223">
        <v>0.1</v>
      </c>
      <c r="BA223">
        <v>0.1</v>
      </c>
      <c r="BB223">
        <v>0.1</v>
      </c>
      <c r="BC223">
        <v>0.1</v>
      </c>
      <c r="BD223">
        <v>0.1</v>
      </c>
      <c r="BE223">
        <v>0.1</v>
      </c>
      <c r="BF223">
        <v>0.1</v>
      </c>
      <c r="BG223">
        <v>0.1</v>
      </c>
      <c r="BH223">
        <v>0.1</v>
      </c>
      <c r="BI223">
        <v>0.1</v>
      </c>
      <c r="BJ223">
        <v>0.1</v>
      </c>
      <c r="BK223">
        <v>0.1</v>
      </c>
      <c r="BL223">
        <v>0.1</v>
      </c>
      <c r="BM223">
        <v>0.1</v>
      </c>
      <c r="BN223">
        <v>0.1</v>
      </c>
      <c r="BO223">
        <v>0.1</v>
      </c>
      <c r="BS223">
        <v>220</v>
      </c>
      <c r="BT223" s="270">
        <v>3.32</v>
      </c>
      <c r="BU223" s="271">
        <v>2.6</v>
      </c>
      <c r="BV223" s="2"/>
      <c r="BW223" s="2"/>
      <c r="BX223" s="2"/>
      <c r="BY223" s="258">
        <v>0.1</v>
      </c>
      <c r="BZ223" s="259">
        <v>0.1</v>
      </c>
      <c r="CA223" s="259">
        <v>0.1</v>
      </c>
      <c r="CB223" s="259">
        <v>0.1</v>
      </c>
      <c r="CC223" s="259">
        <v>0.1</v>
      </c>
      <c r="CD223" s="259">
        <v>0.1</v>
      </c>
      <c r="CE223" s="259">
        <v>0.1</v>
      </c>
      <c r="CF223" s="259">
        <v>0.1</v>
      </c>
      <c r="CG223" s="259">
        <v>0.1</v>
      </c>
      <c r="CH223" s="259">
        <v>0.1</v>
      </c>
      <c r="CI223" s="259">
        <v>0.1</v>
      </c>
      <c r="CJ223" s="259">
        <v>0.1</v>
      </c>
      <c r="CK223" s="259">
        <v>0.1</v>
      </c>
      <c r="CL223" s="259">
        <v>0.1</v>
      </c>
      <c r="CM223" s="259">
        <v>0.1</v>
      </c>
      <c r="CN223" s="259">
        <v>0.1</v>
      </c>
      <c r="CO223" s="259">
        <v>0.1</v>
      </c>
      <c r="CP223" s="259">
        <v>0.1</v>
      </c>
      <c r="CQ223" s="259">
        <v>0.1</v>
      </c>
      <c r="CR223" s="259">
        <v>0.1</v>
      </c>
      <c r="CS223" s="259">
        <v>0.1</v>
      </c>
      <c r="CT223" s="259">
        <v>0.1</v>
      </c>
      <c r="CU223" s="259">
        <v>0.1</v>
      </c>
      <c r="CV223" s="259">
        <v>0.1</v>
      </c>
      <c r="CW223" s="259">
        <v>0.1</v>
      </c>
      <c r="CX223" s="259">
        <v>0.1</v>
      </c>
      <c r="CY223" s="259">
        <v>0.1</v>
      </c>
      <c r="CZ223" s="259">
        <v>0.1</v>
      </c>
      <c r="DA223" s="259">
        <v>0.1</v>
      </c>
      <c r="DB223" s="259">
        <v>0.1</v>
      </c>
      <c r="DC223" s="259">
        <v>0.1</v>
      </c>
      <c r="DD223" s="259">
        <v>0.1</v>
      </c>
      <c r="DE223" s="259">
        <v>0.1</v>
      </c>
      <c r="DF223" s="260">
        <v>0.1</v>
      </c>
      <c r="DG223" s="258">
        <v>0.1</v>
      </c>
      <c r="DH223" s="259">
        <v>0.1</v>
      </c>
      <c r="DI223" s="259">
        <v>0.1</v>
      </c>
      <c r="DJ223" s="259">
        <v>0.1</v>
      </c>
      <c r="DK223" s="259">
        <v>0.1</v>
      </c>
      <c r="DL223" s="259">
        <v>0.1</v>
      </c>
      <c r="DM223" s="259">
        <v>0.1</v>
      </c>
      <c r="DN223" s="259">
        <v>0.1</v>
      </c>
      <c r="DO223" s="259">
        <v>0.1</v>
      </c>
      <c r="DP223" s="259">
        <v>0.1</v>
      </c>
      <c r="DQ223" s="259">
        <v>0.1</v>
      </c>
      <c r="DR223" s="259">
        <v>0.1</v>
      </c>
      <c r="DS223" s="259">
        <v>0.1</v>
      </c>
      <c r="DT223" s="259">
        <v>0.1</v>
      </c>
      <c r="DU223" s="259">
        <v>0.1</v>
      </c>
      <c r="DV223" s="259">
        <v>0.1</v>
      </c>
      <c r="DW223" s="259">
        <v>0.1</v>
      </c>
      <c r="DX223" s="259">
        <v>0.1</v>
      </c>
      <c r="DY223" s="259">
        <v>0.1</v>
      </c>
      <c r="DZ223" s="259">
        <v>0.1</v>
      </c>
      <c r="EA223" s="259">
        <v>0.1</v>
      </c>
      <c r="EB223" s="259">
        <v>0.1</v>
      </c>
      <c r="EC223" s="259">
        <v>0.1</v>
      </c>
      <c r="ED223" s="259">
        <v>0.1</v>
      </c>
      <c r="EE223" s="259">
        <v>0.1</v>
      </c>
      <c r="EF223" s="260">
        <v>0.1</v>
      </c>
      <c r="EJ223">
        <v>220</v>
      </c>
      <c r="EN223">
        <v>0.1</v>
      </c>
      <c r="EO223">
        <v>0.1</v>
      </c>
      <c r="EP223">
        <v>0.1</v>
      </c>
      <c r="EQ223">
        <v>0.1</v>
      </c>
      <c r="ER223">
        <v>0.1</v>
      </c>
      <c r="ES223">
        <v>0.1</v>
      </c>
      <c r="ET223">
        <v>0.1</v>
      </c>
      <c r="EU223">
        <v>0.1</v>
      </c>
      <c r="EV223">
        <v>0.1</v>
      </c>
      <c r="EW223">
        <v>0.1</v>
      </c>
      <c r="EX223">
        <v>0.1</v>
      </c>
      <c r="EY223">
        <v>0.1</v>
      </c>
      <c r="EZ223">
        <v>0.1</v>
      </c>
      <c r="FA223">
        <v>0.1</v>
      </c>
      <c r="FB223">
        <v>0.1</v>
      </c>
      <c r="FC223">
        <v>0.1</v>
      </c>
      <c r="FD223">
        <v>0.1</v>
      </c>
      <c r="FE223">
        <v>0.1</v>
      </c>
      <c r="FF223">
        <v>0.1</v>
      </c>
      <c r="FG223">
        <v>0.1</v>
      </c>
      <c r="FH223">
        <v>0.1</v>
      </c>
      <c r="FI223">
        <v>0.1</v>
      </c>
      <c r="FJ223">
        <v>0.1</v>
      </c>
      <c r="FK223">
        <v>0.1</v>
      </c>
      <c r="FL223">
        <v>0.1</v>
      </c>
      <c r="FM223">
        <v>0.1</v>
      </c>
      <c r="FN223">
        <v>0.1</v>
      </c>
      <c r="FO223">
        <v>0.1</v>
      </c>
      <c r="FP223">
        <v>0.1</v>
      </c>
      <c r="FQ223">
        <v>0.1</v>
      </c>
      <c r="FU223">
        <v>220</v>
      </c>
      <c r="GB223">
        <v>0.1</v>
      </c>
      <c r="GC223">
        <v>0.1</v>
      </c>
      <c r="GD223">
        <v>0.1</v>
      </c>
      <c r="GE223">
        <v>0.1</v>
      </c>
      <c r="GF223">
        <v>0.1</v>
      </c>
      <c r="GG223">
        <v>0.1</v>
      </c>
      <c r="GH223">
        <v>0.1</v>
      </c>
      <c r="GI223">
        <v>0.1</v>
      </c>
      <c r="GJ223">
        <v>0.1</v>
      </c>
      <c r="GK223">
        <v>0.1</v>
      </c>
      <c r="GL223">
        <v>0.1</v>
      </c>
      <c r="GM223">
        <v>0.1</v>
      </c>
      <c r="GN223">
        <v>0.1</v>
      </c>
      <c r="GO223">
        <v>0.1</v>
      </c>
      <c r="GP223">
        <v>0.1</v>
      </c>
      <c r="GQ223">
        <v>0.1</v>
      </c>
      <c r="GR223">
        <v>0.1</v>
      </c>
      <c r="GS223">
        <v>0.1</v>
      </c>
      <c r="GT223">
        <v>0.1</v>
      </c>
      <c r="GU223">
        <v>0.1</v>
      </c>
      <c r="GV223">
        <v>0.1</v>
      </c>
      <c r="GW223">
        <v>0.1</v>
      </c>
      <c r="GX223">
        <v>0.1</v>
      </c>
      <c r="GY223">
        <v>0.1</v>
      </c>
      <c r="GZ223">
        <v>0.1</v>
      </c>
      <c r="HA223">
        <v>0.1</v>
      </c>
      <c r="HB223">
        <v>0.1</v>
      </c>
      <c r="HC223">
        <v>0.1</v>
      </c>
      <c r="HD223">
        <v>0.1</v>
      </c>
      <c r="HE223">
        <v>0.1</v>
      </c>
      <c r="HF223">
        <v>0.1</v>
      </c>
      <c r="HG223">
        <v>0.1</v>
      </c>
      <c r="HH223">
        <v>0.1</v>
      </c>
      <c r="HI223">
        <v>0.1</v>
      </c>
      <c r="HJ223">
        <v>0.1</v>
      </c>
      <c r="HK223">
        <v>0.1</v>
      </c>
      <c r="HL223">
        <v>0.1</v>
      </c>
      <c r="HM223">
        <v>0.1</v>
      </c>
      <c r="HN223">
        <v>0.1</v>
      </c>
      <c r="HO223">
        <v>0.1</v>
      </c>
    </row>
    <row r="224" spans="1:223" ht="15.75" thickBot="1" x14ac:dyDescent="0.3">
      <c r="A224">
        <v>221</v>
      </c>
      <c r="C224" s="2"/>
      <c r="D224" s="2"/>
      <c r="E224" s="2"/>
      <c r="G224" s="2"/>
      <c r="H224">
        <v>0.1</v>
      </c>
      <c r="I224">
        <v>0.1</v>
      </c>
      <c r="J224">
        <v>0.1</v>
      </c>
      <c r="K224">
        <v>0.1</v>
      </c>
      <c r="L224">
        <v>0.1</v>
      </c>
      <c r="M224">
        <v>0.1</v>
      </c>
      <c r="N224">
        <v>0.1</v>
      </c>
      <c r="O224">
        <v>0.1</v>
      </c>
      <c r="P224">
        <v>0.1</v>
      </c>
      <c r="Q224">
        <v>0.1</v>
      </c>
      <c r="R224">
        <v>0.1</v>
      </c>
      <c r="S224">
        <v>0.1</v>
      </c>
      <c r="T224">
        <v>0.1</v>
      </c>
      <c r="U224">
        <v>0.1</v>
      </c>
      <c r="V224">
        <v>0.1</v>
      </c>
      <c r="W224">
        <v>0.1</v>
      </c>
      <c r="X224">
        <v>0.1</v>
      </c>
      <c r="Y224">
        <v>0.1</v>
      </c>
      <c r="Z224">
        <v>0.1</v>
      </c>
      <c r="AA224">
        <v>0.1</v>
      </c>
      <c r="AB224">
        <v>0.1</v>
      </c>
      <c r="AC224">
        <v>0.1</v>
      </c>
      <c r="AD224">
        <v>0.1</v>
      </c>
      <c r="AE224">
        <v>0.1</v>
      </c>
      <c r="AF224">
        <v>0.1</v>
      </c>
      <c r="AG224">
        <v>0.1</v>
      </c>
      <c r="AH224">
        <v>0.1</v>
      </c>
      <c r="AI224">
        <v>0.1</v>
      </c>
      <c r="AJ224">
        <v>0.1</v>
      </c>
      <c r="AK224">
        <v>0.1</v>
      </c>
      <c r="AL224">
        <v>0.1</v>
      </c>
      <c r="AM224">
        <v>0.1</v>
      </c>
      <c r="AN224">
        <v>0.1</v>
      </c>
      <c r="AO224">
        <v>0.1</v>
      </c>
      <c r="AP224">
        <v>0.1</v>
      </c>
      <c r="AQ224">
        <v>0.1</v>
      </c>
      <c r="AR224">
        <v>0.1</v>
      </c>
      <c r="AS224">
        <v>0.1</v>
      </c>
      <c r="AT224">
        <v>0.1</v>
      </c>
      <c r="AU224">
        <v>0.1</v>
      </c>
      <c r="AV224">
        <v>0.1</v>
      </c>
      <c r="AW224">
        <v>0.1</v>
      </c>
      <c r="AX224">
        <v>0.1</v>
      </c>
      <c r="AY224">
        <v>0.1</v>
      </c>
      <c r="AZ224">
        <v>0.1</v>
      </c>
      <c r="BA224">
        <v>0.1</v>
      </c>
      <c r="BB224">
        <v>0.1</v>
      </c>
      <c r="BC224">
        <v>0.1</v>
      </c>
      <c r="BD224">
        <v>0.1</v>
      </c>
      <c r="BE224">
        <v>0.1</v>
      </c>
      <c r="BF224">
        <v>0.1</v>
      </c>
      <c r="BG224">
        <v>0.1</v>
      </c>
      <c r="BH224">
        <v>0.1</v>
      </c>
      <c r="BI224">
        <v>0.1</v>
      </c>
      <c r="BJ224">
        <v>0.1</v>
      </c>
      <c r="BK224">
        <v>0.1</v>
      </c>
      <c r="BL224">
        <v>0.1</v>
      </c>
      <c r="BM224">
        <v>0.1</v>
      </c>
      <c r="BN224">
        <v>0.1</v>
      </c>
      <c r="BO224">
        <v>0.1</v>
      </c>
      <c r="BS224">
        <v>221</v>
      </c>
      <c r="BT224" s="271">
        <v>3.32</v>
      </c>
      <c r="BU224" s="270">
        <v>2.6</v>
      </c>
      <c r="BV224" s="2"/>
      <c r="BW224" s="2"/>
      <c r="BX224" s="2"/>
      <c r="BY224" s="258">
        <v>0.1</v>
      </c>
      <c r="BZ224" s="259">
        <v>0.1</v>
      </c>
      <c r="CA224" s="259">
        <v>0.1</v>
      </c>
      <c r="CB224" s="259">
        <v>0.1</v>
      </c>
      <c r="CC224" s="259">
        <v>0.1</v>
      </c>
      <c r="CD224" s="259">
        <v>0.1</v>
      </c>
      <c r="CE224" s="259">
        <v>0.1</v>
      </c>
      <c r="CF224" s="259">
        <v>0.1</v>
      </c>
      <c r="CG224" s="259">
        <v>0.1</v>
      </c>
      <c r="CH224" s="259">
        <v>0.1</v>
      </c>
      <c r="CI224" s="259">
        <v>0.1</v>
      </c>
      <c r="CJ224" s="259">
        <v>0.1</v>
      </c>
      <c r="CK224" s="259">
        <v>0.1</v>
      </c>
      <c r="CL224" s="259">
        <v>0.1</v>
      </c>
      <c r="CM224" s="259">
        <v>0.1</v>
      </c>
      <c r="CN224" s="259">
        <v>0.1</v>
      </c>
      <c r="CO224" s="259">
        <v>0.1</v>
      </c>
      <c r="CP224" s="259">
        <v>0.1</v>
      </c>
      <c r="CQ224" s="259">
        <v>0.1</v>
      </c>
      <c r="CR224" s="259">
        <v>0.1</v>
      </c>
      <c r="CS224" s="259">
        <v>0.1</v>
      </c>
      <c r="CT224" s="259">
        <v>0.1</v>
      </c>
      <c r="CU224" s="259">
        <v>0.1</v>
      </c>
      <c r="CV224" s="259">
        <v>0.1</v>
      </c>
      <c r="CW224" s="259">
        <v>0.1</v>
      </c>
      <c r="CX224" s="259">
        <v>0.1</v>
      </c>
      <c r="CY224" s="259">
        <v>0.1</v>
      </c>
      <c r="CZ224" s="259">
        <v>0.1</v>
      </c>
      <c r="DA224" s="259">
        <v>0.1</v>
      </c>
      <c r="DB224" s="259">
        <v>0.1</v>
      </c>
      <c r="DC224" s="259">
        <v>0.1</v>
      </c>
      <c r="DD224" s="259">
        <v>0.1</v>
      </c>
      <c r="DE224" s="259">
        <v>0.1</v>
      </c>
      <c r="DF224" s="260">
        <v>0.1</v>
      </c>
      <c r="DG224" s="258">
        <v>0.1</v>
      </c>
      <c r="DH224" s="259">
        <v>0.1</v>
      </c>
      <c r="DI224" s="259">
        <v>0.1</v>
      </c>
      <c r="DJ224" s="259">
        <v>0.1</v>
      </c>
      <c r="DK224" s="259">
        <v>0.1</v>
      </c>
      <c r="DL224" s="259">
        <v>0.1</v>
      </c>
      <c r="DM224" s="259">
        <v>0.1</v>
      </c>
      <c r="DN224" s="259">
        <v>0.1</v>
      </c>
      <c r="DO224" s="259">
        <v>0.1</v>
      </c>
      <c r="DP224" s="259">
        <v>0.1</v>
      </c>
      <c r="DQ224" s="259">
        <v>0.1</v>
      </c>
      <c r="DR224" s="259">
        <v>0.1</v>
      </c>
      <c r="DS224" s="259">
        <v>0.1</v>
      </c>
      <c r="DT224" s="259">
        <v>0.1</v>
      </c>
      <c r="DU224" s="259">
        <v>0.1</v>
      </c>
      <c r="DV224" s="259">
        <v>0.1</v>
      </c>
      <c r="DW224" s="259">
        <v>0.1</v>
      </c>
      <c r="DX224" s="259">
        <v>0.1</v>
      </c>
      <c r="DY224" s="259">
        <v>0.1</v>
      </c>
      <c r="DZ224" s="259">
        <v>0.1</v>
      </c>
      <c r="EA224" s="259">
        <v>0.1</v>
      </c>
      <c r="EB224" s="259">
        <v>0.1</v>
      </c>
      <c r="EC224" s="259">
        <v>0.1</v>
      </c>
      <c r="ED224" s="259">
        <v>0.1</v>
      </c>
      <c r="EE224" s="259">
        <v>0.1</v>
      </c>
      <c r="EF224" s="260">
        <v>0.1</v>
      </c>
      <c r="EJ224">
        <v>221</v>
      </c>
      <c r="EN224">
        <v>0.1</v>
      </c>
      <c r="EO224">
        <v>0.1</v>
      </c>
      <c r="EP224">
        <v>0.1</v>
      </c>
      <c r="EQ224">
        <v>0.1</v>
      </c>
      <c r="ER224">
        <v>0.1</v>
      </c>
      <c r="ES224">
        <v>0.1</v>
      </c>
      <c r="ET224">
        <v>0.1</v>
      </c>
      <c r="EU224">
        <v>0.1</v>
      </c>
      <c r="EV224">
        <v>0.1</v>
      </c>
      <c r="EW224">
        <v>0.1</v>
      </c>
      <c r="EX224">
        <v>0.1</v>
      </c>
      <c r="EY224">
        <v>0.1</v>
      </c>
      <c r="EZ224">
        <v>0.1</v>
      </c>
      <c r="FA224">
        <v>0.1</v>
      </c>
      <c r="FB224">
        <v>0.1</v>
      </c>
      <c r="FC224">
        <v>0.1</v>
      </c>
      <c r="FD224">
        <v>0.1</v>
      </c>
      <c r="FE224">
        <v>0.1</v>
      </c>
      <c r="FF224">
        <v>0.1</v>
      </c>
      <c r="FG224">
        <v>0.1</v>
      </c>
      <c r="FH224">
        <v>0.1</v>
      </c>
      <c r="FI224">
        <v>0.1</v>
      </c>
      <c r="FJ224">
        <v>0.1</v>
      </c>
      <c r="FK224">
        <v>0.1</v>
      </c>
      <c r="FL224">
        <v>0.1</v>
      </c>
      <c r="FM224">
        <v>0.1</v>
      </c>
      <c r="FN224">
        <v>0.1</v>
      </c>
      <c r="FO224">
        <v>0.1</v>
      </c>
      <c r="FP224">
        <v>0.1</v>
      </c>
      <c r="FQ224">
        <v>0.1</v>
      </c>
      <c r="FU224">
        <v>221</v>
      </c>
      <c r="GB224">
        <v>0.1</v>
      </c>
      <c r="GC224">
        <v>0.1</v>
      </c>
      <c r="GD224">
        <v>0.1</v>
      </c>
      <c r="GE224">
        <v>0.1</v>
      </c>
      <c r="GF224">
        <v>0.1</v>
      </c>
      <c r="GG224">
        <v>0.1</v>
      </c>
      <c r="GH224">
        <v>0.1</v>
      </c>
      <c r="GI224">
        <v>0.1</v>
      </c>
      <c r="GJ224">
        <v>0.1</v>
      </c>
      <c r="GK224">
        <v>0.1</v>
      </c>
      <c r="GL224">
        <v>0.1</v>
      </c>
      <c r="GM224">
        <v>0.1</v>
      </c>
      <c r="GN224">
        <v>0.1</v>
      </c>
      <c r="GO224">
        <v>0.1</v>
      </c>
      <c r="GP224">
        <v>0.1</v>
      </c>
      <c r="GQ224">
        <v>0.1</v>
      </c>
      <c r="GR224">
        <v>0.1</v>
      </c>
      <c r="GS224">
        <v>0.1</v>
      </c>
      <c r="GT224">
        <v>0.1</v>
      </c>
      <c r="GU224">
        <v>0.1</v>
      </c>
      <c r="GV224">
        <v>0.1</v>
      </c>
      <c r="GW224">
        <v>0.1</v>
      </c>
      <c r="GX224">
        <v>0.1</v>
      </c>
      <c r="GY224">
        <v>0.1</v>
      </c>
      <c r="GZ224">
        <v>0.1</v>
      </c>
      <c r="HA224">
        <v>0.1</v>
      </c>
      <c r="HB224">
        <v>0.1</v>
      </c>
      <c r="HC224">
        <v>0.1</v>
      </c>
      <c r="HD224">
        <v>0.1</v>
      </c>
      <c r="HE224">
        <v>0.1</v>
      </c>
      <c r="HF224">
        <v>0.1</v>
      </c>
      <c r="HG224">
        <v>0.1</v>
      </c>
      <c r="HH224">
        <v>0.1</v>
      </c>
      <c r="HI224">
        <v>0.1</v>
      </c>
      <c r="HJ224">
        <v>0.1</v>
      </c>
      <c r="HK224">
        <v>0.1</v>
      </c>
      <c r="HL224">
        <v>0.1</v>
      </c>
      <c r="HM224">
        <v>0.1</v>
      </c>
      <c r="HN224">
        <v>0.1</v>
      </c>
      <c r="HO224">
        <v>0.1</v>
      </c>
    </row>
    <row r="225" spans="1:223" ht="15.75" thickBot="1" x14ac:dyDescent="0.3">
      <c r="A225">
        <v>222</v>
      </c>
      <c r="C225" s="2"/>
      <c r="D225" s="2"/>
      <c r="E225" s="2"/>
      <c r="G225" s="2"/>
      <c r="H225">
        <v>0.1</v>
      </c>
      <c r="I225">
        <v>0.1</v>
      </c>
      <c r="J225">
        <v>0.1</v>
      </c>
      <c r="K225">
        <v>0.1</v>
      </c>
      <c r="L225">
        <v>0.1</v>
      </c>
      <c r="M225">
        <v>0.1</v>
      </c>
      <c r="N225">
        <v>0.1</v>
      </c>
      <c r="O225">
        <v>0.1</v>
      </c>
      <c r="P225">
        <v>0.1</v>
      </c>
      <c r="Q225">
        <v>0.1</v>
      </c>
      <c r="R225">
        <v>0.1</v>
      </c>
      <c r="S225">
        <v>0.1</v>
      </c>
      <c r="T225">
        <v>0.1</v>
      </c>
      <c r="U225">
        <v>0.1</v>
      </c>
      <c r="V225">
        <v>0.1</v>
      </c>
      <c r="W225">
        <v>0.1</v>
      </c>
      <c r="X225">
        <v>0.1</v>
      </c>
      <c r="Y225">
        <v>0.1</v>
      </c>
      <c r="Z225">
        <v>0.1</v>
      </c>
      <c r="AA225">
        <v>0.1</v>
      </c>
      <c r="AB225">
        <v>0.1</v>
      </c>
      <c r="AC225">
        <v>0.1</v>
      </c>
      <c r="AD225">
        <v>0.1</v>
      </c>
      <c r="AE225">
        <v>0.1</v>
      </c>
      <c r="AF225">
        <v>0.1</v>
      </c>
      <c r="AG225">
        <v>0.1</v>
      </c>
      <c r="AH225">
        <v>0.1</v>
      </c>
      <c r="AI225">
        <v>0.1</v>
      </c>
      <c r="AJ225">
        <v>0.1</v>
      </c>
      <c r="AK225">
        <v>0.1</v>
      </c>
      <c r="AL225">
        <v>0.1</v>
      </c>
      <c r="AM225">
        <v>0.1</v>
      </c>
      <c r="AN225">
        <v>0.1</v>
      </c>
      <c r="AO225">
        <v>0.1</v>
      </c>
      <c r="AP225">
        <v>0.1</v>
      </c>
      <c r="AQ225">
        <v>0.1</v>
      </c>
      <c r="AR225">
        <v>0.1</v>
      </c>
      <c r="AS225">
        <v>0.1</v>
      </c>
      <c r="AT225">
        <v>0.1</v>
      </c>
      <c r="AU225">
        <v>0.1</v>
      </c>
      <c r="AV225">
        <v>0.1</v>
      </c>
      <c r="AW225">
        <v>0.1</v>
      </c>
      <c r="AX225">
        <v>0.1</v>
      </c>
      <c r="AY225">
        <v>0.1</v>
      </c>
      <c r="AZ225">
        <v>0.1</v>
      </c>
      <c r="BA225">
        <v>0.1</v>
      </c>
      <c r="BB225">
        <v>0.1</v>
      </c>
      <c r="BC225">
        <v>0.1</v>
      </c>
      <c r="BD225">
        <v>0.1</v>
      </c>
      <c r="BE225">
        <v>0.1</v>
      </c>
      <c r="BF225">
        <v>0.1</v>
      </c>
      <c r="BG225">
        <v>0.1</v>
      </c>
      <c r="BH225">
        <v>0.1</v>
      </c>
      <c r="BI225">
        <v>0.1</v>
      </c>
      <c r="BJ225">
        <v>0.1</v>
      </c>
      <c r="BK225">
        <v>0.1</v>
      </c>
      <c r="BL225">
        <v>0.1</v>
      </c>
      <c r="BM225">
        <v>0.1</v>
      </c>
      <c r="BN225">
        <v>0.1</v>
      </c>
      <c r="BO225">
        <v>0.1</v>
      </c>
      <c r="BS225">
        <v>222</v>
      </c>
      <c r="BT225" s="270">
        <v>3.32</v>
      </c>
      <c r="BU225" s="271">
        <v>2.6</v>
      </c>
      <c r="BV225" s="2"/>
      <c r="BW225" s="2"/>
      <c r="BX225" s="2"/>
      <c r="BY225" s="258">
        <v>0.1</v>
      </c>
      <c r="BZ225" s="259">
        <v>0.1</v>
      </c>
      <c r="CA225" s="259">
        <v>0.1</v>
      </c>
      <c r="CB225" s="259">
        <v>0.1</v>
      </c>
      <c r="CC225" s="259">
        <v>0.1</v>
      </c>
      <c r="CD225" s="259">
        <v>0.1</v>
      </c>
      <c r="CE225" s="259">
        <v>0.1</v>
      </c>
      <c r="CF225" s="259">
        <v>0.1</v>
      </c>
      <c r="CG225" s="259">
        <v>0.1</v>
      </c>
      <c r="CH225" s="259">
        <v>0.1</v>
      </c>
      <c r="CI225" s="259">
        <v>0.1</v>
      </c>
      <c r="CJ225" s="259">
        <v>0.1</v>
      </c>
      <c r="CK225" s="259">
        <v>0.1</v>
      </c>
      <c r="CL225" s="259">
        <v>0.1</v>
      </c>
      <c r="CM225" s="259">
        <v>0.1</v>
      </c>
      <c r="CN225" s="259">
        <v>0.1</v>
      </c>
      <c r="CO225" s="259">
        <v>0.1</v>
      </c>
      <c r="CP225" s="259">
        <v>0.1</v>
      </c>
      <c r="CQ225" s="259">
        <v>0.1</v>
      </c>
      <c r="CR225" s="259">
        <v>0.1</v>
      </c>
      <c r="CS225" s="259">
        <v>0.1</v>
      </c>
      <c r="CT225" s="259">
        <v>0.1</v>
      </c>
      <c r="CU225" s="259">
        <v>0.1</v>
      </c>
      <c r="CV225" s="259">
        <v>0.1</v>
      </c>
      <c r="CW225" s="259">
        <v>0.1</v>
      </c>
      <c r="CX225" s="259">
        <v>0.1</v>
      </c>
      <c r="CY225" s="259">
        <v>0.1</v>
      </c>
      <c r="CZ225" s="259">
        <v>0.1</v>
      </c>
      <c r="DA225" s="259">
        <v>0.1</v>
      </c>
      <c r="DB225" s="259">
        <v>0.1</v>
      </c>
      <c r="DC225" s="259">
        <v>0.1</v>
      </c>
      <c r="DD225" s="259">
        <v>0.1</v>
      </c>
      <c r="DE225" s="259">
        <v>0.1</v>
      </c>
      <c r="DF225" s="260">
        <v>0.1</v>
      </c>
      <c r="DG225" s="258">
        <v>0.1</v>
      </c>
      <c r="DH225" s="259">
        <v>0.1</v>
      </c>
      <c r="DI225" s="259">
        <v>0.1</v>
      </c>
      <c r="DJ225" s="259">
        <v>0.1</v>
      </c>
      <c r="DK225" s="259">
        <v>0.1</v>
      </c>
      <c r="DL225" s="259">
        <v>0.1</v>
      </c>
      <c r="DM225" s="259">
        <v>0.1</v>
      </c>
      <c r="DN225" s="259">
        <v>0.1</v>
      </c>
      <c r="DO225" s="259">
        <v>0.1</v>
      </c>
      <c r="DP225" s="259">
        <v>0.1</v>
      </c>
      <c r="DQ225" s="259">
        <v>0.1</v>
      </c>
      <c r="DR225" s="259">
        <v>0.1</v>
      </c>
      <c r="DS225" s="259">
        <v>0.1</v>
      </c>
      <c r="DT225" s="259">
        <v>0.1</v>
      </c>
      <c r="DU225" s="259">
        <v>0.1</v>
      </c>
      <c r="DV225" s="259">
        <v>0.1</v>
      </c>
      <c r="DW225" s="259">
        <v>0.1</v>
      </c>
      <c r="DX225" s="259">
        <v>0.1</v>
      </c>
      <c r="DY225" s="259">
        <v>0.1</v>
      </c>
      <c r="DZ225" s="259">
        <v>0.1</v>
      </c>
      <c r="EA225" s="259">
        <v>0.1</v>
      </c>
      <c r="EB225" s="259">
        <v>0.1</v>
      </c>
      <c r="EC225" s="259">
        <v>0.1</v>
      </c>
      <c r="ED225" s="259">
        <v>0.1</v>
      </c>
      <c r="EE225" s="259">
        <v>0.1</v>
      </c>
      <c r="EF225" s="260">
        <v>0.1</v>
      </c>
      <c r="EJ225">
        <v>222</v>
      </c>
      <c r="EN225">
        <v>0.1</v>
      </c>
      <c r="EO225">
        <v>0.1</v>
      </c>
      <c r="EP225">
        <v>0.1</v>
      </c>
      <c r="EQ225">
        <v>0.1</v>
      </c>
      <c r="ER225">
        <v>0.1</v>
      </c>
      <c r="ES225">
        <v>0.1</v>
      </c>
      <c r="ET225">
        <v>0.1</v>
      </c>
      <c r="EU225">
        <v>0.1</v>
      </c>
      <c r="EV225">
        <v>0.1</v>
      </c>
      <c r="EW225">
        <v>0.1</v>
      </c>
      <c r="EX225">
        <v>0.1</v>
      </c>
      <c r="EY225">
        <v>0.1</v>
      </c>
      <c r="EZ225">
        <v>0.1</v>
      </c>
      <c r="FA225">
        <v>0.1</v>
      </c>
      <c r="FB225">
        <v>0.1</v>
      </c>
      <c r="FC225">
        <v>0.1</v>
      </c>
      <c r="FD225">
        <v>0.1</v>
      </c>
      <c r="FE225">
        <v>0.1</v>
      </c>
      <c r="FF225">
        <v>0.1</v>
      </c>
      <c r="FG225">
        <v>0.1</v>
      </c>
      <c r="FH225">
        <v>0.1</v>
      </c>
      <c r="FI225">
        <v>0.1</v>
      </c>
      <c r="FJ225">
        <v>0.1</v>
      </c>
      <c r="FK225">
        <v>0.1</v>
      </c>
      <c r="FL225">
        <v>0.1</v>
      </c>
      <c r="FM225">
        <v>0.1</v>
      </c>
      <c r="FN225">
        <v>0.1</v>
      </c>
      <c r="FO225">
        <v>0.1</v>
      </c>
      <c r="FP225">
        <v>0.1</v>
      </c>
      <c r="FQ225">
        <v>0.1</v>
      </c>
      <c r="FU225">
        <v>222</v>
      </c>
      <c r="GB225">
        <v>0.1</v>
      </c>
      <c r="GC225">
        <v>0.1</v>
      </c>
      <c r="GD225">
        <v>0.1</v>
      </c>
      <c r="GE225">
        <v>0.1</v>
      </c>
      <c r="GF225">
        <v>0.1</v>
      </c>
      <c r="GG225">
        <v>0.1</v>
      </c>
      <c r="GH225">
        <v>0.1</v>
      </c>
      <c r="GI225">
        <v>0.1</v>
      </c>
      <c r="GJ225">
        <v>0.1</v>
      </c>
      <c r="GK225">
        <v>0.1</v>
      </c>
      <c r="GL225">
        <v>0.1</v>
      </c>
      <c r="GM225">
        <v>0.1</v>
      </c>
      <c r="GN225">
        <v>0.1</v>
      </c>
      <c r="GO225">
        <v>0.1</v>
      </c>
      <c r="GP225">
        <v>0.1</v>
      </c>
      <c r="GQ225">
        <v>0.1</v>
      </c>
      <c r="GR225">
        <v>0.1</v>
      </c>
      <c r="GS225">
        <v>0.1</v>
      </c>
      <c r="GT225">
        <v>0.1</v>
      </c>
      <c r="GU225">
        <v>0.1</v>
      </c>
      <c r="GV225">
        <v>0.1</v>
      </c>
      <c r="GW225">
        <v>0.1</v>
      </c>
      <c r="GX225">
        <v>0.1</v>
      </c>
      <c r="GY225">
        <v>0.1</v>
      </c>
      <c r="GZ225">
        <v>0.1</v>
      </c>
      <c r="HA225">
        <v>0.1</v>
      </c>
      <c r="HB225">
        <v>0.1</v>
      </c>
      <c r="HC225">
        <v>0.1</v>
      </c>
      <c r="HD225">
        <v>0.1</v>
      </c>
      <c r="HE225">
        <v>0.1</v>
      </c>
      <c r="HF225">
        <v>0.1</v>
      </c>
      <c r="HG225">
        <v>0.1</v>
      </c>
      <c r="HH225">
        <v>0.1</v>
      </c>
      <c r="HI225">
        <v>0.1</v>
      </c>
      <c r="HJ225">
        <v>0.1</v>
      </c>
      <c r="HK225">
        <v>0.1</v>
      </c>
      <c r="HL225">
        <v>0.1</v>
      </c>
      <c r="HM225">
        <v>0.1</v>
      </c>
      <c r="HN225">
        <v>0.1</v>
      </c>
      <c r="HO225">
        <v>0.1</v>
      </c>
    </row>
    <row r="226" spans="1:223" ht="15.75" thickBot="1" x14ac:dyDescent="0.3">
      <c r="A226">
        <v>223</v>
      </c>
      <c r="C226" s="2"/>
      <c r="D226" s="2"/>
      <c r="E226" s="2"/>
      <c r="G226" s="2"/>
      <c r="H226">
        <v>0.1</v>
      </c>
      <c r="I226">
        <v>0.1</v>
      </c>
      <c r="J226">
        <v>0.1</v>
      </c>
      <c r="K226">
        <v>0.1</v>
      </c>
      <c r="L226">
        <v>0.1</v>
      </c>
      <c r="M226">
        <v>0.1</v>
      </c>
      <c r="N226">
        <v>0.1</v>
      </c>
      <c r="O226">
        <v>0.1</v>
      </c>
      <c r="P226">
        <v>0.1</v>
      </c>
      <c r="Q226">
        <v>0.1</v>
      </c>
      <c r="R226">
        <v>0.1</v>
      </c>
      <c r="S226">
        <v>0.1</v>
      </c>
      <c r="T226">
        <v>0.1</v>
      </c>
      <c r="U226">
        <v>0.1</v>
      </c>
      <c r="V226">
        <v>0.1</v>
      </c>
      <c r="W226">
        <v>0.1</v>
      </c>
      <c r="X226">
        <v>0.1</v>
      </c>
      <c r="Y226">
        <v>0.1</v>
      </c>
      <c r="Z226">
        <v>0.1</v>
      </c>
      <c r="AA226">
        <v>0.1</v>
      </c>
      <c r="AB226">
        <v>0.1</v>
      </c>
      <c r="AC226">
        <v>0.1</v>
      </c>
      <c r="AD226">
        <v>0.1</v>
      </c>
      <c r="AE226">
        <v>0.1</v>
      </c>
      <c r="AF226">
        <v>0.1</v>
      </c>
      <c r="AG226">
        <v>0.1</v>
      </c>
      <c r="AH226">
        <v>0.1</v>
      </c>
      <c r="AI226">
        <v>0.1</v>
      </c>
      <c r="AJ226">
        <v>0.1</v>
      </c>
      <c r="AK226">
        <v>0.1</v>
      </c>
      <c r="AL226">
        <v>0.1</v>
      </c>
      <c r="AM226">
        <v>0.1</v>
      </c>
      <c r="AN226">
        <v>0.1</v>
      </c>
      <c r="AO226">
        <v>0.1</v>
      </c>
      <c r="AP226">
        <v>0.1</v>
      </c>
      <c r="AQ226">
        <v>0.1</v>
      </c>
      <c r="AR226">
        <v>0.1</v>
      </c>
      <c r="AS226">
        <v>0.1</v>
      </c>
      <c r="AT226">
        <v>0.1</v>
      </c>
      <c r="AU226">
        <v>0.1</v>
      </c>
      <c r="AV226">
        <v>0.1</v>
      </c>
      <c r="AW226">
        <v>0.1</v>
      </c>
      <c r="AX226">
        <v>0.1</v>
      </c>
      <c r="AY226">
        <v>0.1</v>
      </c>
      <c r="AZ226">
        <v>0.1</v>
      </c>
      <c r="BA226">
        <v>0.1</v>
      </c>
      <c r="BB226">
        <v>0.1</v>
      </c>
      <c r="BC226">
        <v>0.1</v>
      </c>
      <c r="BD226">
        <v>0.1</v>
      </c>
      <c r="BE226">
        <v>0.1</v>
      </c>
      <c r="BF226">
        <v>0.1</v>
      </c>
      <c r="BG226">
        <v>0.1</v>
      </c>
      <c r="BH226">
        <v>0.1</v>
      </c>
      <c r="BI226">
        <v>0.1</v>
      </c>
      <c r="BJ226">
        <v>0.1</v>
      </c>
      <c r="BK226">
        <v>0.1</v>
      </c>
      <c r="BL226">
        <v>0.1</v>
      </c>
      <c r="BM226">
        <v>0.1</v>
      </c>
      <c r="BN226">
        <v>0.1</v>
      </c>
      <c r="BO226">
        <v>0.1</v>
      </c>
      <c r="BS226">
        <v>223</v>
      </c>
      <c r="BT226" s="271">
        <v>3.32</v>
      </c>
      <c r="BU226" s="270">
        <v>2.6</v>
      </c>
      <c r="BV226" s="2"/>
      <c r="BW226" s="2"/>
      <c r="BX226" s="2"/>
      <c r="BY226" s="258">
        <v>0.1</v>
      </c>
      <c r="BZ226" s="259">
        <v>0.1</v>
      </c>
      <c r="CA226" s="259">
        <v>0.1</v>
      </c>
      <c r="CB226" s="259">
        <v>0.1</v>
      </c>
      <c r="CC226" s="259">
        <v>0.1</v>
      </c>
      <c r="CD226" s="259">
        <v>0.1</v>
      </c>
      <c r="CE226" s="259">
        <v>0.1</v>
      </c>
      <c r="CF226" s="259">
        <v>0.1</v>
      </c>
      <c r="CG226" s="259">
        <v>0.1</v>
      </c>
      <c r="CH226" s="259">
        <v>0.1</v>
      </c>
      <c r="CI226" s="259">
        <v>0.1</v>
      </c>
      <c r="CJ226" s="259">
        <v>0.1</v>
      </c>
      <c r="CK226" s="259">
        <v>0.1</v>
      </c>
      <c r="CL226" s="259">
        <v>0.1</v>
      </c>
      <c r="CM226" s="259">
        <v>0.1</v>
      </c>
      <c r="CN226" s="259">
        <v>0.1</v>
      </c>
      <c r="CO226" s="259">
        <v>0.1</v>
      </c>
      <c r="CP226" s="259">
        <v>0.1</v>
      </c>
      <c r="CQ226" s="259">
        <v>0.1</v>
      </c>
      <c r="CR226" s="259">
        <v>0.1</v>
      </c>
      <c r="CS226" s="259">
        <v>0.1</v>
      </c>
      <c r="CT226" s="259">
        <v>0.1</v>
      </c>
      <c r="CU226" s="259">
        <v>0.1</v>
      </c>
      <c r="CV226" s="259">
        <v>0.1</v>
      </c>
      <c r="CW226" s="259">
        <v>0.1</v>
      </c>
      <c r="CX226" s="259">
        <v>0.1</v>
      </c>
      <c r="CY226" s="259">
        <v>0.1</v>
      </c>
      <c r="CZ226" s="259">
        <v>0.1</v>
      </c>
      <c r="DA226" s="259">
        <v>0.1</v>
      </c>
      <c r="DB226" s="259">
        <v>0.1</v>
      </c>
      <c r="DC226" s="259">
        <v>0.1</v>
      </c>
      <c r="DD226" s="259">
        <v>0.1</v>
      </c>
      <c r="DE226" s="259">
        <v>0.1</v>
      </c>
      <c r="DF226" s="260">
        <v>0.1</v>
      </c>
      <c r="DG226" s="258">
        <v>0.1</v>
      </c>
      <c r="DH226" s="259">
        <v>0.1</v>
      </c>
      <c r="DI226" s="259">
        <v>0.1</v>
      </c>
      <c r="DJ226" s="259">
        <v>0.1</v>
      </c>
      <c r="DK226" s="259">
        <v>0.1</v>
      </c>
      <c r="DL226" s="259">
        <v>0.1</v>
      </c>
      <c r="DM226" s="259">
        <v>0.1</v>
      </c>
      <c r="DN226" s="259">
        <v>0.1</v>
      </c>
      <c r="DO226" s="259">
        <v>0.1</v>
      </c>
      <c r="DP226" s="259">
        <v>0.1</v>
      </c>
      <c r="DQ226" s="259">
        <v>0.1</v>
      </c>
      <c r="DR226" s="259">
        <v>0.1</v>
      </c>
      <c r="DS226" s="259">
        <v>0.1</v>
      </c>
      <c r="DT226" s="259">
        <v>0.1</v>
      </c>
      <c r="DU226" s="259">
        <v>0.1</v>
      </c>
      <c r="DV226" s="259">
        <v>0.1</v>
      </c>
      <c r="DW226" s="259">
        <v>0.1</v>
      </c>
      <c r="DX226" s="259">
        <v>0.1</v>
      </c>
      <c r="DY226" s="259">
        <v>0.1</v>
      </c>
      <c r="DZ226" s="259">
        <v>0.1</v>
      </c>
      <c r="EA226" s="259">
        <v>0.1</v>
      </c>
      <c r="EB226" s="259">
        <v>0.1</v>
      </c>
      <c r="EC226" s="259">
        <v>0.1</v>
      </c>
      <c r="ED226" s="259">
        <v>0.1</v>
      </c>
      <c r="EE226" s="259">
        <v>0.1</v>
      </c>
      <c r="EF226" s="260">
        <v>0.1</v>
      </c>
      <c r="EJ226">
        <v>223</v>
      </c>
      <c r="EN226">
        <v>0.1</v>
      </c>
      <c r="EO226">
        <v>0.1</v>
      </c>
      <c r="EP226">
        <v>0.1</v>
      </c>
      <c r="EQ226">
        <v>0.1</v>
      </c>
      <c r="ER226">
        <v>0.1</v>
      </c>
      <c r="ES226">
        <v>0.1</v>
      </c>
      <c r="ET226">
        <v>0.1</v>
      </c>
      <c r="EU226">
        <v>0.1</v>
      </c>
      <c r="EV226">
        <v>0.1</v>
      </c>
      <c r="EW226">
        <v>0.1</v>
      </c>
      <c r="EX226">
        <v>0.1</v>
      </c>
      <c r="EY226">
        <v>0.1</v>
      </c>
      <c r="EZ226">
        <v>0.1</v>
      </c>
      <c r="FA226">
        <v>0.1</v>
      </c>
      <c r="FB226">
        <v>0.1</v>
      </c>
      <c r="FC226">
        <v>0.1</v>
      </c>
      <c r="FD226">
        <v>0.1</v>
      </c>
      <c r="FE226">
        <v>0.1</v>
      </c>
      <c r="FF226">
        <v>0.1</v>
      </c>
      <c r="FG226">
        <v>0.1</v>
      </c>
      <c r="FH226">
        <v>0.1</v>
      </c>
      <c r="FI226">
        <v>0.1</v>
      </c>
      <c r="FJ226">
        <v>0.1</v>
      </c>
      <c r="FK226">
        <v>0.1</v>
      </c>
      <c r="FL226">
        <v>0.1</v>
      </c>
      <c r="FM226">
        <v>0.1</v>
      </c>
      <c r="FN226">
        <v>0.1</v>
      </c>
      <c r="FO226">
        <v>0.1</v>
      </c>
      <c r="FP226">
        <v>0.1</v>
      </c>
      <c r="FQ226">
        <v>0.1</v>
      </c>
      <c r="FU226">
        <v>223</v>
      </c>
      <c r="GB226">
        <v>0.1</v>
      </c>
      <c r="GC226">
        <v>0.1</v>
      </c>
      <c r="GD226">
        <v>0.1</v>
      </c>
      <c r="GE226">
        <v>0.1</v>
      </c>
      <c r="GF226">
        <v>0.1</v>
      </c>
      <c r="GG226">
        <v>0.1</v>
      </c>
      <c r="GH226">
        <v>0.1</v>
      </c>
      <c r="GI226">
        <v>0.1</v>
      </c>
      <c r="GJ226">
        <v>0.1</v>
      </c>
      <c r="GK226">
        <v>0.1</v>
      </c>
      <c r="GL226">
        <v>0.1</v>
      </c>
      <c r="GM226">
        <v>0.1</v>
      </c>
      <c r="GN226">
        <v>0.1</v>
      </c>
      <c r="GO226">
        <v>0.1</v>
      </c>
      <c r="GP226">
        <v>0.1</v>
      </c>
      <c r="GQ226">
        <v>0.1</v>
      </c>
      <c r="GR226">
        <v>0.1</v>
      </c>
      <c r="GS226">
        <v>0.1</v>
      </c>
      <c r="GT226">
        <v>0.1</v>
      </c>
      <c r="GU226">
        <v>0.1</v>
      </c>
      <c r="GV226">
        <v>0.1</v>
      </c>
      <c r="GW226">
        <v>0.1</v>
      </c>
      <c r="GX226">
        <v>0.1</v>
      </c>
      <c r="GY226">
        <v>0.1</v>
      </c>
      <c r="GZ226">
        <v>0.1</v>
      </c>
      <c r="HA226">
        <v>0.1</v>
      </c>
      <c r="HB226">
        <v>0.1</v>
      </c>
      <c r="HC226">
        <v>0.1</v>
      </c>
      <c r="HD226">
        <v>0.1</v>
      </c>
      <c r="HE226">
        <v>0.1</v>
      </c>
      <c r="HF226">
        <v>0.1</v>
      </c>
      <c r="HG226">
        <v>0.1</v>
      </c>
      <c r="HH226">
        <v>0.1</v>
      </c>
      <c r="HI226">
        <v>0.1</v>
      </c>
      <c r="HJ226">
        <v>0.1</v>
      </c>
      <c r="HK226">
        <v>0.1</v>
      </c>
      <c r="HL226">
        <v>0.1</v>
      </c>
      <c r="HM226">
        <v>0.1</v>
      </c>
      <c r="HN226">
        <v>0.1</v>
      </c>
      <c r="HO226">
        <v>0.1</v>
      </c>
    </row>
    <row r="227" spans="1:223" ht="15.75" thickBot="1" x14ac:dyDescent="0.3">
      <c r="A227">
        <v>224</v>
      </c>
      <c r="C227" s="2"/>
      <c r="D227" s="2"/>
      <c r="E227" s="2"/>
      <c r="G227" s="2"/>
      <c r="H227">
        <v>0.1</v>
      </c>
      <c r="I227">
        <v>0.1</v>
      </c>
      <c r="J227">
        <v>0.1</v>
      </c>
      <c r="K227">
        <v>0.1</v>
      </c>
      <c r="L227">
        <v>0.1</v>
      </c>
      <c r="M227">
        <v>0.1</v>
      </c>
      <c r="N227">
        <v>0.1</v>
      </c>
      <c r="O227">
        <v>0.1</v>
      </c>
      <c r="P227">
        <v>0.1</v>
      </c>
      <c r="Q227">
        <v>0.1</v>
      </c>
      <c r="R227">
        <v>0.1</v>
      </c>
      <c r="S227">
        <v>0.1</v>
      </c>
      <c r="T227">
        <v>0.1</v>
      </c>
      <c r="U227">
        <v>0.1</v>
      </c>
      <c r="V227">
        <v>0.1</v>
      </c>
      <c r="W227">
        <v>0.1</v>
      </c>
      <c r="X227">
        <v>0.1</v>
      </c>
      <c r="Y227">
        <v>0.1</v>
      </c>
      <c r="Z227">
        <v>0.1</v>
      </c>
      <c r="AA227">
        <v>0.1</v>
      </c>
      <c r="AB227">
        <v>0.1</v>
      </c>
      <c r="AC227">
        <v>0.1</v>
      </c>
      <c r="AD227">
        <v>0.1</v>
      </c>
      <c r="AE227">
        <v>0.1</v>
      </c>
      <c r="AF227">
        <v>0.1</v>
      </c>
      <c r="AG227">
        <v>0.1</v>
      </c>
      <c r="AH227">
        <v>0.1</v>
      </c>
      <c r="AI227">
        <v>0.1</v>
      </c>
      <c r="AJ227">
        <v>0.1</v>
      </c>
      <c r="AK227">
        <v>0.1</v>
      </c>
      <c r="AL227">
        <v>0.1</v>
      </c>
      <c r="AM227">
        <v>0.1</v>
      </c>
      <c r="AN227">
        <v>0.1</v>
      </c>
      <c r="AO227">
        <v>0.1</v>
      </c>
      <c r="AP227">
        <v>0.1</v>
      </c>
      <c r="AQ227">
        <v>0.1</v>
      </c>
      <c r="AR227">
        <v>0.1</v>
      </c>
      <c r="AS227">
        <v>0.1</v>
      </c>
      <c r="AT227">
        <v>0.1</v>
      </c>
      <c r="AU227">
        <v>0.1</v>
      </c>
      <c r="AV227">
        <v>0.1</v>
      </c>
      <c r="AW227">
        <v>0.1</v>
      </c>
      <c r="AX227">
        <v>0.1</v>
      </c>
      <c r="AY227">
        <v>0.1</v>
      </c>
      <c r="AZ227">
        <v>0.1</v>
      </c>
      <c r="BA227">
        <v>0.1</v>
      </c>
      <c r="BB227">
        <v>0.1</v>
      </c>
      <c r="BC227">
        <v>0.1</v>
      </c>
      <c r="BD227">
        <v>0.1</v>
      </c>
      <c r="BE227">
        <v>0.1</v>
      </c>
      <c r="BF227">
        <v>0.1</v>
      </c>
      <c r="BG227">
        <v>0.1</v>
      </c>
      <c r="BH227">
        <v>0.1</v>
      </c>
      <c r="BI227">
        <v>0.1</v>
      </c>
      <c r="BJ227">
        <v>0.1</v>
      </c>
      <c r="BK227">
        <v>0.1</v>
      </c>
      <c r="BL227">
        <v>0.1</v>
      </c>
      <c r="BM227">
        <v>0.1</v>
      </c>
      <c r="BN227">
        <v>0.1</v>
      </c>
      <c r="BO227">
        <v>0.1</v>
      </c>
      <c r="BS227">
        <v>224</v>
      </c>
      <c r="BT227" s="270">
        <v>3.31</v>
      </c>
      <c r="BU227" s="271">
        <v>2.6</v>
      </c>
      <c r="BV227" s="2"/>
      <c r="BW227" s="2"/>
      <c r="BX227" s="2"/>
      <c r="BY227" s="258">
        <v>0.1</v>
      </c>
      <c r="BZ227" s="259">
        <v>0.1</v>
      </c>
      <c r="CA227" s="259">
        <v>0.1</v>
      </c>
      <c r="CB227" s="259">
        <v>0.1</v>
      </c>
      <c r="CC227" s="259">
        <v>0.1</v>
      </c>
      <c r="CD227" s="259">
        <v>0.1</v>
      </c>
      <c r="CE227" s="259">
        <v>0.1</v>
      </c>
      <c r="CF227" s="259">
        <v>0.1</v>
      </c>
      <c r="CG227" s="259">
        <v>0.1</v>
      </c>
      <c r="CH227" s="259">
        <v>0.1</v>
      </c>
      <c r="CI227" s="259">
        <v>0.1</v>
      </c>
      <c r="CJ227" s="259">
        <v>0.1</v>
      </c>
      <c r="CK227" s="259">
        <v>0.1</v>
      </c>
      <c r="CL227" s="259">
        <v>0.1</v>
      </c>
      <c r="CM227" s="259">
        <v>0.1</v>
      </c>
      <c r="CN227" s="259">
        <v>0.1</v>
      </c>
      <c r="CO227" s="259">
        <v>0.1</v>
      </c>
      <c r="CP227" s="259">
        <v>0.1</v>
      </c>
      <c r="CQ227" s="259">
        <v>0.1</v>
      </c>
      <c r="CR227" s="259">
        <v>0.1</v>
      </c>
      <c r="CS227" s="259">
        <v>0.1</v>
      </c>
      <c r="CT227" s="259">
        <v>0.1</v>
      </c>
      <c r="CU227" s="259">
        <v>0.1</v>
      </c>
      <c r="CV227" s="259">
        <v>0.1</v>
      </c>
      <c r="CW227" s="259">
        <v>0.1</v>
      </c>
      <c r="CX227" s="259">
        <v>0.1</v>
      </c>
      <c r="CY227" s="259">
        <v>0.1</v>
      </c>
      <c r="CZ227" s="259">
        <v>0.1</v>
      </c>
      <c r="DA227" s="259">
        <v>0.1</v>
      </c>
      <c r="DB227" s="259">
        <v>0.1</v>
      </c>
      <c r="DC227" s="259">
        <v>0.1</v>
      </c>
      <c r="DD227" s="259">
        <v>0.1</v>
      </c>
      <c r="DE227" s="259">
        <v>0.1</v>
      </c>
      <c r="DF227" s="260">
        <v>0.1</v>
      </c>
      <c r="DG227" s="258">
        <v>0.1</v>
      </c>
      <c r="DH227" s="259">
        <v>0.1</v>
      </c>
      <c r="DI227" s="259">
        <v>0.1</v>
      </c>
      <c r="DJ227" s="259">
        <v>0.1</v>
      </c>
      <c r="DK227" s="259">
        <v>0.1</v>
      </c>
      <c r="DL227" s="259">
        <v>0.1</v>
      </c>
      <c r="DM227" s="259">
        <v>0.1</v>
      </c>
      <c r="DN227" s="259">
        <v>0.1</v>
      </c>
      <c r="DO227" s="259">
        <v>0.1</v>
      </c>
      <c r="DP227" s="259">
        <v>0.1</v>
      </c>
      <c r="DQ227" s="259">
        <v>0.1</v>
      </c>
      <c r="DR227" s="259">
        <v>0.1</v>
      </c>
      <c r="DS227" s="259">
        <v>0.1</v>
      </c>
      <c r="DT227" s="259">
        <v>0.1</v>
      </c>
      <c r="DU227" s="259">
        <v>0.1</v>
      </c>
      <c r="DV227" s="259">
        <v>0.1</v>
      </c>
      <c r="DW227" s="259">
        <v>0.1</v>
      </c>
      <c r="DX227" s="259">
        <v>0.1</v>
      </c>
      <c r="DY227" s="259">
        <v>0.1</v>
      </c>
      <c r="DZ227" s="259">
        <v>0.1</v>
      </c>
      <c r="EA227" s="259">
        <v>0.1</v>
      </c>
      <c r="EB227" s="259">
        <v>0.1</v>
      </c>
      <c r="EC227" s="259">
        <v>0.1</v>
      </c>
      <c r="ED227" s="259">
        <v>0.1</v>
      </c>
      <c r="EE227" s="259">
        <v>0.1</v>
      </c>
      <c r="EF227" s="260">
        <v>0.1</v>
      </c>
      <c r="EJ227">
        <v>224</v>
      </c>
      <c r="EN227">
        <v>0.1</v>
      </c>
      <c r="EO227">
        <v>0.1</v>
      </c>
      <c r="EP227">
        <v>0.1</v>
      </c>
      <c r="EQ227">
        <v>0.1</v>
      </c>
      <c r="ER227">
        <v>0.1</v>
      </c>
      <c r="ES227">
        <v>0.1</v>
      </c>
      <c r="ET227">
        <v>0.1</v>
      </c>
      <c r="EU227">
        <v>0.1</v>
      </c>
      <c r="EV227">
        <v>0.1</v>
      </c>
      <c r="EW227">
        <v>0.1</v>
      </c>
      <c r="EX227">
        <v>0.1</v>
      </c>
      <c r="EY227">
        <v>0.1</v>
      </c>
      <c r="EZ227">
        <v>0.1</v>
      </c>
      <c r="FA227">
        <v>0.1</v>
      </c>
      <c r="FB227">
        <v>0.1</v>
      </c>
      <c r="FC227">
        <v>0.1</v>
      </c>
      <c r="FD227">
        <v>0.1</v>
      </c>
      <c r="FE227">
        <v>0.1</v>
      </c>
      <c r="FF227">
        <v>0.1</v>
      </c>
      <c r="FG227">
        <v>0.1</v>
      </c>
      <c r="FH227">
        <v>0.1</v>
      </c>
      <c r="FI227">
        <v>0.1</v>
      </c>
      <c r="FJ227">
        <v>0.1</v>
      </c>
      <c r="FK227">
        <v>0.1</v>
      </c>
      <c r="FL227">
        <v>0.1</v>
      </c>
      <c r="FM227">
        <v>0.1</v>
      </c>
      <c r="FN227">
        <v>0.1</v>
      </c>
      <c r="FO227">
        <v>0.1</v>
      </c>
      <c r="FP227">
        <v>0.1</v>
      </c>
      <c r="FQ227">
        <v>0.1</v>
      </c>
      <c r="FU227">
        <v>224</v>
      </c>
      <c r="GB227">
        <v>0.1</v>
      </c>
      <c r="GC227">
        <v>0.1</v>
      </c>
      <c r="GD227">
        <v>0.1</v>
      </c>
      <c r="GE227">
        <v>0.1</v>
      </c>
      <c r="GF227">
        <v>0.1</v>
      </c>
      <c r="GG227">
        <v>0.1</v>
      </c>
      <c r="GH227">
        <v>0.1</v>
      </c>
      <c r="GI227">
        <v>0.1</v>
      </c>
      <c r="GJ227">
        <v>0.1</v>
      </c>
      <c r="GK227">
        <v>0.1</v>
      </c>
      <c r="GL227">
        <v>0.1</v>
      </c>
      <c r="GM227">
        <v>0.1</v>
      </c>
      <c r="GN227">
        <v>0.1</v>
      </c>
      <c r="GO227">
        <v>0.1</v>
      </c>
      <c r="GP227">
        <v>0.1</v>
      </c>
      <c r="GQ227">
        <v>0.1</v>
      </c>
      <c r="GR227">
        <v>0.1</v>
      </c>
      <c r="GS227">
        <v>0.1</v>
      </c>
      <c r="GT227">
        <v>0.1</v>
      </c>
      <c r="GU227">
        <v>0.1</v>
      </c>
      <c r="GV227">
        <v>0.1</v>
      </c>
      <c r="GW227">
        <v>0.1</v>
      </c>
      <c r="GX227">
        <v>0.1</v>
      </c>
      <c r="GY227">
        <v>0.1</v>
      </c>
      <c r="GZ227">
        <v>0.1</v>
      </c>
      <c r="HA227">
        <v>0.1</v>
      </c>
      <c r="HB227">
        <v>0.1</v>
      </c>
      <c r="HC227">
        <v>0.1</v>
      </c>
      <c r="HD227">
        <v>0.1</v>
      </c>
      <c r="HE227">
        <v>0.1</v>
      </c>
      <c r="HF227">
        <v>0.1</v>
      </c>
      <c r="HG227">
        <v>0.1</v>
      </c>
      <c r="HH227">
        <v>0.1</v>
      </c>
      <c r="HI227">
        <v>0.1</v>
      </c>
      <c r="HJ227">
        <v>0.1</v>
      </c>
      <c r="HK227">
        <v>0.1</v>
      </c>
      <c r="HL227">
        <v>0.1</v>
      </c>
      <c r="HM227">
        <v>0.1</v>
      </c>
      <c r="HN227">
        <v>0.1</v>
      </c>
      <c r="HO227">
        <v>0.1</v>
      </c>
    </row>
    <row r="228" spans="1:223" ht="15.75" thickBot="1" x14ac:dyDescent="0.3">
      <c r="A228">
        <v>225</v>
      </c>
      <c r="C228" s="2"/>
      <c r="D228" s="2"/>
      <c r="E228" s="2"/>
      <c r="G228" s="2"/>
      <c r="H228">
        <v>0.1</v>
      </c>
      <c r="I228">
        <v>0.1</v>
      </c>
      <c r="J228">
        <v>0.1</v>
      </c>
      <c r="K228">
        <v>0.1</v>
      </c>
      <c r="L228">
        <v>0.1</v>
      </c>
      <c r="M228">
        <v>0.1</v>
      </c>
      <c r="N228">
        <v>0.1</v>
      </c>
      <c r="O228">
        <v>0.1</v>
      </c>
      <c r="P228">
        <v>0.1</v>
      </c>
      <c r="Q228">
        <v>0.1</v>
      </c>
      <c r="R228">
        <v>0.1</v>
      </c>
      <c r="S228">
        <v>0.1</v>
      </c>
      <c r="T228">
        <v>0.1</v>
      </c>
      <c r="U228">
        <v>0.1</v>
      </c>
      <c r="V228">
        <v>0.1</v>
      </c>
      <c r="W228">
        <v>0.1</v>
      </c>
      <c r="X228">
        <v>0.1</v>
      </c>
      <c r="Y228">
        <v>0.1</v>
      </c>
      <c r="Z228">
        <v>0.1</v>
      </c>
      <c r="AA228">
        <v>0.1</v>
      </c>
      <c r="AB228">
        <v>0.1</v>
      </c>
      <c r="AC228">
        <v>0.1</v>
      </c>
      <c r="AD228">
        <v>0.1</v>
      </c>
      <c r="AE228">
        <v>0.1</v>
      </c>
      <c r="AF228">
        <v>0.1</v>
      </c>
      <c r="AG228">
        <v>0.1</v>
      </c>
      <c r="AH228">
        <v>0.1</v>
      </c>
      <c r="AI228">
        <v>0.1</v>
      </c>
      <c r="AJ228">
        <v>0.1</v>
      </c>
      <c r="AK228">
        <v>0.1</v>
      </c>
      <c r="AL228">
        <v>0.1</v>
      </c>
      <c r="AM228">
        <v>0.1</v>
      </c>
      <c r="AN228">
        <v>0.1</v>
      </c>
      <c r="AO228">
        <v>0.1</v>
      </c>
      <c r="AP228">
        <v>0.1</v>
      </c>
      <c r="AQ228">
        <v>0.1</v>
      </c>
      <c r="AR228">
        <v>0.1</v>
      </c>
      <c r="AS228">
        <v>0.1</v>
      </c>
      <c r="AT228">
        <v>0.1</v>
      </c>
      <c r="AU228">
        <v>0.1</v>
      </c>
      <c r="AV228">
        <v>0.1</v>
      </c>
      <c r="AW228">
        <v>0.1</v>
      </c>
      <c r="AX228">
        <v>0.1</v>
      </c>
      <c r="AY228">
        <v>0.1</v>
      </c>
      <c r="AZ228">
        <v>0.1</v>
      </c>
      <c r="BA228">
        <v>0.1</v>
      </c>
      <c r="BB228">
        <v>0.1</v>
      </c>
      <c r="BC228">
        <v>0.1</v>
      </c>
      <c r="BD228">
        <v>0.1</v>
      </c>
      <c r="BE228">
        <v>0.1</v>
      </c>
      <c r="BF228">
        <v>0.1</v>
      </c>
      <c r="BG228">
        <v>0.1</v>
      </c>
      <c r="BH228">
        <v>0.1</v>
      </c>
      <c r="BI228">
        <v>0.1</v>
      </c>
      <c r="BJ228">
        <v>0.1</v>
      </c>
      <c r="BK228">
        <v>0.1</v>
      </c>
      <c r="BL228">
        <v>0.1</v>
      </c>
      <c r="BM228">
        <v>0.1</v>
      </c>
      <c r="BN228">
        <v>0.1</v>
      </c>
      <c r="BO228">
        <v>0.1</v>
      </c>
      <c r="BS228">
        <v>225</v>
      </c>
      <c r="BT228" s="271">
        <v>3.28</v>
      </c>
      <c r="BU228" s="270">
        <v>2.68</v>
      </c>
      <c r="BV228" s="2"/>
      <c r="BW228" s="2"/>
      <c r="BX228" s="2"/>
      <c r="BY228" s="258">
        <v>0.1</v>
      </c>
      <c r="BZ228" s="259">
        <v>0.1</v>
      </c>
      <c r="CA228" s="259">
        <v>0.1</v>
      </c>
      <c r="CB228" s="259">
        <v>0.1</v>
      </c>
      <c r="CC228" s="259">
        <v>0.1</v>
      </c>
      <c r="CD228" s="259">
        <v>0.1</v>
      </c>
      <c r="CE228" s="259">
        <v>0.1</v>
      </c>
      <c r="CF228" s="259">
        <v>0.1</v>
      </c>
      <c r="CG228" s="259">
        <v>0.1</v>
      </c>
      <c r="CH228" s="259">
        <v>0.1</v>
      </c>
      <c r="CI228" s="259">
        <v>0.1</v>
      </c>
      <c r="CJ228" s="259">
        <v>0.1</v>
      </c>
      <c r="CK228" s="259">
        <v>0.1</v>
      </c>
      <c r="CL228" s="259">
        <v>0.1</v>
      </c>
      <c r="CM228" s="259">
        <v>0.1</v>
      </c>
      <c r="CN228" s="259">
        <v>0.1</v>
      </c>
      <c r="CO228" s="259">
        <v>0.1</v>
      </c>
      <c r="CP228" s="259">
        <v>0.1</v>
      </c>
      <c r="CQ228" s="259">
        <v>0.1</v>
      </c>
      <c r="CR228" s="259">
        <v>0.1</v>
      </c>
      <c r="CS228" s="259">
        <v>0.1</v>
      </c>
      <c r="CT228" s="259">
        <v>0.1</v>
      </c>
      <c r="CU228" s="259">
        <v>0.1</v>
      </c>
      <c r="CV228" s="259">
        <v>0.1</v>
      </c>
      <c r="CW228" s="259">
        <v>0.1</v>
      </c>
      <c r="CX228" s="259">
        <v>0.1</v>
      </c>
      <c r="CY228" s="259">
        <v>0.1</v>
      </c>
      <c r="CZ228" s="259">
        <v>0.1</v>
      </c>
      <c r="DA228" s="259">
        <v>0.1</v>
      </c>
      <c r="DB228" s="259">
        <v>0.1</v>
      </c>
      <c r="DC228" s="259">
        <v>0.1</v>
      </c>
      <c r="DD228" s="259">
        <v>0.1</v>
      </c>
      <c r="DE228" s="260">
        <v>0.1</v>
      </c>
      <c r="DF228" s="258">
        <v>0.1</v>
      </c>
      <c r="DG228" s="259">
        <v>0.1</v>
      </c>
      <c r="DH228" s="259">
        <v>0.1</v>
      </c>
      <c r="DI228" s="259">
        <v>0.1</v>
      </c>
      <c r="DJ228" s="259">
        <v>0.1</v>
      </c>
      <c r="DK228" s="259">
        <v>0.1</v>
      </c>
      <c r="DL228" s="259">
        <v>0.1</v>
      </c>
      <c r="DM228" s="259">
        <v>0.1</v>
      </c>
      <c r="DN228" s="259">
        <v>0.1</v>
      </c>
      <c r="DO228" s="259">
        <v>0.1</v>
      </c>
      <c r="DP228" s="259">
        <v>0.1</v>
      </c>
      <c r="DQ228" s="259">
        <v>0.1</v>
      </c>
      <c r="DR228" s="259">
        <v>0.1</v>
      </c>
      <c r="DS228" s="259">
        <v>0.1</v>
      </c>
      <c r="DT228" s="259">
        <v>0.1</v>
      </c>
      <c r="DU228" s="259">
        <v>0.1</v>
      </c>
      <c r="DV228" s="259">
        <v>0.1</v>
      </c>
      <c r="DW228" s="259">
        <v>0.1</v>
      </c>
      <c r="DX228" s="259">
        <v>0.1</v>
      </c>
      <c r="DY228" s="259">
        <v>0.1</v>
      </c>
      <c r="DZ228" s="259">
        <v>0.1</v>
      </c>
      <c r="EA228" s="259">
        <v>0.1</v>
      </c>
      <c r="EB228" s="259">
        <v>0.1</v>
      </c>
      <c r="EC228" s="259">
        <v>0.1</v>
      </c>
      <c r="ED228" s="259">
        <v>0.1</v>
      </c>
      <c r="EE228" s="259">
        <v>0.1</v>
      </c>
      <c r="EF228" s="260">
        <v>0.1</v>
      </c>
      <c r="EJ228">
        <v>225</v>
      </c>
      <c r="EN228">
        <v>0.1</v>
      </c>
      <c r="EO228">
        <v>0.1</v>
      </c>
      <c r="EP228">
        <v>0.1</v>
      </c>
      <c r="EQ228">
        <v>0.1</v>
      </c>
      <c r="ER228">
        <v>0.1</v>
      </c>
      <c r="ES228">
        <v>0.1</v>
      </c>
      <c r="ET228">
        <v>0.1</v>
      </c>
      <c r="EU228">
        <v>0.1</v>
      </c>
      <c r="EV228">
        <v>0.1</v>
      </c>
      <c r="EW228">
        <v>0.1</v>
      </c>
      <c r="EX228">
        <v>0.1</v>
      </c>
      <c r="EY228">
        <v>0.1</v>
      </c>
      <c r="EZ228">
        <v>0.1</v>
      </c>
      <c r="FA228">
        <v>0.1</v>
      </c>
      <c r="FB228">
        <v>0.1</v>
      </c>
      <c r="FC228">
        <v>0.1</v>
      </c>
      <c r="FD228">
        <v>0.1</v>
      </c>
      <c r="FE228">
        <v>0.1</v>
      </c>
      <c r="FF228">
        <v>0.1</v>
      </c>
      <c r="FG228">
        <v>0.1</v>
      </c>
      <c r="FH228">
        <v>0.1</v>
      </c>
      <c r="FI228">
        <v>0.1</v>
      </c>
      <c r="FJ228">
        <v>0.1</v>
      </c>
      <c r="FK228">
        <v>0.1</v>
      </c>
      <c r="FL228">
        <v>0.1</v>
      </c>
      <c r="FM228">
        <v>0.1</v>
      </c>
      <c r="FN228">
        <v>0.1</v>
      </c>
      <c r="FO228">
        <v>0.1</v>
      </c>
      <c r="FP228">
        <v>0.1</v>
      </c>
      <c r="FQ228">
        <v>0.1</v>
      </c>
      <c r="FU228">
        <v>225</v>
      </c>
      <c r="GB228">
        <v>0.1</v>
      </c>
      <c r="GC228">
        <v>0.1</v>
      </c>
      <c r="GD228">
        <v>0.1</v>
      </c>
      <c r="GE228">
        <v>0.1</v>
      </c>
      <c r="GF228">
        <v>0.1</v>
      </c>
      <c r="GG228">
        <v>0.1</v>
      </c>
      <c r="GH228">
        <v>0.1</v>
      </c>
      <c r="GI228">
        <v>0.1</v>
      </c>
      <c r="GJ228">
        <v>0.1</v>
      </c>
      <c r="GK228">
        <v>0.1</v>
      </c>
      <c r="GL228">
        <v>0.1</v>
      </c>
      <c r="GM228">
        <v>0.1</v>
      </c>
      <c r="GN228">
        <v>0.1</v>
      </c>
      <c r="GO228">
        <v>0.1</v>
      </c>
      <c r="GP228">
        <v>0.1</v>
      </c>
      <c r="GQ228">
        <v>0.1</v>
      </c>
      <c r="GR228">
        <v>0.1</v>
      </c>
      <c r="GS228">
        <v>0.1</v>
      </c>
      <c r="GT228">
        <v>0.1</v>
      </c>
      <c r="GU228">
        <v>0.1</v>
      </c>
      <c r="GV228">
        <v>0.1</v>
      </c>
      <c r="GW228">
        <v>0.1</v>
      </c>
      <c r="GX228">
        <v>0.1</v>
      </c>
      <c r="GY228">
        <v>0.1</v>
      </c>
      <c r="GZ228">
        <v>0.1</v>
      </c>
      <c r="HA228">
        <v>0.1</v>
      </c>
      <c r="HB228">
        <v>0.1</v>
      </c>
      <c r="HC228">
        <v>0.1</v>
      </c>
      <c r="HD228">
        <v>0.1</v>
      </c>
      <c r="HE228">
        <v>0.1</v>
      </c>
      <c r="HF228">
        <v>0.1</v>
      </c>
      <c r="HG228">
        <v>0.1</v>
      </c>
      <c r="HH228">
        <v>0.1</v>
      </c>
      <c r="HI228">
        <v>0.1</v>
      </c>
      <c r="HJ228">
        <v>0.1</v>
      </c>
      <c r="HK228">
        <v>0.1</v>
      </c>
      <c r="HL228">
        <v>0.1</v>
      </c>
      <c r="HM228">
        <v>0.1</v>
      </c>
      <c r="HN228">
        <v>0.1</v>
      </c>
      <c r="HO228">
        <v>0.1</v>
      </c>
    </row>
    <row r="229" spans="1:223" ht="15.75" thickBot="1" x14ac:dyDescent="0.3">
      <c r="A229">
        <v>226</v>
      </c>
      <c r="C229" s="2"/>
      <c r="D229" s="2"/>
      <c r="E229" s="2"/>
      <c r="G229" s="2"/>
      <c r="H229">
        <v>0.1</v>
      </c>
      <c r="I229">
        <v>0.1</v>
      </c>
      <c r="J229">
        <v>0.1</v>
      </c>
      <c r="K229">
        <v>0.1</v>
      </c>
      <c r="L229">
        <v>0.1</v>
      </c>
      <c r="M229">
        <v>0.1</v>
      </c>
      <c r="N229">
        <v>0.1</v>
      </c>
      <c r="O229">
        <v>0.1</v>
      </c>
      <c r="P229">
        <v>0.1</v>
      </c>
      <c r="Q229">
        <v>0.1</v>
      </c>
      <c r="R229">
        <v>0.1</v>
      </c>
      <c r="S229">
        <v>0.1</v>
      </c>
      <c r="T229">
        <v>0.1</v>
      </c>
      <c r="U229">
        <v>0.1</v>
      </c>
      <c r="V229">
        <v>0.1</v>
      </c>
      <c r="W229">
        <v>0.1</v>
      </c>
      <c r="X229">
        <v>0.1</v>
      </c>
      <c r="Y229">
        <v>0.1</v>
      </c>
      <c r="Z229">
        <v>0.1</v>
      </c>
      <c r="AA229">
        <v>0.1</v>
      </c>
      <c r="AB229">
        <v>0.1</v>
      </c>
      <c r="AC229">
        <v>0.1</v>
      </c>
      <c r="AD229">
        <v>0.1</v>
      </c>
      <c r="AE229">
        <v>0.1</v>
      </c>
      <c r="AF229">
        <v>0.1</v>
      </c>
      <c r="AG229">
        <v>0.1</v>
      </c>
      <c r="AH229">
        <v>0.1</v>
      </c>
      <c r="AI229">
        <v>0.1</v>
      </c>
      <c r="AJ229">
        <v>0.1</v>
      </c>
      <c r="AK229">
        <v>0.1</v>
      </c>
      <c r="AL229">
        <v>0.1</v>
      </c>
      <c r="AM229">
        <v>0.1</v>
      </c>
      <c r="AN229">
        <v>0.1</v>
      </c>
      <c r="AO229">
        <v>0.1</v>
      </c>
      <c r="AP229">
        <v>0.1</v>
      </c>
      <c r="AQ229">
        <v>0.1</v>
      </c>
      <c r="AR229">
        <v>0.1</v>
      </c>
      <c r="AS229">
        <v>0.1</v>
      </c>
      <c r="AT229">
        <v>0.1</v>
      </c>
      <c r="AU229">
        <v>0.1</v>
      </c>
      <c r="AV229">
        <v>0.1</v>
      </c>
      <c r="AW229">
        <v>0.1</v>
      </c>
      <c r="AX229">
        <v>0.1</v>
      </c>
      <c r="AY229">
        <v>0.1</v>
      </c>
      <c r="AZ229">
        <v>0.1</v>
      </c>
      <c r="BA229">
        <v>0.1</v>
      </c>
      <c r="BB229">
        <v>0.1</v>
      </c>
      <c r="BC229">
        <v>0.1</v>
      </c>
      <c r="BD229">
        <v>0.1</v>
      </c>
      <c r="BE229">
        <v>0.1</v>
      </c>
      <c r="BF229">
        <v>0.1</v>
      </c>
      <c r="BG229">
        <v>0.1</v>
      </c>
      <c r="BH229">
        <v>0.1</v>
      </c>
      <c r="BI229">
        <v>0.1</v>
      </c>
      <c r="BJ229">
        <v>0.1</v>
      </c>
      <c r="BK229">
        <v>0.1</v>
      </c>
      <c r="BL229">
        <v>0.1</v>
      </c>
      <c r="BM229">
        <v>0.1</v>
      </c>
      <c r="BN229">
        <v>0.1</v>
      </c>
      <c r="BO229">
        <v>0.1</v>
      </c>
      <c r="BS229">
        <v>226</v>
      </c>
      <c r="BT229" s="270">
        <v>3.28</v>
      </c>
      <c r="BU229" s="271">
        <v>2.68</v>
      </c>
      <c r="BV229" s="2"/>
      <c r="BW229" s="2"/>
      <c r="BX229" s="2"/>
      <c r="BY229" s="258">
        <v>0.1</v>
      </c>
      <c r="BZ229" s="259">
        <v>0.1</v>
      </c>
      <c r="CA229" s="259">
        <v>0.1</v>
      </c>
      <c r="CB229" s="259">
        <v>0.1</v>
      </c>
      <c r="CC229" s="259">
        <v>0.1</v>
      </c>
      <c r="CD229" s="259">
        <v>0.1</v>
      </c>
      <c r="CE229" s="259">
        <v>0.1</v>
      </c>
      <c r="CF229" s="259">
        <v>0.1</v>
      </c>
      <c r="CG229" s="259">
        <v>0.1</v>
      </c>
      <c r="CH229" s="259">
        <v>0.1</v>
      </c>
      <c r="CI229" s="259">
        <v>0.1</v>
      </c>
      <c r="CJ229" s="259">
        <v>0.1</v>
      </c>
      <c r="CK229" s="259">
        <v>0.1</v>
      </c>
      <c r="CL229" s="259">
        <v>0.1</v>
      </c>
      <c r="CM229" s="259">
        <v>0.1</v>
      </c>
      <c r="CN229" s="259">
        <v>0.1</v>
      </c>
      <c r="CO229" s="259">
        <v>0.1</v>
      </c>
      <c r="CP229" s="259">
        <v>0.1</v>
      </c>
      <c r="CQ229" s="259">
        <v>0.1</v>
      </c>
      <c r="CR229" s="259">
        <v>0.1</v>
      </c>
      <c r="CS229" s="259">
        <v>0.1</v>
      </c>
      <c r="CT229" s="259">
        <v>0.1</v>
      </c>
      <c r="CU229" s="259">
        <v>0.1</v>
      </c>
      <c r="CV229" s="259">
        <v>0.1</v>
      </c>
      <c r="CW229" s="259">
        <v>0.1</v>
      </c>
      <c r="CX229" s="259">
        <v>0.1</v>
      </c>
      <c r="CY229" s="259">
        <v>0.1</v>
      </c>
      <c r="CZ229" s="259">
        <v>0.1</v>
      </c>
      <c r="DA229" s="259">
        <v>0.1</v>
      </c>
      <c r="DB229" s="259">
        <v>0.1</v>
      </c>
      <c r="DC229" s="259">
        <v>0.1</v>
      </c>
      <c r="DD229" s="259">
        <v>0.1</v>
      </c>
      <c r="DE229" s="260">
        <v>0.1</v>
      </c>
      <c r="DF229" s="258">
        <v>0.1</v>
      </c>
      <c r="DG229" s="259">
        <v>0.1</v>
      </c>
      <c r="DH229" s="259">
        <v>0.1</v>
      </c>
      <c r="DI229" s="259">
        <v>0.1</v>
      </c>
      <c r="DJ229" s="259">
        <v>0.1</v>
      </c>
      <c r="DK229" s="259">
        <v>0.1</v>
      </c>
      <c r="DL229" s="259">
        <v>0.1</v>
      </c>
      <c r="DM229" s="259">
        <v>0.1</v>
      </c>
      <c r="DN229" s="259">
        <v>0.1</v>
      </c>
      <c r="DO229" s="259">
        <v>0.1</v>
      </c>
      <c r="DP229" s="259">
        <v>0.1</v>
      </c>
      <c r="DQ229" s="259">
        <v>0.1</v>
      </c>
      <c r="DR229" s="259">
        <v>0.1</v>
      </c>
      <c r="DS229" s="259">
        <v>0.1</v>
      </c>
      <c r="DT229" s="259">
        <v>0.1</v>
      </c>
      <c r="DU229" s="259">
        <v>0.1</v>
      </c>
      <c r="DV229" s="259">
        <v>0.1</v>
      </c>
      <c r="DW229" s="259">
        <v>0.1</v>
      </c>
      <c r="DX229" s="259">
        <v>0.1</v>
      </c>
      <c r="DY229" s="259">
        <v>0.1</v>
      </c>
      <c r="DZ229" s="259">
        <v>0.1</v>
      </c>
      <c r="EA229" s="259">
        <v>0.1</v>
      </c>
      <c r="EB229" s="259">
        <v>0.1</v>
      </c>
      <c r="EC229" s="259">
        <v>0.1</v>
      </c>
      <c r="ED229" s="259">
        <v>0.1</v>
      </c>
      <c r="EE229" s="259">
        <v>0.1</v>
      </c>
      <c r="EF229" s="260">
        <v>0.1</v>
      </c>
      <c r="EJ229">
        <v>226</v>
      </c>
      <c r="EN229">
        <v>0.1</v>
      </c>
      <c r="EO229">
        <v>0.1</v>
      </c>
      <c r="EP229">
        <v>0.1</v>
      </c>
      <c r="EQ229">
        <v>0.1</v>
      </c>
      <c r="ER229">
        <v>0.1</v>
      </c>
      <c r="ES229">
        <v>0.1</v>
      </c>
      <c r="ET229">
        <v>0.1</v>
      </c>
      <c r="EU229">
        <v>0.1</v>
      </c>
      <c r="EV229">
        <v>0.1</v>
      </c>
      <c r="EW229">
        <v>0.1</v>
      </c>
      <c r="EX229">
        <v>0.1</v>
      </c>
      <c r="EY229">
        <v>0.1</v>
      </c>
      <c r="EZ229">
        <v>0.1</v>
      </c>
      <c r="FA229">
        <v>0.1</v>
      </c>
      <c r="FB229">
        <v>0.1</v>
      </c>
      <c r="FC229">
        <v>0.1</v>
      </c>
      <c r="FD229">
        <v>0.1</v>
      </c>
      <c r="FE229">
        <v>0.1</v>
      </c>
      <c r="FF229">
        <v>0.1</v>
      </c>
      <c r="FG229">
        <v>0.1</v>
      </c>
      <c r="FH229">
        <v>0.1</v>
      </c>
      <c r="FI229">
        <v>0.1</v>
      </c>
      <c r="FJ229">
        <v>0.1</v>
      </c>
      <c r="FK229">
        <v>0.1</v>
      </c>
      <c r="FL229">
        <v>0.1</v>
      </c>
      <c r="FM229">
        <v>0.1</v>
      </c>
      <c r="FN229">
        <v>0.1</v>
      </c>
      <c r="FO229">
        <v>0.1</v>
      </c>
      <c r="FP229">
        <v>0.1</v>
      </c>
      <c r="FQ229">
        <v>0.1</v>
      </c>
      <c r="FU229">
        <v>226</v>
      </c>
      <c r="GB229">
        <v>0.1</v>
      </c>
      <c r="GC229">
        <v>0.1</v>
      </c>
      <c r="GD229">
        <v>0.1</v>
      </c>
      <c r="GE229">
        <v>0.1</v>
      </c>
      <c r="GF229">
        <v>0.1</v>
      </c>
      <c r="GG229">
        <v>0.1</v>
      </c>
      <c r="GH229">
        <v>0.1</v>
      </c>
      <c r="GI229">
        <v>0.1</v>
      </c>
      <c r="GJ229">
        <v>0.1</v>
      </c>
      <c r="GK229">
        <v>0.1</v>
      </c>
      <c r="GL229">
        <v>0.1</v>
      </c>
      <c r="GM229">
        <v>0.1</v>
      </c>
      <c r="GN229">
        <v>0.1</v>
      </c>
      <c r="GO229">
        <v>0.1</v>
      </c>
      <c r="GP229">
        <v>0.1</v>
      </c>
      <c r="GQ229">
        <v>0.1</v>
      </c>
      <c r="GR229">
        <v>0.1</v>
      </c>
      <c r="GS229">
        <v>0.1</v>
      </c>
      <c r="GT229">
        <v>0.1</v>
      </c>
      <c r="GU229">
        <v>0.1</v>
      </c>
      <c r="GV229">
        <v>0.1</v>
      </c>
      <c r="GW229">
        <v>0.1</v>
      </c>
      <c r="GX229">
        <v>0.1</v>
      </c>
      <c r="GY229">
        <v>0.1</v>
      </c>
      <c r="GZ229">
        <v>0.1</v>
      </c>
      <c r="HA229">
        <v>0.1</v>
      </c>
      <c r="HB229">
        <v>0.1</v>
      </c>
      <c r="HC229">
        <v>0.1</v>
      </c>
      <c r="HD229">
        <v>0.1</v>
      </c>
      <c r="HE229">
        <v>0.1</v>
      </c>
      <c r="HF229">
        <v>0.1</v>
      </c>
      <c r="HG229">
        <v>0.1</v>
      </c>
      <c r="HH229">
        <v>0.1</v>
      </c>
      <c r="HI229">
        <v>0.1</v>
      </c>
      <c r="HJ229">
        <v>0.1</v>
      </c>
      <c r="HK229">
        <v>0.1</v>
      </c>
      <c r="HL229">
        <v>0.1</v>
      </c>
      <c r="HM229">
        <v>0.1</v>
      </c>
      <c r="HN229">
        <v>0.1</v>
      </c>
      <c r="HO229">
        <v>0.1</v>
      </c>
    </row>
    <row r="230" spans="1:223" ht="15.75" thickBot="1" x14ac:dyDescent="0.3">
      <c r="A230">
        <v>227</v>
      </c>
      <c r="C230" s="2"/>
      <c r="D230" s="2"/>
      <c r="E230" s="2"/>
      <c r="G230" s="2"/>
      <c r="H230">
        <v>0.1</v>
      </c>
      <c r="I230">
        <v>0.1</v>
      </c>
      <c r="J230">
        <v>0.1</v>
      </c>
      <c r="K230">
        <v>0.1</v>
      </c>
      <c r="L230">
        <v>0.1</v>
      </c>
      <c r="M230">
        <v>0.1</v>
      </c>
      <c r="N230">
        <v>0.1</v>
      </c>
      <c r="O230">
        <v>0.1</v>
      </c>
      <c r="P230">
        <v>0.1</v>
      </c>
      <c r="Q230">
        <v>0.1</v>
      </c>
      <c r="R230">
        <v>0.1</v>
      </c>
      <c r="S230">
        <v>0.1</v>
      </c>
      <c r="T230">
        <v>0.1</v>
      </c>
      <c r="U230">
        <v>0.1</v>
      </c>
      <c r="V230">
        <v>0.1</v>
      </c>
      <c r="W230">
        <v>0.1</v>
      </c>
      <c r="X230">
        <v>0.1</v>
      </c>
      <c r="Y230">
        <v>0.1</v>
      </c>
      <c r="Z230">
        <v>0.1</v>
      </c>
      <c r="AA230">
        <v>0.1</v>
      </c>
      <c r="AB230">
        <v>0.1</v>
      </c>
      <c r="AC230">
        <v>0.1</v>
      </c>
      <c r="AD230">
        <v>0.1</v>
      </c>
      <c r="AE230">
        <v>0.1</v>
      </c>
      <c r="AF230">
        <v>0.1</v>
      </c>
      <c r="AG230">
        <v>0.1</v>
      </c>
      <c r="AH230">
        <v>0.1</v>
      </c>
      <c r="AI230">
        <v>0.1</v>
      </c>
      <c r="AJ230">
        <v>0.1</v>
      </c>
      <c r="AK230">
        <v>0.1</v>
      </c>
      <c r="AL230">
        <v>0.1</v>
      </c>
      <c r="AM230">
        <v>0.1</v>
      </c>
      <c r="AN230">
        <v>0.1</v>
      </c>
      <c r="AO230">
        <v>0.1</v>
      </c>
      <c r="AP230">
        <v>0.1</v>
      </c>
      <c r="AQ230">
        <v>0.1</v>
      </c>
      <c r="AR230">
        <v>0.1</v>
      </c>
      <c r="AS230">
        <v>0.1</v>
      </c>
      <c r="AT230">
        <v>0.1</v>
      </c>
      <c r="AU230">
        <v>0.1</v>
      </c>
      <c r="AV230">
        <v>0.1</v>
      </c>
      <c r="AW230">
        <v>0.1</v>
      </c>
      <c r="AX230">
        <v>0.1</v>
      </c>
      <c r="AY230">
        <v>0.1</v>
      </c>
      <c r="AZ230">
        <v>0.1</v>
      </c>
      <c r="BA230">
        <v>0.1</v>
      </c>
      <c r="BB230">
        <v>0.1</v>
      </c>
      <c r="BC230">
        <v>0.1</v>
      </c>
      <c r="BD230">
        <v>0.1</v>
      </c>
      <c r="BE230">
        <v>0.1</v>
      </c>
      <c r="BF230">
        <v>0.1</v>
      </c>
      <c r="BG230">
        <v>0.1</v>
      </c>
      <c r="BH230">
        <v>0.1</v>
      </c>
      <c r="BI230">
        <v>0.1</v>
      </c>
      <c r="BJ230">
        <v>0.1</v>
      </c>
      <c r="BK230">
        <v>0.1</v>
      </c>
      <c r="BL230">
        <v>0.1</v>
      </c>
      <c r="BM230">
        <v>0.1</v>
      </c>
      <c r="BN230">
        <v>0.1</v>
      </c>
      <c r="BO230">
        <v>0.1</v>
      </c>
      <c r="BS230">
        <v>227</v>
      </c>
      <c r="BT230" s="271">
        <v>3.28</v>
      </c>
      <c r="BU230" s="270">
        <v>2.68</v>
      </c>
      <c r="BV230" s="2"/>
      <c r="BW230" s="2"/>
      <c r="BX230" s="2"/>
      <c r="BY230" s="258">
        <v>0.1</v>
      </c>
      <c r="BZ230" s="259">
        <v>0.1</v>
      </c>
      <c r="CA230" s="259">
        <v>0.1</v>
      </c>
      <c r="CB230" s="259">
        <v>0.1</v>
      </c>
      <c r="CC230" s="259">
        <v>0.1</v>
      </c>
      <c r="CD230" s="259">
        <v>0.1</v>
      </c>
      <c r="CE230" s="259">
        <v>0.1</v>
      </c>
      <c r="CF230" s="259">
        <v>0.1</v>
      </c>
      <c r="CG230" s="259">
        <v>0.1</v>
      </c>
      <c r="CH230" s="259">
        <v>0.1</v>
      </c>
      <c r="CI230" s="259">
        <v>0.1</v>
      </c>
      <c r="CJ230" s="259">
        <v>0.1</v>
      </c>
      <c r="CK230" s="259">
        <v>0.1</v>
      </c>
      <c r="CL230" s="259">
        <v>0.1</v>
      </c>
      <c r="CM230" s="259">
        <v>0.1</v>
      </c>
      <c r="CN230" s="259">
        <v>0.1</v>
      </c>
      <c r="CO230" s="259">
        <v>0.1</v>
      </c>
      <c r="CP230" s="259">
        <v>0.1</v>
      </c>
      <c r="CQ230" s="259">
        <v>0.1</v>
      </c>
      <c r="CR230" s="259">
        <v>0.1</v>
      </c>
      <c r="CS230" s="259">
        <v>0.1</v>
      </c>
      <c r="CT230" s="259">
        <v>0.1</v>
      </c>
      <c r="CU230" s="259">
        <v>0.1</v>
      </c>
      <c r="CV230" s="259">
        <v>0.1</v>
      </c>
      <c r="CW230" s="259">
        <v>0.1</v>
      </c>
      <c r="CX230" s="259">
        <v>0.1</v>
      </c>
      <c r="CY230" s="259">
        <v>0.1</v>
      </c>
      <c r="CZ230" s="259">
        <v>0.1</v>
      </c>
      <c r="DA230" s="259">
        <v>0.1</v>
      </c>
      <c r="DB230" s="259">
        <v>0.1</v>
      </c>
      <c r="DC230" s="259">
        <v>0.1</v>
      </c>
      <c r="DD230" s="259">
        <v>0.1</v>
      </c>
      <c r="DE230" s="260">
        <v>0.1</v>
      </c>
      <c r="DF230" s="258">
        <v>0.1</v>
      </c>
      <c r="DG230" s="259">
        <v>0.1</v>
      </c>
      <c r="DH230" s="259">
        <v>0.1</v>
      </c>
      <c r="DI230" s="259">
        <v>0.1</v>
      </c>
      <c r="DJ230" s="259">
        <v>0.1</v>
      </c>
      <c r="DK230" s="259">
        <v>0.1</v>
      </c>
      <c r="DL230" s="259">
        <v>0.1</v>
      </c>
      <c r="DM230" s="259">
        <v>0.1</v>
      </c>
      <c r="DN230" s="259">
        <v>0.1</v>
      </c>
      <c r="DO230" s="259">
        <v>0.1</v>
      </c>
      <c r="DP230" s="259">
        <v>0.1</v>
      </c>
      <c r="DQ230" s="259">
        <v>0.1</v>
      </c>
      <c r="DR230" s="259">
        <v>0.1</v>
      </c>
      <c r="DS230" s="259">
        <v>0.1</v>
      </c>
      <c r="DT230" s="259">
        <v>0.1</v>
      </c>
      <c r="DU230" s="259">
        <v>0.1</v>
      </c>
      <c r="DV230" s="259">
        <v>0.1</v>
      </c>
      <c r="DW230" s="259">
        <v>0.1</v>
      </c>
      <c r="DX230" s="259">
        <v>0.1</v>
      </c>
      <c r="DY230" s="259">
        <v>0.1</v>
      </c>
      <c r="DZ230" s="259">
        <v>0.1</v>
      </c>
      <c r="EA230" s="259">
        <v>0.1</v>
      </c>
      <c r="EB230" s="259">
        <v>0.1</v>
      </c>
      <c r="EC230" s="259">
        <v>0.1</v>
      </c>
      <c r="ED230" s="259">
        <v>0.1</v>
      </c>
      <c r="EE230" s="259">
        <v>0.1</v>
      </c>
      <c r="EF230" s="260">
        <v>0.1</v>
      </c>
      <c r="EJ230">
        <v>227</v>
      </c>
      <c r="EN230">
        <v>0.1</v>
      </c>
      <c r="EO230">
        <v>0.1</v>
      </c>
      <c r="EP230">
        <v>0.1</v>
      </c>
      <c r="EQ230">
        <v>0.1</v>
      </c>
      <c r="ER230">
        <v>0.1</v>
      </c>
      <c r="ES230">
        <v>0.1</v>
      </c>
      <c r="ET230">
        <v>0.1</v>
      </c>
      <c r="EU230">
        <v>0.1</v>
      </c>
      <c r="EV230">
        <v>0.1</v>
      </c>
      <c r="EW230">
        <v>0.1</v>
      </c>
      <c r="EX230">
        <v>0.1</v>
      </c>
      <c r="EY230">
        <v>0.1</v>
      </c>
      <c r="EZ230">
        <v>0.1</v>
      </c>
      <c r="FA230">
        <v>0.1</v>
      </c>
      <c r="FB230">
        <v>0.1</v>
      </c>
      <c r="FC230">
        <v>0.1</v>
      </c>
      <c r="FD230">
        <v>0.1</v>
      </c>
      <c r="FE230">
        <v>0.1</v>
      </c>
      <c r="FF230">
        <v>0.1</v>
      </c>
      <c r="FG230">
        <v>0.1</v>
      </c>
      <c r="FH230">
        <v>0.1</v>
      </c>
      <c r="FI230">
        <v>0.1</v>
      </c>
      <c r="FJ230">
        <v>0.1</v>
      </c>
      <c r="FK230">
        <v>0.1</v>
      </c>
      <c r="FL230">
        <v>0.1</v>
      </c>
      <c r="FM230">
        <v>0.1</v>
      </c>
      <c r="FN230">
        <v>0.1</v>
      </c>
      <c r="FO230">
        <v>0.1</v>
      </c>
      <c r="FP230">
        <v>0.1</v>
      </c>
      <c r="FQ230">
        <v>0.1</v>
      </c>
      <c r="FU230">
        <v>227</v>
      </c>
      <c r="GB230">
        <v>0.1</v>
      </c>
      <c r="GC230">
        <v>0.1</v>
      </c>
      <c r="GD230">
        <v>0.1</v>
      </c>
      <c r="GE230">
        <v>0.1</v>
      </c>
      <c r="GF230">
        <v>0.1</v>
      </c>
      <c r="GG230">
        <v>0.1</v>
      </c>
      <c r="GH230">
        <v>0.1</v>
      </c>
      <c r="GI230">
        <v>0.1</v>
      </c>
      <c r="GJ230">
        <v>0.1</v>
      </c>
      <c r="GK230">
        <v>0.1</v>
      </c>
      <c r="GL230">
        <v>0.1</v>
      </c>
      <c r="GM230">
        <v>0.1</v>
      </c>
      <c r="GN230">
        <v>0.1</v>
      </c>
      <c r="GO230">
        <v>0.1</v>
      </c>
      <c r="GP230">
        <v>0.1</v>
      </c>
      <c r="GQ230">
        <v>0.1</v>
      </c>
      <c r="GR230">
        <v>0.1</v>
      </c>
      <c r="GS230">
        <v>0.1</v>
      </c>
      <c r="GT230">
        <v>0.1</v>
      </c>
      <c r="GU230">
        <v>0.1</v>
      </c>
      <c r="GV230">
        <v>0.1</v>
      </c>
      <c r="GW230">
        <v>0.1</v>
      </c>
      <c r="GX230">
        <v>0.1</v>
      </c>
      <c r="GY230">
        <v>0.1</v>
      </c>
      <c r="GZ230">
        <v>0.1</v>
      </c>
      <c r="HA230">
        <v>0.1</v>
      </c>
      <c r="HB230">
        <v>0.1</v>
      </c>
      <c r="HC230">
        <v>0.1</v>
      </c>
      <c r="HD230">
        <v>0.1</v>
      </c>
      <c r="HE230">
        <v>0.1</v>
      </c>
      <c r="HF230">
        <v>0.1</v>
      </c>
      <c r="HG230">
        <v>0.1</v>
      </c>
      <c r="HH230">
        <v>0.1</v>
      </c>
      <c r="HI230">
        <v>0.1</v>
      </c>
      <c r="HJ230">
        <v>0.1</v>
      </c>
      <c r="HK230">
        <v>0.1</v>
      </c>
      <c r="HL230">
        <v>0.1</v>
      </c>
      <c r="HM230">
        <v>0.1</v>
      </c>
      <c r="HN230">
        <v>0.1</v>
      </c>
      <c r="HO230">
        <v>0.1</v>
      </c>
    </row>
    <row r="231" spans="1:223" ht="15.75" thickBot="1" x14ac:dyDescent="0.3">
      <c r="A231">
        <v>228</v>
      </c>
      <c r="C231" s="2"/>
      <c r="D231" s="2"/>
      <c r="E231" s="2"/>
      <c r="G231" s="2"/>
      <c r="H231">
        <v>0.1</v>
      </c>
      <c r="I231">
        <v>0.1</v>
      </c>
      <c r="J231">
        <v>0.1</v>
      </c>
      <c r="K231">
        <v>0.1</v>
      </c>
      <c r="L231">
        <v>0.1</v>
      </c>
      <c r="M231">
        <v>0.1</v>
      </c>
      <c r="N231">
        <v>0.1</v>
      </c>
      <c r="O231">
        <v>0.1</v>
      </c>
      <c r="P231">
        <v>0.1</v>
      </c>
      <c r="Q231">
        <v>0.1</v>
      </c>
      <c r="R231">
        <v>0.1</v>
      </c>
      <c r="S231">
        <v>0.1</v>
      </c>
      <c r="T231">
        <v>0.1</v>
      </c>
      <c r="U231">
        <v>0.1</v>
      </c>
      <c r="V231">
        <v>0.1</v>
      </c>
      <c r="W231">
        <v>0.1</v>
      </c>
      <c r="X231">
        <v>0.1</v>
      </c>
      <c r="Y231">
        <v>0.1</v>
      </c>
      <c r="Z231">
        <v>0.1</v>
      </c>
      <c r="AA231">
        <v>0.1</v>
      </c>
      <c r="AB231">
        <v>0.1</v>
      </c>
      <c r="AC231">
        <v>0.1</v>
      </c>
      <c r="AD231">
        <v>0.1</v>
      </c>
      <c r="AE231">
        <v>0.1</v>
      </c>
      <c r="AF231">
        <v>0.1</v>
      </c>
      <c r="AG231">
        <v>0.1</v>
      </c>
      <c r="AH231">
        <v>0.1</v>
      </c>
      <c r="AI231">
        <v>0.1</v>
      </c>
      <c r="AJ231">
        <v>0.1</v>
      </c>
      <c r="AK231">
        <v>0.1</v>
      </c>
      <c r="AL231">
        <v>0.1</v>
      </c>
      <c r="AM231">
        <v>0.1</v>
      </c>
      <c r="AN231">
        <v>0.1</v>
      </c>
      <c r="AO231">
        <v>0.1</v>
      </c>
      <c r="AP231">
        <v>0.1</v>
      </c>
      <c r="AQ231">
        <v>0.1</v>
      </c>
      <c r="AR231">
        <v>0.1</v>
      </c>
      <c r="AS231">
        <v>0.1</v>
      </c>
      <c r="AT231">
        <v>0.1</v>
      </c>
      <c r="AU231">
        <v>0.1</v>
      </c>
      <c r="AV231">
        <v>0.1</v>
      </c>
      <c r="AW231">
        <v>0.1</v>
      </c>
      <c r="AX231">
        <v>0.1</v>
      </c>
      <c r="AY231">
        <v>0.1</v>
      </c>
      <c r="AZ231">
        <v>0.1</v>
      </c>
      <c r="BA231">
        <v>0.1</v>
      </c>
      <c r="BB231">
        <v>0.1</v>
      </c>
      <c r="BC231">
        <v>0.1</v>
      </c>
      <c r="BD231">
        <v>0.1</v>
      </c>
      <c r="BE231">
        <v>0.1</v>
      </c>
      <c r="BF231">
        <v>0.1</v>
      </c>
      <c r="BG231">
        <v>0.1</v>
      </c>
      <c r="BH231">
        <v>0.1</v>
      </c>
      <c r="BI231">
        <v>0.1</v>
      </c>
      <c r="BJ231">
        <v>0.1</v>
      </c>
      <c r="BK231">
        <v>0.1</v>
      </c>
      <c r="BL231">
        <v>0.1</v>
      </c>
      <c r="BM231">
        <v>0.1</v>
      </c>
      <c r="BN231">
        <v>0.1</v>
      </c>
      <c r="BO231">
        <v>0.1</v>
      </c>
      <c r="BS231">
        <v>228</v>
      </c>
      <c r="BT231" s="270">
        <v>3.28</v>
      </c>
      <c r="BU231" s="271">
        <v>2.68</v>
      </c>
      <c r="BV231" s="2"/>
      <c r="BW231" s="2"/>
      <c r="BX231" s="2"/>
      <c r="BY231" s="258">
        <v>0.1</v>
      </c>
      <c r="BZ231" s="259">
        <v>0.1</v>
      </c>
      <c r="CA231" s="259">
        <v>0.1</v>
      </c>
      <c r="CB231" s="259">
        <v>0.1</v>
      </c>
      <c r="CC231" s="259">
        <v>0.1</v>
      </c>
      <c r="CD231" s="259">
        <v>0.1</v>
      </c>
      <c r="CE231" s="259">
        <v>0.1</v>
      </c>
      <c r="CF231" s="259">
        <v>0.1</v>
      </c>
      <c r="CG231" s="259">
        <v>0.1</v>
      </c>
      <c r="CH231" s="259">
        <v>0.1</v>
      </c>
      <c r="CI231" s="259">
        <v>0.1</v>
      </c>
      <c r="CJ231" s="259">
        <v>0.1</v>
      </c>
      <c r="CK231" s="259">
        <v>0.1</v>
      </c>
      <c r="CL231" s="259">
        <v>0.1</v>
      </c>
      <c r="CM231" s="259">
        <v>0.1</v>
      </c>
      <c r="CN231" s="259">
        <v>0.1</v>
      </c>
      <c r="CO231" s="259">
        <v>0.1</v>
      </c>
      <c r="CP231" s="259">
        <v>0.1</v>
      </c>
      <c r="CQ231" s="259">
        <v>0.1</v>
      </c>
      <c r="CR231" s="259">
        <v>0.1</v>
      </c>
      <c r="CS231" s="259">
        <v>0.1</v>
      </c>
      <c r="CT231" s="259">
        <v>0.1</v>
      </c>
      <c r="CU231" s="259">
        <v>0.1</v>
      </c>
      <c r="CV231" s="259">
        <v>0.1</v>
      </c>
      <c r="CW231" s="259">
        <v>0.1</v>
      </c>
      <c r="CX231" s="259">
        <v>0.1</v>
      </c>
      <c r="CY231" s="259">
        <v>0.1</v>
      </c>
      <c r="CZ231" s="259">
        <v>0.1</v>
      </c>
      <c r="DA231" s="259">
        <v>0.1</v>
      </c>
      <c r="DB231" s="259">
        <v>0.1</v>
      </c>
      <c r="DC231" s="259">
        <v>0.1</v>
      </c>
      <c r="DD231" s="259">
        <v>0.1</v>
      </c>
      <c r="DE231" s="260">
        <v>0.1</v>
      </c>
      <c r="DF231" s="258">
        <v>0.1</v>
      </c>
      <c r="DG231" s="259">
        <v>0.1</v>
      </c>
      <c r="DH231" s="259">
        <v>0.1</v>
      </c>
      <c r="DI231" s="259">
        <v>0.1</v>
      </c>
      <c r="DJ231" s="259">
        <v>0.1</v>
      </c>
      <c r="DK231" s="259">
        <v>0.1</v>
      </c>
      <c r="DL231" s="259">
        <v>0.1</v>
      </c>
      <c r="DM231" s="259">
        <v>0.1</v>
      </c>
      <c r="DN231" s="259">
        <v>0.1</v>
      </c>
      <c r="DO231" s="259">
        <v>0.1</v>
      </c>
      <c r="DP231" s="259">
        <v>0.1</v>
      </c>
      <c r="DQ231" s="259">
        <v>0.1</v>
      </c>
      <c r="DR231" s="259">
        <v>0.1</v>
      </c>
      <c r="DS231" s="259">
        <v>0.1</v>
      </c>
      <c r="DT231" s="259">
        <v>0.1</v>
      </c>
      <c r="DU231" s="259">
        <v>0.1</v>
      </c>
      <c r="DV231" s="259">
        <v>0.1</v>
      </c>
      <c r="DW231" s="259">
        <v>0.1</v>
      </c>
      <c r="DX231" s="259">
        <v>0.1</v>
      </c>
      <c r="DY231" s="259">
        <v>0.1</v>
      </c>
      <c r="DZ231" s="259">
        <v>0.1</v>
      </c>
      <c r="EA231" s="259">
        <v>0.1</v>
      </c>
      <c r="EB231" s="259">
        <v>0.1</v>
      </c>
      <c r="EC231" s="259">
        <v>0.1</v>
      </c>
      <c r="ED231" s="259">
        <v>0.1</v>
      </c>
      <c r="EE231" s="259">
        <v>0.1</v>
      </c>
      <c r="EF231" s="260">
        <v>0.1</v>
      </c>
      <c r="EJ231">
        <v>228</v>
      </c>
      <c r="EN231">
        <v>0.1</v>
      </c>
      <c r="EO231">
        <v>0.1</v>
      </c>
      <c r="EP231">
        <v>0.1</v>
      </c>
      <c r="EQ231">
        <v>0.1</v>
      </c>
      <c r="ER231">
        <v>0.1</v>
      </c>
      <c r="ES231">
        <v>0.1</v>
      </c>
      <c r="ET231">
        <v>0.1</v>
      </c>
      <c r="EU231">
        <v>0.1</v>
      </c>
      <c r="EV231">
        <v>0.1</v>
      </c>
      <c r="EW231">
        <v>0.1</v>
      </c>
      <c r="EX231">
        <v>0.1</v>
      </c>
      <c r="EY231">
        <v>0.1</v>
      </c>
      <c r="EZ231">
        <v>0.1</v>
      </c>
      <c r="FA231">
        <v>0.1</v>
      </c>
      <c r="FB231">
        <v>0.1</v>
      </c>
      <c r="FC231">
        <v>0.1</v>
      </c>
      <c r="FD231">
        <v>0.1</v>
      </c>
      <c r="FE231">
        <v>0.1</v>
      </c>
      <c r="FF231">
        <v>0.1</v>
      </c>
      <c r="FG231">
        <v>0.1</v>
      </c>
      <c r="FH231">
        <v>0.1</v>
      </c>
      <c r="FI231">
        <v>0.1</v>
      </c>
      <c r="FJ231">
        <v>0.1</v>
      </c>
      <c r="FK231">
        <v>0.1</v>
      </c>
      <c r="FL231">
        <v>0.1</v>
      </c>
      <c r="FM231">
        <v>0.1</v>
      </c>
      <c r="FN231">
        <v>0.1</v>
      </c>
      <c r="FO231">
        <v>0.1</v>
      </c>
      <c r="FP231">
        <v>0.1</v>
      </c>
      <c r="FQ231">
        <v>0.1</v>
      </c>
      <c r="FU231">
        <v>228</v>
      </c>
      <c r="GB231">
        <v>0.1</v>
      </c>
      <c r="GC231">
        <v>0.1</v>
      </c>
      <c r="GD231">
        <v>0.1</v>
      </c>
      <c r="GE231">
        <v>0.1</v>
      </c>
      <c r="GF231">
        <v>0.1</v>
      </c>
      <c r="GG231">
        <v>0.1</v>
      </c>
      <c r="GH231">
        <v>0.1</v>
      </c>
      <c r="GI231">
        <v>0.1</v>
      </c>
      <c r="GJ231">
        <v>0.1</v>
      </c>
      <c r="GK231">
        <v>0.1</v>
      </c>
      <c r="GL231">
        <v>0.1</v>
      </c>
      <c r="GM231">
        <v>0.1</v>
      </c>
      <c r="GN231">
        <v>0.1</v>
      </c>
      <c r="GO231">
        <v>0.1</v>
      </c>
      <c r="GP231">
        <v>0.1</v>
      </c>
      <c r="GQ231">
        <v>0.1</v>
      </c>
      <c r="GR231">
        <v>0.1</v>
      </c>
      <c r="GS231">
        <v>0.1</v>
      </c>
      <c r="GT231">
        <v>0.1</v>
      </c>
      <c r="GU231">
        <v>0.1</v>
      </c>
      <c r="GV231">
        <v>0.1</v>
      </c>
      <c r="GW231">
        <v>0.1</v>
      </c>
      <c r="GX231">
        <v>0.1</v>
      </c>
      <c r="GY231">
        <v>0.1</v>
      </c>
      <c r="GZ231">
        <v>0.1</v>
      </c>
      <c r="HA231">
        <v>0.1</v>
      </c>
      <c r="HB231">
        <v>0.1</v>
      </c>
      <c r="HC231">
        <v>0.1</v>
      </c>
      <c r="HD231">
        <v>0.1</v>
      </c>
      <c r="HE231">
        <v>0.1</v>
      </c>
      <c r="HF231">
        <v>0.1</v>
      </c>
      <c r="HG231">
        <v>0.1</v>
      </c>
      <c r="HH231">
        <v>0.1</v>
      </c>
      <c r="HI231">
        <v>0.1</v>
      </c>
      <c r="HJ231">
        <v>0.1</v>
      </c>
      <c r="HK231">
        <v>0.1</v>
      </c>
      <c r="HL231">
        <v>0.1</v>
      </c>
      <c r="HM231">
        <v>0.1</v>
      </c>
      <c r="HN231">
        <v>0.1</v>
      </c>
      <c r="HO231">
        <v>0.1</v>
      </c>
    </row>
    <row r="232" spans="1:223" ht="15.75" thickBot="1" x14ac:dyDescent="0.3">
      <c r="A232">
        <v>229</v>
      </c>
      <c r="C232" s="2"/>
      <c r="D232" s="2"/>
      <c r="E232" s="2"/>
      <c r="G232" s="2"/>
      <c r="H232">
        <v>0.1</v>
      </c>
      <c r="I232">
        <v>0.1</v>
      </c>
      <c r="J232">
        <v>0.1</v>
      </c>
      <c r="K232">
        <v>0.1</v>
      </c>
      <c r="L232">
        <v>0.1</v>
      </c>
      <c r="M232">
        <v>0.1</v>
      </c>
      <c r="N232">
        <v>0.1</v>
      </c>
      <c r="O232">
        <v>0.1</v>
      </c>
      <c r="P232">
        <v>0.1</v>
      </c>
      <c r="Q232">
        <v>0.1</v>
      </c>
      <c r="R232">
        <v>0.1</v>
      </c>
      <c r="S232">
        <v>0.1</v>
      </c>
      <c r="T232">
        <v>0.1</v>
      </c>
      <c r="U232">
        <v>0.1</v>
      </c>
      <c r="V232">
        <v>0.1</v>
      </c>
      <c r="W232">
        <v>0.1</v>
      </c>
      <c r="X232">
        <v>0.1</v>
      </c>
      <c r="Y232">
        <v>0.1</v>
      </c>
      <c r="Z232">
        <v>0.1</v>
      </c>
      <c r="AA232">
        <v>0.1</v>
      </c>
      <c r="AB232">
        <v>0.1</v>
      </c>
      <c r="AC232">
        <v>0.1</v>
      </c>
      <c r="AD232">
        <v>0.1</v>
      </c>
      <c r="AE232">
        <v>0.1</v>
      </c>
      <c r="AF232">
        <v>0.1</v>
      </c>
      <c r="AG232">
        <v>0.1</v>
      </c>
      <c r="AH232">
        <v>0.1</v>
      </c>
      <c r="AI232">
        <v>0.1</v>
      </c>
      <c r="AJ232">
        <v>0.1</v>
      </c>
      <c r="AK232">
        <v>0.1</v>
      </c>
      <c r="AL232">
        <v>0.1</v>
      </c>
      <c r="AM232">
        <v>0.1</v>
      </c>
      <c r="AN232">
        <v>0.1</v>
      </c>
      <c r="AO232">
        <v>0.1</v>
      </c>
      <c r="AP232">
        <v>0.1</v>
      </c>
      <c r="AQ232">
        <v>0.1</v>
      </c>
      <c r="AR232">
        <v>0.1</v>
      </c>
      <c r="AS232">
        <v>0.1</v>
      </c>
      <c r="AT232">
        <v>0.1</v>
      </c>
      <c r="AU232">
        <v>0.1</v>
      </c>
      <c r="AV232">
        <v>0.1</v>
      </c>
      <c r="AW232">
        <v>0.1</v>
      </c>
      <c r="AX232">
        <v>0.1</v>
      </c>
      <c r="AY232">
        <v>0.1</v>
      </c>
      <c r="AZ232">
        <v>0.1</v>
      </c>
      <c r="BA232">
        <v>0.1</v>
      </c>
      <c r="BB232">
        <v>0.1</v>
      </c>
      <c r="BC232">
        <v>0.1</v>
      </c>
      <c r="BD232">
        <v>0.1</v>
      </c>
      <c r="BE232">
        <v>0.1</v>
      </c>
      <c r="BF232">
        <v>0.1</v>
      </c>
      <c r="BG232">
        <v>0.1</v>
      </c>
      <c r="BH232">
        <v>0.1</v>
      </c>
      <c r="BI232">
        <v>0.1</v>
      </c>
      <c r="BJ232">
        <v>0.1</v>
      </c>
      <c r="BK232">
        <v>0.1</v>
      </c>
      <c r="BL232">
        <v>0.1</v>
      </c>
      <c r="BM232">
        <v>0.1</v>
      </c>
      <c r="BN232">
        <v>0.1</v>
      </c>
      <c r="BO232">
        <v>0.1</v>
      </c>
      <c r="BS232">
        <v>229</v>
      </c>
      <c r="BT232" s="271">
        <v>3.27</v>
      </c>
      <c r="BU232" s="270">
        <v>2.68</v>
      </c>
      <c r="BV232" s="2"/>
      <c r="BW232" s="2"/>
      <c r="BX232" s="2"/>
      <c r="BY232" s="258">
        <v>0.1</v>
      </c>
      <c r="BZ232" s="259">
        <v>0.1</v>
      </c>
      <c r="CA232" s="259">
        <v>0.1</v>
      </c>
      <c r="CB232" s="259">
        <v>0.1</v>
      </c>
      <c r="CC232" s="259">
        <v>0.1</v>
      </c>
      <c r="CD232" s="259">
        <v>0.1</v>
      </c>
      <c r="CE232" s="259">
        <v>0.1</v>
      </c>
      <c r="CF232" s="259">
        <v>0.1</v>
      </c>
      <c r="CG232" s="259">
        <v>0.1</v>
      </c>
      <c r="CH232" s="259">
        <v>0.1</v>
      </c>
      <c r="CI232" s="259">
        <v>0.1</v>
      </c>
      <c r="CJ232" s="259">
        <v>0.1</v>
      </c>
      <c r="CK232" s="259">
        <v>0.1</v>
      </c>
      <c r="CL232" s="259">
        <v>0.1</v>
      </c>
      <c r="CM232" s="259">
        <v>0.1</v>
      </c>
      <c r="CN232" s="259">
        <v>0.1</v>
      </c>
      <c r="CO232" s="259">
        <v>0.1</v>
      </c>
      <c r="CP232" s="259">
        <v>0.1</v>
      </c>
      <c r="CQ232" s="259">
        <v>0.1</v>
      </c>
      <c r="CR232" s="259">
        <v>0.1</v>
      </c>
      <c r="CS232" s="259">
        <v>0.1</v>
      </c>
      <c r="CT232" s="259">
        <v>0.1</v>
      </c>
      <c r="CU232" s="259">
        <v>0.1</v>
      </c>
      <c r="CV232" s="259">
        <v>0.1</v>
      </c>
      <c r="CW232" s="259">
        <v>0.1</v>
      </c>
      <c r="CX232" s="259">
        <v>0.1</v>
      </c>
      <c r="CY232" s="259">
        <v>0.1</v>
      </c>
      <c r="CZ232" s="259">
        <v>0.1</v>
      </c>
      <c r="DA232" s="259">
        <v>0.1</v>
      </c>
      <c r="DB232" s="259">
        <v>0.1</v>
      </c>
      <c r="DC232" s="259">
        <v>0.1</v>
      </c>
      <c r="DD232" s="259">
        <v>0.1</v>
      </c>
      <c r="DE232" s="260">
        <v>0.1</v>
      </c>
      <c r="DF232" s="258">
        <v>0.1</v>
      </c>
      <c r="DG232" s="259">
        <v>0.1</v>
      </c>
      <c r="DH232" s="259">
        <v>0.1</v>
      </c>
      <c r="DI232" s="259">
        <v>0.1</v>
      </c>
      <c r="DJ232" s="259">
        <v>0.1</v>
      </c>
      <c r="DK232" s="259">
        <v>0.1</v>
      </c>
      <c r="DL232" s="259">
        <v>0.1</v>
      </c>
      <c r="DM232" s="259">
        <v>0.1</v>
      </c>
      <c r="DN232" s="259">
        <v>0.1</v>
      </c>
      <c r="DO232" s="259">
        <v>0.1</v>
      </c>
      <c r="DP232" s="259">
        <v>0.1</v>
      </c>
      <c r="DQ232" s="259">
        <v>0.1</v>
      </c>
      <c r="DR232" s="259">
        <v>0.1</v>
      </c>
      <c r="DS232" s="259">
        <v>0.1</v>
      </c>
      <c r="DT232" s="259">
        <v>0.1</v>
      </c>
      <c r="DU232" s="259">
        <v>0.1</v>
      </c>
      <c r="DV232" s="259">
        <v>0.1</v>
      </c>
      <c r="DW232" s="259">
        <v>0.1</v>
      </c>
      <c r="DX232" s="259">
        <v>0.1</v>
      </c>
      <c r="DY232" s="259">
        <v>0.1</v>
      </c>
      <c r="DZ232" s="259">
        <v>0.1</v>
      </c>
      <c r="EA232" s="259">
        <v>0.1</v>
      </c>
      <c r="EB232" s="259">
        <v>0.1</v>
      </c>
      <c r="EC232" s="259">
        <v>0.1</v>
      </c>
      <c r="ED232" s="259">
        <v>0.1</v>
      </c>
      <c r="EE232" s="259">
        <v>0.1</v>
      </c>
      <c r="EF232" s="260">
        <v>0.1</v>
      </c>
      <c r="EJ232">
        <v>229</v>
      </c>
      <c r="EN232">
        <v>0.1</v>
      </c>
      <c r="EO232">
        <v>0.1</v>
      </c>
      <c r="EP232">
        <v>0.1</v>
      </c>
      <c r="EQ232">
        <v>0.1</v>
      </c>
      <c r="ER232">
        <v>0.1</v>
      </c>
      <c r="ES232">
        <v>0.1</v>
      </c>
      <c r="ET232">
        <v>0.1</v>
      </c>
      <c r="EU232">
        <v>0.1</v>
      </c>
      <c r="EV232">
        <v>0.1</v>
      </c>
      <c r="EW232">
        <v>0.1</v>
      </c>
      <c r="EX232">
        <v>0.1</v>
      </c>
      <c r="EY232">
        <v>0.1</v>
      </c>
      <c r="EZ232">
        <v>0.1</v>
      </c>
      <c r="FA232">
        <v>0.1</v>
      </c>
      <c r="FB232">
        <v>0.1</v>
      </c>
      <c r="FC232">
        <v>0.1</v>
      </c>
      <c r="FD232">
        <v>0.1</v>
      </c>
      <c r="FE232">
        <v>0.1</v>
      </c>
      <c r="FF232">
        <v>0.1</v>
      </c>
      <c r="FG232">
        <v>0.1</v>
      </c>
      <c r="FH232">
        <v>0.1</v>
      </c>
      <c r="FI232">
        <v>0.1</v>
      </c>
      <c r="FJ232">
        <v>0.1</v>
      </c>
      <c r="FK232">
        <v>0.1</v>
      </c>
      <c r="FL232">
        <v>0.1</v>
      </c>
      <c r="FM232">
        <v>0.1</v>
      </c>
      <c r="FN232">
        <v>0.1</v>
      </c>
      <c r="FO232">
        <v>0.1</v>
      </c>
      <c r="FP232">
        <v>0.1</v>
      </c>
      <c r="FQ232">
        <v>0.1</v>
      </c>
      <c r="FU232">
        <v>229</v>
      </c>
      <c r="GB232">
        <v>0.1</v>
      </c>
      <c r="GC232">
        <v>0.1</v>
      </c>
      <c r="GD232">
        <v>0.1</v>
      </c>
      <c r="GE232">
        <v>0.1</v>
      </c>
      <c r="GF232">
        <v>0.1</v>
      </c>
      <c r="GG232">
        <v>0.1</v>
      </c>
      <c r="GH232">
        <v>0.1</v>
      </c>
      <c r="GI232">
        <v>0.1</v>
      </c>
      <c r="GJ232">
        <v>0.1</v>
      </c>
      <c r="GK232">
        <v>0.1</v>
      </c>
      <c r="GL232">
        <v>0.1</v>
      </c>
      <c r="GM232">
        <v>0.1</v>
      </c>
      <c r="GN232">
        <v>0.1</v>
      </c>
      <c r="GO232">
        <v>0.1</v>
      </c>
      <c r="GP232">
        <v>0.1</v>
      </c>
      <c r="GQ232">
        <v>0.1</v>
      </c>
      <c r="GR232">
        <v>0.1</v>
      </c>
      <c r="GS232">
        <v>0.1</v>
      </c>
      <c r="GT232">
        <v>0.1</v>
      </c>
      <c r="GU232">
        <v>0.1</v>
      </c>
      <c r="GV232">
        <v>0.1</v>
      </c>
      <c r="GW232">
        <v>0.1</v>
      </c>
      <c r="GX232">
        <v>0.1</v>
      </c>
      <c r="GY232">
        <v>0.1</v>
      </c>
      <c r="GZ232">
        <v>0.1</v>
      </c>
      <c r="HA232">
        <v>0.1</v>
      </c>
      <c r="HB232">
        <v>0.1</v>
      </c>
      <c r="HC232">
        <v>0.1</v>
      </c>
      <c r="HD232">
        <v>0.1</v>
      </c>
      <c r="HE232">
        <v>0.1</v>
      </c>
      <c r="HF232">
        <v>0.1</v>
      </c>
      <c r="HG232">
        <v>0.1</v>
      </c>
      <c r="HH232">
        <v>0.1</v>
      </c>
      <c r="HI232">
        <v>0.1</v>
      </c>
      <c r="HJ232">
        <v>0.1</v>
      </c>
      <c r="HK232">
        <v>0.1</v>
      </c>
      <c r="HL232">
        <v>0.1</v>
      </c>
      <c r="HM232">
        <v>0.1</v>
      </c>
      <c r="HN232">
        <v>0.1</v>
      </c>
      <c r="HO232">
        <v>0.1</v>
      </c>
    </row>
    <row r="233" spans="1:223" ht="15.75" thickBot="1" x14ac:dyDescent="0.3">
      <c r="A233">
        <v>230</v>
      </c>
      <c r="C233" s="2"/>
      <c r="D233" s="2"/>
      <c r="E233" s="2"/>
      <c r="G233" s="2"/>
      <c r="H233">
        <v>0.1</v>
      </c>
      <c r="I233">
        <v>0.1</v>
      </c>
      <c r="J233">
        <v>0.1</v>
      </c>
      <c r="K233">
        <v>0.1</v>
      </c>
      <c r="L233">
        <v>0.1</v>
      </c>
      <c r="M233">
        <v>0.1</v>
      </c>
      <c r="N233">
        <v>0.1</v>
      </c>
      <c r="O233">
        <v>0.1</v>
      </c>
      <c r="P233">
        <v>0.1</v>
      </c>
      <c r="Q233">
        <v>0.1</v>
      </c>
      <c r="R233">
        <v>0.1</v>
      </c>
      <c r="S233">
        <v>0.1</v>
      </c>
      <c r="T233">
        <v>0.1</v>
      </c>
      <c r="U233">
        <v>0.1</v>
      </c>
      <c r="V233">
        <v>0.1</v>
      </c>
      <c r="W233">
        <v>0.1</v>
      </c>
      <c r="X233">
        <v>0.1</v>
      </c>
      <c r="Y233">
        <v>0.1</v>
      </c>
      <c r="Z233">
        <v>0.1</v>
      </c>
      <c r="AA233">
        <v>0.1</v>
      </c>
      <c r="AB233">
        <v>0.1</v>
      </c>
      <c r="AC233">
        <v>0.1</v>
      </c>
      <c r="AD233">
        <v>0.1</v>
      </c>
      <c r="AE233">
        <v>0.1</v>
      </c>
      <c r="AF233">
        <v>0.1</v>
      </c>
      <c r="AG233">
        <v>0.1</v>
      </c>
      <c r="AH233">
        <v>0.1</v>
      </c>
      <c r="AI233">
        <v>0.1</v>
      </c>
      <c r="AJ233">
        <v>0.1</v>
      </c>
      <c r="AK233">
        <v>0.1</v>
      </c>
      <c r="AL233">
        <v>0.1</v>
      </c>
      <c r="AM233">
        <v>0.1</v>
      </c>
      <c r="AN233">
        <v>0.1</v>
      </c>
      <c r="AO233">
        <v>0.1</v>
      </c>
      <c r="AP233">
        <v>0.1</v>
      </c>
      <c r="AQ233">
        <v>0.1</v>
      </c>
      <c r="AR233">
        <v>0.1</v>
      </c>
      <c r="AS233">
        <v>0.1</v>
      </c>
      <c r="AT233">
        <v>0.1</v>
      </c>
      <c r="AU233">
        <v>0.1</v>
      </c>
      <c r="AV233">
        <v>0.1</v>
      </c>
      <c r="AW233">
        <v>0.1</v>
      </c>
      <c r="AX233">
        <v>0.1</v>
      </c>
      <c r="AY233">
        <v>0.1</v>
      </c>
      <c r="AZ233">
        <v>0.1</v>
      </c>
      <c r="BA233">
        <v>0.1</v>
      </c>
      <c r="BB233">
        <v>0.1</v>
      </c>
      <c r="BC233">
        <v>0.1</v>
      </c>
      <c r="BD233">
        <v>0.1</v>
      </c>
      <c r="BE233">
        <v>0.1</v>
      </c>
      <c r="BF233">
        <v>0.1</v>
      </c>
      <c r="BG233">
        <v>0.1</v>
      </c>
      <c r="BH233">
        <v>0.1</v>
      </c>
      <c r="BI233">
        <v>0.1</v>
      </c>
      <c r="BJ233">
        <v>0.1</v>
      </c>
      <c r="BK233">
        <v>0.1</v>
      </c>
      <c r="BL233">
        <v>0.1</v>
      </c>
      <c r="BM233">
        <v>0.1</v>
      </c>
      <c r="BN233">
        <v>0.1</v>
      </c>
      <c r="BO233">
        <v>0.1</v>
      </c>
      <c r="BS233">
        <v>230</v>
      </c>
      <c r="BT233" s="270">
        <v>3.27</v>
      </c>
      <c r="BU233" s="271">
        <v>2.68</v>
      </c>
      <c r="BV233" s="2"/>
      <c r="BW233" s="2"/>
      <c r="BX233" s="2"/>
      <c r="BY233" s="258">
        <v>0.1</v>
      </c>
      <c r="BZ233" s="259">
        <v>0.1</v>
      </c>
      <c r="CA233" s="259">
        <v>0.1</v>
      </c>
      <c r="CB233" s="259">
        <v>0.1</v>
      </c>
      <c r="CC233" s="259">
        <v>0.1</v>
      </c>
      <c r="CD233" s="259">
        <v>0.1</v>
      </c>
      <c r="CE233" s="259">
        <v>0.1</v>
      </c>
      <c r="CF233" s="259">
        <v>0.1</v>
      </c>
      <c r="CG233" s="259">
        <v>0.1</v>
      </c>
      <c r="CH233" s="259">
        <v>0.1</v>
      </c>
      <c r="CI233" s="259">
        <v>0.1</v>
      </c>
      <c r="CJ233" s="259">
        <v>0.1</v>
      </c>
      <c r="CK233" s="259">
        <v>0.1</v>
      </c>
      <c r="CL233" s="259">
        <v>0.1</v>
      </c>
      <c r="CM233" s="259">
        <v>0.1</v>
      </c>
      <c r="CN233" s="259">
        <v>0.1</v>
      </c>
      <c r="CO233" s="259">
        <v>0.1</v>
      </c>
      <c r="CP233" s="259">
        <v>0.1</v>
      </c>
      <c r="CQ233" s="259">
        <v>0.1</v>
      </c>
      <c r="CR233" s="259">
        <v>0.1</v>
      </c>
      <c r="CS233" s="259">
        <v>0.1</v>
      </c>
      <c r="CT233" s="259">
        <v>0.1</v>
      </c>
      <c r="CU233" s="259">
        <v>0.1</v>
      </c>
      <c r="CV233" s="259">
        <v>0.1</v>
      </c>
      <c r="CW233" s="259">
        <v>0.1</v>
      </c>
      <c r="CX233" s="259">
        <v>0.1</v>
      </c>
      <c r="CY233" s="259">
        <v>0.1</v>
      </c>
      <c r="CZ233" s="259">
        <v>0.1</v>
      </c>
      <c r="DA233" s="259">
        <v>0.1</v>
      </c>
      <c r="DB233" s="259">
        <v>0.1</v>
      </c>
      <c r="DC233" s="259">
        <v>0.1</v>
      </c>
      <c r="DD233" s="259">
        <v>0.1</v>
      </c>
      <c r="DE233" s="260">
        <v>0.1</v>
      </c>
      <c r="DF233" s="258">
        <v>0.1</v>
      </c>
      <c r="DG233" s="259">
        <v>0.1</v>
      </c>
      <c r="DH233" s="259">
        <v>0.1</v>
      </c>
      <c r="DI233" s="259">
        <v>0.1</v>
      </c>
      <c r="DJ233" s="259">
        <v>0.1</v>
      </c>
      <c r="DK233" s="259">
        <v>0.1</v>
      </c>
      <c r="DL233" s="259">
        <v>0.1</v>
      </c>
      <c r="DM233" s="259">
        <v>0.1</v>
      </c>
      <c r="DN233" s="259">
        <v>0.1</v>
      </c>
      <c r="DO233" s="259">
        <v>0.1</v>
      </c>
      <c r="DP233" s="259">
        <v>0.1</v>
      </c>
      <c r="DQ233" s="259">
        <v>0.1</v>
      </c>
      <c r="DR233" s="259">
        <v>0.1</v>
      </c>
      <c r="DS233" s="259">
        <v>0.1</v>
      </c>
      <c r="DT233" s="259">
        <v>0.1</v>
      </c>
      <c r="DU233" s="259">
        <v>0.1</v>
      </c>
      <c r="DV233" s="259">
        <v>0.1</v>
      </c>
      <c r="DW233" s="259">
        <v>0.1</v>
      </c>
      <c r="DX233" s="259">
        <v>0.1</v>
      </c>
      <c r="DY233" s="259">
        <v>0.1</v>
      </c>
      <c r="DZ233" s="259">
        <v>0.1</v>
      </c>
      <c r="EA233" s="259">
        <v>0.1</v>
      </c>
      <c r="EB233" s="259">
        <v>0.1</v>
      </c>
      <c r="EC233" s="259">
        <v>0.1</v>
      </c>
      <c r="ED233" s="259">
        <v>0.1</v>
      </c>
      <c r="EE233" s="259">
        <v>0.1</v>
      </c>
      <c r="EF233" s="260">
        <v>0.1</v>
      </c>
      <c r="EJ233">
        <v>230</v>
      </c>
      <c r="EN233">
        <v>0.1</v>
      </c>
      <c r="EO233">
        <v>0.1</v>
      </c>
      <c r="EP233">
        <v>0.1</v>
      </c>
      <c r="EQ233">
        <v>0.1</v>
      </c>
      <c r="ER233">
        <v>0.1</v>
      </c>
      <c r="ES233">
        <v>0.1</v>
      </c>
      <c r="ET233">
        <v>0.1</v>
      </c>
      <c r="EU233">
        <v>0.1</v>
      </c>
      <c r="EV233">
        <v>0.1</v>
      </c>
      <c r="EW233">
        <v>0.1</v>
      </c>
      <c r="EX233">
        <v>0.1</v>
      </c>
      <c r="EY233">
        <v>0.1</v>
      </c>
      <c r="EZ233">
        <v>0.1</v>
      </c>
      <c r="FA233">
        <v>0.1</v>
      </c>
      <c r="FB233">
        <v>0.1</v>
      </c>
      <c r="FC233">
        <v>0.1</v>
      </c>
      <c r="FD233">
        <v>0.1</v>
      </c>
      <c r="FE233">
        <v>0.1</v>
      </c>
      <c r="FF233">
        <v>0.1</v>
      </c>
      <c r="FG233">
        <v>0.1</v>
      </c>
      <c r="FH233">
        <v>0.1</v>
      </c>
      <c r="FI233">
        <v>0.1</v>
      </c>
      <c r="FJ233">
        <v>0.1</v>
      </c>
      <c r="FK233">
        <v>0.1</v>
      </c>
      <c r="FL233">
        <v>0.1</v>
      </c>
      <c r="FM233">
        <v>0.1</v>
      </c>
      <c r="FN233">
        <v>0.1</v>
      </c>
      <c r="FO233">
        <v>0.1</v>
      </c>
      <c r="FP233">
        <v>0.1</v>
      </c>
      <c r="FQ233">
        <v>0.1</v>
      </c>
      <c r="FU233">
        <v>230</v>
      </c>
      <c r="GB233">
        <v>0.1</v>
      </c>
      <c r="GC233">
        <v>0.1</v>
      </c>
      <c r="GD233">
        <v>0.1</v>
      </c>
      <c r="GE233">
        <v>0.1</v>
      </c>
      <c r="GF233">
        <v>0.1</v>
      </c>
      <c r="GG233">
        <v>0.1</v>
      </c>
      <c r="GH233">
        <v>0.1</v>
      </c>
      <c r="GI233">
        <v>0.1</v>
      </c>
      <c r="GJ233">
        <v>0.1</v>
      </c>
      <c r="GK233">
        <v>0.1</v>
      </c>
      <c r="GL233">
        <v>0.1</v>
      </c>
      <c r="GM233">
        <v>0.1</v>
      </c>
      <c r="GN233">
        <v>0.1</v>
      </c>
      <c r="GO233">
        <v>0.1</v>
      </c>
      <c r="GP233">
        <v>0.1</v>
      </c>
      <c r="GQ233">
        <v>0.1</v>
      </c>
      <c r="GR233">
        <v>0.1</v>
      </c>
      <c r="GS233">
        <v>0.1</v>
      </c>
      <c r="GT233">
        <v>0.1</v>
      </c>
      <c r="GU233">
        <v>0.1</v>
      </c>
      <c r="GV233">
        <v>0.1</v>
      </c>
      <c r="GW233">
        <v>0.1</v>
      </c>
      <c r="GX233">
        <v>0.1</v>
      </c>
      <c r="GY233">
        <v>0.1</v>
      </c>
      <c r="GZ233">
        <v>0.1</v>
      </c>
      <c r="HA233">
        <v>0.1</v>
      </c>
      <c r="HB233">
        <v>0.1</v>
      </c>
      <c r="HC233">
        <v>0.1</v>
      </c>
      <c r="HD233">
        <v>0.1</v>
      </c>
      <c r="HE233">
        <v>0.1</v>
      </c>
      <c r="HF233">
        <v>0.1</v>
      </c>
      <c r="HG233">
        <v>0.1</v>
      </c>
      <c r="HH233">
        <v>0.1</v>
      </c>
      <c r="HI233">
        <v>0.1</v>
      </c>
      <c r="HJ233">
        <v>0.1</v>
      </c>
      <c r="HK233">
        <v>0.1</v>
      </c>
      <c r="HL233">
        <v>0.1</v>
      </c>
      <c r="HM233">
        <v>0.1</v>
      </c>
      <c r="HN233">
        <v>0.1</v>
      </c>
      <c r="HO233">
        <v>0.1</v>
      </c>
    </row>
    <row r="234" spans="1:223" ht="15.75" thickBot="1" x14ac:dyDescent="0.3">
      <c r="A234">
        <v>231</v>
      </c>
      <c r="C234" s="2"/>
      <c r="D234" s="2"/>
      <c r="E234" s="2"/>
      <c r="G234" s="2"/>
      <c r="H234">
        <v>0.1</v>
      </c>
      <c r="I234">
        <v>0.1</v>
      </c>
      <c r="J234">
        <v>0.1</v>
      </c>
      <c r="K234">
        <v>0.1</v>
      </c>
      <c r="L234">
        <v>0.1</v>
      </c>
      <c r="M234">
        <v>0.1</v>
      </c>
      <c r="N234">
        <v>0.1</v>
      </c>
      <c r="O234">
        <v>0.1</v>
      </c>
      <c r="P234">
        <v>0.1</v>
      </c>
      <c r="Q234">
        <v>0.1</v>
      </c>
      <c r="R234">
        <v>0.1</v>
      </c>
      <c r="S234">
        <v>0.1</v>
      </c>
      <c r="T234">
        <v>0.1</v>
      </c>
      <c r="U234">
        <v>0.1</v>
      </c>
      <c r="V234">
        <v>0.1</v>
      </c>
      <c r="W234">
        <v>0.1</v>
      </c>
      <c r="X234">
        <v>0.1</v>
      </c>
      <c r="Y234">
        <v>0.1</v>
      </c>
      <c r="Z234">
        <v>0.1</v>
      </c>
      <c r="AA234">
        <v>0.1</v>
      </c>
      <c r="AB234">
        <v>0.1</v>
      </c>
      <c r="AC234">
        <v>0.1</v>
      </c>
      <c r="AD234">
        <v>0.1</v>
      </c>
      <c r="AE234">
        <v>0.1</v>
      </c>
      <c r="AF234">
        <v>0.1</v>
      </c>
      <c r="AG234">
        <v>0.1</v>
      </c>
      <c r="AH234">
        <v>0.1</v>
      </c>
      <c r="AI234">
        <v>0.1</v>
      </c>
      <c r="AJ234">
        <v>0.1</v>
      </c>
      <c r="AK234">
        <v>0.1</v>
      </c>
      <c r="AL234">
        <v>0.1</v>
      </c>
      <c r="AM234">
        <v>0.1</v>
      </c>
      <c r="AN234">
        <v>0.1</v>
      </c>
      <c r="AO234">
        <v>0.1</v>
      </c>
      <c r="AP234">
        <v>0.1</v>
      </c>
      <c r="AQ234">
        <v>0.1</v>
      </c>
      <c r="AR234">
        <v>0.1</v>
      </c>
      <c r="AS234">
        <v>0.1</v>
      </c>
      <c r="AT234">
        <v>0.1</v>
      </c>
      <c r="AU234">
        <v>0.1</v>
      </c>
      <c r="AV234">
        <v>0.1</v>
      </c>
      <c r="AW234">
        <v>0.1</v>
      </c>
      <c r="AX234">
        <v>0.1</v>
      </c>
      <c r="AY234">
        <v>0.1</v>
      </c>
      <c r="AZ234">
        <v>0.1</v>
      </c>
      <c r="BA234">
        <v>0.1</v>
      </c>
      <c r="BB234">
        <v>0.1</v>
      </c>
      <c r="BC234">
        <v>0.1</v>
      </c>
      <c r="BD234">
        <v>0.1</v>
      </c>
      <c r="BE234">
        <v>0.1</v>
      </c>
      <c r="BF234">
        <v>0.1</v>
      </c>
      <c r="BG234">
        <v>0.1</v>
      </c>
      <c r="BH234">
        <v>0.1</v>
      </c>
      <c r="BI234">
        <v>0.1</v>
      </c>
      <c r="BJ234">
        <v>0.1</v>
      </c>
      <c r="BK234">
        <v>0.1</v>
      </c>
      <c r="BL234">
        <v>0.1</v>
      </c>
      <c r="BM234">
        <v>0.1</v>
      </c>
      <c r="BN234">
        <v>0.1</v>
      </c>
      <c r="BO234">
        <v>0.1</v>
      </c>
      <c r="BS234">
        <v>231</v>
      </c>
      <c r="BT234" s="271">
        <v>3.27</v>
      </c>
      <c r="BU234" s="270">
        <v>2.68</v>
      </c>
      <c r="BV234" s="2"/>
      <c r="BW234" s="2"/>
      <c r="BX234" s="2"/>
      <c r="BY234" s="258">
        <v>0.1</v>
      </c>
      <c r="BZ234" s="259">
        <v>0.1</v>
      </c>
      <c r="CA234" s="259">
        <v>0.1</v>
      </c>
      <c r="CB234" s="259">
        <v>0.1</v>
      </c>
      <c r="CC234" s="259">
        <v>0.1</v>
      </c>
      <c r="CD234" s="259">
        <v>0.1</v>
      </c>
      <c r="CE234" s="259">
        <v>0.1</v>
      </c>
      <c r="CF234" s="259">
        <v>0.1</v>
      </c>
      <c r="CG234" s="259">
        <v>0.1</v>
      </c>
      <c r="CH234" s="259">
        <v>0.1</v>
      </c>
      <c r="CI234" s="259">
        <v>0.1</v>
      </c>
      <c r="CJ234" s="259">
        <v>0.1</v>
      </c>
      <c r="CK234" s="259">
        <v>0.1</v>
      </c>
      <c r="CL234" s="259">
        <v>0.1</v>
      </c>
      <c r="CM234" s="259">
        <v>0.1</v>
      </c>
      <c r="CN234" s="259">
        <v>0.1</v>
      </c>
      <c r="CO234" s="259">
        <v>0.1</v>
      </c>
      <c r="CP234" s="259">
        <v>0.1</v>
      </c>
      <c r="CQ234" s="259">
        <v>0.1</v>
      </c>
      <c r="CR234" s="259">
        <v>0.1</v>
      </c>
      <c r="CS234" s="259">
        <v>0.1</v>
      </c>
      <c r="CT234" s="259">
        <v>0.1</v>
      </c>
      <c r="CU234" s="259">
        <v>0.1</v>
      </c>
      <c r="CV234" s="259">
        <v>0.1</v>
      </c>
      <c r="CW234" s="259">
        <v>0.1</v>
      </c>
      <c r="CX234" s="259">
        <v>0.1</v>
      </c>
      <c r="CY234" s="259">
        <v>0.1</v>
      </c>
      <c r="CZ234" s="259">
        <v>0.1</v>
      </c>
      <c r="DA234" s="259">
        <v>0.1</v>
      </c>
      <c r="DB234" s="259">
        <v>0.1</v>
      </c>
      <c r="DC234" s="259">
        <v>0.1</v>
      </c>
      <c r="DD234" s="259">
        <v>0.1</v>
      </c>
      <c r="DE234" s="260">
        <v>0.1</v>
      </c>
      <c r="DF234" s="258">
        <v>0.1</v>
      </c>
      <c r="DG234" s="259">
        <v>0.1</v>
      </c>
      <c r="DH234" s="259">
        <v>0.1</v>
      </c>
      <c r="DI234" s="259">
        <v>0.1</v>
      </c>
      <c r="DJ234" s="259">
        <v>0.1</v>
      </c>
      <c r="DK234" s="259">
        <v>0.1</v>
      </c>
      <c r="DL234" s="259">
        <v>0.1</v>
      </c>
      <c r="DM234" s="259">
        <v>0.1</v>
      </c>
      <c r="DN234" s="259">
        <v>0.1</v>
      </c>
      <c r="DO234" s="259">
        <v>0.1</v>
      </c>
      <c r="DP234" s="259">
        <v>0.1</v>
      </c>
      <c r="DQ234" s="259">
        <v>0.1</v>
      </c>
      <c r="DR234" s="259">
        <v>0.1</v>
      </c>
      <c r="DS234" s="259">
        <v>0.1</v>
      </c>
      <c r="DT234" s="259">
        <v>0.1</v>
      </c>
      <c r="DU234" s="259">
        <v>0.1</v>
      </c>
      <c r="DV234" s="259">
        <v>0.1</v>
      </c>
      <c r="DW234" s="259">
        <v>0.1</v>
      </c>
      <c r="DX234" s="259">
        <v>0.1</v>
      </c>
      <c r="DY234" s="259">
        <v>0.1</v>
      </c>
      <c r="DZ234" s="259">
        <v>0.1</v>
      </c>
      <c r="EA234" s="259">
        <v>0.1</v>
      </c>
      <c r="EB234" s="259">
        <v>0.1</v>
      </c>
      <c r="EC234" s="259">
        <v>0.1</v>
      </c>
      <c r="ED234" s="259">
        <v>0.1</v>
      </c>
      <c r="EE234" s="259">
        <v>0.1</v>
      </c>
      <c r="EF234" s="260">
        <v>0.1</v>
      </c>
      <c r="EJ234">
        <v>231</v>
      </c>
      <c r="EN234">
        <v>0.1</v>
      </c>
      <c r="EO234">
        <v>0.1</v>
      </c>
      <c r="EP234">
        <v>0.1</v>
      </c>
      <c r="EQ234">
        <v>0.1</v>
      </c>
      <c r="ER234">
        <v>0.1</v>
      </c>
      <c r="ES234">
        <v>0.1</v>
      </c>
      <c r="ET234">
        <v>0.1</v>
      </c>
      <c r="EU234">
        <v>0.1</v>
      </c>
      <c r="EV234">
        <v>0.1</v>
      </c>
      <c r="EW234">
        <v>0.1</v>
      </c>
      <c r="EX234">
        <v>0.1</v>
      </c>
      <c r="EY234">
        <v>0.1</v>
      </c>
      <c r="EZ234">
        <v>0.1</v>
      </c>
      <c r="FA234">
        <v>0.1</v>
      </c>
      <c r="FB234">
        <v>0.1</v>
      </c>
      <c r="FC234">
        <v>0.1</v>
      </c>
      <c r="FD234">
        <v>0.1</v>
      </c>
      <c r="FE234">
        <v>0.1</v>
      </c>
      <c r="FF234">
        <v>0.1</v>
      </c>
      <c r="FG234">
        <v>0.1</v>
      </c>
      <c r="FH234">
        <v>0.1</v>
      </c>
      <c r="FI234">
        <v>0.1</v>
      </c>
      <c r="FJ234">
        <v>0.1</v>
      </c>
      <c r="FK234">
        <v>0.1</v>
      </c>
      <c r="FL234">
        <v>0.1</v>
      </c>
      <c r="FM234">
        <v>0.1</v>
      </c>
      <c r="FN234">
        <v>0.1</v>
      </c>
      <c r="FO234">
        <v>0.1</v>
      </c>
      <c r="FP234">
        <v>0.1</v>
      </c>
      <c r="FQ234">
        <v>0.1</v>
      </c>
      <c r="FU234">
        <v>231</v>
      </c>
      <c r="GB234">
        <v>0.1</v>
      </c>
      <c r="GC234">
        <v>0.1</v>
      </c>
      <c r="GD234">
        <v>0.1</v>
      </c>
      <c r="GE234">
        <v>0.1</v>
      </c>
      <c r="GF234">
        <v>0.1</v>
      </c>
      <c r="GG234">
        <v>0.1</v>
      </c>
      <c r="GH234">
        <v>0.1</v>
      </c>
      <c r="GI234">
        <v>0.1</v>
      </c>
      <c r="GJ234">
        <v>0.1</v>
      </c>
      <c r="GK234">
        <v>0.1</v>
      </c>
      <c r="GL234">
        <v>0.1</v>
      </c>
      <c r="GM234">
        <v>0.1</v>
      </c>
      <c r="GN234">
        <v>0.1</v>
      </c>
      <c r="GO234">
        <v>0.1</v>
      </c>
      <c r="GP234">
        <v>0.1</v>
      </c>
      <c r="GQ234">
        <v>0.1</v>
      </c>
      <c r="GR234">
        <v>0.1</v>
      </c>
      <c r="GS234">
        <v>0.1</v>
      </c>
      <c r="GT234">
        <v>0.1</v>
      </c>
      <c r="GU234">
        <v>0.1</v>
      </c>
      <c r="GV234">
        <v>0.1</v>
      </c>
      <c r="GW234">
        <v>0.1</v>
      </c>
      <c r="GX234">
        <v>0.1</v>
      </c>
      <c r="GY234">
        <v>0.1</v>
      </c>
      <c r="GZ234">
        <v>0.1</v>
      </c>
      <c r="HA234">
        <v>0.1</v>
      </c>
      <c r="HB234">
        <v>0.1</v>
      </c>
      <c r="HC234">
        <v>0.1</v>
      </c>
      <c r="HD234">
        <v>0.1</v>
      </c>
      <c r="HE234">
        <v>0.1</v>
      </c>
      <c r="HF234">
        <v>0.1</v>
      </c>
      <c r="HG234">
        <v>0.1</v>
      </c>
      <c r="HH234">
        <v>0.1</v>
      </c>
      <c r="HI234">
        <v>0.1</v>
      </c>
      <c r="HJ234">
        <v>0.1</v>
      </c>
      <c r="HK234">
        <v>0.1</v>
      </c>
      <c r="HL234">
        <v>0.1</v>
      </c>
      <c r="HM234">
        <v>0.1</v>
      </c>
      <c r="HN234">
        <v>0.1</v>
      </c>
      <c r="HO234">
        <v>0.1</v>
      </c>
    </row>
    <row r="235" spans="1:223" ht="15.75" thickBot="1" x14ac:dyDescent="0.3">
      <c r="A235">
        <v>232</v>
      </c>
      <c r="C235" s="2"/>
      <c r="D235" s="2"/>
      <c r="E235" s="2"/>
      <c r="G235" s="2"/>
      <c r="H235">
        <v>0.1</v>
      </c>
      <c r="I235">
        <v>0.1</v>
      </c>
      <c r="J235">
        <v>0.1</v>
      </c>
      <c r="K235">
        <v>0.1</v>
      </c>
      <c r="L235">
        <v>0.1</v>
      </c>
      <c r="M235">
        <v>0.1</v>
      </c>
      <c r="N235">
        <v>0.1</v>
      </c>
      <c r="O235">
        <v>0.1</v>
      </c>
      <c r="P235">
        <v>0.1</v>
      </c>
      <c r="Q235">
        <v>0.1</v>
      </c>
      <c r="R235">
        <v>0.1</v>
      </c>
      <c r="S235">
        <v>0.1</v>
      </c>
      <c r="T235">
        <v>0.1</v>
      </c>
      <c r="U235">
        <v>0.1</v>
      </c>
      <c r="V235">
        <v>0.1</v>
      </c>
      <c r="W235">
        <v>0.1</v>
      </c>
      <c r="X235">
        <v>0.1</v>
      </c>
      <c r="Y235">
        <v>0.1</v>
      </c>
      <c r="Z235">
        <v>0.1</v>
      </c>
      <c r="AA235">
        <v>0.1</v>
      </c>
      <c r="AB235">
        <v>0.1</v>
      </c>
      <c r="AC235">
        <v>0.1</v>
      </c>
      <c r="AD235">
        <v>0.1</v>
      </c>
      <c r="AE235">
        <v>0.1</v>
      </c>
      <c r="AF235">
        <v>0.1</v>
      </c>
      <c r="AG235">
        <v>0.1</v>
      </c>
      <c r="AH235">
        <v>0.1</v>
      </c>
      <c r="AI235">
        <v>0.1</v>
      </c>
      <c r="AJ235">
        <v>0.1</v>
      </c>
      <c r="AK235">
        <v>0.1</v>
      </c>
      <c r="AL235">
        <v>0.1</v>
      </c>
      <c r="AM235">
        <v>0.1</v>
      </c>
      <c r="AN235">
        <v>0.1</v>
      </c>
      <c r="AO235">
        <v>0.1</v>
      </c>
      <c r="AP235">
        <v>0.1</v>
      </c>
      <c r="AQ235">
        <v>0.1</v>
      </c>
      <c r="AR235">
        <v>0.1</v>
      </c>
      <c r="AS235">
        <v>0.1</v>
      </c>
      <c r="AT235">
        <v>0.1</v>
      </c>
      <c r="AU235">
        <v>0.1</v>
      </c>
      <c r="AV235">
        <v>0.1</v>
      </c>
      <c r="AW235">
        <v>0.1</v>
      </c>
      <c r="AX235">
        <v>0.1</v>
      </c>
      <c r="AY235">
        <v>0.1</v>
      </c>
      <c r="AZ235">
        <v>0.1</v>
      </c>
      <c r="BA235">
        <v>0.1</v>
      </c>
      <c r="BB235">
        <v>0.1</v>
      </c>
      <c r="BC235">
        <v>0.1</v>
      </c>
      <c r="BD235">
        <v>0.1</v>
      </c>
      <c r="BE235">
        <v>0.1</v>
      </c>
      <c r="BF235">
        <v>0.1</v>
      </c>
      <c r="BG235">
        <v>0.1</v>
      </c>
      <c r="BH235">
        <v>0.1</v>
      </c>
      <c r="BI235">
        <v>0.1</v>
      </c>
      <c r="BJ235">
        <v>0.1</v>
      </c>
      <c r="BK235">
        <v>0.1</v>
      </c>
      <c r="BL235">
        <v>0.1</v>
      </c>
      <c r="BM235">
        <v>0.1</v>
      </c>
      <c r="BN235">
        <v>0.1</v>
      </c>
      <c r="BO235">
        <v>0.1</v>
      </c>
      <c r="BS235">
        <v>232</v>
      </c>
      <c r="BT235" s="270">
        <v>3.27</v>
      </c>
      <c r="BU235" s="271">
        <v>2.68</v>
      </c>
      <c r="BV235" s="2"/>
      <c r="BW235" s="2"/>
      <c r="BX235" s="2"/>
      <c r="BY235" s="258">
        <v>0.1</v>
      </c>
      <c r="BZ235" s="259">
        <v>0.1</v>
      </c>
      <c r="CA235" s="259">
        <v>0.1</v>
      </c>
      <c r="CB235" s="259">
        <v>0.1</v>
      </c>
      <c r="CC235" s="259">
        <v>0.1</v>
      </c>
      <c r="CD235" s="259">
        <v>0.1</v>
      </c>
      <c r="CE235" s="259">
        <v>0.1</v>
      </c>
      <c r="CF235" s="259">
        <v>0.1</v>
      </c>
      <c r="CG235" s="259">
        <v>0.1</v>
      </c>
      <c r="CH235" s="259">
        <v>0.1</v>
      </c>
      <c r="CI235" s="259">
        <v>0.1</v>
      </c>
      <c r="CJ235" s="259">
        <v>0.1</v>
      </c>
      <c r="CK235" s="259">
        <v>0.1</v>
      </c>
      <c r="CL235" s="259">
        <v>0.1</v>
      </c>
      <c r="CM235" s="259">
        <v>0.1</v>
      </c>
      <c r="CN235" s="259">
        <v>0.1</v>
      </c>
      <c r="CO235" s="259">
        <v>0.1</v>
      </c>
      <c r="CP235" s="259">
        <v>0.1</v>
      </c>
      <c r="CQ235" s="259">
        <v>0.1</v>
      </c>
      <c r="CR235" s="259">
        <v>0.1</v>
      </c>
      <c r="CS235" s="259">
        <v>0.1</v>
      </c>
      <c r="CT235" s="259">
        <v>0.1</v>
      </c>
      <c r="CU235" s="259">
        <v>0.1</v>
      </c>
      <c r="CV235" s="259">
        <v>0.1</v>
      </c>
      <c r="CW235" s="259">
        <v>0.1</v>
      </c>
      <c r="CX235" s="259">
        <v>0.1</v>
      </c>
      <c r="CY235" s="259">
        <v>0.1</v>
      </c>
      <c r="CZ235" s="259">
        <v>0.1</v>
      </c>
      <c r="DA235" s="259">
        <v>0.1</v>
      </c>
      <c r="DB235" s="259">
        <v>0.1</v>
      </c>
      <c r="DC235" s="259">
        <v>0.1</v>
      </c>
      <c r="DD235" s="259">
        <v>0.1</v>
      </c>
      <c r="DE235" s="260">
        <v>0.1</v>
      </c>
      <c r="DF235" s="258">
        <v>0.1</v>
      </c>
      <c r="DG235" s="259">
        <v>0.1</v>
      </c>
      <c r="DH235" s="259">
        <v>0.1</v>
      </c>
      <c r="DI235" s="259">
        <v>0.1</v>
      </c>
      <c r="DJ235" s="259">
        <v>0.1</v>
      </c>
      <c r="DK235" s="259">
        <v>0.1</v>
      </c>
      <c r="DL235" s="259">
        <v>0.1</v>
      </c>
      <c r="DM235" s="259">
        <v>0.1</v>
      </c>
      <c r="DN235" s="259">
        <v>0.1</v>
      </c>
      <c r="DO235" s="259">
        <v>0.1</v>
      </c>
      <c r="DP235" s="259">
        <v>0.1</v>
      </c>
      <c r="DQ235" s="259">
        <v>0.1</v>
      </c>
      <c r="DR235" s="259">
        <v>0.1</v>
      </c>
      <c r="DS235" s="259">
        <v>0.1</v>
      </c>
      <c r="DT235" s="259">
        <v>0.1</v>
      </c>
      <c r="DU235" s="259">
        <v>0.1</v>
      </c>
      <c r="DV235" s="259">
        <v>0.1</v>
      </c>
      <c r="DW235" s="259">
        <v>0.1</v>
      </c>
      <c r="DX235" s="259">
        <v>0.1</v>
      </c>
      <c r="DY235" s="259">
        <v>0.1</v>
      </c>
      <c r="DZ235" s="259">
        <v>0.1</v>
      </c>
      <c r="EA235" s="259">
        <v>0.1</v>
      </c>
      <c r="EB235" s="259">
        <v>0.1</v>
      </c>
      <c r="EC235" s="259">
        <v>0.1</v>
      </c>
      <c r="ED235" s="259">
        <v>0.1</v>
      </c>
      <c r="EE235" s="259">
        <v>0.1</v>
      </c>
      <c r="EF235" s="260">
        <v>0.1</v>
      </c>
      <c r="EJ235">
        <v>232</v>
      </c>
      <c r="EN235">
        <v>0.1</v>
      </c>
      <c r="EO235">
        <v>0.1</v>
      </c>
      <c r="EP235">
        <v>0.1</v>
      </c>
      <c r="EQ235">
        <v>0.1</v>
      </c>
      <c r="ER235">
        <v>0.1</v>
      </c>
      <c r="ES235">
        <v>0.1</v>
      </c>
      <c r="ET235">
        <v>0.1</v>
      </c>
      <c r="EU235">
        <v>0.1</v>
      </c>
      <c r="EV235">
        <v>0.1</v>
      </c>
      <c r="EW235">
        <v>0.1</v>
      </c>
      <c r="EX235">
        <v>0.1</v>
      </c>
      <c r="EY235">
        <v>0.1</v>
      </c>
      <c r="EZ235">
        <v>0.1</v>
      </c>
      <c r="FA235">
        <v>0.1</v>
      </c>
      <c r="FB235">
        <v>0.1</v>
      </c>
      <c r="FC235">
        <v>0.1</v>
      </c>
      <c r="FD235">
        <v>0.1</v>
      </c>
      <c r="FE235">
        <v>0.1</v>
      </c>
      <c r="FF235">
        <v>0.1</v>
      </c>
      <c r="FG235">
        <v>0.1</v>
      </c>
      <c r="FH235">
        <v>0.1</v>
      </c>
      <c r="FI235">
        <v>0.1</v>
      </c>
      <c r="FJ235">
        <v>0.1</v>
      </c>
      <c r="FK235">
        <v>0.1</v>
      </c>
      <c r="FL235">
        <v>0.1</v>
      </c>
      <c r="FM235">
        <v>0.1</v>
      </c>
      <c r="FN235">
        <v>0.1</v>
      </c>
      <c r="FO235">
        <v>0.1</v>
      </c>
      <c r="FP235">
        <v>0.1</v>
      </c>
      <c r="FQ235">
        <v>0.1</v>
      </c>
      <c r="FU235">
        <v>232</v>
      </c>
      <c r="GB235">
        <v>0.1</v>
      </c>
      <c r="GC235">
        <v>0.1</v>
      </c>
      <c r="GD235">
        <v>0.1</v>
      </c>
      <c r="GE235">
        <v>0.1</v>
      </c>
      <c r="GF235">
        <v>0.1</v>
      </c>
      <c r="GG235">
        <v>0.1</v>
      </c>
      <c r="GH235">
        <v>0.1</v>
      </c>
      <c r="GI235">
        <v>0.1</v>
      </c>
      <c r="GJ235">
        <v>0.1</v>
      </c>
      <c r="GK235">
        <v>0.1</v>
      </c>
      <c r="GL235">
        <v>0.1</v>
      </c>
      <c r="GM235">
        <v>0.1</v>
      </c>
      <c r="GN235">
        <v>0.1</v>
      </c>
      <c r="GO235">
        <v>0.1</v>
      </c>
      <c r="GP235">
        <v>0.1</v>
      </c>
      <c r="GQ235">
        <v>0.1</v>
      </c>
      <c r="GR235">
        <v>0.1</v>
      </c>
      <c r="GS235">
        <v>0.1</v>
      </c>
      <c r="GT235">
        <v>0.1</v>
      </c>
      <c r="GU235">
        <v>0.1</v>
      </c>
      <c r="GV235">
        <v>0.1</v>
      </c>
      <c r="GW235">
        <v>0.1</v>
      </c>
      <c r="GX235">
        <v>0.1</v>
      </c>
      <c r="GY235">
        <v>0.1</v>
      </c>
      <c r="GZ235">
        <v>0.1</v>
      </c>
      <c r="HA235">
        <v>0.1</v>
      </c>
      <c r="HB235">
        <v>0.1</v>
      </c>
      <c r="HC235">
        <v>0.1</v>
      </c>
      <c r="HD235">
        <v>0.1</v>
      </c>
      <c r="HE235">
        <v>0.1</v>
      </c>
      <c r="HF235">
        <v>0.1</v>
      </c>
      <c r="HG235">
        <v>0.1</v>
      </c>
      <c r="HH235">
        <v>0.1</v>
      </c>
      <c r="HI235">
        <v>0.1</v>
      </c>
      <c r="HJ235">
        <v>0.1</v>
      </c>
      <c r="HK235">
        <v>0.1</v>
      </c>
      <c r="HL235">
        <v>0.1</v>
      </c>
      <c r="HM235">
        <v>0.1</v>
      </c>
      <c r="HN235">
        <v>0.1</v>
      </c>
      <c r="HO235">
        <v>0.1</v>
      </c>
    </row>
    <row r="236" spans="1:223" ht="15.75" thickBot="1" x14ac:dyDescent="0.3">
      <c r="A236">
        <v>233</v>
      </c>
      <c r="C236" s="2"/>
      <c r="D236" s="2"/>
      <c r="E236" s="2"/>
      <c r="G236" s="2"/>
      <c r="H236">
        <v>0.1</v>
      </c>
      <c r="I236">
        <v>0.1</v>
      </c>
      <c r="J236">
        <v>0.1</v>
      </c>
      <c r="K236">
        <v>0.1</v>
      </c>
      <c r="L236">
        <v>0.1</v>
      </c>
      <c r="M236">
        <v>0.1</v>
      </c>
      <c r="N236">
        <v>0.1</v>
      </c>
      <c r="O236">
        <v>0.1</v>
      </c>
      <c r="P236">
        <v>0.1</v>
      </c>
      <c r="Q236">
        <v>0.1</v>
      </c>
      <c r="R236">
        <v>0.1</v>
      </c>
      <c r="S236">
        <v>0.1</v>
      </c>
      <c r="T236">
        <v>0.1</v>
      </c>
      <c r="U236">
        <v>0.1</v>
      </c>
      <c r="V236">
        <v>0.1</v>
      </c>
      <c r="W236">
        <v>0.1</v>
      </c>
      <c r="X236">
        <v>0.1</v>
      </c>
      <c r="Y236">
        <v>0.1</v>
      </c>
      <c r="Z236">
        <v>0.1</v>
      </c>
      <c r="AA236">
        <v>0.1</v>
      </c>
      <c r="AB236">
        <v>0.1</v>
      </c>
      <c r="AC236">
        <v>0.1</v>
      </c>
      <c r="AD236">
        <v>0.1</v>
      </c>
      <c r="AE236">
        <v>0.1</v>
      </c>
      <c r="AF236">
        <v>0.1</v>
      </c>
      <c r="AG236">
        <v>0.1</v>
      </c>
      <c r="AH236">
        <v>0.1</v>
      </c>
      <c r="AI236">
        <v>0.1</v>
      </c>
      <c r="AJ236">
        <v>0.1</v>
      </c>
      <c r="AK236">
        <v>0.1</v>
      </c>
      <c r="AL236">
        <v>0.1</v>
      </c>
      <c r="AM236">
        <v>0.1</v>
      </c>
      <c r="AN236">
        <v>0.1</v>
      </c>
      <c r="AO236">
        <v>0.1</v>
      </c>
      <c r="AP236">
        <v>0.1</v>
      </c>
      <c r="AQ236">
        <v>0.1</v>
      </c>
      <c r="AR236">
        <v>0.1</v>
      </c>
      <c r="AS236">
        <v>0.1</v>
      </c>
      <c r="AT236">
        <v>0.1</v>
      </c>
      <c r="AU236">
        <v>0.1</v>
      </c>
      <c r="AV236">
        <v>0.1</v>
      </c>
      <c r="AW236">
        <v>0.1</v>
      </c>
      <c r="AX236">
        <v>0.1</v>
      </c>
      <c r="AY236">
        <v>0.1</v>
      </c>
      <c r="AZ236">
        <v>0.1</v>
      </c>
      <c r="BA236">
        <v>0.1</v>
      </c>
      <c r="BB236">
        <v>0.1</v>
      </c>
      <c r="BC236">
        <v>0.1</v>
      </c>
      <c r="BD236">
        <v>0.1</v>
      </c>
      <c r="BE236">
        <v>0.1</v>
      </c>
      <c r="BF236">
        <v>0.1</v>
      </c>
      <c r="BG236">
        <v>0.1</v>
      </c>
      <c r="BH236">
        <v>0.1</v>
      </c>
      <c r="BI236">
        <v>0.1</v>
      </c>
      <c r="BJ236">
        <v>0.1</v>
      </c>
      <c r="BK236">
        <v>0.1</v>
      </c>
      <c r="BL236">
        <v>0.1</v>
      </c>
      <c r="BM236">
        <v>0.1</v>
      </c>
      <c r="BN236">
        <v>0.1</v>
      </c>
      <c r="BO236">
        <v>0.1</v>
      </c>
      <c r="BS236">
        <v>233</v>
      </c>
      <c r="BT236" s="271">
        <v>3.25</v>
      </c>
      <c r="BU236" s="270">
        <v>2.68</v>
      </c>
      <c r="BV236" s="2"/>
      <c r="BW236" s="2"/>
      <c r="BX236" s="2"/>
      <c r="BY236" s="258">
        <v>0.1</v>
      </c>
      <c r="BZ236" s="259">
        <v>0.1</v>
      </c>
      <c r="CA236" s="259">
        <v>0.1</v>
      </c>
      <c r="CB236" s="259">
        <v>0.1</v>
      </c>
      <c r="CC236" s="259">
        <v>0.1</v>
      </c>
      <c r="CD236" s="259">
        <v>0.1</v>
      </c>
      <c r="CE236" s="259">
        <v>0.1</v>
      </c>
      <c r="CF236" s="259">
        <v>0.1</v>
      </c>
      <c r="CG236" s="259">
        <v>0.1</v>
      </c>
      <c r="CH236" s="259">
        <v>0.1</v>
      </c>
      <c r="CI236" s="259">
        <v>0.1</v>
      </c>
      <c r="CJ236" s="259">
        <v>0.1</v>
      </c>
      <c r="CK236" s="259">
        <v>0.1</v>
      </c>
      <c r="CL236" s="259">
        <v>0.1</v>
      </c>
      <c r="CM236" s="259">
        <v>0.1</v>
      </c>
      <c r="CN236" s="259">
        <v>0.1</v>
      </c>
      <c r="CO236" s="259">
        <v>0.1</v>
      </c>
      <c r="CP236" s="259">
        <v>0.1</v>
      </c>
      <c r="CQ236" s="259">
        <v>0.1</v>
      </c>
      <c r="CR236" s="259">
        <v>0.1</v>
      </c>
      <c r="CS236" s="259">
        <v>0.1</v>
      </c>
      <c r="CT236" s="259">
        <v>0.1</v>
      </c>
      <c r="CU236" s="259">
        <v>0.1</v>
      </c>
      <c r="CV236" s="259">
        <v>0.1</v>
      </c>
      <c r="CW236" s="259">
        <v>0.1</v>
      </c>
      <c r="CX236" s="259">
        <v>0.1</v>
      </c>
      <c r="CY236" s="259">
        <v>0.1</v>
      </c>
      <c r="CZ236" s="259">
        <v>0.1</v>
      </c>
      <c r="DA236" s="259">
        <v>0.1</v>
      </c>
      <c r="DB236" s="259">
        <v>0.1</v>
      </c>
      <c r="DC236" s="259">
        <v>0.1</v>
      </c>
      <c r="DD236" s="259">
        <v>0.1</v>
      </c>
      <c r="DE236" s="260">
        <v>0.1</v>
      </c>
      <c r="DF236" s="258">
        <v>0.1</v>
      </c>
      <c r="DG236" s="259">
        <v>0.1</v>
      </c>
      <c r="DH236" s="259">
        <v>0.1</v>
      </c>
      <c r="DI236" s="259">
        <v>0.1</v>
      </c>
      <c r="DJ236" s="259">
        <v>0.1</v>
      </c>
      <c r="DK236" s="259">
        <v>0.1</v>
      </c>
      <c r="DL236" s="259">
        <v>0.1</v>
      </c>
      <c r="DM236" s="259">
        <v>0.1</v>
      </c>
      <c r="DN236" s="259">
        <v>0.1</v>
      </c>
      <c r="DO236" s="259">
        <v>0.1</v>
      </c>
      <c r="DP236" s="259">
        <v>0.1</v>
      </c>
      <c r="DQ236" s="259">
        <v>0.1</v>
      </c>
      <c r="DR236" s="259">
        <v>0.1</v>
      </c>
      <c r="DS236" s="259">
        <v>0.1</v>
      </c>
      <c r="DT236" s="259">
        <v>0.1</v>
      </c>
      <c r="DU236" s="259">
        <v>0.1</v>
      </c>
      <c r="DV236" s="259">
        <v>0.1</v>
      </c>
      <c r="DW236" s="259">
        <v>0.1</v>
      </c>
      <c r="DX236" s="259">
        <v>0.1</v>
      </c>
      <c r="DY236" s="259">
        <v>0.1</v>
      </c>
      <c r="DZ236" s="259">
        <v>0.1</v>
      </c>
      <c r="EA236" s="259">
        <v>0.1</v>
      </c>
      <c r="EB236" s="259">
        <v>0.1</v>
      </c>
      <c r="EC236" s="259">
        <v>0.1</v>
      </c>
      <c r="ED236" s="259">
        <v>0.1</v>
      </c>
      <c r="EE236" s="259">
        <v>0.1</v>
      </c>
      <c r="EF236" s="260">
        <v>0.1</v>
      </c>
      <c r="EJ236">
        <v>233</v>
      </c>
      <c r="EN236">
        <v>0.1</v>
      </c>
      <c r="EO236">
        <v>0.1</v>
      </c>
      <c r="EP236">
        <v>0.1</v>
      </c>
      <c r="EQ236">
        <v>0.1</v>
      </c>
      <c r="ER236">
        <v>0.1</v>
      </c>
      <c r="ES236">
        <v>0.1</v>
      </c>
      <c r="ET236">
        <v>0.1</v>
      </c>
      <c r="EU236">
        <v>0.1</v>
      </c>
      <c r="EV236">
        <v>0.1</v>
      </c>
      <c r="EW236">
        <v>0.1</v>
      </c>
      <c r="EX236">
        <v>0.1</v>
      </c>
      <c r="EY236">
        <v>0.1</v>
      </c>
      <c r="EZ236">
        <v>0.1</v>
      </c>
      <c r="FA236">
        <v>0.1</v>
      </c>
      <c r="FB236">
        <v>0.1</v>
      </c>
      <c r="FC236">
        <v>0.1</v>
      </c>
      <c r="FD236">
        <v>0.1</v>
      </c>
      <c r="FE236">
        <v>0.1</v>
      </c>
      <c r="FF236">
        <v>0.1</v>
      </c>
      <c r="FG236">
        <v>0.1</v>
      </c>
      <c r="FH236">
        <v>0.1</v>
      </c>
      <c r="FI236">
        <v>0.1</v>
      </c>
      <c r="FJ236">
        <v>0.1</v>
      </c>
      <c r="FK236">
        <v>0.1</v>
      </c>
      <c r="FL236">
        <v>0.1</v>
      </c>
      <c r="FM236">
        <v>0.1</v>
      </c>
      <c r="FN236">
        <v>0.1</v>
      </c>
      <c r="FO236">
        <v>0.1</v>
      </c>
      <c r="FP236">
        <v>0.1</v>
      </c>
      <c r="FQ236">
        <v>0.1</v>
      </c>
      <c r="FU236">
        <v>233</v>
      </c>
      <c r="GB236">
        <v>0.1</v>
      </c>
      <c r="GC236">
        <v>0.1</v>
      </c>
      <c r="GD236">
        <v>0.1</v>
      </c>
      <c r="GE236">
        <v>0.1</v>
      </c>
      <c r="GF236">
        <v>0.1</v>
      </c>
      <c r="GG236">
        <v>0.1</v>
      </c>
      <c r="GH236">
        <v>0.1</v>
      </c>
      <c r="GI236">
        <v>0.1</v>
      </c>
      <c r="GJ236">
        <v>0.1</v>
      </c>
      <c r="GK236">
        <v>0.1</v>
      </c>
      <c r="GL236">
        <v>0.1</v>
      </c>
      <c r="GM236">
        <v>0.1</v>
      </c>
      <c r="GN236">
        <v>0.1</v>
      </c>
      <c r="GO236">
        <v>0.1</v>
      </c>
      <c r="GP236">
        <v>0.1</v>
      </c>
      <c r="GQ236">
        <v>0.1</v>
      </c>
      <c r="GR236">
        <v>0.1</v>
      </c>
      <c r="GS236">
        <v>0.1</v>
      </c>
      <c r="GT236">
        <v>0.1</v>
      </c>
      <c r="GU236">
        <v>0.1</v>
      </c>
      <c r="GV236">
        <v>0.1</v>
      </c>
      <c r="GW236">
        <v>0.1</v>
      </c>
      <c r="GX236">
        <v>0.1</v>
      </c>
      <c r="GY236">
        <v>0.1</v>
      </c>
      <c r="GZ236">
        <v>0.1</v>
      </c>
      <c r="HA236">
        <v>0.1</v>
      </c>
      <c r="HB236">
        <v>0.1</v>
      </c>
      <c r="HC236">
        <v>0.1</v>
      </c>
      <c r="HD236">
        <v>0.1</v>
      </c>
      <c r="HE236">
        <v>0.1</v>
      </c>
      <c r="HF236">
        <v>0.1</v>
      </c>
      <c r="HG236">
        <v>0.1</v>
      </c>
      <c r="HH236">
        <v>0.1</v>
      </c>
      <c r="HI236">
        <v>0.1</v>
      </c>
      <c r="HJ236">
        <v>0.1</v>
      </c>
      <c r="HK236">
        <v>0.1</v>
      </c>
      <c r="HL236">
        <v>0.1</v>
      </c>
      <c r="HM236">
        <v>0.1</v>
      </c>
      <c r="HN236">
        <v>0.1</v>
      </c>
      <c r="HO236">
        <v>0.1</v>
      </c>
    </row>
    <row r="237" spans="1:223" ht="15.75" thickBot="1" x14ac:dyDescent="0.3">
      <c r="A237">
        <v>234</v>
      </c>
      <c r="B237" s="2"/>
      <c r="C237" s="2"/>
      <c r="D237" s="2"/>
      <c r="E237" s="2"/>
      <c r="G237" s="2"/>
      <c r="H237">
        <v>0.1</v>
      </c>
      <c r="I237">
        <v>0.1</v>
      </c>
      <c r="J237">
        <v>0.1</v>
      </c>
      <c r="K237">
        <v>0.1</v>
      </c>
      <c r="L237">
        <v>0.1</v>
      </c>
      <c r="M237">
        <v>0.1</v>
      </c>
      <c r="N237">
        <v>0.1</v>
      </c>
      <c r="O237">
        <v>0.1</v>
      </c>
      <c r="P237">
        <v>0.1</v>
      </c>
      <c r="Q237">
        <v>0.1</v>
      </c>
      <c r="R237">
        <v>0.1</v>
      </c>
      <c r="S237">
        <v>0.1</v>
      </c>
      <c r="T237">
        <v>0.1</v>
      </c>
      <c r="U237">
        <v>0.1</v>
      </c>
      <c r="V237">
        <v>0.1</v>
      </c>
      <c r="W237">
        <v>0.1</v>
      </c>
      <c r="X237">
        <v>0.1</v>
      </c>
      <c r="Y237">
        <v>0.1</v>
      </c>
      <c r="Z237">
        <v>0.1</v>
      </c>
      <c r="AA237">
        <v>0.1</v>
      </c>
      <c r="AB237">
        <v>0.1</v>
      </c>
      <c r="AC237">
        <v>0.1</v>
      </c>
      <c r="AD237">
        <v>0.1</v>
      </c>
      <c r="AE237">
        <v>0.1</v>
      </c>
      <c r="AF237">
        <v>0.1</v>
      </c>
      <c r="AG237">
        <v>0.1</v>
      </c>
      <c r="AH237">
        <v>0.1</v>
      </c>
      <c r="AI237">
        <v>0.1</v>
      </c>
      <c r="AJ237">
        <v>0.1</v>
      </c>
      <c r="AK237">
        <v>0.1</v>
      </c>
      <c r="AL237">
        <v>0.1</v>
      </c>
      <c r="AM237">
        <v>0.1</v>
      </c>
      <c r="AN237">
        <v>0.1</v>
      </c>
      <c r="AO237">
        <v>0.1</v>
      </c>
      <c r="AP237">
        <v>0.1</v>
      </c>
      <c r="AQ237">
        <v>0.1</v>
      </c>
      <c r="AR237">
        <v>0.1</v>
      </c>
      <c r="AS237">
        <v>0.1</v>
      </c>
      <c r="AT237">
        <v>0.1</v>
      </c>
      <c r="AU237">
        <v>0.1</v>
      </c>
      <c r="AV237">
        <v>0.1</v>
      </c>
      <c r="AW237">
        <v>0.1</v>
      </c>
      <c r="AX237">
        <v>0.1</v>
      </c>
      <c r="AY237">
        <v>0.1</v>
      </c>
      <c r="AZ237">
        <v>0.1</v>
      </c>
      <c r="BA237">
        <v>0.1</v>
      </c>
      <c r="BB237">
        <v>0.1</v>
      </c>
      <c r="BC237">
        <v>0.1</v>
      </c>
      <c r="BD237">
        <v>0.1</v>
      </c>
      <c r="BE237">
        <v>0.1</v>
      </c>
      <c r="BF237">
        <v>0.1</v>
      </c>
      <c r="BG237">
        <v>0.1</v>
      </c>
      <c r="BH237">
        <v>0.1</v>
      </c>
      <c r="BI237">
        <v>0.1</v>
      </c>
      <c r="BJ237">
        <v>0.1</v>
      </c>
      <c r="BK237">
        <v>0.1</v>
      </c>
      <c r="BL237">
        <v>0.1</v>
      </c>
      <c r="BM237">
        <v>0.1</v>
      </c>
      <c r="BN237">
        <v>0.1</v>
      </c>
      <c r="BO237">
        <v>0.1</v>
      </c>
      <c r="BS237">
        <v>234</v>
      </c>
      <c r="BT237" s="270">
        <v>3.25</v>
      </c>
      <c r="BU237" s="271">
        <v>2.68</v>
      </c>
      <c r="BV237" s="2"/>
      <c r="BW237" s="2"/>
      <c r="BX237" s="2"/>
      <c r="BY237" s="258">
        <v>0.1</v>
      </c>
      <c r="BZ237" s="259">
        <v>0.1</v>
      </c>
      <c r="CA237" s="259">
        <v>0.1</v>
      </c>
      <c r="CB237" s="259">
        <v>0.1</v>
      </c>
      <c r="CC237" s="259">
        <v>0.1</v>
      </c>
      <c r="CD237" s="259">
        <v>0.1</v>
      </c>
      <c r="CE237" s="259">
        <v>0.1</v>
      </c>
      <c r="CF237" s="259">
        <v>0.1</v>
      </c>
      <c r="CG237" s="259">
        <v>0.1</v>
      </c>
      <c r="CH237" s="259">
        <v>0.1</v>
      </c>
      <c r="CI237" s="259">
        <v>0.1</v>
      </c>
      <c r="CJ237" s="259">
        <v>0.1</v>
      </c>
      <c r="CK237" s="259">
        <v>0.1</v>
      </c>
      <c r="CL237" s="259">
        <v>0.1</v>
      </c>
      <c r="CM237" s="259">
        <v>0.1</v>
      </c>
      <c r="CN237" s="259">
        <v>0.1</v>
      </c>
      <c r="CO237" s="259">
        <v>0.1</v>
      </c>
      <c r="CP237" s="259">
        <v>0.1</v>
      </c>
      <c r="CQ237" s="259">
        <v>0.1</v>
      </c>
      <c r="CR237" s="259">
        <v>0.1</v>
      </c>
      <c r="CS237" s="259">
        <v>0.1</v>
      </c>
      <c r="CT237" s="259">
        <v>0.1</v>
      </c>
      <c r="CU237" s="259">
        <v>0.1</v>
      </c>
      <c r="CV237" s="259">
        <v>0.1</v>
      </c>
      <c r="CW237" s="259">
        <v>0.1</v>
      </c>
      <c r="CX237" s="259">
        <v>0.1</v>
      </c>
      <c r="CY237" s="259">
        <v>0.1</v>
      </c>
      <c r="CZ237" s="259">
        <v>0.1</v>
      </c>
      <c r="DA237" s="259">
        <v>0.1</v>
      </c>
      <c r="DB237" s="259">
        <v>0.1</v>
      </c>
      <c r="DC237" s="259">
        <v>0.1</v>
      </c>
      <c r="DD237" s="259">
        <v>0.1</v>
      </c>
      <c r="DE237" s="260">
        <v>0.1</v>
      </c>
      <c r="DF237" s="258">
        <v>0.1</v>
      </c>
      <c r="DG237" s="259">
        <v>0.1</v>
      </c>
      <c r="DH237" s="259">
        <v>0.1</v>
      </c>
      <c r="DI237" s="259">
        <v>0.1</v>
      </c>
      <c r="DJ237" s="259">
        <v>0.1</v>
      </c>
      <c r="DK237" s="259">
        <v>0.1</v>
      </c>
      <c r="DL237" s="259">
        <v>0.1</v>
      </c>
      <c r="DM237" s="259">
        <v>0.1</v>
      </c>
      <c r="DN237" s="259">
        <v>0.1</v>
      </c>
      <c r="DO237" s="259">
        <v>0.1</v>
      </c>
      <c r="DP237" s="259">
        <v>0.1</v>
      </c>
      <c r="DQ237" s="259">
        <v>0.1</v>
      </c>
      <c r="DR237" s="259">
        <v>0.1</v>
      </c>
      <c r="DS237" s="259">
        <v>0.1</v>
      </c>
      <c r="DT237" s="259">
        <v>0.1</v>
      </c>
      <c r="DU237" s="259">
        <v>0.1</v>
      </c>
      <c r="DV237" s="259">
        <v>0.1</v>
      </c>
      <c r="DW237" s="259">
        <v>0.1</v>
      </c>
      <c r="DX237" s="259">
        <v>0.1</v>
      </c>
      <c r="DY237" s="259">
        <v>0.1</v>
      </c>
      <c r="DZ237" s="259">
        <v>0.1</v>
      </c>
      <c r="EA237" s="259">
        <v>0.1</v>
      </c>
      <c r="EB237" s="259">
        <v>0.1</v>
      </c>
      <c r="EC237" s="259">
        <v>0.1</v>
      </c>
      <c r="ED237" s="259">
        <v>0.1</v>
      </c>
      <c r="EE237" s="259">
        <v>0.1</v>
      </c>
      <c r="EF237" s="260">
        <v>0.1</v>
      </c>
      <c r="EJ237">
        <v>234</v>
      </c>
      <c r="EN237">
        <v>0.1</v>
      </c>
      <c r="EO237">
        <v>0.1</v>
      </c>
      <c r="EP237">
        <v>0.1</v>
      </c>
      <c r="EQ237">
        <v>0.1</v>
      </c>
      <c r="ER237">
        <v>0.1</v>
      </c>
      <c r="ES237">
        <v>0.1</v>
      </c>
      <c r="ET237">
        <v>0.1</v>
      </c>
      <c r="EU237">
        <v>0.1</v>
      </c>
      <c r="EV237">
        <v>0.1</v>
      </c>
      <c r="EW237">
        <v>0.1</v>
      </c>
      <c r="EX237">
        <v>0.1</v>
      </c>
      <c r="EY237">
        <v>0.1</v>
      </c>
      <c r="EZ237">
        <v>0.1</v>
      </c>
      <c r="FA237">
        <v>0.1</v>
      </c>
      <c r="FB237">
        <v>0.1</v>
      </c>
      <c r="FC237">
        <v>0.1</v>
      </c>
      <c r="FD237">
        <v>0.1</v>
      </c>
      <c r="FE237">
        <v>0.1</v>
      </c>
      <c r="FF237">
        <v>0.1</v>
      </c>
      <c r="FG237">
        <v>0.1</v>
      </c>
      <c r="FH237">
        <v>0.1</v>
      </c>
      <c r="FI237">
        <v>0.1</v>
      </c>
      <c r="FJ237">
        <v>0.1</v>
      </c>
      <c r="FK237">
        <v>0.1</v>
      </c>
      <c r="FL237">
        <v>0.1</v>
      </c>
      <c r="FM237">
        <v>0.1</v>
      </c>
      <c r="FN237">
        <v>0.1</v>
      </c>
      <c r="FO237">
        <v>0.1</v>
      </c>
      <c r="FP237">
        <v>0.1</v>
      </c>
      <c r="FQ237">
        <v>0.1</v>
      </c>
      <c r="FU237">
        <v>234</v>
      </c>
      <c r="GB237">
        <v>0.1</v>
      </c>
      <c r="GC237">
        <v>0.1</v>
      </c>
      <c r="GD237">
        <v>0.1</v>
      </c>
      <c r="GE237">
        <v>0.1</v>
      </c>
      <c r="GF237">
        <v>0.1</v>
      </c>
      <c r="GG237">
        <v>0.1</v>
      </c>
      <c r="GH237">
        <v>0.1</v>
      </c>
      <c r="GI237">
        <v>0.1</v>
      </c>
      <c r="GJ237">
        <v>0.1</v>
      </c>
      <c r="GK237">
        <v>0.1</v>
      </c>
      <c r="GL237">
        <v>0.1</v>
      </c>
      <c r="GM237">
        <v>0.1</v>
      </c>
      <c r="GN237">
        <v>0.1</v>
      </c>
      <c r="GO237">
        <v>0.1</v>
      </c>
      <c r="GP237">
        <v>0.1</v>
      </c>
      <c r="GQ237">
        <v>0.1</v>
      </c>
      <c r="GR237">
        <v>0.1</v>
      </c>
      <c r="GS237">
        <v>0.1</v>
      </c>
      <c r="GT237">
        <v>0.1</v>
      </c>
      <c r="GU237">
        <v>0.1</v>
      </c>
      <c r="GV237">
        <v>0.1</v>
      </c>
      <c r="GW237">
        <v>0.1</v>
      </c>
      <c r="GX237">
        <v>0.1</v>
      </c>
      <c r="GY237">
        <v>0.1</v>
      </c>
      <c r="GZ237">
        <v>0.1</v>
      </c>
      <c r="HA237">
        <v>0.1</v>
      </c>
      <c r="HB237">
        <v>0.1</v>
      </c>
      <c r="HC237">
        <v>0.1</v>
      </c>
      <c r="HD237">
        <v>0.1</v>
      </c>
      <c r="HE237">
        <v>0.1</v>
      </c>
      <c r="HF237">
        <v>0.1</v>
      </c>
      <c r="HG237">
        <v>0.1</v>
      </c>
      <c r="HH237">
        <v>0.1</v>
      </c>
      <c r="HI237">
        <v>0.1</v>
      </c>
      <c r="HJ237">
        <v>0.1</v>
      </c>
      <c r="HK237">
        <v>0.1</v>
      </c>
      <c r="HL237">
        <v>0.1</v>
      </c>
      <c r="HM237">
        <v>0.1</v>
      </c>
      <c r="HN237">
        <v>0.1</v>
      </c>
      <c r="HO237">
        <v>0.1</v>
      </c>
    </row>
    <row r="238" spans="1:223" ht="15.75" thickBot="1" x14ac:dyDescent="0.3">
      <c r="A238">
        <v>235</v>
      </c>
      <c r="B238" s="2"/>
      <c r="C238" s="2"/>
      <c r="D238" s="2"/>
      <c r="E238" s="2"/>
      <c r="G238" s="2"/>
      <c r="H238">
        <v>0.1</v>
      </c>
      <c r="I238">
        <v>0.1</v>
      </c>
      <c r="J238">
        <v>0.1</v>
      </c>
      <c r="K238">
        <v>0.1</v>
      </c>
      <c r="L238">
        <v>0.1</v>
      </c>
      <c r="M238">
        <v>0.1</v>
      </c>
      <c r="N238">
        <v>0.1</v>
      </c>
      <c r="O238">
        <v>0.1</v>
      </c>
      <c r="P238">
        <v>0.1</v>
      </c>
      <c r="Q238">
        <v>0.1</v>
      </c>
      <c r="R238">
        <v>0.1</v>
      </c>
      <c r="S238">
        <v>0.1</v>
      </c>
      <c r="T238">
        <v>0.1</v>
      </c>
      <c r="U238">
        <v>0.1</v>
      </c>
      <c r="V238">
        <v>0.1</v>
      </c>
      <c r="W238">
        <v>0.1</v>
      </c>
      <c r="X238">
        <v>0.1</v>
      </c>
      <c r="Y238">
        <v>0.1</v>
      </c>
      <c r="Z238">
        <v>0.1</v>
      </c>
      <c r="AA238">
        <v>0.1</v>
      </c>
      <c r="AB238">
        <v>0.1</v>
      </c>
      <c r="AC238">
        <v>0.1</v>
      </c>
      <c r="AD238">
        <v>0.1</v>
      </c>
      <c r="AE238">
        <v>0.1</v>
      </c>
      <c r="AF238">
        <v>0.1</v>
      </c>
      <c r="AG238">
        <v>0.1</v>
      </c>
      <c r="AH238">
        <v>0.1</v>
      </c>
      <c r="AI238">
        <v>0.1</v>
      </c>
      <c r="AJ238">
        <v>0.1</v>
      </c>
      <c r="AK238">
        <v>0.1</v>
      </c>
      <c r="AL238">
        <v>0.1</v>
      </c>
      <c r="AM238">
        <v>0.1</v>
      </c>
      <c r="AN238">
        <v>0.1</v>
      </c>
      <c r="AO238">
        <v>0.1</v>
      </c>
      <c r="AP238">
        <v>0.1</v>
      </c>
      <c r="AQ238">
        <v>0.1</v>
      </c>
      <c r="AR238">
        <v>0.1</v>
      </c>
      <c r="AS238">
        <v>0.1</v>
      </c>
      <c r="AT238">
        <v>0.1</v>
      </c>
      <c r="AU238">
        <v>0.1</v>
      </c>
      <c r="AV238">
        <v>0.1</v>
      </c>
      <c r="AW238">
        <v>0.1</v>
      </c>
      <c r="AX238">
        <v>0.1</v>
      </c>
      <c r="AY238">
        <v>0.1</v>
      </c>
      <c r="AZ238">
        <v>0.1</v>
      </c>
      <c r="BA238">
        <v>0.1</v>
      </c>
      <c r="BB238">
        <v>0.1</v>
      </c>
      <c r="BC238">
        <v>0.1</v>
      </c>
      <c r="BD238">
        <v>0.1</v>
      </c>
      <c r="BE238">
        <v>0.1</v>
      </c>
      <c r="BF238">
        <v>0.1</v>
      </c>
      <c r="BG238">
        <v>0.1</v>
      </c>
      <c r="BH238">
        <v>0.1</v>
      </c>
      <c r="BI238">
        <v>0.1</v>
      </c>
      <c r="BJ238">
        <v>0.1</v>
      </c>
      <c r="BK238">
        <v>0.1</v>
      </c>
      <c r="BL238">
        <v>0.1</v>
      </c>
      <c r="BM238">
        <v>0.1</v>
      </c>
      <c r="BN238">
        <v>0.1</v>
      </c>
      <c r="BO238">
        <v>0.1</v>
      </c>
      <c r="BS238">
        <v>235</v>
      </c>
      <c r="BT238" s="271">
        <v>3.25</v>
      </c>
      <c r="BU238" s="270">
        <v>2.68</v>
      </c>
      <c r="BV238" s="2"/>
      <c r="BW238" s="2"/>
      <c r="BX238" s="2"/>
      <c r="BY238" s="258">
        <v>0.1</v>
      </c>
      <c r="BZ238" s="259">
        <v>0.1</v>
      </c>
      <c r="CA238" s="259">
        <v>0.1</v>
      </c>
      <c r="CB238" s="259">
        <v>0.1</v>
      </c>
      <c r="CC238" s="259">
        <v>0.1</v>
      </c>
      <c r="CD238" s="259">
        <v>0.1</v>
      </c>
      <c r="CE238" s="259">
        <v>0.1</v>
      </c>
      <c r="CF238" s="259">
        <v>0.1</v>
      </c>
      <c r="CG238" s="259">
        <v>0.1</v>
      </c>
      <c r="CH238" s="259">
        <v>0.1</v>
      </c>
      <c r="CI238" s="259">
        <v>0.1</v>
      </c>
      <c r="CJ238" s="259">
        <v>0.1</v>
      </c>
      <c r="CK238" s="259">
        <v>0.1</v>
      </c>
      <c r="CL238" s="259">
        <v>0.1</v>
      </c>
      <c r="CM238" s="259">
        <v>0.1</v>
      </c>
      <c r="CN238" s="259">
        <v>0.1</v>
      </c>
      <c r="CO238" s="259">
        <v>0.1</v>
      </c>
      <c r="CP238" s="259">
        <v>0.1</v>
      </c>
      <c r="CQ238" s="259">
        <v>0.1</v>
      </c>
      <c r="CR238" s="259">
        <v>0.1</v>
      </c>
      <c r="CS238" s="259">
        <v>0.1</v>
      </c>
      <c r="CT238" s="259">
        <v>0.1</v>
      </c>
      <c r="CU238" s="259">
        <v>0.1</v>
      </c>
      <c r="CV238" s="259">
        <v>0.1</v>
      </c>
      <c r="CW238" s="259">
        <v>0.1</v>
      </c>
      <c r="CX238" s="259">
        <v>0.1</v>
      </c>
      <c r="CY238" s="259">
        <v>0.1</v>
      </c>
      <c r="CZ238" s="259">
        <v>0.1</v>
      </c>
      <c r="DA238" s="259">
        <v>0.1</v>
      </c>
      <c r="DB238" s="259">
        <v>0.1</v>
      </c>
      <c r="DC238" s="259">
        <v>0.1</v>
      </c>
      <c r="DD238" s="259">
        <v>0.1</v>
      </c>
      <c r="DE238" s="260">
        <v>0.1</v>
      </c>
      <c r="DF238" s="258">
        <v>0.1</v>
      </c>
      <c r="DG238" s="259">
        <v>0.1</v>
      </c>
      <c r="DH238" s="259">
        <v>0.1</v>
      </c>
      <c r="DI238" s="259">
        <v>0.1</v>
      </c>
      <c r="DJ238" s="259">
        <v>0.1</v>
      </c>
      <c r="DK238" s="259">
        <v>0.1</v>
      </c>
      <c r="DL238" s="259">
        <v>0.1</v>
      </c>
      <c r="DM238" s="259">
        <v>0.1</v>
      </c>
      <c r="DN238" s="259">
        <v>0.1</v>
      </c>
      <c r="DO238" s="259">
        <v>0.1</v>
      </c>
      <c r="DP238" s="259">
        <v>0.1</v>
      </c>
      <c r="DQ238" s="259">
        <v>0.1</v>
      </c>
      <c r="DR238" s="259">
        <v>0.1</v>
      </c>
      <c r="DS238" s="259">
        <v>0.1</v>
      </c>
      <c r="DT238" s="259">
        <v>0.1</v>
      </c>
      <c r="DU238" s="259">
        <v>0.1</v>
      </c>
      <c r="DV238" s="259">
        <v>0.1</v>
      </c>
      <c r="DW238" s="259">
        <v>0.1</v>
      </c>
      <c r="DX238" s="259">
        <v>0.1</v>
      </c>
      <c r="DY238" s="259">
        <v>0.1</v>
      </c>
      <c r="DZ238" s="259">
        <v>0.1</v>
      </c>
      <c r="EA238" s="259">
        <v>0.1</v>
      </c>
      <c r="EB238" s="259">
        <v>0.1</v>
      </c>
      <c r="EC238" s="259">
        <v>0.1</v>
      </c>
      <c r="ED238" s="259">
        <v>0.1</v>
      </c>
      <c r="EE238" s="259">
        <v>0.1</v>
      </c>
      <c r="EF238" s="260">
        <v>0.1</v>
      </c>
      <c r="EJ238">
        <v>235</v>
      </c>
      <c r="EN238">
        <v>0.1</v>
      </c>
      <c r="EO238">
        <v>0.1</v>
      </c>
      <c r="EP238">
        <v>0.1</v>
      </c>
      <c r="EQ238">
        <v>0.1</v>
      </c>
      <c r="ER238">
        <v>0.1</v>
      </c>
      <c r="ES238">
        <v>0.1</v>
      </c>
      <c r="ET238">
        <v>0.1</v>
      </c>
      <c r="EU238">
        <v>0.1</v>
      </c>
      <c r="EV238">
        <v>0.1</v>
      </c>
      <c r="EW238">
        <v>0.1</v>
      </c>
      <c r="EX238">
        <v>0.1</v>
      </c>
      <c r="EY238">
        <v>0.1</v>
      </c>
      <c r="EZ238">
        <v>0.1</v>
      </c>
      <c r="FA238">
        <v>0.1</v>
      </c>
      <c r="FB238">
        <v>0.1</v>
      </c>
      <c r="FC238">
        <v>0.1</v>
      </c>
      <c r="FD238">
        <v>0.1</v>
      </c>
      <c r="FE238">
        <v>0.1</v>
      </c>
      <c r="FF238">
        <v>0.1</v>
      </c>
      <c r="FG238">
        <v>0.1</v>
      </c>
      <c r="FH238">
        <v>0.1</v>
      </c>
      <c r="FI238">
        <v>0.1</v>
      </c>
      <c r="FJ238">
        <v>0.1</v>
      </c>
      <c r="FK238">
        <v>0.1</v>
      </c>
      <c r="FL238">
        <v>0.1</v>
      </c>
      <c r="FM238">
        <v>0.1</v>
      </c>
      <c r="FN238">
        <v>0.1</v>
      </c>
      <c r="FO238">
        <v>0.1</v>
      </c>
      <c r="FP238">
        <v>0.1</v>
      </c>
      <c r="FQ238">
        <v>0.1</v>
      </c>
      <c r="FU238">
        <v>235</v>
      </c>
      <c r="GB238">
        <v>0.1</v>
      </c>
      <c r="GC238">
        <v>0.1</v>
      </c>
      <c r="GD238">
        <v>0.1</v>
      </c>
      <c r="GE238">
        <v>0.1</v>
      </c>
      <c r="GF238">
        <v>0.1</v>
      </c>
      <c r="GG238">
        <v>0.1</v>
      </c>
      <c r="GH238">
        <v>0.1</v>
      </c>
      <c r="GI238">
        <v>0.1</v>
      </c>
      <c r="GJ238">
        <v>0.1</v>
      </c>
      <c r="GK238">
        <v>0.1</v>
      </c>
      <c r="GL238">
        <v>0.1</v>
      </c>
      <c r="GM238">
        <v>0.1</v>
      </c>
      <c r="GN238">
        <v>0.1</v>
      </c>
      <c r="GO238">
        <v>0.1</v>
      </c>
      <c r="GP238">
        <v>0.1</v>
      </c>
      <c r="GQ238">
        <v>0.1</v>
      </c>
      <c r="GR238">
        <v>0.1</v>
      </c>
      <c r="GS238">
        <v>0.1</v>
      </c>
      <c r="GT238">
        <v>0.1</v>
      </c>
      <c r="GU238">
        <v>0.1</v>
      </c>
      <c r="GV238">
        <v>0.1</v>
      </c>
      <c r="GW238">
        <v>0.1</v>
      </c>
      <c r="GX238">
        <v>0.1</v>
      </c>
      <c r="GY238">
        <v>0.1</v>
      </c>
      <c r="GZ238">
        <v>0.1</v>
      </c>
      <c r="HA238">
        <v>0.1</v>
      </c>
      <c r="HB238">
        <v>0.1</v>
      </c>
      <c r="HC238">
        <v>0.1</v>
      </c>
      <c r="HD238">
        <v>0.1</v>
      </c>
      <c r="HE238">
        <v>0.1</v>
      </c>
      <c r="HF238">
        <v>0.1</v>
      </c>
      <c r="HG238">
        <v>0.1</v>
      </c>
      <c r="HH238">
        <v>0.1</v>
      </c>
      <c r="HI238">
        <v>0.1</v>
      </c>
      <c r="HJ238">
        <v>0.1</v>
      </c>
      <c r="HK238">
        <v>0.1</v>
      </c>
      <c r="HL238">
        <v>0.1</v>
      </c>
      <c r="HM238">
        <v>0.1</v>
      </c>
      <c r="HN238">
        <v>0.1</v>
      </c>
      <c r="HO238">
        <v>0.1</v>
      </c>
    </row>
    <row r="239" spans="1:223" ht="15.75" thickBot="1" x14ac:dyDescent="0.3">
      <c r="A239">
        <v>236</v>
      </c>
      <c r="B239" s="2"/>
      <c r="C239" s="2"/>
      <c r="D239" s="2"/>
      <c r="E239" s="2"/>
      <c r="G239" s="2"/>
      <c r="H239">
        <v>0.1</v>
      </c>
      <c r="I239">
        <v>0.1</v>
      </c>
      <c r="J239">
        <v>0.1</v>
      </c>
      <c r="K239">
        <v>0.1</v>
      </c>
      <c r="L239">
        <v>0.1</v>
      </c>
      <c r="M239">
        <v>0.1</v>
      </c>
      <c r="N239">
        <v>0.1</v>
      </c>
      <c r="O239">
        <v>0.1</v>
      </c>
      <c r="P239">
        <v>0.1</v>
      </c>
      <c r="Q239">
        <v>0.1</v>
      </c>
      <c r="R239">
        <v>0.1</v>
      </c>
      <c r="S239">
        <v>0.1</v>
      </c>
      <c r="T239">
        <v>0.1</v>
      </c>
      <c r="U239">
        <v>0.1</v>
      </c>
      <c r="V239">
        <v>0.1</v>
      </c>
      <c r="W239">
        <v>0.1</v>
      </c>
      <c r="X239">
        <v>0.1</v>
      </c>
      <c r="Y239">
        <v>0.1</v>
      </c>
      <c r="Z239">
        <v>0.1</v>
      </c>
      <c r="AA239">
        <v>0.1</v>
      </c>
      <c r="AB239">
        <v>0.1</v>
      </c>
      <c r="AC239">
        <v>0.1</v>
      </c>
      <c r="AD239">
        <v>0.1</v>
      </c>
      <c r="AE239">
        <v>0.1</v>
      </c>
      <c r="AF239">
        <v>0.1</v>
      </c>
      <c r="AG239">
        <v>0.1</v>
      </c>
      <c r="AH239">
        <v>0.1</v>
      </c>
      <c r="AI239">
        <v>0.1</v>
      </c>
      <c r="AJ239">
        <v>0.1</v>
      </c>
      <c r="AK239">
        <v>0.1</v>
      </c>
      <c r="AL239">
        <v>0.1</v>
      </c>
      <c r="AM239">
        <v>0.1</v>
      </c>
      <c r="AN239">
        <v>0.1</v>
      </c>
      <c r="AO239">
        <v>0.1</v>
      </c>
      <c r="AP239">
        <v>0.1</v>
      </c>
      <c r="AQ239">
        <v>0.1</v>
      </c>
      <c r="AR239">
        <v>0.1</v>
      </c>
      <c r="AS239">
        <v>0.1</v>
      </c>
      <c r="AT239">
        <v>0.1</v>
      </c>
      <c r="AU239">
        <v>0.1</v>
      </c>
      <c r="AV239">
        <v>0.1</v>
      </c>
      <c r="AW239">
        <v>0.1</v>
      </c>
      <c r="AX239">
        <v>0.1</v>
      </c>
      <c r="AY239">
        <v>0.1</v>
      </c>
      <c r="AZ239">
        <v>0.1</v>
      </c>
      <c r="BA239">
        <v>0.1</v>
      </c>
      <c r="BB239">
        <v>0.1</v>
      </c>
      <c r="BC239">
        <v>0.1</v>
      </c>
      <c r="BD239">
        <v>0.1</v>
      </c>
      <c r="BE239">
        <v>0.1</v>
      </c>
      <c r="BF239">
        <v>0.1</v>
      </c>
      <c r="BG239">
        <v>0.1</v>
      </c>
      <c r="BH239">
        <v>0.1</v>
      </c>
      <c r="BI239">
        <v>0.1</v>
      </c>
      <c r="BJ239">
        <v>0.1</v>
      </c>
      <c r="BK239">
        <v>0.1</v>
      </c>
      <c r="BL239">
        <v>0.1</v>
      </c>
      <c r="BM239">
        <v>0.1</v>
      </c>
      <c r="BN239">
        <v>0.1</v>
      </c>
      <c r="BO239">
        <v>0.1</v>
      </c>
      <c r="BS239">
        <v>236</v>
      </c>
      <c r="BT239" s="270">
        <v>3.22</v>
      </c>
      <c r="BU239" s="271">
        <v>2.68</v>
      </c>
      <c r="BV239" s="2"/>
      <c r="BW239" s="2"/>
      <c r="BX239" s="2"/>
      <c r="BY239" s="258">
        <v>0.1</v>
      </c>
      <c r="BZ239" s="259">
        <v>0.1</v>
      </c>
      <c r="CA239" s="259">
        <v>0.1</v>
      </c>
      <c r="CB239" s="259">
        <v>0.1</v>
      </c>
      <c r="CC239" s="259">
        <v>0.1</v>
      </c>
      <c r="CD239" s="259">
        <v>0.1</v>
      </c>
      <c r="CE239" s="259">
        <v>0.1</v>
      </c>
      <c r="CF239" s="259">
        <v>0.1</v>
      </c>
      <c r="CG239" s="259">
        <v>0.1</v>
      </c>
      <c r="CH239" s="259">
        <v>0.1</v>
      </c>
      <c r="CI239" s="259">
        <v>0.1</v>
      </c>
      <c r="CJ239" s="259">
        <v>0.1</v>
      </c>
      <c r="CK239" s="259">
        <v>0.1</v>
      </c>
      <c r="CL239" s="259">
        <v>0.1</v>
      </c>
      <c r="CM239" s="259">
        <v>0.1</v>
      </c>
      <c r="CN239" s="259">
        <v>0.1</v>
      </c>
      <c r="CO239" s="259">
        <v>0.1</v>
      </c>
      <c r="CP239" s="259">
        <v>0.1</v>
      </c>
      <c r="CQ239" s="259">
        <v>0.1</v>
      </c>
      <c r="CR239" s="259">
        <v>0.1</v>
      </c>
      <c r="CS239" s="259">
        <v>0.1</v>
      </c>
      <c r="CT239" s="259">
        <v>0.1</v>
      </c>
      <c r="CU239" s="259">
        <v>0.1</v>
      </c>
      <c r="CV239" s="259">
        <v>0.1</v>
      </c>
      <c r="CW239" s="259">
        <v>0.1</v>
      </c>
      <c r="CX239" s="259">
        <v>0.1</v>
      </c>
      <c r="CY239" s="259">
        <v>0.1</v>
      </c>
      <c r="CZ239" s="259">
        <v>0.1</v>
      </c>
      <c r="DA239" s="259">
        <v>0.1</v>
      </c>
      <c r="DB239" s="259">
        <v>0.1</v>
      </c>
      <c r="DC239" s="259">
        <v>0.1</v>
      </c>
      <c r="DD239" s="259">
        <v>0.1</v>
      </c>
      <c r="DE239" s="260">
        <v>0.1</v>
      </c>
      <c r="DF239" s="258">
        <v>0.1</v>
      </c>
      <c r="DG239" s="259">
        <v>0.1</v>
      </c>
      <c r="DH239" s="259">
        <v>0.1</v>
      </c>
      <c r="DI239" s="259">
        <v>0.1</v>
      </c>
      <c r="DJ239" s="259">
        <v>0.1</v>
      </c>
      <c r="DK239" s="259">
        <v>0.1</v>
      </c>
      <c r="DL239" s="259">
        <v>0.1</v>
      </c>
      <c r="DM239" s="259">
        <v>0.1</v>
      </c>
      <c r="DN239" s="259">
        <v>0.1</v>
      </c>
      <c r="DO239" s="259">
        <v>0.1</v>
      </c>
      <c r="DP239" s="259">
        <v>0.1</v>
      </c>
      <c r="DQ239" s="259">
        <v>0.1</v>
      </c>
      <c r="DR239" s="259">
        <v>0.1</v>
      </c>
      <c r="DS239" s="259">
        <v>0.1</v>
      </c>
      <c r="DT239" s="259">
        <v>0.1</v>
      </c>
      <c r="DU239" s="259">
        <v>0.1</v>
      </c>
      <c r="DV239" s="259">
        <v>0.1</v>
      </c>
      <c r="DW239" s="259">
        <v>0.1</v>
      </c>
      <c r="DX239" s="259">
        <v>0.1</v>
      </c>
      <c r="DY239" s="259">
        <v>0.1</v>
      </c>
      <c r="DZ239" s="259">
        <v>0.1</v>
      </c>
      <c r="EA239" s="259">
        <v>0.1</v>
      </c>
      <c r="EB239" s="259">
        <v>0.1</v>
      </c>
      <c r="EC239" s="259">
        <v>0.1</v>
      </c>
      <c r="ED239" s="259">
        <v>0.1</v>
      </c>
      <c r="EE239" s="259">
        <v>0.1</v>
      </c>
      <c r="EF239" s="260">
        <v>0.1</v>
      </c>
      <c r="EJ239">
        <v>236</v>
      </c>
      <c r="EN239">
        <v>0.1</v>
      </c>
      <c r="EO239">
        <v>0.1</v>
      </c>
      <c r="EP239">
        <v>0.1</v>
      </c>
      <c r="EQ239">
        <v>0.1</v>
      </c>
      <c r="ER239">
        <v>0.1</v>
      </c>
      <c r="ES239">
        <v>0.1</v>
      </c>
      <c r="ET239">
        <v>0.1</v>
      </c>
      <c r="EU239">
        <v>0.1</v>
      </c>
      <c r="EV239">
        <v>0.1</v>
      </c>
      <c r="EW239">
        <v>0.1</v>
      </c>
      <c r="EX239">
        <v>0.1</v>
      </c>
      <c r="EY239">
        <v>0.1</v>
      </c>
      <c r="EZ239">
        <v>0.1</v>
      </c>
      <c r="FA239">
        <v>0.1</v>
      </c>
      <c r="FB239">
        <v>0.1</v>
      </c>
      <c r="FC239">
        <v>0.1</v>
      </c>
      <c r="FD239">
        <v>0.1</v>
      </c>
      <c r="FE239">
        <v>0.1</v>
      </c>
      <c r="FF239">
        <v>0.1</v>
      </c>
      <c r="FG239">
        <v>0.1</v>
      </c>
      <c r="FH239">
        <v>0.1</v>
      </c>
      <c r="FI239">
        <v>0.1</v>
      </c>
      <c r="FJ239">
        <v>0.1</v>
      </c>
      <c r="FK239">
        <v>0.1</v>
      </c>
      <c r="FL239">
        <v>0.1</v>
      </c>
      <c r="FM239">
        <v>0.1</v>
      </c>
      <c r="FN239">
        <v>0.1</v>
      </c>
      <c r="FO239">
        <v>0.1</v>
      </c>
      <c r="FP239">
        <v>0.1</v>
      </c>
      <c r="FQ239">
        <v>0.1</v>
      </c>
      <c r="FU239">
        <v>236</v>
      </c>
      <c r="GB239">
        <v>0.1</v>
      </c>
      <c r="GC239">
        <v>0.1</v>
      </c>
      <c r="GD239">
        <v>0.1</v>
      </c>
      <c r="GE239">
        <v>0.1</v>
      </c>
      <c r="GF239">
        <v>0.1</v>
      </c>
      <c r="GG239">
        <v>0.1</v>
      </c>
      <c r="GH239">
        <v>0.1</v>
      </c>
      <c r="GI239">
        <v>0.1</v>
      </c>
      <c r="GJ239">
        <v>0.1</v>
      </c>
      <c r="GK239">
        <v>0.1</v>
      </c>
      <c r="GL239">
        <v>0.1</v>
      </c>
      <c r="GM239">
        <v>0.1</v>
      </c>
      <c r="GN239">
        <v>0.1</v>
      </c>
      <c r="GO239">
        <v>0.1</v>
      </c>
      <c r="GP239">
        <v>0.1</v>
      </c>
      <c r="GQ239">
        <v>0.1</v>
      </c>
      <c r="GR239">
        <v>0.1</v>
      </c>
      <c r="GS239">
        <v>0.1</v>
      </c>
      <c r="GT239">
        <v>0.1</v>
      </c>
      <c r="GU239">
        <v>0.1</v>
      </c>
      <c r="GV239">
        <v>0.1</v>
      </c>
      <c r="GW239">
        <v>0.1</v>
      </c>
      <c r="GX239">
        <v>0.1</v>
      </c>
      <c r="GY239">
        <v>0.1</v>
      </c>
      <c r="GZ239">
        <v>0.1</v>
      </c>
      <c r="HA239">
        <v>0.1</v>
      </c>
      <c r="HB239">
        <v>0.1</v>
      </c>
      <c r="HC239">
        <v>0.1</v>
      </c>
      <c r="HD239">
        <v>0.1</v>
      </c>
      <c r="HE239">
        <v>0.1</v>
      </c>
      <c r="HF239">
        <v>0.1</v>
      </c>
      <c r="HG239">
        <v>0.1</v>
      </c>
      <c r="HH239">
        <v>0.1</v>
      </c>
      <c r="HI239">
        <v>0.1</v>
      </c>
      <c r="HJ239">
        <v>0.1</v>
      </c>
      <c r="HK239">
        <v>0.1</v>
      </c>
      <c r="HL239">
        <v>0.1</v>
      </c>
      <c r="HM239">
        <v>0.1</v>
      </c>
      <c r="HN239">
        <v>0.1</v>
      </c>
      <c r="HO239">
        <v>0.1</v>
      </c>
    </row>
    <row r="240" spans="1:223" ht="15.75" thickBot="1" x14ac:dyDescent="0.3">
      <c r="A240">
        <v>237</v>
      </c>
      <c r="B240" s="2"/>
      <c r="C240" s="2"/>
      <c r="D240" s="2"/>
      <c r="E240" s="2"/>
      <c r="G240" s="2"/>
      <c r="H240">
        <v>0.1</v>
      </c>
      <c r="I240">
        <v>0.1</v>
      </c>
      <c r="J240">
        <v>0.1</v>
      </c>
      <c r="K240">
        <v>0.1</v>
      </c>
      <c r="L240">
        <v>0.1</v>
      </c>
      <c r="M240">
        <v>0.1</v>
      </c>
      <c r="N240">
        <v>0.1</v>
      </c>
      <c r="O240">
        <v>0.1</v>
      </c>
      <c r="P240">
        <v>0.1</v>
      </c>
      <c r="Q240">
        <v>0.1</v>
      </c>
      <c r="R240">
        <v>0.1</v>
      </c>
      <c r="S240">
        <v>0.1</v>
      </c>
      <c r="T240">
        <v>0.1</v>
      </c>
      <c r="U240">
        <v>0.1</v>
      </c>
      <c r="V240">
        <v>0.1</v>
      </c>
      <c r="W240">
        <v>0.1</v>
      </c>
      <c r="X240">
        <v>0.1</v>
      </c>
      <c r="Y240">
        <v>0.1</v>
      </c>
      <c r="Z240">
        <v>0.1</v>
      </c>
      <c r="AA240">
        <v>0.1</v>
      </c>
      <c r="AB240">
        <v>0.1</v>
      </c>
      <c r="AC240">
        <v>0.1</v>
      </c>
      <c r="AD240">
        <v>0.1</v>
      </c>
      <c r="AE240">
        <v>0.1</v>
      </c>
      <c r="AF240">
        <v>0.1</v>
      </c>
      <c r="AG240">
        <v>0.1</v>
      </c>
      <c r="AH240">
        <v>0.1</v>
      </c>
      <c r="AI240">
        <v>0.1</v>
      </c>
      <c r="AJ240">
        <v>0.1</v>
      </c>
      <c r="AK240">
        <v>0.1</v>
      </c>
      <c r="AL240">
        <v>0.1</v>
      </c>
      <c r="AM240">
        <v>0.1</v>
      </c>
      <c r="AN240">
        <v>0.1</v>
      </c>
      <c r="AO240">
        <v>0.1</v>
      </c>
      <c r="AP240">
        <v>0.1</v>
      </c>
      <c r="AQ240">
        <v>0.1</v>
      </c>
      <c r="AR240">
        <v>0.1</v>
      </c>
      <c r="AS240">
        <v>0.1</v>
      </c>
      <c r="AT240">
        <v>0.1</v>
      </c>
      <c r="AU240">
        <v>0.1</v>
      </c>
      <c r="AV240">
        <v>0.1</v>
      </c>
      <c r="AW240">
        <v>0.1</v>
      </c>
      <c r="AX240">
        <v>0.1</v>
      </c>
      <c r="AY240">
        <v>0.1</v>
      </c>
      <c r="AZ240">
        <v>0.1</v>
      </c>
      <c r="BA240">
        <v>0.1</v>
      </c>
      <c r="BB240">
        <v>0.1</v>
      </c>
      <c r="BC240">
        <v>0.1</v>
      </c>
      <c r="BD240">
        <v>0.1</v>
      </c>
      <c r="BE240">
        <v>0.1</v>
      </c>
      <c r="BF240">
        <v>0.1</v>
      </c>
      <c r="BG240">
        <v>0.1</v>
      </c>
      <c r="BH240">
        <v>0.1</v>
      </c>
      <c r="BI240">
        <v>0.1</v>
      </c>
      <c r="BJ240">
        <v>0.1</v>
      </c>
      <c r="BK240">
        <v>0.1</v>
      </c>
      <c r="BL240">
        <v>0.1</v>
      </c>
      <c r="BM240">
        <v>0.1</v>
      </c>
      <c r="BN240">
        <v>0.1</v>
      </c>
      <c r="BO240">
        <v>0.1</v>
      </c>
      <c r="BS240">
        <v>237</v>
      </c>
      <c r="BT240" s="271">
        <v>3.22</v>
      </c>
      <c r="BU240" s="270">
        <v>2.68</v>
      </c>
      <c r="BV240" s="2"/>
      <c r="BW240" s="2"/>
      <c r="BX240" s="2"/>
      <c r="BY240" s="258">
        <v>0.1</v>
      </c>
      <c r="BZ240" s="259">
        <v>0.1</v>
      </c>
      <c r="CA240" s="259">
        <v>0.1</v>
      </c>
      <c r="CB240" s="259">
        <v>0.1</v>
      </c>
      <c r="CC240" s="259">
        <v>0.1</v>
      </c>
      <c r="CD240" s="259">
        <v>0.1</v>
      </c>
      <c r="CE240" s="259">
        <v>0.1</v>
      </c>
      <c r="CF240" s="259">
        <v>0.1</v>
      </c>
      <c r="CG240" s="259">
        <v>0.1</v>
      </c>
      <c r="CH240" s="259">
        <v>0.1</v>
      </c>
      <c r="CI240" s="259">
        <v>0.1</v>
      </c>
      <c r="CJ240" s="259">
        <v>0.1</v>
      </c>
      <c r="CK240" s="259">
        <v>0.1</v>
      </c>
      <c r="CL240" s="259">
        <v>0.1</v>
      </c>
      <c r="CM240" s="259">
        <v>0.1</v>
      </c>
      <c r="CN240" s="259">
        <v>0.1</v>
      </c>
      <c r="CO240" s="259">
        <v>0.1</v>
      </c>
      <c r="CP240" s="259">
        <v>0.1</v>
      </c>
      <c r="CQ240" s="259">
        <v>0.1</v>
      </c>
      <c r="CR240" s="259">
        <v>0.1</v>
      </c>
      <c r="CS240" s="259">
        <v>0.1</v>
      </c>
      <c r="CT240" s="259">
        <v>0.1</v>
      </c>
      <c r="CU240" s="259">
        <v>0.1</v>
      </c>
      <c r="CV240" s="259">
        <v>0.1</v>
      </c>
      <c r="CW240" s="259">
        <v>0.1</v>
      </c>
      <c r="CX240" s="259">
        <v>0.1</v>
      </c>
      <c r="CY240" s="259">
        <v>0.1</v>
      </c>
      <c r="CZ240" s="259">
        <v>0.1</v>
      </c>
      <c r="DA240" s="259">
        <v>0.1</v>
      </c>
      <c r="DB240" s="259">
        <v>0.1</v>
      </c>
      <c r="DC240" s="259">
        <v>0.1</v>
      </c>
      <c r="DD240" s="259">
        <v>0.1</v>
      </c>
      <c r="DE240" s="260">
        <v>0.1</v>
      </c>
      <c r="DF240" s="258">
        <v>0.1</v>
      </c>
      <c r="DG240" s="259">
        <v>0.1</v>
      </c>
      <c r="DH240" s="259">
        <v>0.1</v>
      </c>
      <c r="DI240" s="259">
        <v>0.1</v>
      </c>
      <c r="DJ240" s="259">
        <v>0.1</v>
      </c>
      <c r="DK240" s="259">
        <v>0.1</v>
      </c>
      <c r="DL240" s="259">
        <v>0.1</v>
      </c>
      <c r="DM240" s="259">
        <v>0.1</v>
      </c>
      <c r="DN240" s="259">
        <v>0.1</v>
      </c>
      <c r="DO240" s="259">
        <v>0.1</v>
      </c>
      <c r="DP240" s="259">
        <v>0.1</v>
      </c>
      <c r="DQ240" s="259">
        <v>0.1</v>
      </c>
      <c r="DR240" s="259">
        <v>0.1</v>
      </c>
      <c r="DS240" s="259">
        <v>0.1</v>
      </c>
      <c r="DT240" s="259">
        <v>0.1</v>
      </c>
      <c r="DU240" s="259">
        <v>0.1</v>
      </c>
      <c r="DV240" s="259">
        <v>0.1</v>
      </c>
      <c r="DW240" s="259">
        <v>0.1</v>
      </c>
      <c r="DX240" s="259">
        <v>0.1</v>
      </c>
      <c r="DY240" s="259">
        <v>0.1</v>
      </c>
      <c r="DZ240" s="259">
        <v>0.1</v>
      </c>
      <c r="EA240" s="259">
        <v>0.1</v>
      </c>
      <c r="EB240" s="259">
        <v>0.1</v>
      </c>
      <c r="EC240" s="259">
        <v>0.1</v>
      </c>
      <c r="ED240" s="259">
        <v>0.1</v>
      </c>
      <c r="EE240" s="259">
        <v>0.1</v>
      </c>
      <c r="EF240" s="260">
        <v>0.1</v>
      </c>
      <c r="EJ240">
        <v>237</v>
      </c>
      <c r="EN240">
        <v>0.1</v>
      </c>
      <c r="EO240">
        <v>0.1</v>
      </c>
      <c r="EP240">
        <v>0.1</v>
      </c>
      <c r="EQ240">
        <v>0.1</v>
      </c>
      <c r="ER240">
        <v>0.1</v>
      </c>
      <c r="ES240">
        <v>0.1</v>
      </c>
      <c r="ET240">
        <v>0.1</v>
      </c>
      <c r="EU240">
        <v>0.1</v>
      </c>
      <c r="EV240">
        <v>0.1</v>
      </c>
      <c r="EW240">
        <v>0.1</v>
      </c>
      <c r="EX240">
        <v>0.1</v>
      </c>
      <c r="EY240">
        <v>0.1</v>
      </c>
      <c r="EZ240">
        <v>0.1</v>
      </c>
      <c r="FA240">
        <v>0.1</v>
      </c>
      <c r="FB240">
        <v>0.1</v>
      </c>
      <c r="FC240">
        <v>0.1</v>
      </c>
      <c r="FD240">
        <v>0.1</v>
      </c>
      <c r="FE240">
        <v>0.1</v>
      </c>
      <c r="FF240">
        <v>0.1</v>
      </c>
      <c r="FG240">
        <v>0.1</v>
      </c>
      <c r="FH240">
        <v>0.1</v>
      </c>
      <c r="FI240">
        <v>0.1</v>
      </c>
      <c r="FJ240">
        <v>0.1</v>
      </c>
      <c r="FK240">
        <v>0.1</v>
      </c>
      <c r="FL240">
        <v>0.1</v>
      </c>
      <c r="FM240">
        <v>0.1</v>
      </c>
      <c r="FN240">
        <v>0.1</v>
      </c>
      <c r="FO240">
        <v>0.1</v>
      </c>
      <c r="FP240">
        <v>0.1</v>
      </c>
      <c r="FQ240">
        <v>0.1</v>
      </c>
      <c r="FU240">
        <v>237</v>
      </c>
      <c r="GB240">
        <v>0.1</v>
      </c>
      <c r="GC240">
        <v>0.1</v>
      </c>
      <c r="GD240">
        <v>0.1</v>
      </c>
      <c r="GE240">
        <v>0.1</v>
      </c>
      <c r="GF240">
        <v>0.1</v>
      </c>
      <c r="GG240">
        <v>0.1</v>
      </c>
      <c r="GH240">
        <v>0.1</v>
      </c>
      <c r="GI240">
        <v>0.1</v>
      </c>
      <c r="GJ240">
        <v>0.1</v>
      </c>
      <c r="GK240">
        <v>0.1</v>
      </c>
      <c r="GL240">
        <v>0.1</v>
      </c>
      <c r="GM240">
        <v>0.1</v>
      </c>
      <c r="GN240">
        <v>0.1</v>
      </c>
      <c r="GO240">
        <v>0.1</v>
      </c>
      <c r="GP240">
        <v>0.1</v>
      </c>
      <c r="GQ240">
        <v>0.1</v>
      </c>
      <c r="GR240">
        <v>0.1</v>
      </c>
      <c r="GS240">
        <v>0.1</v>
      </c>
      <c r="GT240">
        <v>0.1</v>
      </c>
      <c r="GU240">
        <v>0.1</v>
      </c>
      <c r="GV240">
        <v>0.1</v>
      </c>
      <c r="GW240">
        <v>0.1</v>
      </c>
      <c r="GX240">
        <v>0.1</v>
      </c>
      <c r="GY240">
        <v>0.1</v>
      </c>
      <c r="GZ240">
        <v>0.1</v>
      </c>
      <c r="HA240">
        <v>0.1</v>
      </c>
      <c r="HB240">
        <v>0.1</v>
      </c>
      <c r="HC240">
        <v>0.1</v>
      </c>
      <c r="HD240">
        <v>0.1</v>
      </c>
      <c r="HE240">
        <v>0.1</v>
      </c>
      <c r="HF240">
        <v>0.1</v>
      </c>
      <c r="HG240">
        <v>0.1</v>
      </c>
      <c r="HH240">
        <v>0.1</v>
      </c>
      <c r="HI240">
        <v>0.1</v>
      </c>
      <c r="HJ240">
        <v>0.1</v>
      </c>
      <c r="HK240">
        <v>0.1</v>
      </c>
      <c r="HL240">
        <v>0.1</v>
      </c>
      <c r="HM240">
        <v>0.1</v>
      </c>
      <c r="HN240">
        <v>0.1</v>
      </c>
      <c r="HO240">
        <v>0.1</v>
      </c>
    </row>
    <row r="241" spans="1:223" ht="15.75" thickBot="1" x14ac:dyDescent="0.3">
      <c r="A241">
        <v>238</v>
      </c>
      <c r="B241" s="2"/>
      <c r="C241" s="2"/>
      <c r="D241" s="2"/>
      <c r="E241" s="2"/>
      <c r="G241" s="2"/>
      <c r="H241">
        <v>0.1</v>
      </c>
      <c r="I241">
        <v>0.1</v>
      </c>
      <c r="J241">
        <v>0.1</v>
      </c>
      <c r="K241">
        <v>0.1</v>
      </c>
      <c r="L241">
        <v>0.1</v>
      </c>
      <c r="M241">
        <v>0.1</v>
      </c>
      <c r="N241">
        <v>0.1</v>
      </c>
      <c r="O241">
        <v>0.1</v>
      </c>
      <c r="P241">
        <v>0.1</v>
      </c>
      <c r="Q241">
        <v>0.1</v>
      </c>
      <c r="R241">
        <v>0.1</v>
      </c>
      <c r="S241">
        <v>0.1</v>
      </c>
      <c r="T241">
        <v>0.1</v>
      </c>
      <c r="U241">
        <v>0.1</v>
      </c>
      <c r="V241">
        <v>0.1</v>
      </c>
      <c r="W241">
        <v>0.1</v>
      </c>
      <c r="X241">
        <v>0.1</v>
      </c>
      <c r="Y241">
        <v>0.1</v>
      </c>
      <c r="Z241">
        <v>0.1</v>
      </c>
      <c r="AA241">
        <v>0.1</v>
      </c>
      <c r="AB241">
        <v>0.1</v>
      </c>
      <c r="AC241">
        <v>0.1</v>
      </c>
      <c r="AD241">
        <v>0.1</v>
      </c>
      <c r="AE241">
        <v>0.1</v>
      </c>
      <c r="AF241">
        <v>0.1</v>
      </c>
      <c r="AG241">
        <v>0.1</v>
      </c>
      <c r="AH241">
        <v>0.1</v>
      </c>
      <c r="AI241">
        <v>0.1</v>
      </c>
      <c r="AJ241">
        <v>0.1</v>
      </c>
      <c r="AK241">
        <v>0.1</v>
      </c>
      <c r="AL241">
        <v>0.1</v>
      </c>
      <c r="AM241">
        <v>0.1</v>
      </c>
      <c r="AN241">
        <v>0.1</v>
      </c>
      <c r="AO241">
        <v>0.1</v>
      </c>
      <c r="AP241">
        <v>0.1</v>
      </c>
      <c r="AQ241">
        <v>0.1</v>
      </c>
      <c r="AR241">
        <v>0.1</v>
      </c>
      <c r="AS241">
        <v>0.1</v>
      </c>
      <c r="AT241">
        <v>0.1</v>
      </c>
      <c r="AU241">
        <v>0.1</v>
      </c>
      <c r="AV241">
        <v>0.1</v>
      </c>
      <c r="AW241">
        <v>0.1</v>
      </c>
      <c r="AX241">
        <v>0.1</v>
      </c>
      <c r="AY241">
        <v>0.1</v>
      </c>
      <c r="AZ241">
        <v>0.1</v>
      </c>
      <c r="BA241">
        <v>0.1</v>
      </c>
      <c r="BB241">
        <v>0.1</v>
      </c>
      <c r="BC241">
        <v>0.1</v>
      </c>
      <c r="BD241">
        <v>0.1</v>
      </c>
      <c r="BE241">
        <v>0.1</v>
      </c>
      <c r="BF241">
        <v>0.1</v>
      </c>
      <c r="BG241">
        <v>0.1</v>
      </c>
      <c r="BH241">
        <v>0.1</v>
      </c>
      <c r="BI241">
        <v>0.1</v>
      </c>
      <c r="BJ241">
        <v>0.1</v>
      </c>
      <c r="BK241">
        <v>0.1</v>
      </c>
      <c r="BL241">
        <v>0.1</v>
      </c>
      <c r="BM241">
        <v>0.1</v>
      </c>
      <c r="BN241">
        <v>0.1</v>
      </c>
      <c r="BO241">
        <v>0.1</v>
      </c>
      <c r="BS241">
        <v>238</v>
      </c>
      <c r="BT241" s="270">
        <v>3.21</v>
      </c>
      <c r="BU241" s="271">
        <v>2.68</v>
      </c>
      <c r="BV241" s="2"/>
      <c r="BW241" s="2"/>
      <c r="BX241" s="2"/>
      <c r="BY241" s="258">
        <v>0.1</v>
      </c>
      <c r="BZ241" s="259">
        <v>0.1</v>
      </c>
      <c r="CA241" s="259">
        <v>0.1</v>
      </c>
      <c r="CB241" s="259">
        <v>0.1</v>
      </c>
      <c r="CC241" s="259">
        <v>0.1</v>
      </c>
      <c r="CD241" s="259">
        <v>0.1</v>
      </c>
      <c r="CE241" s="259">
        <v>0.1</v>
      </c>
      <c r="CF241" s="259">
        <v>0.1</v>
      </c>
      <c r="CG241" s="259">
        <v>0.1</v>
      </c>
      <c r="CH241" s="259">
        <v>0.1</v>
      </c>
      <c r="CI241" s="259">
        <v>0.1</v>
      </c>
      <c r="CJ241" s="259">
        <v>0.1</v>
      </c>
      <c r="CK241" s="259">
        <v>0.1</v>
      </c>
      <c r="CL241" s="259">
        <v>0.1</v>
      </c>
      <c r="CM241" s="259">
        <v>0.1</v>
      </c>
      <c r="CN241" s="259">
        <v>0.1</v>
      </c>
      <c r="CO241" s="259">
        <v>0.1</v>
      </c>
      <c r="CP241" s="259">
        <v>0.1</v>
      </c>
      <c r="CQ241" s="259">
        <v>0.1</v>
      </c>
      <c r="CR241" s="259">
        <v>0.1</v>
      </c>
      <c r="CS241" s="259">
        <v>0.1</v>
      </c>
      <c r="CT241" s="259">
        <v>0.1</v>
      </c>
      <c r="CU241" s="259">
        <v>0.1</v>
      </c>
      <c r="CV241" s="259">
        <v>0.1</v>
      </c>
      <c r="CW241" s="259">
        <v>0.1</v>
      </c>
      <c r="CX241" s="259">
        <v>0.1</v>
      </c>
      <c r="CY241" s="259">
        <v>0.1</v>
      </c>
      <c r="CZ241" s="259">
        <v>0.1</v>
      </c>
      <c r="DA241" s="259">
        <v>0.1</v>
      </c>
      <c r="DB241" s="259">
        <v>0.1</v>
      </c>
      <c r="DC241" s="259">
        <v>0.1</v>
      </c>
      <c r="DD241" s="259">
        <v>0.1</v>
      </c>
      <c r="DE241" s="260">
        <v>0.1</v>
      </c>
      <c r="DF241" s="258">
        <v>0.1</v>
      </c>
      <c r="DG241" s="259">
        <v>0.1</v>
      </c>
      <c r="DH241" s="259">
        <v>0.1</v>
      </c>
      <c r="DI241" s="259">
        <v>0.1</v>
      </c>
      <c r="DJ241" s="259">
        <v>0.1</v>
      </c>
      <c r="DK241" s="259">
        <v>0.1</v>
      </c>
      <c r="DL241" s="259">
        <v>0.1</v>
      </c>
      <c r="DM241" s="259">
        <v>0.1</v>
      </c>
      <c r="DN241" s="259">
        <v>0.1</v>
      </c>
      <c r="DO241" s="259">
        <v>0.1</v>
      </c>
      <c r="DP241" s="259">
        <v>0.1</v>
      </c>
      <c r="DQ241" s="259">
        <v>0.1</v>
      </c>
      <c r="DR241" s="259">
        <v>0.1</v>
      </c>
      <c r="DS241" s="259">
        <v>0.1</v>
      </c>
      <c r="DT241" s="259">
        <v>0.1</v>
      </c>
      <c r="DU241" s="259">
        <v>0.1</v>
      </c>
      <c r="DV241" s="259">
        <v>0.1</v>
      </c>
      <c r="DW241" s="259">
        <v>0.1</v>
      </c>
      <c r="DX241" s="259">
        <v>0.1</v>
      </c>
      <c r="DY241" s="259">
        <v>0.1</v>
      </c>
      <c r="DZ241" s="259">
        <v>0.1</v>
      </c>
      <c r="EA241" s="259">
        <v>0.1</v>
      </c>
      <c r="EB241" s="259">
        <v>0.1</v>
      </c>
      <c r="EC241" s="259">
        <v>0.1</v>
      </c>
      <c r="ED241" s="259">
        <v>0.1</v>
      </c>
      <c r="EE241" s="259">
        <v>0.1</v>
      </c>
      <c r="EF241" s="260">
        <v>0.1</v>
      </c>
      <c r="EJ241">
        <v>238</v>
      </c>
      <c r="EN241">
        <v>0.1</v>
      </c>
      <c r="EO241">
        <v>0.1</v>
      </c>
      <c r="EP241">
        <v>0.1</v>
      </c>
      <c r="EQ241">
        <v>0.1</v>
      </c>
      <c r="ER241">
        <v>0.1</v>
      </c>
      <c r="ES241">
        <v>0.1</v>
      </c>
      <c r="ET241">
        <v>0.1</v>
      </c>
      <c r="EU241">
        <v>0.1</v>
      </c>
      <c r="EV241">
        <v>0.1</v>
      </c>
      <c r="EW241">
        <v>0.1</v>
      </c>
      <c r="EX241">
        <v>0.1</v>
      </c>
      <c r="EY241">
        <v>0.1</v>
      </c>
      <c r="EZ241">
        <v>0.1</v>
      </c>
      <c r="FA241">
        <v>0.1</v>
      </c>
      <c r="FB241">
        <v>0.1</v>
      </c>
      <c r="FC241">
        <v>0.1</v>
      </c>
      <c r="FD241">
        <v>0.1</v>
      </c>
      <c r="FE241">
        <v>0.1</v>
      </c>
      <c r="FF241">
        <v>0.1</v>
      </c>
      <c r="FG241">
        <v>0.1</v>
      </c>
      <c r="FH241">
        <v>0.1</v>
      </c>
      <c r="FI241">
        <v>0.1</v>
      </c>
      <c r="FJ241">
        <v>0.1</v>
      </c>
      <c r="FK241">
        <v>0.1</v>
      </c>
      <c r="FL241">
        <v>0.1</v>
      </c>
      <c r="FM241">
        <v>0.1</v>
      </c>
      <c r="FN241">
        <v>0.1</v>
      </c>
      <c r="FO241">
        <v>0.1</v>
      </c>
      <c r="FP241">
        <v>0.1</v>
      </c>
      <c r="FQ241">
        <v>0.1</v>
      </c>
      <c r="FU241">
        <v>238</v>
      </c>
      <c r="GB241">
        <v>0.1</v>
      </c>
      <c r="GC241">
        <v>0.1</v>
      </c>
      <c r="GD241">
        <v>0.1</v>
      </c>
      <c r="GE241">
        <v>0.1</v>
      </c>
      <c r="GF241">
        <v>0.1</v>
      </c>
      <c r="GG241">
        <v>0.1</v>
      </c>
      <c r="GH241">
        <v>0.1</v>
      </c>
      <c r="GI241">
        <v>0.1</v>
      </c>
      <c r="GJ241">
        <v>0.1</v>
      </c>
      <c r="GK241">
        <v>0.1</v>
      </c>
      <c r="GL241">
        <v>0.1</v>
      </c>
      <c r="GM241">
        <v>0.1</v>
      </c>
      <c r="GN241">
        <v>0.1</v>
      </c>
      <c r="GO241">
        <v>0.1</v>
      </c>
      <c r="GP241">
        <v>0.1</v>
      </c>
      <c r="GQ241">
        <v>0.1</v>
      </c>
      <c r="GR241">
        <v>0.1</v>
      </c>
      <c r="GS241">
        <v>0.1</v>
      </c>
      <c r="GT241">
        <v>0.1</v>
      </c>
      <c r="GU241">
        <v>0.1</v>
      </c>
      <c r="GV241">
        <v>0.1</v>
      </c>
      <c r="GW241">
        <v>0.1</v>
      </c>
      <c r="GX241">
        <v>0.1</v>
      </c>
      <c r="GY241">
        <v>0.1</v>
      </c>
      <c r="GZ241">
        <v>0.1</v>
      </c>
      <c r="HA241">
        <v>0.1</v>
      </c>
      <c r="HB241">
        <v>0.1</v>
      </c>
      <c r="HC241">
        <v>0.1</v>
      </c>
      <c r="HD241">
        <v>0.1</v>
      </c>
      <c r="HE241">
        <v>0.1</v>
      </c>
      <c r="HF241">
        <v>0.1</v>
      </c>
      <c r="HG241">
        <v>0.1</v>
      </c>
      <c r="HH241">
        <v>0.1</v>
      </c>
      <c r="HI241">
        <v>0.1</v>
      </c>
      <c r="HJ241">
        <v>0.1</v>
      </c>
      <c r="HK241">
        <v>0.1</v>
      </c>
      <c r="HL241">
        <v>0.1</v>
      </c>
      <c r="HM241">
        <v>0.1</v>
      </c>
      <c r="HN241">
        <v>0.1</v>
      </c>
      <c r="HO241">
        <v>0.1</v>
      </c>
    </row>
    <row r="242" spans="1:223" ht="15.75" thickBot="1" x14ac:dyDescent="0.3">
      <c r="A242">
        <v>239</v>
      </c>
      <c r="B242" s="2"/>
      <c r="C242" s="2"/>
      <c r="D242" s="2"/>
      <c r="E242" s="2"/>
      <c r="G242" s="2"/>
      <c r="H242">
        <v>0.1</v>
      </c>
      <c r="I242">
        <v>0.1</v>
      </c>
      <c r="J242">
        <v>0.1</v>
      </c>
      <c r="K242">
        <v>0.1</v>
      </c>
      <c r="L242">
        <v>0.1</v>
      </c>
      <c r="M242">
        <v>0.1</v>
      </c>
      <c r="N242">
        <v>0.1</v>
      </c>
      <c r="O242">
        <v>0.1</v>
      </c>
      <c r="P242">
        <v>0.1</v>
      </c>
      <c r="Q242">
        <v>0.1</v>
      </c>
      <c r="R242">
        <v>0.1</v>
      </c>
      <c r="S242">
        <v>0.1</v>
      </c>
      <c r="T242">
        <v>0.1</v>
      </c>
      <c r="U242">
        <v>0.1</v>
      </c>
      <c r="V242">
        <v>0.1</v>
      </c>
      <c r="W242">
        <v>0.1</v>
      </c>
      <c r="X242">
        <v>0.1</v>
      </c>
      <c r="Y242">
        <v>0.1</v>
      </c>
      <c r="Z242">
        <v>0.1</v>
      </c>
      <c r="AA242">
        <v>0.1</v>
      </c>
      <c r="AB242">
        <v>0.1</v>
      </c>
      <c r="AC242">
        <v>0.1</v>
      </c>
      <c r="AD242">
        <v>0.1</v>
      </c>
      <c r="AE242">
        <v>0.1</v>
      </c>
      <c r="AF242">
        <v>0.1</v>
      </c>
      <c r="AG242">
        <v>0.1</v>
      </c>
      <c r="AH242">
        <v>0.1</v>
      </c>
      <c r="AI242">
        <v>0.1</v>
      </c>
      <c r="AJ242">
        <v>0.1</v>
      </c>
      <c r="AK242">
        <v>0.1</v>
      </c>
      <c r="AL242">
        <v>0.1</v>
      </c>
      <c r="AM242">
        <v>0.1</v>
      </c>
      <c r="AN242">
        <v>0.1</v>
      </c>
      <c r="AO242">
        <v>0.1</v>
      </c>
      <c r="AP242">
        <v>0.1</v>
      </c>
      <c r="AQ242">
        <v>0.1</v>
      </c>
      <c r="AR242">
        <v>0.1</v>
      </c>
      <c r="AS242">
        <v>0.1</v>
      </c>
      <c r="AT242">
        <v>0.1</v>
      </c>
      <c r="AU242">
        <v>0.1</v>
      </c>
      <c r="AV242">
        <v>0.1</v>
      </c>
      <c r="AW242">
        <v>0.1</v>
      </c>
      <c r="AX242">
        <v>0.1</v>
      </c>
      <c r="AY242">
        <v>0.1</v>
      </c>
      <c r="AZ242">
        <v>0.1</v>
      </c>
      <c r="BA242">
        <v>0.1</v>
      </c>
      <c r="BB242">
        <v>0.1</v>
      </c>
      <c r="BC242">
        <v>0.1</v>
      </c>
      <c r="BD242">
        <v>0.1</v>
      </c>
      <c r="BE242">
        <v>0.1</v>
      </c>
      <c r="BF242">
        <v>0.1</v>
      </c>
      <c r="BG242">
        <v>0.1</v>
      </c>
      <c r="BH242">
        <v>0.1</v>
      </c>
      <c r="BI242">
        <v>0.1</v>
      </c>
      <c r="BJ242">
        <v>0.1</v>
      </c>
      <c r="BK242">
        <v>0.1</v>
      </c>
      <c r="BL242">
        <v>0.1</v>
      </c>
      <c r="BM242">
        <v>0.1</v>
      </c>
      <c r="BN242">
        <v>0.1</v>
      </c>
      <c r="BO242">
        <v>0.1</v>
      </c>
      <c r="BS242">
        <v>239</v>
      </c>
      <c r="BT242" s="271">
        <v>3.21</v>
      </c>
      <c r="BU242" s="270">
        <v>2.68</v>
      </c>
      <c r="BV242" s="2"/>
      <c r="BW242" s="2"/>
      <c r="BX242" s="2"/>
      <c r="BY242" s="258">
        <v>0.1</v>
      </c>
      <c r="BZ242" s="259">
        <v>0.1</v>
      </c>
      <c r="CA242" s="259">
        <v>0.1</v>
      </c>
      <c r="CB242" s="259">
        <v>0.1</v>
      </c>
      <c r="CC242" s="259">
        <v>0.1</v>
      </c>
      <c r="CD242" s="259">
        <v>0.1</v>
      </c>
      <c r="CE242" s="259">
        <v>0.1</v>
      </c>
      <c r="CF242" s="259">
        <v>0.1</v>
      </c>
      <c r="CG242" s="259">
        <v>0.1</v>
      </c>
      <c r="CH242" s="259">
        <v>0.1</v>
      </c>
      <c r="CI242" s="259">
        <v>0.1</v>
      </c>
      <c r="CJ242" s="259">
        <v>0.1</v>
      </c>
      <c r="CK242" s="259">
        <v>0.1</v>
      </c>
      <c r="CL242" s="259">
        <v>0.1</v>
      </c>
      <c r="CM242" s="259">
        <v>0.1</v>
      </c>
      <c r="CN242" s="259">
        <v>0.1</v>
      </c>
      <c r="CO242" s="259">
        <v>0.1</v>
      </c>
      <c r="CP242" s="259">
        <v>0.1</v>
      </c>
      <c r="CQ242" s="259">
        <v>0.1</v>
      </c>
      <c r="CR242" s="259">
        <v>0.1</v>
      </c>
      <c r="CS242" s="259">
        <v>0.1</v>
      </c>
      <c r="CT242" s="259">
        <v>0.1</v>
      </c>
      <c r="CU242" s="259">
        <v>0.1</v>
      </c>
      <c r="CV242" s="259">
        <v>0.1</v>
      </c>
      <c r="CW242" s="259">
        <v>0.1</v>
      </c>
      <c r="CX242" s="259">
        <v>0.1</v>
      </c>
      <c r="CY242" s="259">
        <v>0.1</v>
      </c>
      <c r="CZ242" s="259">
        <v>0.1</v>
      </c>
      <c r="DA242" s="259">
        <v>0.1</v>
      </c>
      <c r="DB242" s="259">
        <v>0.1</v>
      </c>
      <c r="DC242" s="259">
        <v>0.1</v>
      </c>
      <c r="DD242" s="259">
        <v>0.1</v>
      </c>
      <c r="DE242" s="260">
        <v>0.1</v>
      </c>
      <c r="DF242" s="258">
        <v>0.1</v>
      </c>
      <c r="DG242" s="259">
        <v>0.1</v>
      </c>
      <c r="DH242" s="259">
        <v>0.1</v>
      </c>
      <c r="DI242" s="259">
        <v>0.1</v>
      </c>
      <c r="DJ242" s="259">
        <v>0.1</v>
      </c>
      <c r="DK242" s="259">
        <v>0.1</v>
      </c>
      <c r="DL242" s="259">
        <v>0.1</v>
      </c>
      <c r="DM242" s="259">
        <v>0.1</v>
      </c>
      <c r="DN242" s="259">
        <v>0.1</v>
      </c>
      <c r="DO242" s="259">
        <v>0.1</v>
      </c>
      <c r="DP242" s="259">
        <v>0.1</v>
      </c>
      <c r="DQ242" s="259">
        <v>0.1</v>
      </c>
      <c r="DR242" s="259">
        <v>0.1</v>
      </c>
      <c r="DS242" s="259">
        <v>0.1</v>
      </c>
      <c r="DT242" s="259">
        <v>0.1</v>
      </c>
      <c r="DU242" s="259">
        <v>0.1</v>
      </c>
      <c r="DV242" s="259">
        <v>0.1</v>
      </c>
      <c r="DW242" s="259">
        <v>0.1</v>
      </c>
      <c r="DX242" s="259">
        <v>0.1</v>
      </c>
      <c r="DY242" s="259">
        <v>0.1</v>
      </c>
      <c r="DZ242" s="259">
        <v>0.1</v>
      </c>
      <c r="EA242" s="259">
        <v>0.1</v>
      </c>
      <c r="EB242" s="259">
        <v>0.1</v>
      </c>
      <c r="EC242" s="259">
        <v>0.1</v>
      </c>
      <c r="ED242" s="259">
        <v>0.1</v>
      </c>
      <c r="EE242" s="259">
        <v>0.1</v>
      </c>
      <c r="EF242" s="260">
        <v>0.1</v>
      </c>
      <c r="EJ242">
        <v>239</v>
      </c>
      <c r="EN242">
        <v>0.1</v>
      </c>
      <c r="EO242">
        <v>0.1</v>
      </c>
      <c r="EP242">
        <v>0.1</v>
      </c>
      <c r="EQ242">
        <v>0.1</v>
      </c>
      <c r="ER242">
        <v>0.1</v>
      </c>
      <c r="ES242">
        <v>0.1</v>
      </c>
      <c r="ET242">
        <v>0.1</v>
      </c>
      <c r="EU242">
        <v>0.1</v>
      </c>
      <c r="EV242">
        <v>0.1</v>
      </c>
      <c r="EW242">
        <v>0.1</v>
      </c>
      <c r="EX242">
        <v>0.1</v>
      </c>
      <c r="EY242">
        <v>0.1</v>
      </c>
      <c r="EZ242">
        <v>0.1</v>
      </c>
      <c r="FA242">
        <v>0.1</v>
      </c>
      <c r="FB242">
        <v>0.1</v>
      </c>
      <c r="FC242">
        <v>0.1</v>
      </c>
      <c r="FD242">
        <v>0.1</v>
      </c>
      <c r="FE242">
        <v>0.1</v>
      </c>
      <c r="FF242">
        <v>0.1</v>
      </c>
      <c r="FG242">
        <v>0.1</v>
      </c>
      <c r="FH242">
        <v>0.1</v>
      </c>
      <c r="FI242">
        <v>0.1</v>
      </c>
      <c r="FJ242">
        <v>0.1</v>
      </c>
      <c r="FK242">
        <v>0.1</v>
      </c>
      <c r="FL242">
        <v>0.1</v>
      </c>
      <c r="FM242">
        <v>0.1</v>
      </c>
      <c r="FN242">
        <v>0.1</v>
      </c>
      <c r="FO242">
        <v>0.1</v>
      </c>
      <c r="FP242">
        <v>0.1</v>
      </c>
      <c r="FQ242">
        <v>0.1</v>
      </c>
      <c r="FU242">
        <v>239</v>
      </c>
      <c r="GB242">
        <v>0.1</v>
      </c>
      <c r="GC242">
        <v>0.1</v>
      </c>
      <c r="GD242">
        <v>0.1</v>
      </c>
      <c r="GE242">
        <v>0.1</v>
      </c>
      <c r="GF242">
        <v>0.1</v>
      </c>
      <c r="GG242">
        <v>0.1</v>
      </c>
      <c r="GH242">
        <v>0.1</v>
      </c>
      <c r="GI242">
        <v>0.1</v>
      </c>
      <c r="GJ242">
        <v>0.1</v>
      </c>
      <c r="GK242">
        <v>0.1</v>
      </c>
      <c r="GL242">
        <v>0.1</v>
      </c>
      <c r="GM242">
        <v>0.1</v>
      </c>
      <c r="GN242">
        <v>0.1</v>
      </c>
      <c r="GO242">
        <v>0.1</v>
      </c>
      <c r="GP242">
        <v>0.1</v>
      </c>
      <c r="GQ242">
        <v>0.1</v>
      </c>
      <c r="GR242">
        <v>0.1</v>
      </c>
      <c r="GS242">
        <v>0.1</v>
      </c>
      <c r="GT242">
        <v>0.1</v>
      </c>
      <c r="GU242">
        <v>0.1</v>
      </c>
      <c r="GV242">
        <v>0.1</v>
      </c>
      <c r="GW242">
        <v>0.1</v>
      </c>
      <c r="GX242">
        <v>0.1</v>
      </c>
      <c r="GY242">
        <v>0.1</v>
      </c>
      <c r="GZ242">
        <v>0.1</v>
      </c>
      <c r="HA242">
        <v>0.1</v>
      </c>
      <c r="HB242">
        <v>0.1</v>
      </c>
      <c r="HC242">
        <v>0.1</v>
      </c>
      <c r="HD242">
        <v>0.1</v>
      </c>
      <c r="HE242">
        <v>0.1</v>
      </c>
      <c r="HF242">
        <v>0.1</v>
      </c>
      <c r="HG242">
        <v>0.1</v>
      </c>
      <c r="HH242">
        <v>0.1</v>
      </c>
      <c r="HI242">
        <v>0.1</v>
      </c>
      <c r="HJ242">
        <v>0.1</v>
      </c>
      <c r="HK242">
        <v>0.1</v>
      </c>
      <c r="HL242">
        <v>0.1</v>
      </c>
      <c r="HM242">
        <v>0.1</v>
      </c>
      <c r="HN242">
        <v>0.1</v>
      </c>
      <c r="HO242">
        <v>0.1</v>
      </c>
    </row>
    <row r="243" spans="1:223" ht="15.75" thickBot="1" x14ac:dyDescent="0.3">
      <c r="A243">
        <v>240</v>
      </c>
      <c r="B243" s="2"/>
      <c r="C243" s="2"/>
      <c r="D243" s="2"/>
      <c r="E243" s="2"/>
      <c r="G243" s="2"/>
      <c r="H243">
        <v>0.1</v>
      </c>
      <c r="I243">
        <v>0.1</v>
      </c>
      <c r="J243">
        <v>0.1</v>
      </c>
      <c r="K243">
        <v>0.1</v>
      </c>
      <c r="L243">
        <v>0.1</v>
      </c>
      <c r="M243">
        <v>0.1</v>
      </c>
      <c r="N243">
        <v>0.1</v>
      </c>
      <c r="O243">
        <v>0.1</v>
      </c>
      <c r="P243">
        <v>0.1</v>
      </c>
      <c r="Q243">
        <v>0.1</v>
      </c>
      <c r="R243">
        <v>0.1</v>
      </c>
      <c r="S243">
        <v>0.1</v>
      </c>
      <c r="T243">
        <v>0.1</v>
      </c>
      <c r="U243">
        <v>0.1</v>
      </c>
      <c r="V243">
        <v>0.1</v>
      </c>
      <c r="W243">
        <v>0.1</v>
      </c>
      <c r="X243">
        <v>0.1</v>
      </c>
      <c r="Y243">
        <v>0.1</v>
      </c>
      <c r="Z243">
        <v>0.1</v>
      </c>
      <c r="AA243">
        <v>0.1</v>
      </c>
      <c r="AB243">
        <v>0.1</v>
      </c>
      <c r="AC243">
        <v>0.1</v>
      </c>
      <c r="AD243">
        <v>0.1</v>
      </c>
      <c r="AE243">
        <v>0.1</v>
      </c>
      <c r="AF243">
        <v>0.1</v>
      </c>
      <c r="AG243">
        <v>0.1</v>
      </c>
      <c r="AH243">
        <v>0.1</v>
      </c>
      <c r="AI243">
        <v>0.1</v>
      </c>
      <c r="AJ243">
        <v>0.1</v>
      </c>
      <c r="AK243">
        <v>0.1</v>
      </c>
      <c r="AL243">
        <v>0.1</v>
      </c>
      <c r="AM243">
        <v>0.1</v>
      </c>
      <c r="AN243">
        <v>0.1</v>
      </c>
      <c r="AO243">
        <v>0.1</v>
      </c>
      <c r="AP243">
        <v>0.1</v>
      </c>
      <c r="AQ243">
        <v>0.1</v>
      </c>
      <c r="AR243">
        <v>0.1</v>
      </c>
      <c r="AS243">
        <v>0.1</v>
      </c>
      <c r="AT243">
        <v>0.1</v>
      </c>
      <c r="AU243">
        <v>0.1</v>
      </c>
      <c r="AV243">
        <v>0.1</v>
      </c>
      <c r="AW243">
        <v>0.1</v>
      </c>
      <c r="AX243">
        <v>0.1</v>
      </c>
      <c r="AY243">
        <v>0.1</v>
      </c>
      <c r="AZ243">
        <v>0.1</v>
      </c>
      <c r="BA243">
        <v>0.1</v>
      </c>
      <c r="BB243">
        <v>0.1</v>
      </c>
      <c r="BC243">
        <v>0.1</v>
      </c>
      <c r="BD243">
        <v>0.1</v>
      </c>
      <c r="BE243">
        <v>0.1</v>
      </c>
      <c r="BF243">
        <v>0.1</v>
      </c>
      <c r="BG243">
        <v>0.1</v>
      </c>
      <c r="BH243">
        <v>0.1</v>
      </c>
      <c r="BI243">
        <v>0.1</v>
      </c>
      <c r="BJ243">
        <v>0.1</v>
      </c>
      <c r="BK243">
        <v>0.1</v>
      </c>
      <c r="BL243">
        <v>0.1</v>
      </c>
      <c r="BM243">
        <v>0.1</v>
      </c>
      <c r="BN243">
        <v>0.1</v>
      </c>
      <c r="BO243">
        <v>0.1</v>
      </c>
      <c r="BS243">
        <v>240</v>
      </c>
      <c r="BT243" s="270">
        <v>3.21</v>
      </c>
      <c r="BU243" s="271">
        <v>2.68</v>
      </c>
      <c r="BV243" s="2"/>
      <c r="BW243" s="2"/>
      <c r="BX243" s="2"/>
      <c r="BY243" s="258">
        <v>0.1</v>
      </c>
      <c r="BZ243" s="259">
        <v>0.1</v>
      </c>
      <c r="CA243" s="259">
        <v>0.1</v>
      </c>
      <c r="CB243" s="259">
        <v>0.1</v>
      </c>
      <c r="CC243" s="259">
        <v>0.1</v>
      </c>
      <c r="CD243" s="259">
        <v>0.1</v>
      </c>
      <c r="CE243" s="259">
        <v>0.1</v>
      </c>
      <c r="CF243" s="259">
        <v>0.1</v>
      </c>
      <c r="CG243" s="259">
        <v>0.1</v>
      </c>
      <c r="CH243" s="259">
        <v>0.1</v>
      </c>
      <c r="CI243" s="259">
        <v>0.1</v>
      </c>
      <c r="CJ243" s="259">
        <v>0.1</v>
      </c>
      <c r="CK243" s="259">
        <v>0.1</v>
      </c>
      <c r="CL243" s="259">
        <v>0.1</v>
      </c>
      <c r="CM243" s="259">
        <v>0.1</v>
      </c>
      <c r="CN243" s="259">
        <v>0.1</v>
      </c>
      <c r="CO243" s="259">
        <v>0.1</v>
      </c>
      <c r="CP243" s="259">
        <v>0.1</v>
      </c>
      <c r="CQ243" s="259">
        <v>0.1</v>
      </c>
      <c r="CR243" s="259">
        <v>0.1</v>
      </c>
      <c r="CS243" s="259">
        <v>0.1</v>
      </c>
      <c r="CT243" s="259">
        <v>0.1</v>
      </c>
      <c r="CU243" s="259">
        <v>0.1</v>
      </c>
      <c r="CV243" s="259">
        <v>0.1</v>
      </c>
      <c r="CW243" s="259">
        <v>0.1</v>
      </c>
      <c r="CX243" s="259">
        <v>0.1</v>
      </c>
      <c r="CY243" s="259">
        <v>0.1</v>
      </c>
      <c r="CZ243" s="259">
        <v>0.1</v>
      </c>
      <c r="DA243" s="259">
        <v>0.1</v>
      </c>
      <c r="DB243" s="259">
        <v>0.1</v>
      </c>
      <c r="DC243" s="259">
        <v>0.1</v>
      </c>
      <c r="DD243" s="259">
        <v>0.1</v>
      </c>
      <c r="DE243" s="260">
        <v>0.1</v>
      </c>
      <c r="DF243" s="258">
        <v>0.1</v>
      </c>
      <c r="DG243" s="259">
        <v>0.1</v>
      </c>
      <c r="DH243" s="259">
        <v>0.1</v>
      </c>
      <c r="DI243" s="259">
        <v>0.1</v>
      </c>
      <c r="DJ243" s="259">
        <v>0.1</v>
      </c>
      <c r="DK243" s="259">
        <v>0.1</v>
      </c>
      <c r="DL243" s="259">
        <v>0.1</v>
      </c>
      <c r="DM243" s="259">
        <v>0.1</v>
      </c>
      <c r="DN243" s="259">
        <v>0.1</v>
      </c>
      <c r="DO243" s="259">
        <v>0.1</v>
      </c>
      <c r="DP243" s="259">
        <v>0.1</v>
      </c>
      <c r="DQ243" s="259">
        <v>0.1</v>
      </c>
      <c r="DR243" s="259">
        <v>0.1</v>
      </c>
      <c r="DS243" s="259">
        <v>0.1</v>
      </c>
      <c r="DT243" s="259">
        <v>0.1</v>
      </c>
      <c r="DU243" s="259">
        <v>0.1</v>
      </c>
      <c r="DV243" s="259">
        <v>0.1</v>
      </c>
      <c r="DW243" s="259">
        <v>0.1</v>
      </c>
      <c r="DX243" s="259">
        <v>0.1</v>
      </c>
      <c r="DY243" s="259">
        <v>0.1</v>
      </c>
      <c r="DZ243" s="259">
        <v>0.1</v>
      </c>
      <c r="EA243" s="259">
        <v>0.1</v>
      </c>
      <c r="EB243" s="259">
        <v>0.1</v>
      </c>
      <c r="EC243" s="259">
        <v>0.1</v>
      </c>
      <c r="ED243" s="259">
        <v>0.1</v>
      </c>
      <c r="EE243" s="259">
        <v>0.1</v>
      </c>
      <c r="EF243" s="260">
        <v>0.1</v>
      </c>
      <c r="EJ243">
        <v>240</v>
      </c>
      <c r="EN243">
        <v>0.1</v>
      </c>
      <c r="EO243">
        <v>0.1</v>
      </c>
      <c r="EP243">
        <v>0.1</v>
      </c>
      <c r="EQ243">
        <v>0.1</v>
      </c>
      <c r="ER243">
        <v>0.1</v>
      </c>
      <c r="ES243">
        <v>0.1</v>
      </c>
      <c r="ET243">
        <v>0.1</v>
      </c>
      <c r="EU243">
        <v>0.1</v>
      </c>
      <c r="EV243">
        <v>0.1</v>
      </c>
      <c r="EW243">
        <v>0.1</v>
      </c>
      <c r="EX243">
        <v>0.1</v>
      </c>
      <c r="EY243">
        <v>0.1</v>
      </c>
      <c r="EZ243">
        <v>0.1</v>
      </c>
      <c r="FA243">
        <v>0.1</v>
      </c>
      <c r="FB243">
        <v>0.1</v>
      </c>
      <c r="FC243">
        <v>0.1</v>
      </c>
      <c r="FD243">
        <v>0.1</v>
      </c>
      <c r="FE243">
        <v>0.1</v>
      </c>
      <c r="FF243">
        <v>0.1</v>
      </c>
      <c r="FG243">
        <v>0.1</v>
      </c>
      <c r="FH243">
        <v>0.1</v>
      </c>
      <c r="FI243">
        <v>0.1</v>
      </c>
      <c r="FJ243">
        <v>0.1</v>
      </c>
      <c r="FK243">
        <v>0.1</v>
      </c>
      <c r="FL243">
        <v>0.1</v>
      </c>
      <c r="FM243">
        <v>0.1</v>
      </c>
      <c r="FN243">
        <v>0.1</v>
      </c>
      <c r="FO243">
        <v>0.1</v>
      </c>
      <c r="FP243">
        <v>0.1</v>
      </c>
      <c r="FQ243">
        <v>0.1</v>
      </c>
      <c r="FU243">
        <v>240</v>
      </c>
      <c r="GB243">
        <v>0.1</v>
      </c>
      <c r="GC243">
        <v>0.1</v>
      </c>
      <c r="GD243">
        <v>0.1</v>
      </c>
      <c r="GE243">
        <v>0.1</v>
      </c>
      <c r="GF243">
        <v>0.1</v>
      </c>
      <c r="GG243">
        <v>0.1</v>
      </c>
      <c r="GH243">
        <v>0.1</v>
      </c>
      <c r="GI243">
        <v>0.1</v>
      </c>
      <c r="GJ243">
        <v>0.1</v>
      </c>
      <c r="GK243">
        <v>0.1</v>
      </c>
      <c r="GL243">
        <v>0.1</v>
      </c>
      <c r="GM243">
        <v>0.1</v>
      </c>
      <c r="GN243">
        <v>0.1</v>
      </c>
      <c r="GO243">
        <v>0.1</v>
      </c>
      <c r="GP243">
        <v>0.1</v>
      </c>
      <c r="GQ243">
        <v>0.1</v>
      </c>
      <c r="GR243">
        <v>0.1</v>
      </c>
      <c r="GS243">
        <v>0.1</v>
      </c>
      <c r="GT243">
        <v>0.1</v>
      </c>
      <c r="GU243">
        <v>0.1</v>
      </c>
      <c r="GV243">
        <v>0.1</v>
      </c>
      <c r="GW243">
        <v>0.1</v>
      </c>
      <c r="GX243">
        <v>0.1</v>
      </c>
      <c r="GY243">
        <v>0.1</v>
      </c>
      <c r="GZ243">
        <v>0.1</v>
      </c>
      <c r="HA243">
        <v>0.1</v>
      </c>
      <c r="HB243">
        <v>0.1</v>
      </c>
      <c r="HC243">
        <v>0.1</v>
      </c>
      <c r="HD243">
        <v>0.1</v>
      </c>
      <c r="HE243">
        <v>0.1</v>
      </c>
      <c r="HF243">
        <v>0.1</v>
      </c>
      <c r="HG243">
        <v>0.1</v>
      </c>
      <c r="HH243">
        <v>0.1</v>
      </c>
      <c r="HI243">
        <v>0.1</v>
      </c>
      <c r="HJ243">
        <v>0.1</v>
      </c>
      <c r="HK243">
        <v>0.1</v>
      </c>
      <c r="HL243">
        <v>0.1</v>
      </c>
      <c r="HM243">
        <v>0.1</v>
      </c>
      <c r="HN243">
        <v>0.1</v>
      </c>
      <c r="HO243">
        <v>0.1</v>
      </c>
    </row>
    <row r="244" spans="1:223" ht="15.75" thickBot="1" x14ac:dyDescent="0.3">
      <c r="A244">
        <v>241</v>
      </c>
      <c r="B244" s="2"/>
      <c r="C244" s="2"/>
      <c r="D244" s="2"/>
      <c r="E244" s="2"/>
      <c r="G244" s="2"/>
      <c r="H244">
        <v>0.1</v>
      </c>
      <c r="I244">
        <v>0.1</v>
      </c>
      <c r="J244">
        <v>0.1</v>
      </c>
      <c r="K244">
        <v>0.1</v>
      </c>
      <c r="L244">
        <v>0.1</v>
      </c>
      <c r="M244">
        <v>0.1</v>
      </c>
      <c r="N244">
        <v>0.1</v>
      </c>
      <c r="O244">
        <v>0.1</v>
      </c>
      <c r="P244">
        <v>0.1</v>
      </c>
      <c r="Q244">
        <v>0.1</v>
      </c>
      <c r="R244">
        <v>0.1</v>
      </c>
      <c r="S244">
        <v>0.1</v>
      </c>
      <c r="T244">
        <v>0.1</v>
      </c>
      <c r="U244">
        <v>0.1</v>
      </c>
      <c r="V244">
        <v>0.1</v>
      </c>
      <c r="W244">
        <v>0.1</v>
      </c>
      <c r="X244">
        <v>0.1</v>
      </c>
      <c r="Y244">
        <v>0.1</v>
      </c>
      <c r="Z244">
        <v>0.1</v>
      </c>
      <c r="AA244">
        <v>0.1</v>
      </c>
      <c r="AB244">
        <v>0.1</v>
      </c>
      <c r="AC244">
        <v>0.1</v>
      </c>
      <c r="AD244">
        <v>0.1</v>
      </c>
      <c r="AE244">
        <v>0.1</v>
      </c>
      <c r="AF244">
        <v>0.1</v>
      </c>
      <c r="AG244">
        <v>0.1</v>
      </c>
      <c r="AH244">
        <v>0.1</v>
      </c>
      <c r="AI244">
        <v>0.1</v>
      </c>
      <c r="AJ244">
        <v>0.1</v>
      </c>
      <c r="AK244">
        <v>0.1</v>
      </c>
      <c r="AL244">
        <v>0.1</v>
      </c>
      <c r="AM244">
        <v>0.1</v>
      </c>
      <c r="AN244">
        <v>0.1</v>
      </c>
      <c r="AO244">
        <v>0.1</v>
      </c>
      <c r="AP244">
        <v>0.1</v>
      </c>
      <c r="AQ244">
        <v>0.1</v>
      </c>
      <c r="AR244">
        <v>0.1</v>
      </c>
      <c r="AS244">
        <v>0.1</v>
      </c>
      <c r="AT244">
        <v>0.1</v>
      </c>
      <c r="AU244">
        <v>0.1</v>
      </c>
      <c r="AV244">
        <v>0.1</v>
      </c>
      <c r="AW244">
        <v>0.1</v>
      </c>
      <c r="AX244">
        <v>0.1</v>
      </c>
      <c r="AY244">
        <v>0.1</v>
      </c>
      <c r="AZ244">
        <v>0.1</v>
      </c>
      <c r="BA244">
        <v>0.1</v>
      </c>
      <c r="BB244">
        <v>0.1</v>
      </c>
      <c r="BC244">
        <v>0.1</v>
      </c>
      <c r="BD244">
        <v>0.1</v>
      </c>
      <c r="BE244">
        <v>0.1</v>
      </c>
      <c r="BF244">
        <v>0.1</v>
      </c>
      <c r="BG244">
        <v>0.1</v>
      </c>
      <c r="BH244">
        <v>0.1</v>
      </c>
      <c r="BI244">
        <v>0.1</v>
      </c>
      <c r="BJ244">
        <v>0.1</v>
      </c>
      <c r="BK244">
        <v>0.1</v>
      </c>
      <c r="BL244">
        <v>0.1</v>
      </c>
      <c r="BM244">
        <v>0.1</v>
      </c>
      <c r="BN244">
        <v>0.1</v>
      </c>
      <c r="BO244">
        <v>0.1</v>
      </c>
      <c r="BS244">
        <v>241</v>
      </c>
      <c r="BT244" s="271">
        <v>3.21</v>
      </c>
      <c r="BU244" s="270">
        <v>2.68</v>
      </c>
      <c r="BV244" s="2"/>
      <c r="BW244" s="2"/>
      <c r="BX244" s="2"/>
      <c r="BY244" s="258">
        <v>0.1</v>
      </c>
      <c r="BZ244" s="259">
        <v>0.1</v>
      </c>
      <c r="CA244" s="259">
        <v>0.1</v>
      </c>
      <c r="CB244" s="259">
        <v>0.1</v>
      </c>
      <c r="CC244" s="259">
        <v>0.1</v>
      </c>
      <c r="CD244" s="259">
        <v>0.1</v>
      </c>
      <c r="CE244" s="259">
        <v>0.1</v>
      </c>
      <c r="CF244" s="259">
        <v>0.1</v>
      </c>
      <c r="CG244" s="259">
        <v>0.1</v>
      </c>
      <c r="CH244" s="259">
        <v>0.1</v>
      </c>
      <c r="CI244" s="259">
        <v>0.1</v>
      </c>
      <c r="CJ244" s="259">
        <v>0.1</v>
      </c>
      <c r="CK244" s="259">
        <v>0.1</v>
      </c>
      <c r="CL244" s="259">
        <v>0.1</v>
      </c>
      <c r="CM244" s="259">
        <v>0.1</v>
      </c>
      <c r="CN244" s="259">
        <v>0.1</v>
      </c>
      <c r="CO244" s="259">
        <v>0.1</v>
      </c>
      <c r="CP244" s="259">
        <v>0.1</v>
      </c>
      <c r="CQ244" s="259">
        <v>0.1</v>
      </c>
      <c r="CR244" s="259">
        <v>0.1</v>
      </c>
      <c r="CS244" s="259">
        <v>0.1</v>
      </c>
      <c r="CT244" s="259">
        <v>0.1</v>
      </c>
      <c r="CU244" s="259">
        <v>0.1</v>
      </c>
      <c r="CV244" s="259">
        <v>0.1</v>
      </c>
      <c r="CW244" s="259">
        <v>0.1</v>
      </c>
      <c r="CX244" s="259">
        <v>0.1</v>
      </c>
      <c r="CY244" s="259">
        <v>0.1</v>
      </c>
      <c r="CZ244" s="259">
        <v>0.1</v>
      </c>
      <c r="DA244" s="259">
        <v>0.1</v>
      </c>
      <c r="DB244" s="259">
        <v>0.1</v>
      </c>
      <c r="DC244" s="259">
        <v>0.1</v>
      </c>
      <c r="DD244" s="259">
        <v>0.1</v>
      </c>
      <c r="DE244" s="260">
        <v>0.1</v>
      </c>
      <c r="DF244" s="258">
        <v>0.1</v>
      </c>
      <c r="DG244" s="259">
        <v>0.1</v>
      </c>
      <c r="DH244" s="259">
        <v>0.1</v>
      </c>
      <c r="DI244" s="259">
        <v>0.1</v>
      </c>
      <c r="DJ244" s="259">
        <v>0.1</v>
      </c>
      <c r="DK244" s="259">
        <v>0.1</v>
      </c>
      <c r="DL244" s="259">
        <v>0.1</v>
      </c>
      <c r="DM244" s="259">
        <v>0.1</v>
      </c>
      <c r="DN244" s="259">
        <v>0.1</v>
      </c>
      <c r="DO244" s="259">
        <v>0.1</v>
      </c>
      <c r="DP244" s="259">
        <v>0.1</v>
      </c>
      <c r="DQ244" s="259">
        <v>0.1</v>
      </c>
      <c r="DR244" s="259">
        <v>0.1</v>
      </c>
      <c r="DS244" s="259">
        <v>0.1</v>
      </c>
      <c r="DT244" s="259">
        <v>0.1</v>
      </c>
      <c r="DU244" s="259">
        <v>0.1</v>
      </c>
      <c r="DV244" s="259">
        <v>0.1</v>
      </c>
      <c r="DW244" s="259">
        <v>0.1</v>
      </c>
      <c r="DX244" s="259">
        <v>0.1</v>
      </c>
      <c r="DY244" s="259">
        <v>0.1</v>
      </c>
      <c r="DZ244" s="259">
        <v>0.1</v>
      </c>
      <c r="EA244" s="259">
        <v>0.1</v>
      </c>
      <c r="EB244" s="259">
        <v>0.1</v>
      </c>
      <c r="EC244" s="259">
        <v>0.1</v>
      </c>
      <c r="ED244" s="259">
        <v>0.1</v>
      </c>
      <c r="EE244" s="259">
        <v>0.1</v>
      </c>
      <c r="EF244" s="260">
        <v>0.1</v>
      </c>
      <c r="EJ244">
        <v>241</v>
      </c>
      <c r="EN244">
        <v>0.1</v>
      </c>
      <c r="EO244">
        <v>0.1</v>
      </c>
      <c r="EP244">
        <v>0.1</v>
      </c>
      <c r="EQ244">
        <v>0.1</v>
      </c>
      <c r="ER244">
        <v>0.1</v>
      </c>
      <c r="ES244">
        <v>0.1</v>
      </c>
      <c r="ET244">
        <v>0.1</v>
      </c>
      <c r="EU244">
        <v>0.1</v>
      </c>
      <c r="EV244">
        <v>0.1</v>
      </c>
      <c r="EW244">
        <v>0.1</v>
      </c>
      <c r="EX244">
        <v>0.1</v>
      </c>
      <c r="EY244">
        <v>0.1</v>
      </c>
      <c r="EZ244">
        <v>0.1</v>
      </c>
      <c r="FA244">
        <v>0.1</v>
      </c>
      <c r="FB244">
        <v>0.1</v>
      </c>
      <c r="FC244">
        <v>0.1</v>
      </c>
      <c r="FD244">
        <v>0.1</v>
      </c>
      <c r="FE244">
        <v>0.1</v>
      </c>
      <c r="FF244">
        <v>0.1</v>
      </c>
      <c r="FG244">
        <v>0.1</v>
      </c>
      <c r="FH244">
        <v>0.1</v>
      </c>
      <c r="FI244">
        <v>0.1</v>
      </c>
      <c r="FJ244">
        <v>0.1</v>
      </c>
      <c r="FK244">
        <v>0.1</v>
      </c>
      <c r="FL244">
        <v>0.1</v>
      </c>
      <c r="FM244">
        <v>0.1</v>
      </c>
      <c r="FN244">
        <v>0.1</v>
      </c>
      <c r="FO244">
        <v>0.1</v>
      </c>
      <c r="FP244">
        <v>0.1</v>
      </c>
      <c r="FQ244">
        <v>0.1</v>
      </c>
      <c r="FU244">
        <v>241</v>
      </c>
      <c r="GB244">
        <v>0.1</v>
      </c>
      <c r="GC244">
        <v>0.1</v>
      </c>
      <c r="GD244">
        <v>0.1</v>
      </c>
      <c r="GE244">
        <v>0.1</v>
      </c>
      <c r="GF244">
        <v>0.1</v>
      </c>
      <c r="GG244">
        <v>0.1</v>
      </c>
      <c r="GH244">
        <v>0.1</v>
      </c>
      <c r="GI244">
        <v>0.1</v>
      </c>
      <c r="GJ244">
        <v>0.1</v>
      </c>
      <c r="GK244">
        <v>0.1</v>
      </c>
      <c r="GL244">
        <v>0.1</v>
      </c>
      <c r="GM244">
        <v>0.1</v>
      </c>
      <c r="GN244">
        <v>0.1</v>
      </c>
      <c r="GO244">
        <v>0.1</v>
      </c>
      <c r="GP244">
        <v>0.1</v>
      </c>
      <c r="GQ244">
        <v>0.1</v>
      </c>
      <c r="GR244">
        <v>0.1</v>
      </c>
      <c r="GS244">
        <v>0.1</v>
      </c>
      <c r="GT244">
        <v>0.1</v>
      </c>
      <c r="GU244">
        <v>0.1</v>
      </c>
      <c r="GV244">
        <v>0.1</v>
      </c>
      <c r="GW244">
        <v>0.1</v>
      </c>
      <c r="GX244">
        <v>0.1</v>
      </c>
      <c r="GY244">
        <v>0.1</v>
      </c>
      <c r="GZ244">
        <v>0.1</v>
      </c>
      <c r="HA244">
        <v>0.1</v>
      </c>
      <c r="HB244">
        <v>0.1</v>
      </c>
      <c r="HC244">
        <v>0.1</v>
      </c>
      <c r="HD244">
        <v>0.1</v>
      </c>
      <c r="HE244">
        <v>0.1</v>
      </c>
      <c r="HF244">
        <v>0.1</v>
      </c>
      <c r="HG244">
        <v>0.1</v>
      </c>
      <c r="HH244">
        <v>0.1</v>
      </c>
      <c r="HI244">
        <v>0.1</v>
      </c>
      <c r="HJ244">
        <v>0.1</v>
      </c>
      <c r="HK244">
        <v>0.1</v>
      </c>
      <c r="HL244">
        <v>0.1</v>
      </c>
      <c r="HM244">
        <v>0.1</v>
      </c>
      <c r="HN244">
        <v>0.1</v>
      </c>
      <c r="HO244">
        <v>0.1</v>
      </c>
    </row>
    <row r="245" spans="1:223" ht="15.75" thickBot="1" x14ac:dyDescent="0.3">
      <c r="A245">
        <v>242</v>
      </c>
      <c r="B245" s="2"/>
      <c r="C245" s="2"/>
      <c r="D245" s="2"/>
      <c r="E245" s="2"/>
      <c r="G245" s="2"/>
      <c r="H245">
        <v>0.1</v>
      </c>
      <c r="I245">
        <v>0.1</v>
      </c>
      <c r="J245">
        <v>0.1</v>
      </c>
      <c r="K245">
        <v>0.1</v>
      </c>
      <c r="L245">
        <v>0.1</v>
      </c>
      <c r="M245">
        <v>0.1</v>
      </c>
      <c r="N245">
        <v>0.1</v>
      </c>
      <c r="O245">
        <v>0.1</v>
      </c>
      <c r="P245">
        <v>0.1</v>
      </c>
      <c r="Q245">
        <v>0.1</v>
      </c>
      <c r="R245">
        <v>0.1</v>
      </c>
      <c r="S245">
        <v>0.1</v>
      </c>
      <c r="T245">
        <v>0.1</v>
      </c>
      <c r="U245">
        <v>0.1</v>
      </c>
      <c r="V245">
        <v>0.1</v>
      </c>
      <c r="W245">
        <v>0.1</v>
      </c>
      <c r="X245">
        <v>0.1</v>
      </c>
      <c r="Y245">
        <v>0.1</v>
      </c>
      <c r="Z245">
        <v>0.1</v>
      </c>
      <c r="AA245">
        <v>0.1</v>
      </c>
      <c r="AB245">
        <v>0.1</v>
      </c>
      <c r="AC245">
        <v>0.1</v>
      </c>
      <c r="AD245">
        <v>0.1</v>
      </c>
      <c r="AE245">
        <v>0.1</v>
      </c>
      <c r="AF245">
        <v>0.1</v>
      </c>
      <c r="AG245">
        <v>0.1</v>
      </c>
      <c r="AH245">
        <v>0.1</v>
      </c>
      <c r="AI245">
        <v>0.1</v>
      </c>
      <c r="AJ245">
        <v>0.1</v>
      </c>
      <c r="AK245">
        <v>0.1</v>
      </c>
      <c r="AL245">
        <v>0.1</v>
      </c>
      <c r="AM245">
        <v>0.1</v>
      </c>
      <c r="AN245">
        <v>0.1</v>
      </c>
      <c r="AO245">
        <v>0.1</v>
      </c>
      <c r="AP245">
        <v>0.1</v>
      </c>
      <c r="AQ245">
        <v>0.1</v>
      </c>
      <c r="AR245">
        <v>0.1</v>
      </c>
      <c r="AS245">
        <v>0.1</v>
      </c>
      <c r="AT245">
        <v>0.1</v>
      </c>
      <c r="AU245">
        <v>0.1</v>
      </c>
      <c r="AV245">
        <v>0.1</v>
      </c>
      <c r="AW245">
        <v>0.1</v>
      </c>
      <c r="AX245">
        <v>0.1</v>
      </c>
      <c r="AY245">
        <v>0.1</v>
      </c>
      <c r="AZ245">
        <v>0.1</v>
      </c>
      <c r="BA245">
        <v>0.1</v>
      </c>
      <c r="BB245">
        <v>0.1</v>
      </c>
      <c r="BC245">
        <v>0.1</v>
      </c>
      <c r="BD245">
        <v>0.1</v>
      </c>
      <c r="BE245">
        <v>0.1</v>
      </c>
      <c r="BF245">
        <v>0.1</v>
      </c>
      <c r="BG245">
        <v>0.1</v>
      </c>
      <c r="BH245">
        <v>0.1</v>
      </c>
      <c r="BI245">
        <v>0.1</v>
      </c>
      <c r="BJ245">
        <v>0.1</v>
      </c>
      <c r="BK245">
        <v>0.1</v>
      </c>
      <c r="BL245">
        <v>0.1</v>
      </c>
      <c r="BM245">
        <v>0.1</v>
      </c>
      <c r="BN245">
        <v>0.1</v>
      </c>
      <c r="BO245">
        <v>0.1</v>
      </c>
      <c r="BS245">
        <v>242</v>
      </c>
      <c r="BT245" s="270">
        <v>3.21</v>
      </c>
      <c r="BU245" s="271">
        <v>2.68</v>
      </c>
      <c r="BV245" s="2"/>
      <c r="BW245" s="2"/>
      <c r="BX245" s="2"/>
      <c r="BY245" s="258">
        <v>0.1</v>
      </c>
      <c r="BZ245" s="259">
        <v>0.1</v>
      </c>
      <c r="CA245" s="259">
        <v>0.1</v>
      </c>
      <c r="CB245" s="259">
        <v>0.1</v>
      </c>
      <c r="CC245" s="259">
        <v>0.1</v>
      </c>
      <c r="CD245" s="259">
        <v>0.1</v>
      </c>
      <c r="CE245" s="259">
        <v>0.1</v>
      </c>
      <c r="CF245" s="259">
        <v>0.1</v>
      </c>
      <c r="CG245" s="259">
        <v>0.1</v>
      </c>
      <c r="CH245" s="259">
        <v>0.1</v>
      </c>
      <c r="CI245" s="259">
        <v>0.1</v>
      </c>
      <c r="CJ245" s="259">
        <v>0.1</v>
      </c>
      <c r="CK245" s="259">
        <v>0.1</v>
      </c>
      <c r="CL245" s="259">
        <v>0.1</v>
      </c>
      <c r="CM245" s="259">
        <v>0.1</v>
      </c>
      <c r="CN245" s="259">
        <v>0.1</v>
      </c>
      <c r="CO245" s="259">
        <v>0.1</v>
      </c>
      <c r="CP245" s="259">
        <v>0.1</v>
      </c>
      <c r="CQ245" s="259">
        <v>0.1</v>
      </c>
      <c r="CR245" s="259">
        <v>0.1</v>
      </c>
      <c r="CS245" s="259">
        <v>0.1</v>
      </c>
      <c r="CT245" s="259">
        <v>0.1</v>
      </c>
      <c r="CU245" s="259">
        <v>0.1</v>
      </c>
      <c r="CV245" s="259">
        <v>0.1</v>
      </c>
      <c r="CW245" s="259">
        <v>0.1</v>
      </c>
      <c r="CX245" s="259">
        <v>0.1</v>
      </c>
      <c r="CY245" s="259">
        <v>0.1</v>
      </c>
      <c r="CZ245" s="259">
        <v>0.1</v>
      </c>
      <c r="DA245" s="259">
        <v>0.1</v>
      </c>
      <c r="DB245" s="259">
        <v>0.1</v>
      </c>
      <c r="DC245" s="259">
        <v>0.1</v>
      </c>
      <c r="DD245" s="259">
        <v>0.1</v>
      </c>
      <c r="DE245" s="260">
        <v>0.1</v>
      </c>
      <c r="DF245" s="258">
        <v>0.1</v>
      </c>
      <c r="DG245" s="259">
        <v>0.1</v>
      </c>
      <c r="DH245" s="259">
        <v>0.1</v>
      </c>
      <c r="DI245" s="259">
        <v>0.1</v>
      </c>
      <c r="DJ245" s="259">
        <v>0.1</v>
      </c>
      <c r="DK245" s="259">
        <v>0.1</v>
      </c>
      <c r="DL245" s="259">
        <v>0.1</v>
      </c>
      <c r="DM245" s="259">
        <v>0.1</v>
      </c>
      <c r="DN245" s="259">
        <v>0.1</v>
      </c>
      <c r="DO245" s="259">
        <v>0.1</v>
      </c>
      <c r="DP245" s="259">
        <v>0.1</v>
      </c>
      <c r="DQ245" s="259">
        <v>0.1</v>
      </c>
      <c r="DR245" s="259">
        <v>0.1</v>
      </c>
      <c r="DS245" s="259">
        <v>0.1</v>
      </c>
      <c r="DT245" s="259">
        <v>0.1</v>
      </c>
      <c r="DU245" s="259">
        <v>0.1</v>
      </c>
      <c r="DV245" s="259">
        <v>0.1</v>
      </c>
      <c r="DW245" s="259">
        <v>0.1</v>
      </c>
      <c r="DX245" s="259">
        <v>0.1</v>
      </c>
      <c r="DY245" s="259">
        <v>0.1</v>
      </c>
      <c r="DZ245" s="259">
        <v>0.1</v>
      </c>
      <c r="EA245" s="259">
        <v>0.1</v>
      </c>
      <c r="EB245" s="259">
        <v>0.1</v>
      </c>
      <c r="EC245" s="259">
        <v>0.1</v>
      </c>
      <c r="ED245" s="259">
        <v>0.1</v>
      </c>
      <c r="EE245" s="259">
        <v>0.1</v>
      </c>
      <c r="EF245" s="260">
        <v>0.1</v>
      </c>
      <c r="EJ245">
        <v>242</v>
      </c>
      <c r="EN245">
        <v>0.1</v>
      </c>
      <c r="EO245">
        <v>0.1</v>
      </c>
      <c r="EP245">
        <v>0.1</v>
      </c>
      <c r="EQ245">
        <v>0.1</v>
      </c>
      <c r="ER245">
        <v>0.1</v>
      </c>
      <c r="ES245">
        <v>0.1</v>
      </c>
      <c r="ET245">
        <v>0.1</v>
      </c>
      <c r="EU245">
        <v>0.1</v>
      </c>
      <c r="EV245">
        <v>0.1</v>
      </c>
      <c r="EW245">
        <v>0.1</v>
      </c>
      <c r="EX245">
        <v>0.1</v>
      </c>
      <c r="EY245">
        <v>0.1</v>
      </c>
      <c r="EZ245">
        <v>0.1</v>
      </c>
      <c r="FA245">
        <v>0.1</v>
      </c>
      <c r="FB245">
        <v>0.1</v>
      </c>
      <c r="FC245">
        <v>0.1</v>
      </c>
      <c r="FD245">
        <v>0.1</v>
      </c>
      <c r="FE245">
        <v>0.1</v>
      </c>
      <c r="FF245">
        <v>0.1</v>
      </c>
      <c r="FG245">
        <v>0.1</v>
      </c>
      <c r="FH245">
        <v>0.1</v>
      </c>
      <c r="FI245">
        <v>0.1</v>
      </c>
      <c r="FJ245">
        <v>0.1</v>
      </c>
      <c r="FK245">
        <v>0.1</v>
      </c>
      <c r="FL245">
        <v>0.1</v>
      </c>
      <c r="FM245">
        <v>0.1</v>
      </c>
      <c r="FN245">
        <v>0.1</v>
      </c>
      <c r="FO245">
        <v>0.1</v>
      </c>
      <c r="FP245">
        <v>0.1</v>
      </c>
      <c r="FQ245">
        <v>0.1</v>
      </c>
      <c r="FU245">
        <v>242</v>
      </c>
      <c r="GB245">
        <v>0.1</v>
      </c>
      <c r="GC245">
        <v>0.1</v>
      </c>
      <c r="GD245">
        <v>0.1</v>
      </c>
      <c r="GE245">
        <v>0.1</v>
      </c>
      <c r="GF245">
        <v>0.1</v>
      </c>
      <c r="GG245">
        <v>0.1</v>
      </c>
      <c r="GH245">
        <v>0.1</v>
      </c>
      <c r="GI245">
        <v>0.1</v>
      </c>
      <c r="GJ245">
        <v>0.1</v>
      </c>
      <c r="GK245">
        <v>0.1</v>
      </c>
      <c r="GL245">
        <v>0.1</v>
      </c>
      <c r="GM245">
        <v>0.1</v>
      </c>
      <c r="GN245">
        <v>0.1</v>
      </c>
      <c r="GO245">
        <v>0.1</v>
      </c>
      <c r="GP245">
        <v>0.1</v>
      </c>
      <c r="GQ245">
        <v>0.1</v>
      </c>
      <c r="GR245">
        <v>0.1</v>
      </c>
      <c r="GS245">
        <v>0.1</v>
      </c>
      <c r="GT245">
        <v>0.1</v>
      </c>
      <c r="GU245">
        <v>0.1</v>
      </c>
      <c r="GV245">
        <v>0.1</v>
      </c>
      <c r="GW245">
        <v>0.1</v>
      </c>
      <c r="GX245">
        <v>0.1</v>
      </c>
      <c r="GY245">
        <v>0.1</v>
      </c>
      <c r="GZ245">
        <v>0.1</v>
      </c>
      <c r="HA245">
        <v>0.1</v>
      </c>
      <c r="HB245">
        <v>0.1</v>
      </c>
      <c r="HC245">
        <v>0.1</v>
      </c>
      <c r="HD245">
        <v>0.1</v>
      </c>
      <c r="HE245">
        <v>0.1</v>
      </c>
      <c r="HF245">
        <v>0.1</v>
      </c>
      <c r="HG245">
        <v>0.1</v>
      </c>
      <c r="HH245">
        <v>0.1</v>
      </c>
      <c r="HI245">
        <v>0.1</v>
      </c>
      <c r="HJ245">
        <v>0.1</v>
      </c>
      <c r="HK245">
        <v>0.1</v>
      </c>
      <c r="HL245">
        <v>0.1</v>
      </c>
      <c r="HM245">
        <v>0.1</v>
      </c>
      <c r="HN245">
        <v>0.1</v>
      </c>
      <c r="HO245">
        <v>0.1</v>
      </c>
    </row>
    <row r="246" spans="1:223" ht="15.75" thickBot="1" x14ac:dyDescent="0.3">
      <c r="A246">
        <v>243</v>
      </c>
      <c r="B246" s="2"/>
      <c r="C246" s="2"/>
      <c r="D246" s="2"/>
      <c r="E246" s="2"/>
      <c r="G246" s="2"/>
      <c r="H246">
        <v>0.1</v>
      </c>
      <c r="I246">
        <v>0.1</v>
      </c>
      <c r="J246">
        <v>0.1</v>
      </c>
      <c r="K246">
        <v>0.1</v>
      </c>
      <c r="L246">
        <v>0.1</v>
      </c>
      <c r="M246">
        <v>0.1</v>
      </c>
      <c r="N246">
        <v>0.1</v>
      </c>
      <c r="O246">
        <v>0.1</v>
      </c>
      <c r="P246">
        <v>0.1</v>
      </c>
      <c r="Q246">
        <v>0.1</v>
      </c>
      <c r="R246">
        <v>0.1</v>
      </c>
      <c r="S246">
        <v>0.1</v>
      </c>
      <c r="T246">
        <v>0.1</v>
      </c>
      <c r="U246">
        <v>0.1</v>
      </c>
      <c r="V246">
        <v>0.1</v>
      </c>
      <c r="W246">
        <v>0.1</v>
      </c>
      <c r="X246">
        <v>0.1</v>
      </c>
      <c r="Y246">
        <v>0.1</v>
      </c>
      <c r="Z246">
        <v>0.1</v>
      </c>
      <c r="AA246">
        <v>0.1</v>
      </c>
      <c r="AB246">
        <v>0.1</v>
      </c>
      <c r="AC246">
        <v>0.1</v>
      </c>
      <c r="AD246">
        <v>0.1</v>
      </c>
      <c r="AE246">
        <v>0.1</v>
      </c>
      <c r="AF246">
        <v>0.1</v>
      </c>
      <c r="AG246">
        <v>0.1</v>
      </c>
      <c r="AH246">
        <v>0.1</v>
      </c>
      <c r="AI246">
        <v>0.1</v>
      </c>
      <c r="AJ246">
        <v>0.1</v>
      </c>
      <c r="AK246">
        <v>0.1</v>
      </c>
      <c r="AL246">
        <v>0.1</v>
      </c>
      <c r="AM246">
        <v>0.1</v>
      </c>
      <c r="AN246">
        <v>0.1</v>
      </c>
      <c r="AO246">
        <v>0.1</v>
      </c>
      <c r="AP246">
        <v>0.1</v>
      </c>
      <c r="AQ246">
        <v>0.1</v>
      </c>
      <c r="AR246">
        <v>0.1</v>
      </c>
      <c r="AS246">
        <v>0.1</v>
      </c>
      <c r="AT246">
        <v>0.1</v>
      </c>
      <c r="AU246">
        <v>0.1</v>
      </c>
      <c r="AV246">
        <v>0.1</v>
      </c>
      <c r="AW246">
        <v>0.1</v>
      </c>
      <c r="AX246">
        <v>0.1</v>
      </c>
      <c r="AY246">
        <v>0.1</v>
      </c>
      <c r="AZ246">
        <v>0.1</v>
      </c>
      <c r="BA246">
        <v>0.1</v>
      </c>
      <c r="BB246">
        <v>0.1</v>
      </c>
      <c r="BC246">
        <v>0.1</v>
      </c>
      <c r="BD246">
        <v>0.1</v>
      </c>
      <c r="BE246">
        <v>0.1</v>
      </c>
      <c r="BF246">
        <v>0.1</v>
      </c>
      <c r="BG246">
        <v>0.1</v>
      </c>
      <c r="BH246">
        <v>0.1</v>
      </c>
      <c r="BI246">
        <v>0.1</v>
      </c>
      <c r="BJ246">
        <v>0.1</v>
      </c>
      <c r="BK246">
        <v>0.1</v>
      </c>
      <c r="BL246">
        <v>0.1</v>
      </c>
      <c r="BM246">
        <v>0.1</v>
      </c>
      <c r="BN246">
        <v>0.1</v>
      </c>
      <c r="BO246">
        <v>0.1</v>
      </c>
      <c r="BS246">
        <v>243</v>
      </c>
      <c r="BT246" s="271">
        <v>3.21</v>
      </c>
      <c r="BU246" s="270">
        <v>2.68</v>
      </c>
      <c r="BV246" s="2"/>
      <c r="BW246" s="2"/>
      <c r="BX246" s="2"/>
      <c r="BY246" s="258">
        <v>0.1</v>
      </c>
      <c r="BZ246" s="259">
        <v>0.1</v>
      </c>
      <c r="CA246" s="259">
        <v>0.1</v>
      </c>
      <c r="CB246" s="259">
        <v>0.1</v>
      </c>
      <c r="CC246" s="259">
        <v>0.1</v>
      </c>
      <c r="CD246" s="259">
        <v>0.1</v>
      </c>
      <c r="CE246" s="259">
        <v>0.1</v>
      </c>
      <c r="CF246" s="259">
        <v>0.1</v>
      </c>
      <c r="CG246" s="259">
        <v>0.1</v>
      </c>
      <c r="CH246" s="259">
        <v>0.1</v>
      </c>
      <c r="CI246" s="259">
        <v>0.1</v>
      </c>
      <c r="CJ246" s="259">
        <v>0.1</v>
      </c>
      <c r="CK246" s="259">
        <v>0.1</v>
      </c>
      <c r="CL246" s="259">
        <v>0.1</v>
      </c>
      <c r="CM246" s="259">
        <v>0.1</v>
      </c>
      <c r="CN246" s="259">
        <v>0.1</v>
      </c>
      <c r="CO246" s="259">
        <v>0.1</v>
      </c>
      <c r="CP246" s="259">
        <v>0.1</v>
      </c>
      <c r="CQ246" s="259">
        <v>0.1</v>
      </c>
      <c r="CR246" s="259">
        <v>0.1</v>
      </c>
      <c r="CS246" s="259">
        <v>0.1</v>
      </c>
      <c r="CT246" s="259">
        <v>0.1</v>
      </c>
      <c r="CU246" s="259">
        <v>0.1</v>
      </c>
      <c r="CV246" s="259">
        <v>0.1</v>
      </c>
      <c r="CW246" s="259">
        <v>0.1</v>
      </c>
      <c r="CX246" s="259">
        <v>0.1</v>
      </c>
      <c r="CY246" s="259">
        <v>0.1</v>
      </c>
      <c r="CZ246" s="259">
        <v>0.1</v>
      </c>
      <c r="DA246" s="259">
        <v>0.1</v>
      </c>
      <c r="DB246" s="259">
        <v>0.1</v>
      </c>
      <c r="DC246" s="259">
        <v>0.1</v>
      </c>
      <c r="DD246" s="259">
        <v>0.1</v>
      </c>
      <c r="DE246" s="260">
        <v>0.1</v>
      </c>
      <c r="DF246" s="258">
        <v>0.1</v>
      </c>
      <c r="DG246" s="259">
        <v>0.1</v>
      </c>
      <c r="DH246" s="259">
        <v>0.1</v>
      </c>
      <c r="DI246" s="259">
        <v>0.1</v>
      </c>
      <c r="DJ246" s="259">
        <v>0.1</v>
      </c>
      <c r="DK246" s="259">
        <v>0.1</v>
      </c>
      <c r="DL246" s="259">
        <v>0.1</v>
      </c>
      <c r="DM246" s="259">
        <v>0.1</v>
      </c>
      <c r="DN246" s="259">
        <v>0.1</v>
      </c>
      <c r="DO246" s="259">
        <v>0.1</v>
      </c>
      <c r="DP246" s="259">
        <v>0.1</v>
      </c>
      <c r="DQ246" s="259">
        <v>0.1</v>
      </c>
      <c r="DR246" s="259">
        <v>0.1</v>
      </c>
      <c r="DS246" s="259">
        <v>0.1</v>
      </c>
      <c r="DT246" s="259">
        <v>0.1</v>
      </c>
      <c r="DU246" s="259">
        <v>0.1</v>
      </c>
      <c r="DV246" s="259">
        <v>0.1</v>
      </c>
      <c r="DW246" s="259">
        <v>0.1</v>
      </c>
      <c r="DX246" s="259">
        <v>0.1</v>
      </c>
      <c r="DY246" s="259">
        <v>0.1</v>
      </c>
      <c r="DZ246" s="259">
        <v>0.1</v>
      </c>
      <c r="EA246" s="259">
        <v>0.1</v>
      </c>
      <c r="EB246" s="259">
        <v>0.1</v>
      </c>
      <c r="EC246" s="259">
        <v>0.1</v>
      </c>
      <c r="ED246" s="259">
        <v>0.1</v>
      </c>
      <c r="EE246" s="259">
        <v>0.1</v>
      </c>
      <c r="EF246" s="260">
        <v>0.1</v>
      </c>
      <c r="EJ246">
        <v>243</v>
      </c>
      <c r="EN246">
        <v>0.1</v>
      </c>
      <c r="EO246">
        <v>0.1</v>
      </c>
      <c r="EP246">
        <v>0.1</v>
      </c>
      <c r="EQ246">
        <v>0.1</v>
      </c>
      <c r="ER246">
        <v>0.1</v>
      </c>
      <c r="ES246">
        <v>0.1</v>
      </c>
      <c r="ET246">
        <v>0.1</v>
      </c>
      <c r="EU246">
        <v>0.1</v>
      </c>
      <c r="EV246">
        <v>0.1</v>
      </c>
      <c r="EW246">
        <v>0.1</v>
      </c>
      <c r="EX246">
        <v>0.1</v>
      </c>
      <c r="EY246">
        <v>0.1</v>
      </c>
      <c r="EZ246">
        <v>0.1</v>
      </c>
      <c r="FA246">
        <v>0.1</v>
      </c>
      <c r="FB246">
        <v>0.1</v>
      </c>
      <c r="FC246">
        <v>0.1</v>
      </c>
      <c r="FD246">
        <v>0.1</v>
      </c>
      <c r="FE246">
        <v>0.1</v>
      </c>
      <c r="FF246">
        <v>0.1</v>
      </c>
      <c r="FG246">
        <v>0.1</v>
      </c>
      <c r="FH246">
        <v>0.1</v>
      </c>
      <c r="FI246">
        <v>0.1</v>
      </c>
      <c r="FJ246">
        <v>0.1</v>
      </c>
      <c r="FK246">
        <v>0.1</v>
      </c>
      <c r="FL246">
        <v>0.1</v>
      </c>
      <c r="FM246">
        <v>0.1</v>
      </c>
      <c r="FN246">
        <v>0.1</v>
      </c>
      <c r="FO246">
        <v>0.1</v>
      </c>
      <c r="FP246">
        <v>0.1</v>
      </c>
      <c r="FQ246">
        <v>0.1</v>
      </c>
      <c r="FU246">
        <v>243</v>
      </c>
      <c r="GB246">
        <v>0.1</v>
      </c>
      <c r="GC246">
        <v>0.1</v>
      </c>
      <c r="GD246">
        <v>0.1</v>
      </c>
      <c r="GE246">
        <v>0.1</v>
      </c>
      <c r="GF246">
        <v>0.1</v>
      </c>
      <c r="GG246">
        <v>0.1</v>
      </c>
      <c r="GH246">
        <v>0.1</v>
      </c>
      <c r="GI246">
        <v>0.1</v>
      </c>
      <c r="GJ246">
        <v>0.1</v>
      </c>
      <c r="GK246">
        <v>0.1</v>
      </c>
      <c r="GL246">
        <v>0.1</v>
      </c>
      <c r="GM246">
        <v>0.1</v>
      </c>
      <c r="GN246">
        <v>0.1</v>
      </c>
      <c r="GO246">
        <v>0.1</v>
      </c>
      <c r="GP246">
        <v>0.1</v>
      </c>
      <c r="GQ246">
        <v>0.1</v>
      </c>
      <c r="GR246">
        <v>0.1</v>
      </c>
      <c r="GS246">
        <v>0.1</v>
      </c>
      <c r="GT246">
        <v>0.1</v>
      </c>
      <c r="GU246">
        <v>0.1</v>
      </c>
      <c r="GV246">
        <v>0.1</v>
      </c>
      <c r="GW246">
        <v>0.1</v>
      </c>
      <c r="GX246">
        <v>0.1</v>
      </c>
      <c r="GY246">
        <v>0.1</v>
      </c>
      <c r="GZ246">
        <v>0.1</v>
      </c>
      <c r="HA246">
        <v>0.1</v>
      </c>
      <c r="HB246">
        <v>0.1</v>
      </c>
      <c r="HC246">
        <v>0.1</v>
      </c>
      <c r="HD246">
        <v>0.1</v>
      </c>
      <c r="HE246">
        <v>0.1</v>
      </c>
      <c r="HF246">
        <v>0.1</v>
      </c>
      <c r="HG246">
        <v>0.1</v>
      </c>
      <c r="HH246">
        <v>0.1</v>
      </c>
      <c r="HI246">
        <v>0.1</v>
      </c>
      <c r="HJ246">
        <v>0.1</v>
      </c>
      <c r="HK246">
        <v>0.1</v>
      </c>
      <c r="HL246">
        <v>0.1</v>
      </c>
      <c r="HM246">
        <v>0.1</v>
      </c>
      <c r="HN246">
        <v>0.1</v>
      </c>
      <c r="HO246">
        <v>0.1</v>
      </c>
    </row>
    <row r="247" spans="1:223" ht="15.75" thickBot="1" x14ac:dyDescent="0.3">
      <c r="A247">
        <v>244</v>
      </c>
      <c r="B247" s="2"/>
      <c r="C247" s="2"/>
      <c r="D247" s="2"/>
      <c r="E247" s="2"/>
      <c r="G247" s="2"/>
      <c r="H247">
        <v>0.1</v>
      </c>
      <c r="I247">
        <v>0.1</v>
      </c>
      <c r="J247">
        <v>0.1</v>
      </c>
      <c r="K247">
        <v>0.1</v>
      </c>
      <c r="L247">
        <v>0.1</v>
      </c>
      <c r="M247">
        <v>0.1</v>
      </c>
      <c r="N247">
        <v>0.1</v>
      </c>
      <c r="O247">
        <v>0.1</v>
      </c>
      <c r="P247">
        <v>0.1</v>
      </c>
      <c r="Q247">
        <v>0.1</v>
      </c>
      <c r="R247">
        <v>0.1</v>
      </c>
      <c r="S247">
        <v>0.1</v>
      </c>
      <c r="T247">
        <v>0.1</v>
      </c>
      <c r="U247">
        <v>0.1</v>
      </c>
      <c r="V247">
        <v>0.1</v>
      </c>
      <c r="W247">
        <v>0.1</v>
      </c>
      <c r="X247">
        <v>0.1</v>
      </c>
      <c r="Y247">
        <v>0.1</v>
      </c>
      <c r="Z247">
        <v>0.1</v>
      </c>
      <c r="AA247">
        <v>0.1</v>
      </c>
      <c r="AB247">
        <v>0.1</v>
      </c>
      <c r="AC247">
        <v>0.1</v>
      </c>
      <c r="AD247">
        <v>0.1</v>
      </c>
      <c r="AE247">
        <v>0.1</v>
      </c>
      <c r="AF247">
        <v>0.1</v>
      </c>
      <c r="AG247">
        <v>0.1</v>
      </c>
      <c r="AH247">
        <v>0.1</v>
      </c>
      <c r="AI247">
        <v>0.1</v>
      </c>
      <c r="AJ247">
        <v>0.1</v>
      </c>
      <c r="AK247">
        <v>0.1</v>
      </c>
      <c r="AL247">
        <v>0.1</v>
      </c>
      <c r="AM247">
        <v>0.1</v>
      </c>
      <c r="AN247">
        <v>0.1</v>
      </c>
      <c r="AO247">
        <v>0.1</v>
      </c>
      <c r="AP247">
        <v>0.1</v>
      </c>
      <c r="AQ247">
        <v>0.1</v>
      </c>
      <c r="AR247">
        <v>0.1</v>
      </c>
      <c r="AS247">
        <v>0.1</v>
      </c>
      <c r="AT247">
        <v>0.1</v>
      </c>
      <c r="AU247">
        <v>0.1</v>
      </c>
      <c r="AV247">
        <v>0.1</v>
      </c>
      <c r="AW247">
        <v>0.1</v>
      </c>
      <c r="AX247">
        <v>0.1</v>
      </c>
      <c r="AY247">
        <v>0.1</v>
      </c>
      <c r="AZ247">
        <v>0.1</v>
      </c>
      <c r="BA247">
        <v>0.1</v>
      </c>
      <c r="BB247">
        <v>0.1</v>
      </c>
      <c r="BC247">
        <v>0.1</v>
      </c>
      <c r="BD247">
        <v>0.1</v>
      </c>
      <c r="BE247">
        <v>0.1</v>
      </c>
      <c r="BF247">
        <v>0.1</v>
      </c>
      <c r="BG247">
        <v>0.1</v>
      </c>
      <c r="BH247">
        <v>0.1</v>
      </c>
      <c r="BI247">
        <v>0.1</v>
      </c>
      <c r="BJ247">
        <v>0.1</v>
      </c>
      <c r="BK247">
        <v>0.1</v>
      </c>
      <c r="BL247">
        <v>0.1</v>
      </c>
      <c r="BM247">
        <v>0.1</v>
      </c>
      <c r="BN247">
        <v>0.1</v>
      </c>
      <c r="BO247">
        <v>0.1</v>
      </c>
      <c r="BS247">
        <v>244</v>
      </c>
      <c r="BT247" s="270">
        <v>3.2</v>
      </c>
      <c r="BU247" s="271">
        <v>2.68</v>
      </c>
      <c r="BV247" s="2"/>
      <c r="BW247" s="2"/>
      <c r="BX247" s="2"/>
      <c r="BY247" s="258">
        <v>0.1</v>
      </c>
      <c r="BZ247" s="259">
        <v>0.1</v>
      </c>
      <c r="CA247" s="259">
        <v>0.1</v>
      </c>
      <c r="CB247" s="259">
        <v>0.1</v>
      </c>
      <c r="CC247" s="259">
        <v>0.1</v>
      </c>
      <c r="CD247" s="259">
        <v>0.1</v>
      </c>
      <c r="CE247" s="259">
        <v>0.1</v>
      </c>
      <c r="CF247" s="259">
        <v>0.1</v>
      </c>
      <c r="CG247" s="259">
        <v>0.1</v>
      </c>
      <c r="CH247" s="259">
        <v>0.1</v>
      </c>
      <c r="CI247" s="259">
        <v>0.1</v>
      </c>
      <c r="CJ247" s="259">
        <v>0.1</v>
      </c>
      <c r="CK247" s="259">
        <v>0.1</v>
      </c>
      <c r="CL247" s="259">
        <v>0.1</v>
      </c>
      <c r="CM247" s="259">
        <v>0.1</v>
      </c>
      <c r="CN247" s="259">
        <v>0.1</v>
      </c>
      <c r="CO247" s="259">
        <v>0.1</v>
      </c>
      <c r="CP247" s="259">
        <v>0.1</v>
      </c>
      <c r="CQ247" s="259">
        <v>0.1</v>
      </c>
      <c r="CR247" s="259">
        <v>0.1</v>
      </c>
      <c r="CS247" s="259">
        <v>0.1</v>
      </c>
      <c r="CT247" s="259">
        <v>0.1</v>
      </c>
      <c r="CU247" s="259">
        <v>0.1</v>
      </c>
      <c r="CV247" s="259">
        <v>0.1</v>
      </c>
      <c r="CW247" s="259">
        <v>0.1</v>
      </c>
      <c r="CX247" s="259">
        <v>0.1</v>
      </c>
      <c r="CY247" s="259">
        <v>0.1</v>
      </c>
      <c r="CZ247" s="259">
        <v>0.1</v>
      </c>
      <c r="DA247" s="259">
        <v>0.1</v>
      </c>
      <c r="DB247" s="259">
        <v>0.1</v>
      </c>
      <c r="DC247" s="259">
        <v>0.1</v>
      </c>
      <c r="DD247" s="260">
        <v>0.1</v>
      </c>
      <c r="DE247" s="258">
        <v>0.1</v>
      </c>
      <c r="DF247" s="259">
        <v>0.1</v>
      </c>
      <c r="DG247" s="259">
        <v>0.1</v>
      </c>
      <c r="DH247" s="259">
        <v>0.1</v>
      </c>
      <c r="DI247" s="259">
        <v>0.1</v>
      </c>
      <c r="DJ247" s="259">
        <v>0.1</v>
      </c>
      <c r="DK247" s="259">
        <v>0.1</v>
      </c>
      <c r="DL247" s="259">
        <v>0.1</v>
      </c>
      <c r="DM247" s="259">
        <v>0.1</v>
      </c>
      <c r="DN247" s="259">
        <v>0.1</v>
      </c>
      <c r="DO247" s="259">
        <v>0.1</v>
      </c>
      <c r="DP247" s="259">
        <v>0.1</v>
      </c>
      <c r="DQ247" s="259">
        <v>0.1</v>
      </c>
      <c r="DR247" s="259">
        <v>0.1</v>
      </c>
      <c r="DS247" s="259">
        <v>0.1</v>
      </c>
      <c r="DT247" s="259">
        <v>0.1</v>
      </c>
      <c r="DU247" s="259">
        <v>0.1</v>
      </c>
      <c r="DV247" s="259">
        <v>0.1</v>
      </c>
      <c r="DW247" s="259">
        <v>0.1</v>
      </c>
      <c r="DX247" s="259">
        <v>0.1</v>
      </c>
      <c r="DY247" s="259">
        <v>0.1</v>
      </c>
      <c r="DZ247" s="259">
        <v>0.1</v>
      </c>
      <c r="EA247" s="259">
        <v>0.1</v>
      </c>
      <c r="EB247" s="259">
        <v>0.1</v>
      </c>
      <c r="EC247" s="259">
        <v>0.1</v>
      </c>
      <c r="ED247" s="259">
        <v>0.1</v>
      </c>
      <c r="EE247" s="260">
        <v>0.1</v>
      </c>
      <c r="EF247">
        <v>0.1</v>
      </c>
      <c r="EG247">
        <f t="shared" ref="EG247:EG254" si="17">SUM(EF247)</f>
        <v>0.1</v>
      </c>
      <c r="EJ247">
        <v>244</v>
      </c>
      <c r="EN247">
        <v>0.1</v>
      </c>
      <c r="EO247">
        <v>0.1</v>
      </c>
      <c r="EP247">
        <v>0.1</v>
      </c>
      <c r="EQ247">
        <v>0.1</v>
      </c>
      <c r="ER247">
        <v>0.1</v>
      </c>
      <c r="ES247">
        <v>0.1</v>
      </c>
      <c r="ET247">
        <v>0.1</v>
      </c>
      <c r="EU247">
        <v>0.1</v>
      </c>
      <c r="EV247">
        <v>0.1</v>
      </c>
      <c r="EW247">
        <v>0.1</v>
      </c>
      <c r="EX247">
        <v>0.1</v>
      </c>
      <c r="EY247">
        <v>0.1</v>
      </c>
      <c r="EZ247">
        <v>0.1</v>
      </c>
      <c r="FA247">
        <v>0.1</v>
      </c>
      <c r="FB247">
        <v>0.1</v>
      </c>
      <c r="FC247">
        <v>0.1</v>
      </c>
      <c r="FD247">
        <v>0.1</v>
      </c>
      <c r="FE247">
        <v>0.1</v>
      </c>
      <c r="FF247">
        <v>0.1</v>
      </c>
      <c r="FG247">
        <v>0.1</v>
      </c>
      <c r="FH247">
        <v>0.1</v>
      </c>
      <c r="FI247">
        <v>0.1</v>
      </c>
      <c r="FJ247">
        <v>0.1</v>
      </c>
      <c r="FK247">
        <v>0.1</v>
      </c>
      <c r="FL247">
        <v>0.1</v>
      </c>
      <c r="FM247">
        <v>0.1</v>
      </c>
      <c r="FN247">
        <v>0.1</v>
      </c>
      <c r="FO247">
        <v>0.1</v>
      </c>
      <c r="FP247">
        <v>0.1</v>
      </c>
      <c r="FQ247">
        <v>0.1</v>
      </c>
      <c r="FU247">
        <v>244</v>
      </c>
      <c r="GB247">
        <v>0.1</v>
      </c>
      <c r="GC247">
        <v>0.1</v>
      </c>
      <c r="GD247">
        <v>0.1</v>
      </c>
      <c r="GE247">
        <v>0.1</v>
      </c>
      <c r="GF247">
        <v>0.1</v>
      </c>
      <c r="GG247">
        <v>0.1</v>
      </c>
      <c r="GH247">
        <v>0.1</v>
      </c>
      <c r="GI247">
        <v>0.1</v>
      </c>
      <c r="GJ247">
        <v>0.1</v>
      </c>
      <c r="GK247">
        <v>0.1</v>
      </c>
      <c r="GL247">
        <v>0.1</v>
      </c>
      <c r="GM247">
        <v>0.1</v>
      </c>
      <c r="GN247">
        <v>0.1</v>
      </c>
      <c r="GO247">
        <v>0.1</v>
      </c>
      <c r="GP247">
        <v>0.1</v>
      </c>
      <c r="GQ247">
        <v>0.1</v>
      </c>
      <c r="GR247">
        <v>0.1</v>
      </c>
      <c r="GS247">
        <v>0.1</v>
      </c>
      <c r="GT247">
        <v>0.1</v>
      </c>
      <c r="GU247">
        <v>0.1</v>
      </c>
      <c r="GV247">
        <v>0.1</v>
      </c>
      <c r="GW247">
        <v>0.1</v>
      </c>
      <c r="GX247">
        <v>0.1</v>
      </c>
      <c r="GY247">
        <v>0.1</v>
      </c>
      <c r="GZ247">
        <v>0.1</v>
      </c>
      <c r="HA247">
        <v>0.1</v>
      </c>
      <c r="HB247">
        <v>0.1</v>
      </c>
      <c r="HC247">
        <v>0.1</v>
      </c>
      <c r="HD247">
        <v>0.1</v>
      </c>
      <c r="HE247">
        <v>0.1</v>
      </c>
      <c r="HF247">
        <v>0.1</v>
      </c>
      <c r="HG247">
        <v>0.1</v>
      </c>
      <c r="HH247">
        <v>0.1</v>
      </c>
      <c r="HI247">
        <v>0.1</v>
      </c>
      <c r="HJ247">
        <v>0.1</v>
      </c>
      <c r="HK247">
        <v>0.1</v>
      </c>
      <c r="HL247">
        <v>0.1</v>
      </c>
      <c r="HM247">
        <v>0.1</v>
      </c>
      <c r="HN247">
        <v>0.1</v>
      </c>
      <c r="HO247">
        <v>0.1</v>
      </c>
    </row>
    <row r="248" spans="1:223" ht="15.75" thickBot="1" x14ac:dyDescent="0.3">
      <c r="A248">
        <v>245</v>
      </c>
      <c r="B248" s="2"/>
      <c r="C248" s="2"/>
      <c r="D248" s="2"/>
      <c r="E248" s="2"/>
      <c r="G248" s="2"/>
      <c r="H248">
        <v>0.1</v>
      </c>
      <c r="I248">
        <v>0.1</v>
      </c>
      <c r="J248">
        <v>0.1</v>
      </c>
      <c r="K248">
        <v>0.1</v>
      </c>
      <c r="L248">
        <v>0.1</v>
      </c>
      <c r="M248">
        <v>0.1</v>
      </c>
      <c r="N248">
        <v>0.1</v>
      </c>
      <c r="O248">
        <v>0.1</v>
      </c>
      <c r="P248">
        <v>0.1</v>
      </c>
      <c r="Q248">
        <v>0.1</v>
      </c>
      <c r="R248">
        <v>0.1</v>
      </c>
      <c r="S248">
        <v>0.1</v>
      </c>
      <c r="T248">
        <v>0.1</v>
      </c>
      <c r="U248">
        <v>0.1</v>
      </c>
      <c r="V248">
        <v>0.1</v>
      </c>
      <c r="W248">
        <v>0.1</v>
      </c>
      <c r="X248">
        <v>0.1</v>
      </c>
      <c r="Y248">
        <v>0.1</v>
      </c>
      <c r="Z248">
        <v>0.1</v>
      </c>
      <c r="AA248">
        <v>0.1</v>
      </c>
      <c r="AB248">
        <v>0.1</v>
      </c>
      <c r="AC248">
        <v>0.1</v>
      </c>
      <c r="AD248">
        <v>0.1</v>
      </c>
      <c r="AE248">
        <v>0.1</v>
      </c>
      <c r="AF248">
        <v>0.1</v>
      </c>
      <c r="AG248">
        <v>0.1</v>
      </c>
      <c r="AH248">
        <v>0.1</v>
      </c>
      <c r="AI248">
        <v>0.1</v>
      </c>
      <c r="AJ248">
        <v>0.1</v>
      </c>
      <c r="AK248">
        <v>0.1</v>
      </c>
      <c r="AL248">
        <v>0.1</v>
      </c>
      <c r="AM248">
        <v>0.1</v>
      </c>
      <c r="AN248">
        <v>0.1</v>
      </c>
      <c r="AO248">
        <v>0.1</v>
      </c>
      <c r="AP248">
        <v>0.1</v>
      </c>
      <c r="AQ248">
        <v>0.1</v>
      </c>
      <c r="AR248">
        <v>0.1</v>
      </c>
      <c r="AS248">
        <v>0.1</v>
      </c>
      <c r="AT248">
        <v>0.1</v>
      </c>
      <c r="AU248">
        <v>0.1</v>
      </c>
      <c r="AV248">
        <v>0.1</v>
      </c>
      <c r="AW248">
        <v>0.1</v>
      </c>
      <c r="AX248">
        <v>0.1</v>
      </c>
      <c r="AY248">
        <v>0.1</v>
      </c>
      <c r="AZ248">
        <v>0.1</v>
      </c>
      <c r="BA248">
        <v>0.1</v>
      </c>
      <c r="BB248">
        <v>0.1</v>
      </c>
      <c r="BC248">
        <v>0.1</v>
      </c>
      <c r="BD248">
        <v>0.1</v>
      </c>
      <c r="BE248">
        <v>0.1</v>
      </c>
      <c r="BF248">
        <v>0.1</v>
      </c>
      <c r="BG248">
        <v>0.1</v>
      </c>
      <c r="BH248">
        <v>0.1</v>
      </c>
      <c r="BI248">
        <v>0.1</v>
      </c>
      <c r="BJ248">
        <v>0.1</v>
      </c>
      <c r="BK248">
        <v>0.1</v>
      </c>
      <c r="BL248">
        <v>0.1</v>
      </c>
      <c r="BM248">
        <v>0.1</v>
      </c>
      <c r="BN248">
        <v>0.1</v>
      </c>
      <c r="BO248">
        <v>0.1</v>
      </c>
      <c r="BS248">
        <v>245</v>
      </c>
      <c r="BT248" s="271">
        <v>3.16</v>
      </c>
      <c r="BU248" s="270">
        <v>2.68</v>
      </c>
      <c r="BV248" s="2"/>
      <c r="BW248" s="2"/>
      <c r="BX248" s="2"/>
      <c r="BY248" s="258">
        <v>0.1</v>
      </c>
      <c r="BZ248" s="259">
        <v>0.1</v>
      </c>
      <c r="CA248" s="259">
        <v>0.1</v>
      </c>
      <c r="CB248" s="259">
        <v>0.1</v>
      </c>
      <c r="CC248" s="259">
        <v>0.1</v>
      </c>
      <c r="CD248" s="259">
        <v>0.1</v>
      </c>
      <c r="CE248" s="259">
        <v>0.1</v>
      </c>
      <c r="CF248" s="259">
        <v>0.1</v>
      </c>
      <c r="CG248" s="259">
        <v>0.1</v>
      </c>
      <c r="CH248" s="259">
        <v>0.1</v>
      </c>
      <c r="CI248" s="259">
        <v>0.1</v>
      </c>
      <c r="CJ248" s="259">
        <v>0.1</v>
      </c>
      <c r="CK248" s="259">
        <v>0.1</v>
      </c>
      <c r="CL248" s="259">
        <v>0.1</v>
      </c>
      <c r="CM248" s="259">
        <v>0.1</v>
      </c>
      <c r="CN248" s="259">
        <v>0.1</v>
      </c>
      <c r="CO248" s="259">
        <v>0.1</v>
      </c>
      <c r="CP248" s="259">
        <v>0.1</v>
      </c>
      <c r="CQ248" s="259">
        <v>0.1</v>
      </c>
      <c r="CR248" s="259">
        <v>0.1</v>
      </c>
      <c r="CS248" s="259">
        <v>0.1</v>
      </c>
      <c r="CT248" s="259">
        <v>0.1</v>
      </c>
      <c r="CU248" s="259">
        <v>0.1</v>
      </c>
      <c r="CV248" s="259">
        <v>0.1</v>
      </c>
      <c r="CW248" s="259">
        <v>0.1</v>
      </c>
      <c r="CX248" s="259">
        <v>0.1</v>
      </c>
      <c r="CY248" s="259">
        <v>0.1</v>
      </c>
      <c r="CZ248" s="259">
        <v>0.1</v>
      </c>
      <c r="DA248" s="259">
        <v>0.1</v>
      </c>
      <c r="DB248" s="259">
        <v>0.1</v>
      </c>
      <c r="DC248" s="259">
        <v>0.1</v>
      </c>
      <c r="DD248" s="260">
        <v>0.1</v>
      </c>
      <c r="DE248" s="258">
        <v>0.1</v>
      </c>
      <c r="DF248" s="259">
        <v>0.1</v>
      </c>
      <c r="DG248" s="259">
        <v>0.1</v>
      </c>
      <c r="DH248" s="259">
        <v>0.1</v>
      </c>
      <c r="DI248" s="259">
        <v>0.1</v>
      </c>
      <c r="DJ248" s="259">
        <v>0.1</v>
      </c>
      <c r="DK248" s="259">
        <v>0.1</v>
      </c>
      <c r="DL248" s="259">
        <v>0.1</v>
      </c>
      <c r="DM248" s="259">
        <v>0.1</v>
      </c>
      <c r="DN248" s="259">
        <v>0.1</v>
      </c>
      <c r="DO248" s="259">
        <v>0.1</v>
      </c>
      <c r="DP248" s="259">
        <v>0.1</v>
      </c>
      <c r="DQ248" s="259">
        <v>0.1</v>
      </c>
      <c r="DR248" s="259">
        <v>0.1</v>
      </c>
      <c r="DS248" s="259">
        <v>0.1</v>
      </c>
      <c r="DT248" s="259">
        <v>0.1</v>
      </c>
      <c r="DU248" s="259">
        <v>0.1</v>
      </c>
      <c r="DV248" s="259">
        <v>0.1</v>
      </c>
      <c r="DW248" s="259">
        <v>0.1</v>
      </c>
      <c r="DX248" s="259">
        <v>0.1</v>
      </c>
      <c r="DY248" s="259">
        <v>0.1</v>
      </c>
      <c r="DZ248" s="259">
        <v>0.1</v>
      </c>
      <c r="EA248" s="259">
        <v>0.1</v>
      </c>
      <c r="EB248" s="259">
        <v>0.1</v>
      </c>
      <c r="EC248" s="259">
        <v>0.1</v>
      </c>
      <c r="ED248" s="259">
        <v>0.1</v>
      </c>
      <c r="EE248" s="260">
        <v>0.1</v>
      </c>
      <c r="EF248">
        <v>0.1</v>
      </c>
      <c r="EG248">
        <f t="shared" si="17"/>
        <v>0.1</v>
      </c>
      <c r="EJ248">
        <v>245</v>
      </c>
      <c r="EN248">
        <v>0.1</v>
      </c>
      <c r="EO248">
        <v>0.1</v>
      </c>
      <c r="EP248">
        <v>0.1</v>
      </c>
      <c r="EQ248">
        <v>0.1</v>
      </c>
      <c r="ER248">
        <v>0.1</v>
      </c>
      <c r="ES248">
        <v>0.1</v>
      </c>
      <c r="ET248">
        <v>0.1</v>
      </c>
      <c r="EU248">
        <v>0.1</v>
      </c>
      <c r="EV248">
        <v>0.1</v>
      </c>
      <c r="EW248">
        <v>0.1</v>
      </c>
      <c r="EX248">
        <v>0.1</v>
      </c>
      <c r="EY248">
        <v>0.1</v>
      </c>
      <c r="EZ248">
        <v>0.1</v>
      </c>
      <c r="FA248">
        <v>0.1</v>
      </c>
      <c r="FB248">
        <v>0.1</v>
      </c>
      <c r="FC248">
        <v>0.1</v>
      </c>
      <c r="FD248">
        <v>0.1</v>
      </c>
      <c r="FE248">
        <v>0.1</v>
      </c>
      <c r="FF248">
        <v>0.1</v>
      </c>
      <c r="FG248">
        <v>0.1</v>
      </c>
      <c r="FH248">
        <v>0.1</v>
      </c>
      <c r="FI248">
        <v>0.1</v>
      </c>
      <c r="FJ248">
        <v>0.1</v>
      </c>
      <c r="FK248">
        <v>0.1</v>
      </c>
      <c r="FL248">
        <v>0.1</v>
      </c>
      <c r="FM248">
        <v>0.1</v>
      </c>
      <c r="FN248">
        <v>0.1</v>
      </c>
      <c r="FO248">
        <v>0.1</v>
      </c>
      <c r="FP248">
        <v>0.1</v>
      </c>
      <c r="FQ248">
        <v>0.1</v>
      </c>
      <c r="FU248">
        <v>245</v>
      </c>
      <c r="GB248">
        <v>0.1</v>
      </c>
      <c r="GC248">
        <v>0.1</v>
      </c>
      <c r="GD248">
        <v>0.1</v>
      </c>
      <c r="GE248">
        <v>0.1</v>
      </c>
      <c r="GF248">
        <v>0.1</v>
      </c>
      <c r="GG248">
        <v>0.1</v>
      </c>
      <c r="GH248">
        <v>0.1</v>
      </c>
      <c r="GI248">
        <v>0.1</v>
      </c>
      <c r="GJ248">
        <v>0.1</v>
      </c>
      <c r="GK248">
        <v>0.1</v>
      </c>
      <c r="GL248">
        <v>0.1</v>
      </c>
      <c r="GM248">
        <v>0.1</v>
      </c>
      <c r="GN248">
        <v>0.1</v>
      </c>
      <c r="GO248">
        <v>0.1</v>
      </c>
      <c r="GP248">
        <v>0.1</v>
      </c>
      <c r="GQ248">
        <v>0.1</v>
      </c>
      <c r="GR248">
        <v>0.1</v>
      </c>
      <c r="GS248">
        <v>0.1</v>
      </c>
      <c r="GT248">
        <v>0.1</v>
      </c>
      <c r="GU248">
        <v>0.1</v>
      </c>
      <c r="GV248">
        <v>0.1</v>
      </c>
      <c r="GW248">
        <v>0.1</v>
      </c>
      <c r="GX248">
        <v>0.1</v>
      </c>
      <c r="GY248">
        <v>0.1</v>
      </c>
      <c r="GZ248">
        <v>0.1</v>
      </c>
      <c r="HA248">
        <v>0.1</v>
      </c>
      <c r="HB248">
        <v>0.1</v>
      </c>
      <c r="HC248">
        <v>0.1</v>
      </c>
      <c r="HD248">
        <v>0.1</v>
      </c>
      <c r="HE248">
        <v>0.1</v>
      </c>
      <c r="HF248">
        <v>0.1</v>
      </c>
      <c r="HG248">
        <v>0.1</v>
      </c>
      <c r="HH248">
        <v>0.1</v>
      </c>
      <c r="HI248">
        <v>0.1</v>
      </c>
      <c r="HJ248">
        <v>0.1</v>
      </c>
      <c r="HK248">
        <v>0.1</v>
      </c>
      <c r="HL248">
        <v>0.1</v>
      </c>
      <c r="HM248">
        <v>0.1</v>
      </c>
      <c r="HN248">
        <v>0.1</v>
      </c>
      <c r="HO248">
        <v>0.1</v>
      </c>
    </row>
    <row r="249" spans="1:223" ht="15.75" thickBot="1" x14ac:dyDescent="0.3">
      <c r="A249">
        <v>246</v>
      </c>
      <c r="B249" s="2"/>
      <c r="C249" s="2"/>
      <c r="D249" s="2"/>
      <c r="E249" s="2"/>
      <c r="G249" s="2"/>
      <c r="H249">
        <v>0.1</v>
      </c>
      <c r="I249">
        <v>0.1</v>
      </c>
      <c r="J249">
        <v>0.1</v>
      </c>
      <c r="K249">
        <v>0.1</v>
      </c>
      <c r="L249">
        <v>0.1</v>
      </c>
      <c r="M249">
        <v>0.1</v>
      </c>
      <c r="N249">
        <v>0.1</v>
      </c>
      <c r="O249">
        <v>0.1</v>
      </c>
      <c r="P249">
        <v>0.1</v>
      </c>
      <c r="Q249">
        <v>0.1</v>
      </c>
      <c r="R249">
        <v>0.1</v>
      </c>
      <c r="S249">
        <v>0.1</v>
      </c>
      <c r="T249">
        <v>0.1</v>
      </c>
      <c r="U249">
        <v>0.1</v>
      </c>
      <c r="V249">
        <v>0.1</v>
      </c>
      <c r="W249">
        <v>0.1</v>
      </c>
      <c r="X249">
        <v>0.1</v>
      </c>
      <c r="Y249">
        <v>0.1</v>
      </c>
      <c r="Z249">
        <v>0.1</v>
      </c>
      <c r="AA249">
        <v>0.1</v>
      </c>
      <c r="AB249">
        <v>0.1</v>
      </c>
      <c r="AC249">
        <v>0.1</v>
      </c>
      <c r="AD249">
        <v>0.1</v>
      </c>
      <c r="AE249">
        <v>0.1</v>
      </c>
      <c r="AF249">
        <v>0.1</v>
      </c>
      <c r="AG249">
        <v>0.1</v>
      </c>
      <c r="AH249">
        <v>0.1</v>
      </c>
      <c r="AI249">
        <v>0.1</v>
      </c>
      <c r="AJ249">
        <v>0.1</v>
      </c>
      <c r="AK249">
        <v>0.1</v>
      </c>
      <c r="AL249">
        <v>0.1</v>
      </c>
      <c r="AM249">
        <v>0.1</v>
      </c>
      <c r="AN249">
        <v>0.1</v>
      </c>
      <c r="AO249">
        <v>0.1</v>
      </c>
      <c r="AP249">
        <v>0.1</v>
      </c>
      <c r="AQ249">
        <v>0.1</v>
      </c>
      <c r="AR249">
        <v>0.1</v>
      </c>
      <c r="AS249">
        <v>0.1</v>
      </c>
      <c r="AT249">
        <v>0.1</v>
      </c>
      <c r="AU249">
        <v>0.1</v>
      </c>
      <c r="AV249">
        <v>0.1</v>
      </c>
      <c r="AW249">
        <v>0.1</v>
      </c>
      <c r="AX249">
        <v>0.1</v>
      </c>
      <c r="AY249">
        <v>0.1</v>
      </c>
      <c r="AZ249">
        <v>0.1</v>
      </c>
      <c r="BA249">
        <v>0.1</v>
      </c>
      <c r="BB249">
        <v>0.1</v>
      </c>
      <c r="BC249">
        <v>0.1</v>
      </c>
      <c r="BD249">
        <v>0.1</v>
      </c>
      <c r="BE249">
        <v>0.1</v>
      </c>
      <c r="BF249">
        <v>0.1</v>
      </c>
      <c r="BG249">
        <v>0.1</v>
      </c>
      <c r="BH249">
        <v>0.1</v>
      </c>
      <c r="BI249">
        <v>0.1</v>
      </c>
      <c r="BJ249">
        <v>0.1</v>
      </c>
      <c r="BK249">
        <v>0.1</v>
      </c>
      <c r="BL249">
        <v>0.1</v>
      </c>
      <c r="BM249">
        <v>0.1</v>
      </c>
      <c r="BN249">
        <v>0.1</v>
      </c>
      <c r="BO249">
        <v>0.1</v>
      </c>
      <c r="BS249">
        <v>246</v>
      </c>
      <c r="BT249" s="270">
        <v>3.16</v>
      </c>
      <c r="BU249" s="271">
        <v>2.68</v>
      </c>
      <c r="BV249" s="2"/>
      <c r="BW249" s="2"/>
      <c r="BX249" s="2"/>
      <c r="BY249" s="258">
        <v>0.1</v>
      </c>
      <c r="BZ249" s="259">
        <v>0.1</v>
      </c>
      <c r="CA249" s="259">
        <v>0.1</v>
      </c>
      <c r="CB249" s="259">
        <v>0.1</v>
      </c>
      <c r="CC249" s="259">
        <v>0.1</v>
      </c>
      <c r="CD249" s="259">
        <v>0.1</v>
      </c>
      <c r="CE249" s="259">
        <v>0.1</v>
      </c>
      <c r="CF249" s="259">
        <v>0.1</v>
      </c>
      <c r="CG249" s="259">
        <v>0.1</v>
      </c>
      <c r="CH249" s="259">
        <v>0.1</v>
      </c>
      <c r="CI249" s="259">
        <v>0.1</v>
      </c>
      <c r="CJ249" s="259">
        <v>0.1</v>
      </c>
      <c r="CK249" s="259">
        <v>0.1</v>
      </c>
      <c r="CL249" s="259">
        <v>0.1</v>
      </c>
      <c r="CM249" s="259">
        <v>0.1</v>
      </c>
      <c r="CN249" s="259">
        <v>0.1</v>
      </c>
      <c r="CO249" s="259">
        <v>0.1</v>
      </c>
      <c r="CP249" s="259">
        <v>0.1</v>
      </c>
      <c r="CQ249" s="259">
        <v>0.1</v>
      </c>
      <c r="CR249" s="259">
        <v>0.1</v>
      </c>
      <c r="CS249" s="259">
        <v>0.1</v>
      </c>
      <c r="CT249" s="259">
        <v>0.1</v>
      </c>
      <c r="CU249" s="259">
        <v>0.1</v>
      </c>
      <c r="CV249" s="259">
        <v>0.1</v>
      </c>
      <c r="CW249" s="259">
        <v>0.1</v>
      </c>
      <c r="CX249" s="259">
        <v>0.1</v>
      </c>
      <c r="CY249" s="259">
        <v>0.1</v>
      </c>
      <c r="CZ249" s="259">
        <v>0.1</v>
      </c>
      <c r="DA249" s="259">
        <v>0.1</v>
      </c>
      <c r="DB249" s="259">
        <v>0.1</v>
      </c>
      <c r="DC249" s="259">
        <v>0.1</v>
      </c>
      <c r="DD249" s="260">
        <v>0.1</v>
      </c>
      <c r="DE249" s="258">
        <v>0.1</v>
      </c>
      <c r="DF249" s="259">
        <v>0.1</v>
      </c>
      <c r="DG249" s="259">
        <v>0.1</v>
      </c>
      <c r="DH249" s="259">
        <v>0.1</v>
      </c>
      <c r="DI249" s="259">
        <v>0.1</v>
      </c>
      <c r="DJ249" s="259">
        <v>0.1</v>
      </c>
      <c r="DK249" s="259">
        <v>0.1</v>
      </c>
      <c r="DL249" s="259">
        <v>0.1</v>
      </c>
      <c r="DM249" s="259">
        <v>0.1</v>
      </c>
      <c r="DN249" s="259">
        <v>0.1</v>
      </c>
      <c r="DO249" s="259">
        <v>0.1</v>
      </c>
      <c r="DP249" s="259">
        <v>0.1</v>
      </c>
      <c r="DQ249" s="259">
        <v>0.1</v>
      </c>
      <c r="DR249" s="259">
        <v>0.1</v>
      </c>
      <c r="DS249" s="259">
        <v>0.1</v>
      </c>
      <c r="DT249" s="259">
        <v>0.1</v>
      </c>
      <c r="DU249" s="259">
        <v>0.1</v>
      </c>
      <c r="DV249" s="259">
        <v>0.1</v>
      </c>
      <c r="DW249" s="259">
        <v>0.1</v>
      </c>
      <c r="DX249" s="259">
        <v>0.1</v>
      </c>
      <c r="DY249" s="259">
        <v>0.1</v>
      </c>
      <c r="DZ249" s="259">
        <v>0.1</v>
      </c>
      <c r="EA249" s="259">
        <v>0.1</v>
      </c>
      <c r="EB249" s="259">
        <v>0.1</v>
      </c>
      <c r="EC249" s="259">
        <v>0.1</v>
      </c>
      <c r="ED249" s="259">
        <v>0.1</v>
      </c>
      <c r="EE249" s="260">
        <v>0.1</v>
      </c>
      <c r="EF249">
        <v>0.1</v>
      </c>
      <c r="EG249">
        <f t="shared" si="17"/>
        <v>0.1</v>
      </c>
      <c r="EJ249">
        <v>246</v>
      </c>
      <c r="EN249">
        <v>0.1</v>
      </c>
      <c r="EO249">
        <v>0.1</v>
      </c>
      <c r="EP249">
        <v>0.1</v>
      </c>
      <c r="EQ249">
        <v>0.1</v>
      </c>
      <c r="ER249">
        <v>0.1</v>
      </c>
      <c r="ES249">
        <v>0.1</v>
      </c>
      <c r="ET249">
        <v>0.1</v>
      </c>
      <c r="EU249">
        <v>0.1</v>
      </c>
      <c r="EV249">
        <v>0.1</v>
      </c>
      <c r="EW249">
        <v>0.1</v>
      </c>
      <c r="EX249">
        <v>0.1</v>
      </c>
      <c r="EY249">
        <v>0.1</v>
      </c>
      <c r="EZ249">
        <v>0.1</v>
      </c>
      <c r="FA249">
        <v>0.1</v>
      </c>
      <c r="FB249">
        <v>0.1</v>
      </c>
      <c r="FC249">
        <v>0.1</v>
      </c>
      <c r="FD249">
        <v>0.1</v>
      </c>
      <c r="FE249">
        <v>0.1</v>
      </c>
      <c r="FF249">
        <v>0.1</v>
      </c>
      <c r="FG249">
        <v>0.1</v>
      </c>
      <c r="FH249">
        <v>0.1</v>
      </c>
      <c r="FI249">
        <v>0.1</v>
      </c>
      <c r="FJ249">
        <v>0.1</v>
      </c>
      <c r="FK249">
        <v>0.1</v>
      </c>
      <c r="FL249">
        <v>0.1</v>
      </c>
      <c r="FM249">
        <v>0.1</v>
      </c>
      <c r="FN249">
        <v>0.1</v>
      </c>
      <c r="FO249">
        <v>0.1</v>
      </c>
      <c r="FP249">
        <v>0.1</v>
      </c>
      <c r="FQ249">
        <v>0.1</v>
      </c>
      <c r="FU249">
        <v>246</v>
      </c>
      <c r="GB249">
        <v>0.1</v>
      </c>
      <c r="GC249">
        <v>0.1</v>
      </c>
      <c r="GD249">
        <v>0.1</v>
      </c>
      <c r="GE249">
        <v>0.1</v>
      </c>
      <c r="GF249">
        <v>0.1</v>
      </c>
      <c r="GG249">
        <v>0.1</v>
      </c>
      <c r="GH249">
        <v>0.1</v>
      </c>
      <c r="GI249">
        <v>0.1</v>
      </c>
      <c r="GJ249">
        <v>0.1</v>
      </c>
      <c r="GK249">
        <v>0.1</v>
      </c>
      <c r="GL249">
        <v>0.1</v>
      </c>
      <c r="GM249">
        <v>0.1</v>
      </c>
      <c r="GN249">
        <v>0.1</v>
      </c>
      <c r="GO249">
        <v>0.1</v>
      </c>
      <c r="GP249">
        <v>0.1</v>
      </c>
      <c r="GQ249">
        <v>0.1</v>
      </c>
      <c r="GR249">
        <v>0.1</v>
      </c>
      <c r="GS249">
        <v>0.1</v>
      </c>
      <c r="GT249">
        <v>0.1</v>
      </c>
      <c r="GU249">
        <v>0.1</v>
      </c>
      <c r="GV249">
        <v>0.1</v>
      </c>
      <c r="GW249">
        <v>0.1</v>
      </c>
      <c r="GX249">
        <v>0.1</v>
      </c>
      <c r="GY249">
        <v>0.1</v>
      </c>
      <c r="GZ249">
        <v>0.1</v>
      </c>
      <c r="HA249">
        <v>0.1</v>
      </c>
      <c r="HB249">
        <v>0.1</v>
      </c>
      <c r="HC249">
        <v>0.1</v>
      </c>
      <c r="HD249">
        <v>0.1</v>
      </c>
      <c r="HE249">
        <v>0.1</v>
      </c>
      <c r="HF249">
        <v>0.1</v>
      </c>
      <c r="HG249">
        <v>0.1</v>
      </c>
      <c r="HH249">
        <v>0.1</v>
      </c>
      <c r="HI249">
        <v>0.1</v>
      </c>
      <c r="HJ249">
        <v>0.1</v>
      </c>
      <c r="HK249">
        <v>0.1</v>
      </c>
      <c r="HL249">
        <v>0.1</v>
      </c>
      <c r="HM249">
        <v>0.1</v>
      </c>
      <c r="HN249">
        <v>0.1</v>
      </c>
      <c r="HO249">
        <v>0.1</v>
      </c>
    </row>
    <row r="250" spans="1:223" ht="15.75" thickBot="1" x14ac:dyDescent="0.3">
      <c r="A250">
        <v>247</v>
      </c>
      <c r="B250" s="2"/>
      <c r="C250" s="2"/>
      <c r="D250" s="2"/>
      <c r="E250" s="2"/>
      <c r="G250" s="2"/>
      <c r="H250">
        <v>0.1</v>
      </c>
      <c r="I250">
        <v>0.1</v>
      </c>
      <c r="J250">
        <v>0.1</v>
      </c>
      <c r="K250">
        <v>0.1</v>
      </c>
      <c r="L250">
        <v>0.1</v>
      </c>
      <c r="M250">
        <v>0.1</v>
      </c>
      <c r="N250">
        <v>0.1</v>
      </c>
      <c r="O250">
        <v>0.1</v>
      </c>
      <c r="P250">
        <v>0.1</v>
      </c>
      <c r="Q250">
        <v>0.1</v>
      </c>
      <c r="R250">
        <v>0.1</v>
      </c>
      <c r="S250">
        <v>0.1</v>
      </c>
      <c r="T250">
        <v>0.1</v>
      </c>
      <c r="U250">
        <v>0.1</v>
      </c>
      <c r="V250">
        <v>0.1</v>
      </c>
      <c r="W250">
        <v>0.1</v>
      </c>
      <c r="X250">
        <v>0.1</v>
      </c>
      <c r="Y250">
        <v>0.1</v>
      </c>
      <c r="Z250">
        <v>0.1</v>
      </c>
      <c r="AA250">
        <v>0.1</v>
      </c>
      <c r="AB250">
        <v>0.1</v>
      </c>
      <c r="AC250">
        <v>0.1</v>
      </c>
      <c r="AD250">
        <v>0.1</v>
      </c>
      <c r="AE250">
        <v>0.1</v>
      </c>
      <c r="AF250">
        <v>0.1</v>
      </c>
      <c r="AG250">
        <v>0.1</v>
      </c>
      <c r="AH250">
        <v>0.1</v>
      </c>
      <c r="AI250">
        <v>0.1</v>
      </c>
      <c r="AJ250">
        <v>0.1</v>
      </c>
      <c r="AK250">
        <v>0.1</v>
      </c>
      <c r="AL250">
        <v>0.1</v>
      </c>
      <c r="AM250">
        <v>0.1</v>
      </c>
      <c r="AN250">
        <v>0.1</v>
      </c>
      <c r="AO250">
        <v>0.1</v>
      </c>
      <c r="AP250">
        <v>0.1</v>
      </c>
      <c r="AQ250">
        <v>0.1</v>
      </c>
      <c r="AR250">
        <v>0.1</v>
      </c>
      <c r="AS250">
        <v>0.1</v>
      </c>
      <c r="AT250">
        <v>0.1</v>
      </c>
      <c r="AU250">
        <v>0.1</v>
      </c>
      <c r="AV250">
        <v>0.1</v>
      </c>
      <c r="AW250">
        <v>0.1</v>
      </c>
      <c r="AX250">
        <v>0.1</v>
      </c>
      <c r="AY250">
        <v>0.1</v>
      </c>
      <c r="AZ250">
        <v>0.1</v>
      </c>
      <c r="BA250">
        <v>0.1</v>
      </c>
      <c r="BB250">
        <v>0.1</v>
      </c>
      <c r="BC250">
        <v>0.1</v>
      </c>
      <c r="BD250">
        <v>0.1</v>
      </c>
      <c r="BE250">
        <v>0.1</v>
      </c>
      <c r="BF250">
        <v>0.1</v>
      </c>
      <c r="BG250">
        <v>0.1</v>
      </c>
      <c r="BH250">
        <v>0.1</v>
      </c>
      <c r="BI250">
        <v>0.1</v>
      </c>
      <c r="BJ250">
        <v>0.1</v>
      </c>
      <c r="BK250">
        <v>0.1</v>
      </c>
      <c r="BL250">
        <v>0.1</v>
      </c>
      <c r="BM250">
        <v>0.1</v>
      </c>
      <c r="BN250">
        <v>0.1</v>
      </c>
      <c r="BO250">
        <v>0.1</v>
      </c>
      <c r="BS250">
        <v>247</v>
      </c>
      <c r="BT250" s="271">
        <v>3.16</v>
      </c>
      <c r="BU250" s="270">
        <v>2.69</v>
      </c>
      <c r="BV250" s="2"/>
      <c r="BW250" s="2"/>
      <c r="BX250" s="2"/>
      <c r="BY250" s="258">
        <v>0.1</v>
      </c>
      <c r="BZ250" s="259">
        <v>0.1</v>
      </c>
      <c r="CA250" s="259">
        <v>0.1</v>
      </c>
      <c r="CB250" s="259">
        <v>0.1</v>
      </c>
      <c r="CC250" s="259">
        <v>0.1</v>
      </c>
      <c r="CD250" s="259">
        <v>0.1</v>
      </c>
      <c r="CE250" s="259">
        <v>0.1</v>
      </c>
      <c r="CF250" s="259">
        <v>0.1</v>
      </c>
      <c r="CG250" s="259">
        <v>0.1</v>
      </c>
      <c r="CH250" s="259">
        <v>0.1</v>
      </c>
      <c r="CI250" s="259">
        <v>0.1</v>
      </c>
      <c r="CJ250" s="259">
        <v>0.1</v>
      </c>
      <c r="CK250" s="259">
        <v>0.1</v>
      </c>
      <c r="CL250" s="259">
        <v>0.1</v>
      </c>
      <c r="CM250" s="259">
        <v>0.1</v>
      </c>
      <c r="CN250" s="259">
        <v>0.1</v>
      </c>
      <c r="CO250" s="259">
        <v>0.1</v>
      </c>
      <c r="CP250" s="259">
        <v>0.1</v>
      </c>
      <c r="CQ250" s="259">
        <v>0.1</v>
      </c>
      <c r="CR250" s="259">
        <v>0.1</v>
      </c>
      <c r="CS250" s="259">
        <v>0.1</v>
      </c>
      <c r="CT250" s="259">
        <v>0.1</v>
      </c>
      <c r="CU250" s="259">
        <v>0.1</v>
      </c>
      <c r="CV250" s="259">
        <v>0.1</v>
      </c>
      <c r="CW250" s="259">
        <v>0.1</v>
      </c>
      <c r="CX250" s="259">
        <v>0.1</v>
      </c>
      <c r="CY250" s="259">
        <v>0.1</v>
      </c>
      <c r="CZ250" s="259">
        <v>0.1</v>
      </c>
      <c r="DA250" s="259">
        <v>0.1</v>
      </c>
      <c r="DB250" s="259">
        <v>0.1</v>
      </c>
      <c r="DC250" s="259">
        <v>0.1</v>
      </c>
      <c r="DD250" s="260">
        <v>0.1</v>
      </c>
      <c r="DE250" s="258">
        <v>0.1</v>
      </c>
      <c r="DF250" s="259">
        <v>0.1</v>
      </c>
      <c r="DG250" s="259">
        <v>0.1</v>
      </c>
      <c r="DH250" s="259">
        <v>0.1</v>
      </c>
      <c r="DI250" s="259">
        <v>0.1</v>
      </c>
      <c r="DJ250" s="259">
        <v>0.1</v>
      </c>
      <c r="DK250" s="259">
        <v>0.1</v>
      </c>
      <c r="DL250" s="259">
        <v>0.1</v>
      </c>
      <c r="DM250" s="259">
        <v>0.1</v>
      </c>
      <c r="DN250" s="259">
        <v>0.1</v>
      </c>
      <c r="DO250" s="259">
        <v>0.1</v>
      </c>
      <c r="DP250" s="259">
        <v>0.1</v>
      </c>
      <c r="DQ250" s="259">
        <v>0.1</v>
      </c>
      <c r="DR250" s="259">
        <v>0.1</v>
      </c>
      <c r="DS250" s="259">
        <v>0.1</v>
      </c>
      <c r="DT250" s="259">
        <v>0.1</v>
      </c>
      <c r="DU250" s="259">
        <v>0.1</v>
      </c>
      <c r="DV250" s="259">
        <v>0.1</v>
      </c>
      <c r="DW250" s="259">
        <v>0.1</v>
      </c>
      <c r="DX250" s="259">
        <v>0.1</v>
      </c>
      <c r="DY250" s="259">
        <v>0.1</v>
      </c>
      <c r="DZ250" s="259">
        <v>0.1</v>
      </c>
      <c r="EA250" s="259">
        <v>0.1</v>
      </c>
      <c r="EB250" s="259">
        <v>0.1</v>
      </c>
      <c r="EC250" s="259">
        <v>0.1</v>
      </c>
      <c r="ED250" s="259">
        <v>0.1</v>
      </c>
      <c r="EE250" s="260">
        <v>0.1</v>
      </c>
      <c r="EF250">
        <v>0.1</v>
      </c>
      <c r="EG250">
        <f t="shared" si="17"/>
        <v>0.1</v>
      </c>
      <c r="EJ250">
        <v>247</v>
      </c>
      <c r="EN250">
        <v>0.1</v>
      </c>
      <c r="EO250">
        <v>0.1</v>
      </c>
      <c r="EP250">
        <v>0.1</v>
      </c>
      <c r="EQ250">
        <v>0.1</v>
      </c>
      <c r="ER250">
        <v>0.1</v>
      </c>
      <c r="ES250">
        <v>0.1</v>
      </c>
      <c r="ET250">
        <v>0.1</v>
      </c>
      <c r="EU250">
        <v>0.1</v>
      </c>
      <c r="EV250">
        <v>0.1</v>
      </c>
      <c r="EW250">
        <v>0.1</v>
      </c>
      <c r="EX250">
        <v>0.1</v>
      </c>
      <c r="EY250">
        <v>0.1</v>
      </c>
      <c r="EZ250">
        <v>0.1</v>
      </c>
      <c r="FA250">
        <v>0.1</v>
      </c>
      <c r="FB250">
        <v>0.1</v>
      </c>
      <c r="FC250">
        <v>0.1</v>
      </c>
      <c r="FD250">
        <v>0.1</v>
      </c>
      <c r="FE250">
        <v>0.1</v>
      </c>
      <c r="FF250">
        <v>0.1</v>
      </c>
      <c r="FG250">
        <v>0.1</v>
      </c>
      <c r="FH250">
        <v>0.1</v>
      </c>
      <c r="FI250">
        <v>0.1</v>
      </c>
      <c r="FJ250">
        <v>0.1</v>
      </c>
      <c r="FK250">
        <v>0.1</v>
      </c>
      <c r="FL250">
        <v>0.1</v>
      </c>
      <c r="FM250">
        <v>0.1</v>
      </c>
      <c r="FN250">
        <v>0.1</v>
      </c>
      <c r="FO250">
        <v>0.1</v>
      </c>
      <c r="FP250">
        <v>0.1</v>
      </c>
      <c r="FQ250">
        <v>0.1</v>
      </c>
      <c r="FU250">
        <v>247</v>
      </c>
      <c r="GB250">
        <v>0.1</v>
      </c>
      <c r="GC250">
        <v>0.1</v>
      </c>
      <c r="GD250">
        <v>0.1</v>
      </c>
      <c r="GE250">
        <v>0.1</v>
      </c>
      <c r="GF250">
        <v>0.1</v>
      </c>
      <c r="GG250">
        <v>0.1</v>
      </c>
      <c r="GH250">
        <v>0.1</v>
      </c>
      <c r="GI250">
        <v>0.1</v>
      </c>
      <c r="GJ250">
        <v>0.1</v>
      </c>
      <c r="GK250">
        <v>0.1</v>
      </c>
      <c r="GL250">
        <v>0.1</v>
      </c>
      <c r="GM250">
        <v>0.1</v>
      </c>
      <c r="GN250">
        <v>0.1</v>
      </c>
      <c r="GO250">
        <v>0.1</v>
      </c>
      <c r="GP250">
        <v>0.1</v>
      </c>
      <c r="GQ250">
        <v>0.1</v>
      </c>
      <c r="GR250">
        <v>0.1</v>
      </c>
      <c r="GS250">
        <v>0.1</v>
      </c>
      <c r="GT250">
        <v>0.1</v>
      </c>
      <c r="GU250">
        <v>0.1</v>
      </c>
      <c r="GV250">
        <v>0.1</v>
      </c>
      <c r="GW250">
        <v>0.1</v>
      </c>
      <c r="GX250">
        <v>0.1</v>
      </c>
      <c r="GY250">
        <v>0.1</v>
      </c>
      <c r="GZ250">
        <v>0.1</v>
      </c>
      <c r="HA250">
        <v>0.1</v>
      </c>
      <c r="HB250">
        <v>0.1</v>
      </c>
      <c r="HC250">
        <v>0.1</v>
      </c>
      <c r="HD250">
        <v>0.1</v>
      </c>
      <c r="HE250">
        <v>0.1</v>
      </c>
      <c r="HF250">
        <v>0.1</v>
      </c>
      <c r="HG250">
        <v>0.1</v>
      </c>
      <c r="HH250">
        <v>0.1</v>
      </c>
      <c r="HI250">
        <v>0.1</v>
      </c>
      <c r="HJ250">
        <v>0.1</v>
      </c>
      <c r="HK250">
        <v>0.1</v>
      </c>
      <c r="HL250">
        <v>0.1</v>
      </c>
      <c r="HM250">
        <v>0.1</v>
      </c>
      <c r="HN250">
        <v>0.1</v>
      </c>
      <c r="HO250">
        <v>0.1</v>
      </c>
    </row>
    <row r="251" spans="1:223" ht="15.75" thickBot="1" x14ac:dyDescent="0.3">
      <c r="A251">
        <v>248</v>
      </c>
      <c r="B251" s="2"/>
      <c r="C251" s="2"/>
      <c r="D251" s="2"/>
      <c r="E251" s="2"/>
      <c r="G251" s="2"/>
      <c r="H251">
        <v>0.1</v>
      </c>
      <c r="I251">
        <v>0.1</v>
      </c>
      <c r="J251">
        <v>0.1</v>
      </c>
      <c r="K251">
        <v>0.1</v>
      </c>
      <c r="L251">
        <v>0.1</v>
      </c>
      <c r="M251">
        <v>0.1</v>
      </c>
      <c r="N251">
        <v>0.1</v>
      </c>
      <c r="O251">
        <v>0.1</v>
      </c>
      <c r="P251">
        <v>0.1</v>
      </c>
      <c r="Q251">
        <v>0.1</v>
      </c>
      <c r="R251">
        <v>0.1</v>
      </c>
      <c r="S251">
        <v>0.1</v>
      </c>
      <c r="T251">
        <v>0.1</v>
      </c>
      <c r="U251">
        <v>0.1</v>
      </c>
      <c r="V251">
        <v>0.1</v>
      </c>
      <c r="W251">
        <v>0.1</v>
      </c>
      <c r="X251">
        <v>0.1</v>
      </c>
      <c r="Y251">
        <v>0.1</v>
      </c>
      <c r="Z251">
        <v>0.1</v>
      </c>
      <c r="AA251">
        <v>0.1</v>
      </c>
      <c r="AB251">
        <v>0.1</v>
      </c>
      <c r="AC251">
        <v>0.1</v>
      </c>
      <c r="AD251">
        <v>0.1</v>
      </c>
      <c r="AE251">
        <v>0.1</v>
      </c>
      <c r="AF251">
        <v>0.1</v>
      </c>
      <c r="AG251">
        <v>0.1</v>
      </c>
      <c r="AH251">
        <v>0.1</v>
      </c>
      <c r="AI251">
        <v>0.1</v>
      </c>
      <c r="AJ251">
        <v>0.1</v>
      </c>
      <c r="AK251">
        <v>0.1</v>
      </c>
      <c r="AL251">
        <v>0.1</v>
      </c>
      <c r="AM251">
        <v>0.1</v>
      </c>
      <c r="AN251">
        <v>0.1</v>
      </c>
      <c r="AO251">
        <v>0.1</v>
      </c>
      <c r="AP251">
        <v>0.1</v>
      </c>
      <c r="AQ251">
        <v>0.1</v>
      </c>
      <c r="AR251">
        <v>0.1</v>
      </c>
      <c r="AS251">
        <v>0.1</v>
      </c>
      <c r="AT251">
        <v>0.1</v>
      </c>
      <c r="AU251">
        <v>0.1</v>
      </c>
      <c r="AV251">
        <v>0.1</v>
      </c>
      <c r="AW251">
        <v>0.1</v>
      </c>
      <c r="AX251">
        <v>0.1</v>
      </c>
      <c r="AY251">
        <v>0.1</v>
      </c>
      <c r="AZ251">
        <v>0.1</v>
      </c>
      <c r="BA251">
        <v>0.1</v>
      </c>
      <c r="BB251">
        <v>0.1</v>
      </c>
      <c r="BC251">
        <v>0.1</v>
      </c>
      <c r="BD251">
        <v>0.1</v>
      </c>
      <c r="BE251">
        <v>0.1</v>
      </c>
      <c r="BF251">
        <v>0.1</v>
      </c>
      <c r="BG251">
        <v>0.1</v>
      </c>
      <c r="BH251">
        <v>0.1</v>
      </c>
      <c r="BI251">
        <v>0.1</v>
      </c>
      <c r="BJ251">
        <v>0.1</v>
      </c>
      <c r="BK251">
        <v>0.1</v>
      </c>
      <c r="BL251">
        <v>0.1</v>
      </c>
      <c r="BM251">
        <v>0.1</v>
      </c>
      <c r="BN251">
        <v>0.1</v>
      </c>
      <c r="BO251">
        <v>0.1</v>
      </c>
      <c r="BS251">
        <v>248</v>
      </c>
      <c r="BT251" s="270">
        <v>3.16</v>
      </c>
      <c r="BU251" s="271">
        <v>2.7</v>
      </c>
      <c r="BV251" s="2"/>
      <c r="BW251" s="2"/>
      <c r="BX251" s="2"/>
      <c r="BY251" s="258">
        <v>0.1</v>
      </c>
      <c r="BZ251" s="259">
        <v>0.1</v>
      </c>
      <c r="CA251" s="259">
        <v>0.1</v>
      </c>
      <c r="CB251" s="259">
        <v>0.1</v>
      </c>
      <c r="CC251" s="259">
        <v>0.1</v>
      </c>
      <c r="CD251" s="259">
        <v>0.1</v>
      </c>
      <c r="CE251" s="259">
        <v>0.1</v>
      </c>
      <c r="CF251" s="259">
        <v>0.1</v>
      </c>
      <c r="CG251" s="259">
        <v>0.1</v>
      </c>
      <c r="CH251" s="259">
        <v>0.1</v>
      </c>
      <c r="CI251" s="259">
        <v>0.1</v>
      </c>
      <c r="CJ251" s="259">
        <v>0.1</v>
      </c>
      <c r="CK251" s="259">
        <v>0.1</v>
      </c>
      <c r="CL251" s="259">
        <v>0.1</v>
      </c>
      <c r="CM251" s="259">
        <v>0.1</v>
      </c>
      <c r="CN251" s="259">
        <v>0.1</v>
      </c>
      <c r="CO251" s="259">
        <v>0.1</v>
      </c>
      <c r="CP251" s="259">
        <v>0.1</v>
      </c>
      <c r="CQ251" s="259">
        <v>0.1</v>
      </c>
      <c r="CR251" s="259">
        <v>0.1</v>
      </c>
      <c r="CS251" s="259">
        <v>0.1</v>
      </c>
      <c r="CT251" s="259">
        <v>0.1</v>
      </c>
      <c r="CU251" s="259">
        <v>0.1</v>
      </c>
      <c r="CV251" s="259">
        <v>0.1</v>
      </c>
      <c r="CW251" s="259">
        <v>0.1</v>
      </c>
      <c r="CX251" s="259">
        <v>0.1</v>
      </c>
      <c r="CY251" s="259">
        <v>0.1</v>
      </c>
      <c r="CZ251" s="259">
        <v>0.1</v>
      </c>
      <c r="DA251" s="259">
        <v>0.1</v>
      </c>
      <c r="DB251" s="259">
        <v>0.1</v>
      </c>
      <c r="DC251" s="259">
        <v>0.1</v>
      </c>
      <c r="DD251" s="260">
        <v>0.1</v>
      </c>
      <c r="DE251" s="258">
        <v>0.1</v>
      </c>
      <c r="DF251" s="259">
        <v>0.1</v>
      </c>
      <c r="DG251" s="259">
        <v>0.1</v>
      </c>
      <c r="DH251" s="259">
        <v>0.1</v>
      </c>
      <c r="DI251" s="259">
        <v>0.1</v>
      </c>
      <c r="DJ251" s="259">
        <v>0.1</v>
      </c>
      <c r="DK251" s="259">
        <v>0.1</v>
      </c>
      <c r="DL251" s="259">
        <v>0.1</v>
      </c>
      <c r="DM251" s="259">
        <v>0.1</v>
      </c>
      <c r="DN251" s="259">
        <v>0.1</v>
      </c>
      <c r="DO251" s="259">
        <v>0.1</v>
      </c>
      <c r="DP251" s="259">
        <v>0.1</v>
      </c>
      <c r="DQ251" s="259">
        <v>0.1</v>
      </c>
      <c r="DR251" s="259">
        <v>0.1</v>
      </c>
      <c r="DS251" s="259">
        <v>0.1</v>
      </c>
      <c r="DT251" s="259">
        <v>0.1</v>
      </c>
      <c r="DU251" s="259">
        <v>0.1</v>
      </c>
      <c r="DV251" s="259">
        <v>0.1</v>
      </c>
      <c r="DW251" s="259">
        <v>0.1</v>
      </c>
      <c r="DX251" s="259">
        <v>0.1</v>
      </c>
      <c r="DY251" s="259">
        <v>0.1</v>
      </c>
      <c r="DZ251" s="259">
        <v>0.1</v>
      </c>
      <c r="EA251" s="259">
        <v>0.1</v>
      </c>
      <c r="EB251" s="259">
        <v>0.1</v>
      </c>
      <c r="EC251" s="259">
        <v>0.1</v>
      </c>
      <c r="ED251" s="259">
        <v>0.1</v>
      </c>
      <c r="EE251" s="260">
        <v>0.1</v>
      </c>
      <c r="EF251">
        <v>0.1</v>
      </c>
      <c r="EG251">
        <f t="shared" si="17"/>
        <v>0.1</v>
      </c>
      <c r="EJ251">
        <v>248</v>
      </c>
      <c r="EN251">
        <v>0.1</v>
      </c>
      <c r="EO251">
        <v>0.1</v>
      </c>
      <c r="EP251">
        <v>0.1</v>
      </c>
      <c r="EQ251">
        <v>0.1</v>
      </c>
      <c r="ER251">
        <v>0.1</v>
      </c>
      <c r="ES251">
        <v>0.1</v>
      </c>
      <c r="ET251">
        <v>0.1</v>
      </c>
      <c r="EU251">
        <v>0.1</v>
      </c>
      <c r="EV251">
        <v>0.1</v>
      </c>
      <c r="EW251">
        <v>0.1</v>
      </c>
      <c r="EX251">
        <v>0.1</v>
      </c>
      <c r="EY251">
        <v>0.1</v>
      </c>
      <c r="EZ251">
        <v>0.1</v>
      </c>
      <c r="FA251">
        <v>0.1</v>
      </c>
      <c r="FB251">
        <v>0.1</v>
      </c>
      <c r="FC251">
        <v>0.1</v>
      </c>
      <c r="FD251">
        <v>0.1</v>
      </c>
      <c r="FE251">
        <v>0.1</v>
      </c>
      <c r="FF251">
        <v>0.1</v>
      </c>
      <c r="FG251">
        <v>0.1</v>
      </c>
      <c r="FH251">
        <v>0.1</v>
      </c>
      <c r="FI251">
        <v>0.1</v>
      </c>
      <c r="FJ251">
        <v>0.1</v>
      </c>
      <c r="FK251">
        <v>0.1</v>
      </c>
      <c r="FL251">
        <v>0.1</v>
      </c>
      <c r="FM251">
        <v>0.1</v>
      </c>
      <c r="FN251">
        <v>0.1</v>
      </c>
      <c r="FO251">
        <v>0.1</v>
      </c>
      <c r="FP251">
        <v>0.1</v>
      </c>
      <c r="FQ251">
        <v>0.1</v>
      </c>
      <c r="FU251">
        <v>248</v>
      </c>
      <c r="GB251">
        <v>0.1</v>
      </c>
      <c r="GC251">
        <v>0.1</v>
      </c>
      <c r="GD251">
        <v>0.1</v>
      </c>
      <c r="GE251">
        <v>0.1</v>
      </c>
      <c r="GF251">
        <v>0.1</v>
      </c>
      <c r="GG251">
        <v>0.1</v>
      </c>
      <c r="GH251">
        <v>0.1</v>
      </c>
      <c r="GI251">
        <v>0.1</v>
      </c>
      <c r="GJ251">
        <v>0.1</v>
      </c>
      <c r="GK251">
        <v>0.1</v>
      </c>
      <c r="GL251">
        <v>0.1</v>
      </c>
      <c r="GM251">
        <v>0.1</v>
      </c>
      <c r="GN251">
        <v>0.1</v>
      </c>
      <c r="GO251">
        <v>0.1</v>
      </c>
      <c r="GP251">
        <v>0.1</v>
      </c>
      <c r="GQ251">
        <v>0.1</v>
      </c>
      <c r="GR251">
        <v>0.1</v>
      </c>
      <c r="GS251">
        <v>0.1</v>
      </c>
      <c r="GT251">
        <v>0.1</v>
      </c>
      <c r="GU251">
        <v>0.1</v>
      </c>
      <c r="GV251">
        <v>0.1</v>
      </c>
      <c r="GW251">
        <v>0.1</v>
      </c>
      <c r="GX251">
        <v>0.1</v>
      </c>
      <c r="GY251">
        <v>0.1</v>
      </c>
      <c r="GZ251">
        <v>0.1</v>
      </c>
      <c r="HA251">
        <v>0.1</v>
      </c>
      <c r="HB251">
        <v>0.1</v>
      </c>
      <c r="HC251">
        <v>0.1</v>
      </c>
      <c r="HD251">
        <v>0.1</v>
      </c>
      <c r="HE251">
        <v>0.1</v>
      </c>
      <c r="HF251">
        <v>0.1</v>
      </c>
      <c r="HG251">
        <v>0.1</v>
      </c>
      <c r="HH251">
        <v>0.1</v>
      </c>
      <c r="HI251">
        <v>0.1</v>
      </c>
      <c r="HJ251">
        <v>0.1</v>
      </c>
      <c r="HK251">
        <v>0.1</v>
      </c>
      <c r="HL251">
        <v>0.1</v>
      </c>
      <c r="HM251">
        <v>0.1</v>
      </c>
      <c r="HN251">
        <v>0.1</v>
      </c>
      <c r="HO251">
        <v>0.1</v>
      </c>
    </row>
    <row r="252" spans="1:223" ht="15.75" thickBot="1" x14ac:dyDescent="0.3">
      <c r="A252">
        <v>249</v>
      </c>
      <c r="B252" s="2"/>
      <c r="C252" s="2"/>
      <c r="D252" s="2"/>
      <c r="E252" s="2"/>
      <c r="G252" s="2"/>
      <c r="H252">
        <v>0.1</v>
      </c>
      <c r="I252">
        <v>0.1</v>
      </c>
      <c r="J252">
        <v>0.1</v>
      </c>
      <c r="K252">
        <v>0.1</v>
      </c>
      <c r="L252">
        <v>0.1</v>
      </c>
      <c r="M252">
        <v>0.1</v>
      </c>
      <c r="N252">
        <v>0.1</v>
      </c>
      <c r="O252">
        <v>0.1</v>
      </c>
      <c r="P252">
        <v>0.1</v>
      </c>
      <c r="Q252">
        <v>0.1</v>
      </c>
      <c r="R252">
        <v>0.1</v>
      </c>
      <c r="S252">
        <v>0.1</v>
      </c>
      <c r="T252">
        <v>0.1</v>
      </c>
      <c r="U252">
        <v>0.1</v>
      </c>
      <c r="V252">
        <v>0.1</v>
      </c>
      <c r="W252">
        <v>0.1</v>
      </c>
      <c r="X252">
        <v>0.1</v>
      </c>
      <c r="Y252">
        <v>0.1</v>
      </c>
      <c r="Z252">
        <v>0.1</v>
      </c>
      <c r="AA252">
        <v>0.1</v>
      </c>
      <c r="AB252">
        <v>0.1</v>
      </c>
      <c r="AC252">
        <v>0.1</v>
      </c>
      <c r="AD252">
        <v>0.1</v>
      </c>
      <c r="AE252">
        <v>0.1</v>
      </c>
      <c r="AF252">
        <v>0.1</v>
      </c>
      <c r="AG252">
        <v>0.1</v>
      </c>
      <c r="AH252">
        <v>0.1</v>
      </c>
      <c r="AI252">
        <v>0.1</v>
      </c>
      <c r="AJ252">
        <v>0.1</v>
      </c>
      <c r="AK252">
        <v>0.1</v>
      </c>
      <c r="AL252">
        <v>0.1</v>
      </c>
      <c r="AM252">
        <v>0.1</v>
      </c>
      <c r="AN252">
        <v>0.1</v>
      </c>
      <c r="AO252">
        <v>0.1</v>
      </c>
      <c r="AP252">
        <v>0.1</v>
      </c>
      <c r="AQ252">
        <v>0.1</v>
      </c>
      <c r="AR252">
        <v>0.1</v>
      </c>
      <c r="AS252">
        <v>0.1</v>
      </c>
      <c r="AT252">
        <v>0.1</v>
      </c>
      <c r="AU252">
        <v>0.1</v>
      </c>
      <c r="AV252">
        <v>0.1</v>
      </c>
      <c r="AW252">
        <v>0.1</v>
      </c>
      <c r="AX252">
        <v>0.1</v>
      </c>
      <c r="AY252">
        <v>0.1</v>
      </c>
      <c r="AZ252">
        <v>0.1</v>
      </c>
      <c r="BA252">
        <v>0.1</v>
      </c>
      <c r="BB252">
        <v>0.1</v>
      </c>
      <c r="BC252">
        <v>0.1</v>
      </c>
      <c r="BD252">
        <v>0.1</v>
      </c>
      <c r="BE252">
        <v>0.1</v>
      </c>
      <c r="BF252">
        <v>0.1</v>
      </c>
      <c r="BG252">
        <v>0.1</v>
      </c>
      <c r="BH252">
        <v>0.1</v>
      </c>
      <c r="BI252">
        <v>0.1</v>
      </c>
      <c r="BJ252">
        <v>0.1</v>
      </c>
      <c r="BK252">
        <v>0.1</v>
      </c>
      <c r="BL252">
        <v>0.1</v>
      </c>
      <c r="BM252">
        <v>0.1</v>
      </c>
      <c r="BN252">
        <v>0.1</v>
      </c>
      <c r="BO252">
        <v>0.1</v>
      </c>
      <c r="BS252">
        <v>249</v>
      </c>
      <c r="BT252" s="271">
        <v>3.15</v>
      </c>
      <c r="BU252" s="270">
        <v>2.7</v>
      </c>
      <c r="BV252" s="2"/>
      <c r="BW252" s="2"/>
      <c r="BX252" s="2"/>
      <c r="BY252" s="258">
        <v>0.1</v>
      </c>
      <c r="BZ252" s="259">
        <v>0.1</v>
      </c>
      <c r="CA252" s="259">
        <v>0.1</v>
      </c>
      <c r="CB252" s="259">
        <v>0.1</v>
      </c>
      <c r="CC252" s="259">
        <v>0.1</v>
      </c>
      <c r="CD252" s="259">
        <v>0.1</v>
      </c>
      <c r="CE252" s="259">
        <v>0.1</v>
      </c>
      <c r="CF252" s="259">
        <v>0.1</v>
      </c>
      <c r="CG252" s="259">
        <v>0.1</v>
      </c>
      <c r="CH252" s="259">
        <v>0.1</v>
      </c>
      <c r="CI252" s="259">
        <v>0.1</v>
      </c>
      <c r="CJ252" s="259">
        <v>0.1</v>
      </c>
      <c r="CK252" s="259">
        <v>0.1</v>
      </c>
      <c r="CL252" s="259">
        <v>0.1</v>
      </c>
      <c r="CM252" s="259">
        <v>0.1</v>
      </c>
      <c r="CN252" s="259">
        <v>0.1</v>
      </c>
      <c r="CO252" s="259">
        <v>0.1</v>
      </c>
      <c r="CP252" s="259">
        <v>0.1</v>
      </c>
      <c r="CQ252" s="259">
        <v>0.1</v>
      </c>
      <c r="CR252" s="259">
        <v>0.1</v>
      </c>
      <c r="CS252" s="259">
        <v>0.1</v>
      </c>
      <c r="CT252" s="259">
        <v>0.1</v>
      </c>
      <c r="CU252" s="259">
        <v>0.1</v>
      </c>
      <c r="CV252" s="259">
        <v>0.1</v>
      </c>
      <c r="CW252" s="259">
        <v>0.1</v>
      </c>
      <c r="CX252" s="259">
        <v>0.1</v>
      </c>
      <c r="CY252" s="259">
        <v>0.1</v>
      </c>
      <c r="CZ252" s="259">
        <v>0.1</v>
      </c>
      <c r="DA252" s="259">
        <v>0.1</v>
      </c>
      <c r="DB252" s="259">
        <v>0.1</v>
      </c>
      <c r="DC252" s="259">
        <v>0.1</v>
      </c>
      <c r="DD252" s="260">
        <v>0.1</v>
      </c>
      <c r="DE252" s="258">
        <v>0.1</v>
      </c>
      <c r="DF252" s="259">
        <v>0.1</v>
      </c>
      <c r="DG252" s="259">
        <v>0.1</v>
      </c>
      <c r="DH252" s="259">
        <v>0.1</v>
      </c>
      <c r="DI252" s="259">
        <v>0.1</v>
      </c>
      <c r="DJ252" s="259">
        <v>0.1</v>
      </c>
      <c r="DK252" s="259">
        <v>0.1</v>
      </c>
      <c r="DL252" s="259">
        <v>0.1</v>
      </c>
      <c r="DM252" s="259">
        <v>0.1</v>
      </c>
      <c r="DN252" s="259">
        <v>0.1</v>
      </c>
      <c r="DO252" s="259">
        <v>0.1</v>
      </c>
      <c r="DP252" s="259">
        <v>0.1</v>
      </c>
      <c r="DQ252" s="259">
        <v>0.1</v>
      </c>
      <c r="DR252" s="259">
        <v>0.1</v>
      </c>
      <c r="DS252" s="259">
        <v>0.1</v>
      </c>
      <c r="DT252" s="259">
        <v>0.1</v>
      </c>
      <c r="DU252" s="259">
        <v>0.1</v>
      </c>
      <c r="DV252" s="259">
        <v>0.1</v>
      </c>
      <c r="DW252" s="259">
        <v>0.1</v>
      </c>
      <c r="DX252" s="259">
        <v>0.1</v>
      </c>
      <c r="DY252" s="259">
        <v>0.1</v>
      </c>
      <c r="DZ252" s="259">
        <v>0.1</v>
      </c>
      <c r="EA252" s="259">
        <v>0.1</v>
      </c>
      <c r="EB252" s="259">
        <v>0.1</v>
      </c>
      <c r="EC252" s="259">
        <v>0.1</v>
      </c>
      <c r="ED252" s="259">
        <v>0.1</v>
      </c>
      <c r="EE252" s="260">
        <v>0.1</v>
      </c>
      <c r="EF252">
        <v>0.1</v>
      </c>
      <c r="EG252">
        <f t="shared" si="17"/>
        <v>0.1</v>
      </c>
      <c r="EJ252">
        <v>249</v>
      </c>
      <c r="EN252">
        <v>0.1</v>
      </c>
      <c r="EO252">
        <v>0.1</v>
      </c>
      <c r="EP252">
        <v>0.1</v>
      </c>
      <c r="EQ252">
        <v>0.1</v>
      </c>
      <c r="ER252">
        <v>0.1</v>
      </c>
      <c r="ES252">
        <v>0.1</v>
      </c>
      <c r="ET252">
        <v>0.1</v>
      </c>
      <c r="EU252">
        <v>0.1</v>
      </c>
      <c r="EV252">
        <v>0.1</v>
      </c>
      <c r="EW252">
        <v>0.1</v>
      </c>
      <c r="EX252">
        <v>0.1</v>
      </c>
      <c r="EY252">
        <v>0.1</v>
      </c>
      <c r="EZ252">
        <v>0.1</v>
      </c>
      <c r="FA252">
        <v>0.1</v>
      </c>
      <c r="FB252">
        <v>0.1</v>
      </c>
      <c r="FC252">
        <v>0.1</v>
      </c>
      <c r="FD252">
        <v>0.1</v>
      </c>
      <c r="FE252">
        <v>0.1</v>
      </c>
      <c r="FF252">
        <v>0.1</v>
      </c>
      <c r="FG252">
        <v>0.1</v>
      </c>
      <c r="FH252">
        <v>0.1</v>
      </c>
      <c r="FI252">
        <v>0.1</v>
      </c>
      <c r="FJ252">
        <v>0.1</v>
      </c>
      <c r="FK252">
        <v>0.1</v>
      </c>
      <c r="FL252">
        <v>0.1</v>
      </c>
      <c r="FM252">
        <v>0.1</v>
      </c>
      <c r="FN252">
        <v>0.1</v>
      </c>
      <c r="FO252">
        <v>0.1</v>
      </c>
      <c r="FP252">
        <v>0.1</v>
      </c>
      <c r="FQ252">
        <v>0.1</v>
      </c>
      <c r="FU252">
        <v>249</v>
      </c>
      <c r="GB252">
        <v>0.1</v>
      </c>
      <c r="GC252">
        <v>0.1</v>
      </c>
      <c r="GD252">
        <v>0.1</v>
      </c>
      <c r="GE252">
        <v>0.1</v>
      </c>
      <c r="GF252">
        <v>0.1</v>
      </c>
      <c r="GG252">
        <v>0.1</v>
      </c>
      <c r="GH252">
        <v>0.1</v>
      </c>
      <c r="GI252">
        <v>0.1</v>
      </c>
      <c r="GJ252">
        <v>0.1</v>
      </c>
      <c r="GK252">
        <v>0.1</v>
      </c>
      <c r="GL252">
        <v>0.1</v>
      </c>
      <c r="GM252">
        <v>0.1</v>
      </c>
      <c r="GN252">
        <v>0.1</v>
      </c>
      <c r="GO252">
        <v>0.1</v>
      </c>
      <c r="GP252">
        <v>0.1</v>
      </c>
      <c r="GQ252">
        <v>0.1</v>
      </c>
      <c r="GR252">
        <v>0.1</v>
      </c>
      <c r="GS252">
        <v>0.1</v>
      </c>
      <c r="GT252">
        <v>0.1</v>
      </c>
      <c r="GU252">
        <v>0.1</v>
      </c>
      <c r="GV252">
        <v>0.1</v>
      </c>
      <c r="GW252">
        <v>0.1</v>
      </c>
      <c r="GX252">
        <v>0.1</v>
      </c>
      <c r="GY252">
        <v>0.1</v>
      </c>
      <c r="GZ252">
        <v>0.1</v>
      </c>
      <c r="HA252">
        <v>0.1</v>
      </c>
      <c r="HB252">
        <v>0.1</v>
      </c>
      <c r="HC252">
        <v>0.1</v>
      </c>
      <c r="HD252">
        <v>0.1</v>
      </c>
      <c r="HE252">
        <v>0.1</v>
      </c>
      <c r="HF252">
        <v>0.1</v>
      </c>
      <c r="HG252">
        <v>0.1</v>
      </c>
      <c r="HH252">
        <v>0.1</v>
      </c>
      <c r="HI252">
        <v>0.1</v>
      </c>
      <c r="HJ252">
        <v>0.1</v>
      </c>
      <c r="HK252">
        <v>0.1</v>
      </c>
      <c r="HL252">
        <v>0.1</v>
      </c>
      <c r="HM252">
        <v>0.1</v>
      </c>
      <c r="HN252">
        <v>0.1</v>
      </c>
      <c r="HO252">
        <v>0.1</v>
      </c>
    </row>
    <row r="253" spans="1:223" ht="15.75" thickBot="1" x14ac:dyDescent="0.3">
      <c r="A253">
        <v>250</v>
      </c>
      <c r="B253" s="2"/>
      <c r="C253" s="2"/>
      <c r="D253" s="2"/>
      <c r="E253" s="2"/>
      <c r="G253" s="2"/>
      <c r="H253">
        <v>0.1</v>
      </c>
      <c r="I253">
        <v>0.1</v>
      </c>
      <c r="J253">
        <v>0.1</v>
      </c>
      <c r="K253">
        <v>0.1</v>
      </c>
      <c r="L253">
        <v>0.1</v>
      </c>
      <c r="M253">
        <v>0.1</v>
      </c>
      <c r="N253">
        <v>0.1</v>
      </c>
      <c r="O253">
        <v>0.1</v>
      </c>
      <c r="P253">
        <v>0.1</v>
      </c>
      <c r="Q253">
        <v>0.1</v>
      </c>
      <c r="R253">
        <v>0.1</v>
      </c>
      <c r="S253">
        <v>0.1</v>
      </c>
      <c r="T253">
        <v>0.1</v>
      </c>
      <c r="U253">
        <v>0.1</v>
      </c>
      <c r="V253">
        <v>0.1</v>
      </c>
      <c r="W253">
        <v>0.1</v>
      </c>
      <c r="X253">
        <v>0.1</v>
      </c>
      <c r="Y253">
        <v>0.1</v>
      </c>
      <c r="Z253">
        <v>0.1</v>
      </c>
      <c r="AA253">
        <v>0.1</v>
      </c>
      <c r="AB253">
        <v>0.1</v>
      </c>
      <c r="AC253">
        <v>0.1</v>
      </c>
      <c r="AD253">
        <v>0.1</v>
      </c>
      <c r="AE253">
        <v>0.1</v>
      </c>
      <c r="AF253">
        <v>0.1</v>
      </c>
      <c r="AG253">
        <v>0.1</v>
      </c>
      <c r="AH253">
        <v>0.1</v>
      </c>
      <c r="AI253">
        <v>0.1</v>
      </c>
      <c r="AJ253">
        <v>0.1</v>
      </c>
      <c r="AK253">
        <v>0.1</v>
      </c>
      <c r="AL253">
        <v>0.1</v>
      </c>
      <c r="AM253">
        <v>0.1</v>
      </c>
      <c r="AN253">
        <v>0.1</v>
      </c>
      <c r="AO253">
        <v>0.1</v>
      </c>
      <c r="AP253">
        <v>0.1</v>
      </c>
      <c r="AQ253">
        <v>0.1</v>
      </c>
      <c r="AR253">
        <v>0.1</v>
      </c>
      <c r="AS253">
        <v>0.1</v>
      </c>
      <c r="AT253">
        <v>0.1</v>
      </c>
      <c r="AU253">
        <v>0.1</v>
      </c>
      <c r="AV253">
        <v>0.1</v>
      </c>
      <c r="AW253">
        <v>0.1</v>
      </c>
      <c r="AX253">
        <v>0.1</v>
      </c>
      <c r="AY253">
        <v>0.1</v>
      </c>
      <c r="AZ253">
        <v>0.1</v>
      </c>
      <c r="BA253">
        <v>0.1</v>
      </c>
      <c r="BB253">
        <v>0.1</v>
      </c>
      <c r="BC253">
        <v>0.1</v>
      </c>
      <c r="BD253">
        <v>0.1</v>
      </c>
      <c r="BE253">
        <v>0.1</v>
      </c>
      <c r="BF253">
        <v>0.1</v>
      </c>
      <c r="BG253">
        <v>0.1</v>
      </c>
      <c r="BH253">
        <v>0.1</v>
      </c>
      <c r="BI253">
        <v>0.1</v>
      </c>
      <c r="BJ253">
        <v>0.1</v>
      </c>
      <c r="BK253">
        <v>0.1</v>
      </c>
      <c r="BL253">
        <v>0.1</v>
      </c>
      <c r="BM253">
        <v>0.1</v>
      </c>
      <c r="BN253">
        <v>0.1</v>
      </c>
      <c r="BO253">
        <v>0.1</v>
      </c>
      <c r="BS253">
        <v>250</v>
      </c>
      <c r="BT253" s="270">
        <v>3.15</v>
      </c>
      <c r="BU253" s="271">
        <v>2.7</v>
      </c>
      <c r="BV253" s="2"/>
      <c r="BW253" s="2"/>
      <c r="BX253" s="2"/>
      <c r="BY253" s="258">
        <v>0.1</v>
      </c>
      <c r="BZ253" s="259">
        <v>0.1</v>
      </c>
      <c r="CA253" s="259">
        <v>0.1</v>
      </c>
      <c r="CB253" s="259">
        <v>0.1</v>
      </c>
      <c r="CC253" s="259">
        <v>0.1</v>
      </c>
      <c r="CD253" s="259">
        <v>0.1</v>
      </c>
      <c r="CE253" s="259">
        <v>0.1</v>
      </c>
      <c r="CF253" s="259">
        <v>0.1</v>
      </c>
      <c r="CG253" s="259">
        <v>0.1</v>
      </c>
      <c r="CH253" s="259">
        <v>0.1</v>
      </c>
      <c r="CI253" s="259">
        <v>0.1</v>
      </c>
      <c r="CJ253" s="259">
        <v>0.1</v>
      </c>
      <c r="CK253" s="259">
        <v>0.1</v>
      </c>
      <c r="CL253" s="259">
        <v>0.1</v>
      </c>
      <c r="CM253" s="259">
        <v>0.1</v>
      </c>
      <c r="CN253" s="259">
        <v>0.1</v>
      </c>
      <c r="CO253" s="259">
        <v>0.1</v>
      </c>
      <c r="CP253" s="259">
        <v>0.1</v>
      </c>
      <c r="CQ253" s="259">
        <v>0.1</v>
      </c>
      <c r="CR253" s="259">
        <v>0.1</v>
      </c>
      <c r="CS253" s="259">
        <v>0.1</v>
      </c>
      <c r="CT253" s="259">
        <v>0.1</v>
      </c>
      <c r="CU253" s="259">
        <v>0.1</v>
      </c>
      <c r="CV253" s="259">
        <v>0.1</v>
      </c>
      <c r="CW253" s="259">
        <v>0.1</v>
      </c>
      <c r="CX253" s="259">
        <v>0.1</v>
      </c>
      <c r="CY253" s="259">
        <v>0.1</v>
      </c>
      <c r="CZ253" s="259">
        <v>0.1</v>
      </c>
      <c r="DA253" s="259">
        <v>0.1</v>
      </c>
      <c r="DB253" s="259">
        <v>0.1</v>
      </c>
      <c r="DC253" s="259">
        <v>0.1</v>
      </c>
      <c r="DD253" s="260">
        <v>0.1</v>
      </c>
      <c r="DE253" s="258">
        <v>0.1</v>
      </c>
      <c r="DF253" s="259">
        <v>0.1</v>
      </c>
      <c r="DG253" s="259">
        <v>0.1</v>
      </c>
      <c r="DH253" s="259">
        <v>0.1</v>
      </c>
      <c r="DI253" s="259">
        <v>0.1</v>
      </c>
      <c r="DJ253" s="259">
        <v>0.1</v>
      </c>
      <c r="DK253" s="259">
        <v>0.1</v>
      </c>
      <c r="DL253" s="259">
        <v>0.1</v>
      </c>
      <c r="DM253" s="259">
        <v>0.1</v>
      </c>
      <c r="DN253" s="259">
        <v>0.1</v>
      </c>
      <c r="DO253" s="259">
        <v>0.1</v>
      </c>
      <c r="DP253" s="259">
        <v>0.1</v>
      </c>
      <c r="DQ253" s="259">
        <v>0.1</v>
      </c>
      <c r="DR253" s="259">
        <v>0.1</v>
      </c>
      <c r="DS253" s="259">
        <v>0.1</v>
      </c>
      <c r="DT253" s="259">
        <v>0.1</v>
      </c>
      <c r="DU253" s="259">
        <v>0.1</v>
      </c>
      <c r="DV253" s="259">
        <v>0.1</v>
      </c>
      <c r="DW253" s="259">
        <v>0.1</v>
      </c>
      <c r="DX253" s="259">
        <v>0.1</v>
      </c>
      <c r="DY253" s="259">
        <v>0.1</v>
      </c>
      <c r="DZ253" s="259">
        <v>0.1</v>
      </c>
      <c r="EA253" s="259">
        <v>0.1</v>
      </c>
      <c r="EB253" s="259">
        <v>0.1</v>
      </c>
      <c r="EC253" s="259">
        <v>0.1</v>
      </c>
      <c r="ED253" s="259">
        <v>0.1</v>
      </c>
      <c r="EE253" s="260">
        <v>0.1</v>
      </c>
      <c r="EF253">
        <v>0.1</v>
      </c>
      <c r="EG253">
        <f t="shared" si="17"/>
        <v>0.1</v>
      </c>
      <c r="EJ253">
        <v>250</v>
      </c>
      <c r="EN253">
        <v>0.1</v>
      </c>
      <c r="EO253">
        <v>0.1</v>
      </c>
      <c r="EP253">
        <v>0.1</v>
      </c>
      <c r="EQ253">
        <v>0.1</v>
      </c>
      <c r="ER253">
        <v>0.1</v>
      </c>
      <c r="ES253">
        <v>0.1</v>
      </c>
      <c r="ET253">
        <v>0.1</v>
      </c>
      <c r="EU253">
        <v>0.1</v>
      </c>
      <c r="EV253">
        <v>0.1</v>
      </c>
      <c r="EW253">
        <v>0.1</v>
      </c>
      <c r="EX253">
        <v>0.1</v>
      </c>
      <c r="EY253">
        <v>0.1</v>
      </c>
      <c r="EZ253">
        <v>0.1</v>
      </c>
      <c r="FA253">
        <v>0.1</v>
      </c>
      <c r="FB253">
        <v>0.1</v>
      </c>
      <c r="FC253">
        <v>0.1</v>
      </c>
      <c r="FD253">
        <v>0.1</v>
      </c>
      <c r="FE253">
        <v>0.1</v>
      </c>
      <c r="FF253">
        <v>0.1</v>
      </c>
      <c r="FG253">
        <v>0.1</v>
      </c>
      <c r="FH253">
        <v>0.1</v>
      </c>
      <c r="FI253">
        <v>0.1</v>
      </c>
      <c r="FJ253">
        <v>0.1</v>
      </c>
      <c r="FK253">
        <v>0.1</v>
      </c>
      <c r="FL253">
        <v>0.1</v>
      </c>
      <c r="FM253">
        <v>0.1</v>
      </c>
      <c r="FN253">
        <v>0.1</v>
      </c>
      <c r="FO253">
        <v>0.1</v>
      </c>
      <c r="FP253">
        <v>0.1</v>
      </c>
      <c r="FQ253">
        <v>0.1</v>
      </c>
      <c r="FU253">
        <v>250</v>
      </c>
      <c r="GB253">
        <v>0.1</v>
      </c>
      <c r="GC253">
        <v>0.1</v>
      </c>
      <c r="GD253">
        <v>0.1</v>
      </c>
      <c r="GE253">
        <v>0.1</v>
      </c>
      <c r="GF253">
        <v>0.1</v>
      </c>
      <c r="GG253">
        <v>0.1</v>
      </c>
      <c r="GH253">
        <v>0.1</v>
      </c>
      <c r="GI253">
        <v>0.1</v>
      </c>
      <c r="GJ253">
        <v>0.1</v>
      </c>
      <c r="GK253">
        <v>0.1</v>
      </c>
      <c r="GL253">
        <v>0.1</v>
      </c>
      <c r="GM253">
        <v>0.1</v>
      </c>
      <c r="GN253">
        <v>0.1</v>
      </c>
      <c r="GO253">
        <v>0.1</v>
      </c>
      <c r="GP253">
        <v>0.1</v>
      </c>
      <c r="GQ253">
        <v>0.1</v>
      </c>
      <c r="GR253">
        <v>0.1</v>
      </c>
      <c r="GS253">
        <v>0.1</v>
      </c>
      <c r="GT253">
        <v>0.1</v>
      </c>
      <c r="GU253">
        <v>0.1</v>
      </c>
      <c r="GV253">
        <v>0.1</v>
      </c>
      <c r="GW253">
        <v>0.1</v>
      </c>
      <c r="GX253">
        <v>0.1</v>
      </c>
      <c r="GY253">
        <v>0.1</v>
      </c>
      <c r="GZ253">
        <v>0.1</v>
      </c>
      <c r="HA253">
        <v>0.1</v>
      </c>
      <c r="HB253">
        <v>0.1</v>
      </c>
      <c r="HC253">
        <v>0.1</v>
      </c>
      <c r="HD253">
        <v>0.1</v>
      </c>
      <c r="HE253">
        <v>0.1</v>
      </c>
      <c r="HF253">
        <v>0.1</v>
      </c>
      <c r="HG253">
        <v>0.1</v>
      </c>
      <c r="HH253">
        <v>0.1</v>
      </c>
      <c r="HI253">
        <v>0.1</v>
      </c>
      <c r="HJ253">
        <v>0.1</v>
      </c>
      <c r="HK253">
        <v>0.1</v>
      </c>
      <c r="HL253">
        <v>0.1</v>
      </c>
      <c r="HM253">
        <v>0.1</v>
      </c>
      <c r="HN253">
        <v>0.1</v>
      </c>
      <c r="HO253">
        <v>0.1</v>
      </c>
    </row>
    <row r="254" spans="1:223" ht="15.75" thickBot="1" x14ac:dyDescent="0.3">
      <c r="A254">
        <v>251</v>
      </c>
      <c r="H254">
        <v>0.1</v>
      </c>
      <c r="I254">
        <v>0.1</v>
      </c>
      <c r="J254">
        <v>0.1</v>
      </c>
      <c r="K254">
        <v>0.1</v>
      </c>
      <c r="L254">
        <v>0.1</v>
      </c>
      <c r="M254">
        <v>0.1</v>
      </c>
      <c r="N254">
        <v>0.1</v>
      </c>
      <c r="O254">
        <v>0.1</v>
      </c>
      <c r="P254">
        <v>0.1</v>
      </c>
      <c r="Q254">
        <v>0.1</v>
      </c>
      <c r="R254">
        <v>0.1</v>
      </c>
      <c r="S254">
        <v>0.1</v>
      </c>
      <c r="T254">
        <v>0.1</v>
      </c>
      <c r="U254">
        <v>0.1</v>
      </c>
      <c r="V254">
        <v>0.1</v>
      </c>
      <c r="W254">
        <v>0.1</v>
      </c>
      <c r="X254">
        <v>0.1</v>
      </c>
      <c r="Y254">
        <v>0.1</v>
      </c>
      <c r="Z254">
        <v>0.1</v>
      </c>
      <c r="AA254">
        <v>0.1</v>
      </c>
      <c r="AB254">
        <v>0.1</v>
      </c>
      <c r="AC254">
        <v>0.1</v>
      </c>
      <c r="AD254">
        <v>0.1</v>
      </c>
      <c r="AE254">
        <v>0.1</v>
      </c>
      <c r="AF254">
        <v>0.1</v>
      </c>
      <c r="AG254">
        <v>0.1</v>
      </c>
      <c r="AH254">
        <v>0.1</v>
      </c>
      <c r="AI254">
        <v>0.1</v>
      </c>
      <c r="AJ254">
        <v>0.1</v>
      </c>
      <c r="AK254">
        <v>0.1</v>
      </c>
      <c r="AL254">
        <v>0.1</v>
      </c>
      <c r="AM254">
        <v>0.1</v>
      </c>
      <c r="AN254">
        <v>0.1</v>
      </c>
      <c r="AO254">
        <v>0.1</v>
      </c>
      <c r="AP254">
        <v>0.1</v>
      </c>
      <c r="AQ254">
        <v>0.1</v>
      </c>
      <c r="AR254">
        <v>0.1</v>
      </c>
      <c r="AS254">
        <v>0.1</v>
      </c>
      <c r="AT254">
        <v>0.1</v>
      </c>
      <c r="AU254">
        <v>0.1</v>
      </c>
      <c r="AV254">
        <v>0.1</v>
      </c>
      <c r="AW254">
        <v>0.1</v>
      </c>
      <c r="AX254">
        <v>0.1</v>
      </c>
      <c r="AY254">
        <v>0.1</v>
      </c>
      <c r="AZ254">
        <v>0.1</v>
      </c>
      <c r="BA254">
        <v>0.1</v>
      </c>
      <c r="BB254">
        <v>0.1</v>
      </c>
      <c r="BC254">
        <v>0.1</v>
      </c>
      <c r="BD254">
        <v>0.1</v>
      </c>
      <c r="BE254">
        <v>0.1</v>
      </c>
      <c r="BF254">
        <v>0.1</v>
      </c>
      <c r="BG254">
        <v>0.1</v>
      </c>
      <c r="BH254">
        <v>0.1</v>
      </c>
      <c r="BI254">
        <v>0.1</v>
      </c>
      <c r="BJ254">
        <v>0.1</v>
      </c>
      <c r="BK254">
        <v>0.1</v>
      </c>
      <c r="BL254">
        <v>0.1</v>
      </c>
      <c r="BM254">
        <v>0.1</v>
      </c>
      <c r="BN254">
        <v>0.1</v>
      </c>
      <c r="BO254">
        <v>0.1</v>
      </c>
      <c r="BS254">
        <v>251</v>
      </c>
      <c r="BT254" s="271">
        <v>3.15</v>
      </c>
      <c r="BU254" s="270">
        <v>2.7</v>
      </c>
      <c r="BV254" s="2"/>
      <c r="BW254" s="2"/>
      <c r="BX254" s="2"/>
      <c r="BY254" s="258">
        <v>0.1</v>
      </c>
      <c r="BZ254" s="259">
        <v>0.1</v>
      </c>
      <c r="CA254" s="259">
        <v>0.1</v>
      </c>
      <c r="CB254" s="259">
        <v>0.1</v>
      </c>
      <c r="CC254" s="259">
        <v>0.1</v>
      </c>
      <c r="CD254" s="259">
        <v>0.1</v>
      </c>
      <c r="CE254" s="259">
        <v>0.1</v>
      </c>
      <c r="CF254" s="259">
        <v>0.1</v>
      </c>
      <c r="CG254" s="259">
        <v>0.1</v>
      </c>
      <c r="CH254" s="259">
        <v>0.1</v>
      </c>
      <c r="CI254" s="259">
        <v>0.1</v>
      </c>
      <c r="CJ254" s="259">
        <v>0.1</v>
      </c>
      <c r="CK254" s="259">
        <v>0.1</v>
      </c>
      <c r="CL254" s="259">
        <v>0.1</v>
      </c>
      <c r="CM254" s="259">
        <v>0.1</v>
      </c>
      <c r="CN254" s="259">
        <v>0.1</v>
      </c>
      <c r="CO254" s="259">
        <v>0.1</v>
      </c>
      <c r="CP254" s="259">
        <v>0.1</v>
      </c>
      <c r="CQ254" s="259">
        <v>0.1</v>
      </c>
      <c r="CR254" s="259">
        <v>0.1</v>
      </c>
      <c r="CS254" s="259">
        <v>0.1</v>
      </c>
      <c r="CT254" s="259">
        <v>0.1</v>
      </c>
      <c r="CU254" s="259">
        <v>0.1</v>
      </c>
      <c r="CV254" s="259">
        <v>0.1</v>
      </c>
      <c r="CW254" s="259">
        <v>0.1</v>
      </c>
      <c r="CX254" s="259">
        <v>0.1</v>
      </c>
      <c r="CY254" s="259">
        <v>0.1</v>
      </c>
      <c r="CZ254" s="259">
        <v>0.1</v>
      </c>
      <c r="DA254" s="259">
        <v>0.1</v>
      </c>
      <c r="DB254" s="259">
        <v>0.1</v>
      </c>
      <c r="DC254" s="259">
        <v>0.1</v>
      </c>
      <c r="DD254" s="260">
        <v>0.1</v>
      </c>
      <c r="DE254" s="258">
        <v>0.1</v>
      </c>
      <c r="DF254" s="259">
        <v>0.1</v>
      </c>
      <c r="DG254" s="259">
        <v>0.1</v>
      </c>
      <c r="DH254" s="259">
        <v>0.1</v>
      </c>
      <c r="DI254" s="259">
        <v>0.1</v>
      </c>
      <c r="DJ254" s="259">
        <v>0.1</v>
      </c>
      <c r="DK254" s="259">
        <v>0.1</v>
      </c>
      <c r="DL254" s="259">
        <v>0.1</v>
      </c>
      <c r="DM254" s="259">
        <v>0.1</v>
      </c>
      <c r="DN254" s="259">
        <v>0.1</v>
      </c>
      <c r="DO254" s="259">
        <v>0.1</v>
      </c>
      <c r="DP254" s="259">
        <v>0.1</v>
      </c>
      <c r="DQ254" s="259">
        <v>0.1</v>
      </c>
      <c r="DR254" s="259">
        <v>0.1</v>
      </c>
      <c r="DS254" s="259">
        <v>0.1</v>
      </c>
      <c r="DT254" s="259">
        <v>0.1</v>
      </c>
      <c r="DU254" s="259">
        <v>0.1</v>
      </c>
      <c r="DV254" s="259">
        <v>0.1</v>
      </c>
      <c r="DW254" s="259">
        <v>0.1</v>
      </c>
      <c r="DX254" s="259">
        <v>0.1</v>
      </c>
      <c r="DY254" s="259">
        <v>0.1</v>
      </c>
      <c r="DZ254" s="259">
        <v>0.1</v>
      </c>
      <c r="EA254" s="259">
        <v>0.1</v>
      </c>
      <c r="EB254" s="259">
        <v>0.1</v>
      </c>
      <c r="EC254" s="259">
        <v>0.1</v>
      </c>
      <c r="ED254" s="259">
        <v>0.1</v>
      </c>
      <c r="EE254" s="260">
        <v>0.1</v>
      </c>
      <c r="EF254">
        <v>0.1</v>
      </c>
      <c r="EG254">
        <f t="shared" si="17"/>
        <v>0.1</v>
      </c>
      <c r="EJ254">
        <v>251</v>
      </c>
      <c r="EN254">
        <v>0.1</v>
      </c>
      <c r="EO254">
        <v>0.1</v>
      </c>
      <c r="EP254">
        <v>0.1</v>
      </c>
      <c r="EQ254">
        <v>0.1</v>
      </c>
      <c r="ER254">
        <v>0.1</v>
      </c>
      <c r="ES254">
        <v>0.1</v>
      </c>
      <c r="ET254">
        <v>0.1</v>
      </c>
      <c r="EU254">
        <v>0.1</v>
      </c>
      <c r="EV254">
        <v>0.1</v>
      </c>
      <c r="EW254">
        <v>0.1</v>
      </c>
      <c r="EX254">
        <v>0.1</v>
      </c>
      <c r="EY254">
        <v>0.1</v>
      </c>
      <c r="EZ254">
        <v>0.1</v>
      </c>
      <c r="FA254">
        <v>0.1</v>
      </c>
      <c r="FB254">
        <v>0.1</v>
      </c>
      <c r="FC254">
        <v>0.1</v>
      </c>
      <c r="FD254">
        <v>0.1</v>
      </c>
      <c r="FE254">
        <v>0.1</v>
      </c>
      <c r="FF254">
        <v>0.1</v>
      </c>
      <c r="FG254">
        <v>0.1</v>
      </c>
      <c r="FH254">
        <v>0.1</v>
      </c>
      <c r="FI254">
        <v>0.1</v>
      </c>
      <c r="FJ254">
        <v>0.1</v>
      </c>
      <c r="FK254">
        <v>0.1</v>
      </c>
      <c r="FL254">
        <v>0.1</v>
      </c>
      <c r="FM254">
        <v>0.1</v>
      </c>
      <c r="FN254">
        <v>0.1</v>
      </c>
      <c r="FO254">
        <v>0.1</v>
      </c>
      <c r="FP254">
        <v>0.1</v>
      </c>
      <c r="FQ254">
        <v>0.1</v>
      </c>
      <c r="FU254">
        <v>251</v>
      </c>
      <c r="GB254">
        <v>0.1</v>
      </c>
      <c r="GC254">
        <v>0.1</v>
      </c>
      <c r="GD254">
        <v>0.1</v>
      </c>
      <c r="GE254">
        <v>0.1</v>
      </c>
      <c r="GF254">
        <v>0.1</v>
      </c>
      <c r="GG254">
        <v>0.1</v>
      </c>
      <c r="GH254">
        <v>0.1</v>
      </c>
      <c r="GI254">
        <v>0.1</v>
      </c>
      <c r="GJ254">
        <v>0.1</v>
      </c>
      <c r="GK254">
        <v>0.1</v>
      </c>
      <c r="GL254">
        <v>0.1</v>
      </c>
      <c r="GM254">
        <v>0.1</v>
      </c>
      <c r="GN254">
        <v>0.1</v>
      </c>
      <c r="GO254">
        <v>0.1</v>
      </c>
      <c r="GP254">
        <v>0.1</v>
      </c>
      <c r="GQ254">
        <v>0.1</v>
      </c>
      <c r="GR254">
        <v>0.1</v>
      </c>
      <c r="GS254">
        <v>0.1</v>
      </c>
      <c r="GT254">
        <v>0.1</v>
      </c>
      <c r="GU254">
        <v>0.1</v>
      </c>
      <c r="GV254">
        <v>0.1</v>
      </c>
      <c r="GW254">
        <v>0.1</v>
      </c>
      <c r="GX254">
        <v>0.1</v>
      </c>
      <c r="GY254">
        <v>0.1</v>
      </c>
      <c r="GZ254">
        <v>0.1</v>
      </c>
      <c r="HA254">
        <v>0.1</v>
      </c>
      <c r="HB254">
        <v>0.1</v>
      </c>
      <c r="HC254">
        <v>0.1</v>
      </c>
      <c r="HD254">
        <v>0.1</v>
      </c>
      <c r="HE254">
        <v>0.1</v>
      </c>
      <c r="HF254">
        <v>0.1</v>
      </c>
      <c r="HG254">
        <v>0.1</v>
      </c>
      <c r="HH254">
        <v>0.1</v>
      </c>
      <c r="HI254">
        <v>0.1</v>
      </c>
      <c r="HJ254">
        <v>0.1</v>
      </c>
      <c r="HK254">
        <v>0.1</v>
      </c>
      <c r="HL254">
        <v>0.1</v>
      </c>
      <c r="HM254">
        <v>0.1</v>
      </c>
      <c r="HN254">
        <v>0.1</v>
      </c>
      <c r="HO254">
        <v>0.1</v>
      </c>
    </row>
    <row r="255" spans="1:223" ht="15.75" thickBot="1" x14ac:dyDescent="0.3">
      <c r="BS255">
        <v>252</v>
      </c>
      <c r="BT255" s="270">
        <v>3.15</v>
      </c>
      <c r="BU255" s="271">
        <v>2.71</v>
      </c>
      <c r="BV255" s="2"/>
      <c r="BW255" s="2"/>
      <c r="BX255" s="2"/>
      <c r="BY255" s="258">
        <v>0.1</v>
      </c>
      <c r="BZ255" s="259">
        <v>0.1</v>
      </c>
      <c r="CA255" s="259">
        <v>0.1</v>
      </c>
      <c r="CB255" s="259">
        <v>0.1</v>
      </c>
      <c r="CC255" s="259">
        <v>0.1</v>
      </c>
      <c r="CD255" s="259">
        <v>0.1</v>
      </c>
      <c r="CE255" s="259">
        <v>0.1</v>
      </c>
      <c r="CF255" s="259">
        <v>0.1</v>
      </c>
      <c r="CG255" s="259">
        <v>0.1</v>
      </c>
      <c r="CH255" s="259">
        <v>0.1</v>
      </c>
      <c r="CI255" s="259">
        <v>0.1</v>
      </c>
      <c r="CJ255" s="259">
        <v>0.1</v>
      </c>
      <c r="CK255" s="259">
        <v>0.1</v>
      </c>
      <c r="CL255" s="259">
        <v>0.1</v>
      </c>
      <c r="CM255" s="259">
        <v>0.1</v>
      </c>
      <c r="CN255" s="259">
        <v>0.1</v>
      </c>
      <c r="CO255" s="259">
        <v>0.1</v>
      </c>
      <c r="CP255" s="259">
        <v>0.1</v>
      </c>
      <c r="CQ255" s="259">
        <v>0.1</v>
      </c>
      <c r="CR255" s="259">
        <v>0.1</v>
      </c>
      <c r="CS255" s="259">
        <v>0.1</v>
      </c>
      <c r="CT255" s="259">
        <v>0.1</v>
      </c>
      <c r="CU255" s="259">
        <v>0.1</v>
      </c>
      <c r="CV255" s="259">
        <v>0.1</v>
      </c>
      <c r="CW255" s="259">
        <v>0.1</v>
      </c>
      <c r="CX255" s="259">
        <v>0.1</v>
      </c>
      <c r="CY255" s="259">
        <v>0.1</v>
      </c>
      <c r="CZ255" s="259">
        <v>0.1</v>
      </c>
      <c r="DA255" s="259">
        <v>0.1</v>
      </c>
      <c r="DB255" s="259">
        <v>0.1</v>
      </c>
      <c r="DC255" s="259">
        <v>0.1</v>
      </c>
      <c r="DD255" s="260">
        <v>0.1</v>
      </c>
      <c r="DE255" s="258">
        <v>0.1</v>
      </c>
      <c r="DF255" s="259">
        <v>0.1</v>
      </c>
      <c r="DG255" s="259">
        <v>0.1</v>
      </c>
      <c r="DH255" s="259">
        <v>0.1</v>
      </c>
      <c r="DI255" s="259">
        <v>0.1</v>
      </c>
      <c r="DJ255" s="259">
        <v>0.1</v>
      </c>
      <c r="DK255" s="259">
        <v>0.1</v>
      </c>
      <c r="DL255" s="259">
        <v>0.1</v>
      </c>
      <c r="DM255" s="259">
        <v>0.1</v>
      </c>
      <c r="DN255" s="259">
        <v>0.1</v>
      </c>
      <c r="DO255" s="259">
        <v>0.1</v>
      </c>
      <c r="DP255" s="259">
        <v>0.1</v>
      </c>
      <c r="DQ255" s="259">
        <v>0.1</v>
      </c>
      <c r="DR255" s="259">
        <v>0.1</v>
      </c>
      <c r="DS255" s="259">
        <v>0.1</v>
      </c>
      <c r="DT255" s="259">
        <v>0.1</v>
      </c>
      <c r="DU255" s="259">
        <v>0.1</v>
      </c>
      <c r="DV255" s="259">
        <v>0.1</v>
      </c>
      <c r="DW255" s="259">
        <v>0.1</v>
      </c>
      <c r="DX255" s="259">
        <v>0.1</v>
      </c>
      <c r="DY255" s="259">
        <v>0.1</v>
      </c>
      <c r="DZ255" s="259">
        <v>0.1</v>
      </c>
      <c r="EA255" s="259">
        <v>0.1</v>
      </c>
      <c r="EB255" s="259">
        <v>0.1</v>
      </c>
      <c r="EC255" s="259">
        <v>0.1</v>
      </c>
      <c r="ED255" s="259">
        <v>0.1</v>
      </c>
      <c r="EE255" s="259">
        <v>0.1</v>
      </c>
      <c r="EF255" s="260">
        <v>0.1</v>
      </c>
      <c r="EJ255">
        <v>252</v>
      </c>
      <c r="EN255">
        <v>0.1</v>
      </c>
      <c r="EO255">
        <v>0.1</v>
      </c>
      <c r="EP255">
        <v>0.1</v>
      </c>
      <c r="EQ255">
        <v>0.1</v>
      </c>
      <c r="ER255">
        <v>0.1</v>
      </c>
      <c r="ES255">
        <v>0.1</v>
      </c>
      <c r="ET255">
        <v>0.1</v>
      </c>
      <c r="EU255">
        <v>0.1</v>
      </c>
      <c r="EV255">
        <v>0.1</v>
      </c>
      <c r="EW255">
        <v>0.1</v>
      </c>
      <c r="EX255">
        <v>0.1</v>
      </c>
      <c r="EY255">
        <v>0.1</v>
      </c>
      <c r="EZ255">
        <v>0.1</v>
      </c>
      <c r="FA255">
        <v>0.1</v>
      </c>
      <c r="FB255">
        <v>0.1</v>
      </c>
      <c r="FC255">
        <v>0.1</v>
      </c>
      <c r="FD255">
        <v>0.1</v>
      </c>
      <c r="FE255">
        <v>0.1</v>
      </c>
      <c r="FF255">
        <v>0.1</v>
      </c>
      <c r="FG255">
        <v>0.1</v>
      </c>
      <c r="FH255">
        <v>0.1</v>
      </c>
      <c r="FI255">
        <v>0.1</v>
      </c>
      <c r="FJ255">
        <v>0.1</v>
      </c>
      <c r="FK255">
        <v>0.1</v>
      </c>
      <c r="FL255">
        <v>0.1</v>
      </c>
      <c r="FM255">
        <v>0.1</v>
      </c>
      <c r="FN255">
        <v>0.1</v>
      </c>
      <c r="FO255">
        <v>0.1</v>
      </c>
      <c r="FP255">
        <v>0.1</v>
      </c>
      <c r="FQ255">
        <v>0.1</v>
      </c>
      <c r="FU255">
        <v>252</v>
      </c>
      <c r="GB255">
        <v>0.1</v>
      </c>
      <c r="GC255">
        <v>0.1</v>
      </c>
      <c r="GD255">
        <v>0.1</v>
      </c>
      <c r="GE255">
        <v>0.1</v>
      </c>
      <c r="GF255">
        <v>0.1</v>
      </c>
      <c r="GG255">
        <v>0.1</v>
      </c>
      <c r="GH255">
        <v>0.1</v>
      </c>
      <c r="GI255">
        <v>0.1</v>
      </c>
      <c r="GJ255">
        <v>0.1</v>
      </c>
      <c r="GK255">
        <v>0.1</v>
      </c>
      <c r="GL255">
        <v>0.1</v>
      </c>
      <c r="GM255">
        <v>0.1</v>
      </c>
      <c r="GN255">
        <v>0.1</v>
      </c>
      <c r="GO255">
        <v>0.1</v>
      </c>
      <c r="GP255">
        <v>0.1</v>
      </c>
      <c r="GQ255">
        <v>0.1</v>
      </c>
      <c r="GR255">
        <v>0.1</v>
      </c>
      <c r="GS255">
        <v>0.1</v>
      </c>
      <c r="GT255">
        <v>0.1</v>
      </c>
      <c r="GU255">
        <v>0.1</v>
      </c>
      <c r="GV255">
        <v>0.1</v>
      </c>
      <c r="GW255">
        <v>0.1</v>
      </c>
      <c r="GX255">
        <v>0.1</v>
      </c>
      <c r="GY255">
        <v>0.1</v>
      </c>
      <c r="GZ255">
        <v>0.1</v>
      </c>
      <c r="HA255">
        <v>0.1</v>
      </c>
      <c r="HB255">
        <v>0.1</v>
      </c>
      <c r="HC255">
        <v>0.1</v>
      </c>
      <c r="HD255">
        <v>0.1</v>
      </c>
      <c r="HE255">
        <v>0.1</v>
      </c>
      <c r="HF255">
        <v>0.1</v>
      </c>
      <c r="HG255">
        <v>0.1</v>
      </c>
      <c r="HH255">
        <v>0.1</v>
      </c>
      <c r="HI255">
        <v>0.1</v>
      </c>
      <c r="HJ255">
        <v>0.1</v>
      </c>
      <c r="HK255">
        <v>0.1</v>
      </c>
      <c r="HL255">
        <v>0.1</v>
      </c>
      <c r="HM255">
        <v>0.1</v>
      </c>
      <c r="HN255">
        <v>0.1</v>
      </c>
      <c r="HO255">
        <v>0.1</v>
      </c>
    </row>
    <row r="256" spans="1:223" ht="15.75" thickBot="1" x14ac:dyDescent="0.3">
      <c r="BS256">
        <v>253</v>
      </c>
      <c r="BT256" s="271">
        <v>3.15</v>
      </c>
      <c r="BU256" s="270">
        <v>2.71</v>
      </c>
      <c r="BV256" s="2"/>
      <c r="BW256" s="2"/>
      <c r="BX256" s="2"/>
      <c r="BY256" s="258">
        <v>0.1</v>
      </c>
      <c r="BZ256" s="259">
        <v>0.1</v>
      </c>
      <c r="CA256" s="259">
        <v>0.1</v>
      </c>
      <c r="CB256" s="259">
        <v>0.1</v>
      </c>
      <c r="CC256" s="259">
        <v>0.1</v>
      </c>
      <c r="CD256" s="259">
        <v>0.1</v>
      </c>
      <c r="CE256" s="259">
        <v>0.1</v>
      </c>
      <c r="CF256" s="259">
        <v>0.1</v>
      </c>
      <c r="CG256" s="259">
        <v>0.1</v>
      </c>
      <c r="CH256" s="259">
        <v>0.1</v>
      </c>
      <c r="CI256" s="259">
        <v>0.1</v>
      </c>
      <c r="CJ256" s="259">
        <v>0.1</v>
      </c>
      <c r="CK256" s="259">
        <v>0.1</v>
      </c>
      <c r="CL256" s="259">
        <v>0.1</v>
      </c>
      <c r="CM256" s="259">
        <v>0.1</v>
      </c>
      <c r="CN256" s="259">
        <v>0.1</v>
      </c>
      <c r="CO256" s="259">
        <v>0.1</v>
      </c>
      <c r="CP256" s="259">
        <v>0.1</v>
      </c>
      <c r="CQ256" s="259">
        <v>0.1</v>
      </c>
      <c r="CR256" s="259">
        <v>0.1</v>
      </c>
      <c r="CS256" s="259">
        <v>0.1</v>
      </c>
      <c r="CT256" s="259">
        <v>0.1</v>
      </c>
      <c r="CU256" s="259">
        <v>0.1</v>
      </c>
      <c r="CV256" s="259">
        <v>0.1</v>
      </c>
      <c r="CW256" s="259">
        <v>0.1</v>
      </c>
      <c r="CX256" s="259">
        <v>0.1</v>
      </c>
      <c r="CY256" s="259">
        <v>0.1</v>
      </c>
      <c r="CZ256" s="259">
        <v>0.1</v>
      </c>
      <c r="DA256" s="259">
        <v>0.1</v>
      </c>
      <c r="DB256" s="259">
        <v>0.1</v>
      </c>
      <c r="DC256" s="259">
        <v>0.1</v>
      </c>
      <c r="DD256" s="260">
        <v>0.1</v>
      </c>
      <c r="DE256" s="258">
        <v>0.1</v>
      </c>
      <c r="DF256" s="259">
        <v>0.1</v>
      </c>
      <c r="DG256" s="259">
        <v>0.1</v>
      </c>
      <c r="DH256" s="259">
        <v>0.1</v>
      </c>
      <c r="DI256" s="259">
        <v>0.1</v>
      </c>
      <c r="DJ256" s="259">
        <v>0.1</v>
      </c>
      <c r="DK256" s="259">
        <v>0.1</v>
      </c>
      <c r="DL256" s="259">
        <v>0.1</v>
      </c>
      <c r="DM256" s="259">
        <v>0.1</v>
      </c>
      <c r="DN256" s="259">
        <v>0.1</v>
      </c>
      <c r="DO256" s="259">
        <v>0.1</v>
      </c>
      <c r="DP256" s="259">
        <v>0.1</v>
      </c>
      <c r="DQ256" s="259">
        <v>0.1</v>
      </c>
      <c r="DR256" s="259">
        <v>0.1</v>
      </c>
      <c r="DS256" s="259">
        <v>0.1</v>
      </c>
      <c r="DT256" s="259">
        <v>0.1</v>
      </c>
      <c r="DU256" s="259">
        <v>0.1</v>
      </c>
      <c r="DV256" s="259">
        <v>0.1</v>
      </c>
      <c r="DW256" s="259">
        <v>0.1</v>
      </c>
      <c r="DX256" s="259">
        <v>0.1</v>
      </c>
      <c r="DY256" s="259">
        <v>0.1</v>
      </c>
      <c r="DZ256" s="259">
        <v>0.1</v>
      </c>
      <c r="EA256" s="259">
        <v>0.1</v>
      </c>
      <c r="EB256" s="259">
        <v>0.1</v>
      </c>
      <c r="EC256" s="259">
        <v>0.1</v>
      </c>
      <c r="ED256" s="259">
        <v>0.1</v>
      </c>
      <c r="EE256" s="259">
        <v>0.1</v>
      </c>
      <c r="EF256" s="260">
        <v>0.1</v>
      </c>
      <c r="EJ256">
        <v>253</v>
      </c>
      <c r="EN256">
        <v>0.1</v>
      </c>
      <c r="EO256">
        <v>0.1</v>
      </c>
      <c r="EP256">
        <v>0.1</v>
      </c>
      <c r="EQ256">
        <v>0.1</v>
      </c>
      <c r="ER256">
        <v>0.1</v>
      </c>
      <c r="ES256">
        <v>0.1</v>
      </c>
      <c r="ET256">
        <v>0.1</v>
      </c>
      <c r="EU256">
        <v>0.1</v>
      </c>
      <c r="EV256">
        <v>0.1</v>
      </c>
      <c r="EW256">
        <v>0.1</v>
      </c>
      <c r="EX256">
        <v>0.1</v>
      </c>
      <c r="EY256">
        <v>0.1</v>
      </c>
      <c r="EZ256">
        <v>0.1</v>
      </c>
      <c r="FA256">
        <v>0.1</v>
      </c>
      <c r="FB256">
        <v>0.1</v>
      </c>
      <c r="FC256">
        <v>0.1</v>
      </c>
      <c r="FD256">
        <v>0.1</v>
      </c>
      <c r="FE256">
        <v>0.1</v>
      </c>
      <c r="FF256">
        <v>0.1</v>
      </c>
      <c r="FG256">
        <v>0.1</v>
      </c>
      <c r="FH256">
        <v>0.1</v>
      </c>
      <c r="FI256">
        <v>0.1</v>
      </c>
      <c r="FJ256">
        <v>0.1</v>
      </c>
      <c r="FK256">
        <v>0.1</v>
      </c>
      <c r="FL256">
        <v>0.1</v>
      </c>
      <c r="FM256">
        <v>0.1</v>
      </c>
      <c r="FN256">
        <v>0.1</v>
      </c>
      <c r="FO256">
        <v>0.1</v>
      </c>
      <c r="FP256">
        <v>0.1</v>
      </c>
      <c r="FQ256">
        <v>0.1</v>
      </c>
      <c r="FU256">
        <v>253</v>
      </c>
      <c r="GB256">
        <v>0.1</v>
      </c>
      <c r="GC256">
        <v>0.1</v>
      </c>
      <c r="GD256">
        <v>0.1</v>
      </c>
      <c r="GE256">
        <v>0.1</v>
      </c>
      <c r="GF256">
        <v>0.1</v>
      </c>
      <c r="GG256">
        <v>0.1</v>
      </c>
      <c r="GH256">
        <v>0.1</v>
      </c>
      <c r="GI256">
        <v>0.1</v>
      </c>
      <c r="GJ256">
        <v>0.1</v>
      </c>
      <c r="GK256">
        <v>0.1</v>
      </c>
      <c r="GL256">
        <v>0.1</v>
      </c>
      <c r="GM256">
        <v>0.1</v>
      </c>
      <c r="GN256">
        <v>0.1</v>
      </c>
      <c r="GO256">
        <v>0.1</v>
      </c>
      <c r="GP256">
        <v>0.1</v>
      </c>
      <c r="GQ256">
        <v>0.1</v>
      </c>
      <c r="GR256">
        <v>0.1</v>
      </c>
      <c r="GS256">
        <v>0.1</v>
      </c>
      <c r="GT256">
        <v>0.1</v>
      </c>
      <c r="GU256">
        <v>0.1</v>
      </c>
      <c r="GV256">
        <v>0.1</v>
      </c>
      <c r="GW256">
        <v>0.1</v>
      </c>
      <c r="GX256">
        <v>0.1</v>
      </c>
      <c r="GY256">
        <v>0.1</v>
      </c>
      <c r="GZ256">
        <v>0.1</v>
      </c>
      <c r="HA256">
        <v>0.1</v>
      </c>
      <c r="HB256">
        <v>0.1</v>
      </c>
      <c r="HC256">
        <v>0.1</v>
      </c>
      <c r="HD256">
        <v>0.1</v>
      </c>
      <c r="HE256">
        <v>0.1</v>
      </c>
      <c r="HF256">
        <v>0.1</v>
      </c>
      <c r="HG256">
        <v>0.1</v>
      </c>
      <c r="HH256">
        <v>0.1</v>
      </c>
      <c r="HI256">
        <v>0.1</v>
      </c>
      <c r="HJ256">
        <v>0.1</v>
      </c>
      <c r="HK256">
        <v>0.1</v>
      </c>
      <c r="HL256">
        <v>0.1</v>
      </c>
      <c r="HM256">
        <v>0.1</v>
      </c>
      <c r="HN256">
        <v>0.1</v>
      </c>
      <c r="HO256">
        <v>0.1</v>
      </c>
    </row>
    <row r="257" spans="71:223" ht="15.75" thickBot="1" x14ac:dyDescent="0.3">
      <c r="BS257">
        <v>254</v>
      </c>
      <c r="BT257" s="270">
        <v>3.15</v>
      </c>
      <c r="BU257" s="271">
        <v>2.73</v>
      </c>
      <c r="BV257" s="2"/>
      <c r="BW257" s="2"/>
      <c r="BX257" s="2"/>
      <c r="BY257" s="258">
        <v>0.1</v>
      </c>
      <c r="BZ257" s="259">
        <v>0.1</v>
      </c>
      <c r="CA257" s="259">
        <v>0.1</v>
      </c>
      <c r="CB257" s="259">
        <v>0.1</v>
      </c>
      <c r="CC257" s="259">
        <v>0.1</v>
      </c>
      <c r="CD257" s="259">
        <v>0.1</v>
      </c>
      <c r="CE257" s="259">
        <v>0.1</v>
      </c>
      <c r="CF257" s="259">
        <v>0.1</v>
      </c>
      <c r="CG257" s="259">
        <v>0.1</v>
      </c>
      <c r="CH257" s="259">
        <v>0.1</v>
      </c>
      <c r="CI257" s="259">
        <v>0.1</v>
      </c>
      <c r="CJ257" s="259">
        <v>0.1</v>
      </c>
      <c r="CK257" s="259">
        <v>0.1</v>
      </c>
      <c r="CL257" s="259">
        <v>0.1</v>
      </c>
      <c r="CM257" s="259">
        <v>0.1</v>
      </c>
      <c r="CN257" s="259">
        <v>0.1</v>
      </c>
      <c r="CO257" s="259">
        <v>0.1</v>
      </c>
      <c r="CP257" s="259">
        <v>0.1</v>
      </c>
      <c r="CQ257" s="259">
        <v>0.1</v>
      </c>
      <c r="CR257" s="259">
        <v>0.1</v>
      </c>
      <c r="CS257" s="259">
        <v>0.1</v>
      </c>
      <c r="CT257" s="259">
        <v>0.1</v>
      </c>
      <c r="CU257" s="259">
        <v>0.1</v>
      </c>
      <c r="CV257" s="259">
        <v>0.1</v>
      </c>
      <c r="CW257" s="259">
        <v>0.1</v>
      </c>
      <c r="CX257" s="259">
        <v>0.1</v>
      </c>
      <c r="CY257" s="259">
        <v>0.1</v>
      </c>
      <c r="CZ257" s="259">
        <v>0.1</v>
      </c>
      <c r="DA257" s="259">
        <v>0.1</v>
      </c>
      <c r="DB257" s="259">
        <v>0.1</v>
      </c>
      <c r="DC257" s="259">
        <v>0.1</v>
      </c>
      <c r="DD257" s="260">
        <v>0.1</v>
      </c>
      <c r="DE257" s="258">
        <v>0.1</v>
      </c>
      <c r="DF257" s="259">
        <v>0.1</v>
      </c>
      <c r="DG257" s="259">
        <v>0.1</v>
      </c>
      <c r="DH257" s="259">
        <v>0.1</v>
      </c>
      <c r="DI257" s="259">
        <v>0.1</v>
      </c>
      <c r="DJ257" s="259">
        <v>0.1</v>
      </c>
      <c r="DK257" s="259">
        <v>0.1</v>
      </c>
      <c r="DL257" s="259">
        <v>0.1</v>
      </c>
      <c r="DM257" s="259">
        <v>0.1</v>
      </c>
      <c r="DN257" s="259">
        <v>0.1</v>
      </c>
      <c r="DO257" s="259">
        <v>0.1</v>
      </c>
      <c r="DP257" s="259">
        <v>0.1</v>
      </c>
      <c r="DQ257" s="259">
        <v>0.1</v>
      </c>
      <c r="DR257" s="259">
        <v>0.1</v>
      </c>
      <c r="DS257" s="259">
        <v>0.1</v>
      </c>
      <c r="DT257" s="259">
        <v>0.1</v>
      </c>
      <c r="DU257" s="259">
        <v>0.1</v>
      </c>
      <c r="DV257" s="259">
        <v>0.1</v>
      </c>
      <c r="DW257" s="259">
        <v>0.1</v>
      </c>
      <c r="DX257" s="259">
        <v>0.1</v>
      </c>
      <c r="DY257" s="259">
        <v>0.1</v>
      </c>
      <c r="DZ257" s="259">
        <v>0.1</v>
      </c>
      <c r="EA257" s="259">
        <v>0.1</v>
      </c>
      <c r="EB257" s="259">
        <v>0.1</v>
      </c>
      <c r="EC257" s="259">
        <v>0.1</v>
      </c>
      <c r="ED257" s="259">
        <v>0.1</v>
      </c>
      <c r="EE257" s="259">
        <v>0.1</v>
      </c>
      <c r="EF257" s="260">
        <v>0.1</v>
      </c>
      <c r="EJ257">
        <v>254</v>
      </c>
      <c r="EN257">
        <v>0.1</v>
      </c>
      <c r="EO257">
        <v>0.1</v>
      </c>
      <c r="EP257">
        <v>0.1</v>
      </c>
      <c r="EQ257">
        <v>0.1</v>
      </c>
      <c r="ER257">
        <v>0.1</v>
      </c>
      <c r="ES257">
        <v>0.1</v>
      </c>
      <c r="ET257">
        <v>0.1</v>
      </c>
      <c r="EU257">
        <v>0.1</v>
      </c>
      <c r="EV257">
        <v>0.1</v>
      </c>
      <c r="EW257">
        <v>0.1</v>
      </c>
      <c r="EX257">
        <v>0.1</v>
      </c>
      <c r="EY257">
        <v>0.1</v>
      </c>
      <c r="EZ257">
        <v>0.1</v>
      </c>
      <c r="FA257">
        <v>0.1</v>
      </c>
      <c r="FB257">
        <v>0.1</v>
      </c>
      <c r="FC257">
        <v>0.1</v>
      </c>
      <c r="FD257">
        <v>0.1</v>
      </c>
      <c r="FE257">
        <v>0.1</v>
      </c>
      <c r="FF257">
        <v>0.1</v>
      </c>
      <c r="FG257">
        <v>0.1</v>
      </c>
      <c r="FH257">
        <v>0.1</v>
      </c>
      <c r="FI257">
        <v>0.1</v>
      </c>
      <c r="FJ257">
        <v>0.1</v>
      </c>
      <c r="FK257">
        <v>0.1</v>
      </c>
      <c r="FL257">
        <v>0.1</v>
      </c>
      <c r="FM257">
        <v>0.1</v>
      </c>
      <c r="FN257">
        <v>0.1</v>
      </c>
      <c r="FO257">
        <v>0.1</v>
      </c>
      <c r="FP257">
        <v>0.1</v>
      </c>
      <c r="FQ257">
        <v>0.1</v>
      </c>
      <c r="FU257">
        <v>254</v>
      </c>
      <c r="GB257">
        <v>0.1</v>
      </c>
      <c r="GC257">
        <v>0.1</v>
      </c>
      <c r="GD257">
        <v>0.1</v>
      </c>
      <c r="GE257">
        <v>0.1</v>
      </c>
      <c r="GF257">
        <v>0.1</v>
      </c>
      <c r="GG257">
        <v>0.1</v>
      </c>
      <c r="GH257">
        <v>0.1</v>
      </c>
      <c r="GI257">
        <v>0.1</v>
      </c>
      <c r="GJ257">
        <v>0.1</v>
      </c>
      <c r="GK257">
        <v>0.1</v>
      </c>
      <c r="GL257">
        <v>0.1</v>
      </c>
      <c r="GM257">
        <v>0.1</v>
      </c>
      <c r="GN257">
        <v>0.1</v>
      </c>
      <c r="GO257">
        <v>0.1</v>
      </c>
      <c r="GP257">
        <v>0.1</v>
      </c>
      <c r="GQ257">
        <v>0.1</v>
      </c>
      <c r="GR257">
        <v>0.1</v>
      </c>
      <c r="GS257">
        <v>0.1</v>
      </c>
      <c r="GT257">
        <v>0.1</v>
      </c>
      <c r="GU257">
        <v>0.1</v>
      </c>
      <c r="GV257">
        <v>0.1</v>
      </c>
      <c r="GW257">
        <v>0.1</v>
      </c>
      <c r="GX257">
        <v>0.1</v>
      </c>
      <c r="GY257">
        <v>0.1</v>
      </c>
      <c r="GZ257">
        <v>0.1</v>
      </c>
      <c r="HA257">
        <v>0.1</v>
      </c>
      <c r="HB257">
        <v>0.1</v>
      </c>
      <c r="HC257">
        <v>0.1</v>
      </c>
      <c r="HD257">
        <v>0.1</v>
      </c>
      <c r="HE257">
        <v>0.1</v>
      </c>
      <c r="HF257">
        <v>0.1</v>
      </c>
      <c r="HG257">
        <v>0.1</v>
      </c>
      <c r="HH257">
        <v>0.1</v>
      </c>
      <c r="HI257">
        <v>0.1</v>
      </c>
      <c r="HJ257">
        <v>0.1</v>
      </c>
      <c r="HK257">
        <v>0.1</v>
      </c>
      <c r="HL257">
        <v>0.1</v>
      </c>
      <c r="HM257">
        <v>0.1</v>
      </c>
      <c r="HN257">
        <v>0.1</v>
      </c>
      <c r="HO257">
        <v>0.1</v>
      </c>
    </row>
    <row r="258" spans="71:223" ht="15.75" thickBot="1" x14ac:dyDescent="0.3">
      <c r="BS258">
        <v>255</v>
      </c>
      <c r="BT258" s="271">
        <v>3.15</v>
      </c>
      <c r="BU258" s="270">
        <v>2.73</v>
      </c>
      <c r="BV258" s="2"/>
      <c r="BW258" s="2"/>
      <c r="BX258" s="2"/>
      <c r="BY258" s="258">
        <v>0.1</v>
      </c>
      <c r="BZ258" s="259">
        <v>0.1</v>
      </c>
      <c r="CA258" s="259">
        <v>0.1</v>
      </c>
      <c r="CB258" s="259">
        <v>0.1</v>
      </c>
      <c r="CC258" s="259">
        <v>0.1</v>
      </c>
      <c r="CD258" s="259">
        <v>0.1</v>
      </c>
      <c r="CE258" s="259">
        <v>0.1</v>
      </c>
      <c r="CF258" s="259">
        <v>0.1</v>
      </c>
      <c r="CG258" s="259">
        <v>0.1</v>
      </c>
      <c r="CH258" s="259">
        <v>0.1</v>
      </c>
      <c r="CI258" s="259">
        <v>0.1</v>
      </c>
      <c r="CJ258" s="259">
        <v>0.1</v>
      </c>
      <c r="CK258" s="259">
        <v>0.1</v>
      </c>
      <c r="CL258" s="259">
        <v>0.1</v>
      </c>
      <c r="CM258" s="259">
        <v>0.1</v>
      </c>
      <c r="CN258" s="259">
        <v>0.1</v>
      </c>
      <c r="CO258" s="259">
        <v>0.1</v>
      </c>
      <c r="CP258" s="259">
        <v>0.1</v>
      </c>
      <c r="CQ258" s="259">
        <v>0.1</v>
      </c>
      <c r="CR258" s="259">
        <v>0.1</v>
      </c>
      <c r="CS258" s="259">
        <v>0.1</v>
      </c>
      <c r="CT258" s="259">
        <v>0.1</v>
      </c>
      <c r="CU258" s="259">
        <v>0.1</v>
      </c>
      <c r="CV258" s="259">
        <v>0.1</v>
      </c>
      <c r="CW258" s="259">
        <v>0.1</v>
      </c>
      <c r="CX258" s="259">
        <v>0.1</v>
      </c>
      <c r="CY258" s="259">
        <v>0.1</v>
      </c>
      <c r="CZ258" s="259">
        <v>0.1</v>
      </c>
      <c r="DA258" s="259">
        <v>0.1</v>
      </c>
      <c r="DB258" s="259">
        <v>0.1</v>
      </c>
      <c r="DC258" s="259">
        <v>0.1</v>
      </c>
      <c r="DD258" s="260">
        <v>0.1</v>
      </c>
      <c r="DE258" s="258">
        <v>0.1</v>
      </c>
      <c r="DF258" s="259">
        <v>0.1</v>
      </c>
      <c r="DG258" s="259">
        <v>0.1</v>
      </c>
      <c r="DH258" s="259">
        <v>0.1</v>
      </c>
      <c r="DI258" s="259">
        <v>0.1</v>
      </c>
      <c r="DJ258" s="259">
        <v>0.1</v>
      </c>
      <c r="DK258" s="259">
        <v>0.1</v>
      </c>
      <c r="DL258" s="259">
        <v>0.1</v>
      </c>
      <c r="DM258" s="259">
        <v>0.1</v>
      </c>
      <c r="DN258" s="259">
        <v>0.1</v>
      </c>
      <c r="DO258" s="259">
        <v>0.1</v>
      </c>
      <c r="DP258" s="259">
        <v>0.1</v>
      </c>
      <c r="DQ258" s="259">
        <v>0.1</v>
      </c>
      <c r="DR258" s="259">
        <v>0.1</v>
      </c>
      <c r="DS258" s="259">
        <v>0.1</v>
      </c>
      <c r="DT258" s="259">
        <v>0.1</v>
      </c>
      <c r="DU258" s="259">
        <v>0.1</v>
      </c>
      <c r="DV258" s="259">
        <v>0.1</v>
      </c>
      <c r="DW258" s="259">
        <v>0.1</v>
      </c>
      <c r="DX258" s="259">
        <v>0.1</v>
      </c>
      <c r="DY258" s="259">
        <v>0.1</v>
      </c>
      <c r="DZ258" s="259">
        <v>0.1</v>
      </c>
      <c r="EA258" s="259">
        <v>0.1</v>
      </c>
      <c r="EB258" s="259">
        <v>0.1</v>
      </c>
      <c r="EC258" s="259">
        <v>0.1</v>
      </c>
      <c r="ED258" s="259">
        <v>0.1</v>
      </c>
      <c r="EE258" s="259">
        <v>0.1</v>
      </c>
      <c r="EF258" s="260">
        <v>0.1</v>
      </c>
      <c r="EJ258">
        <v>255</v>
      </c>
      <c r="EN258">
        <v>0.1</v>
      </c>
      <c r="EO258">
        <v>0.1</v>
      </c>
      <c r="EP258">
        <v>0.1</v>
      </c>
      <c r="EQ258">
        <v>0.1</v>
      </c>
      <c r="ER258">
        <v>0.1</v>
      </c>
      <c r="ES258">
        <v>0.1</v>
      </c>
      <c r="ET258">
        <v>0.1</v>
      </c>
      <c r="EU258">
        <v>0.1</v>
      </c>
      <c r="EV258">
        <v>0.1</v>
      </c>
      <c r="EW258">
        <v>0.1</v>
      </c>
      <c r="EX258">
        <v>0.1</v>
      </c>
      <c r="EY258">
        <v>0.1</v>
      </c>
      <c r="EZ258">
        <v>0.1</v>
      </c>
      <c r="FA258">
        <v>0.1</v>
      </c>
      <c r="FB258">
        <v>0.1</v>
      </c>
      <c r="FC258">
        <v>0.1</v>
      </c>
      <c r="FD258">
        <v>0.1</v>
      </c>
      <c r="FE258">
        <v>0.1</v>
      </c>
      <c r="FF258">
        <v>0.1</v>
      </c>
      <c r="FG258">
        <v>0.1</v>
      </c>
      <c r="FH258">
        <v>0.1</v>
      </c>
      <c r="FI258">
        <v>0.1</v>
      </c>
      <c r="FJ258">
        <v>0.1</v>
      </c>
      <c r="FK258">
        <v>0.1</v>
      </c>
      <c r="FL258">
        <v>0.1</v>
      </c>
      <c r="FM258">
        <v>0.1</v>
      </c>
      <c r="FN258">
        <v>0.1</v>
      </c>
      <c r="FO258">
        <v>0.1</v>
      </c>
      <c r="FP258">
        <v>0.1</v>
      </c>
      <c r="FQ258">
        <v>0.1</v>
      </c>
      <c r="FU258">
        <v>255</v>
      </c>
      <c r="GB258">
        <v>0.1</v>
      </c>
      <c r="GC258">
        <v>0.1</v>
      </c>
      <c r="GD258">
        <v>0.1</v>
      </c>
      <c r="GE258">
        <v>0.1</v>
      </c>
      <c r="GF258">
        <v>0.1</v>
      </c>
      <c r="GG258">
        <v>0.1</v>
      </c>
      <c r="GH258">
        <v>0.1</v>
      </c>
      <c r="GI258">
        <v>0.1</v>
      </c>
      <c r="GJ258">
        <v>0.1</v>
      </c>
      <c r="GK258">
        <v>0.1</v>
      </c>
      <c r="GL258">
        <v>0.1</v>
      </c>
      <c r="GM258">
        <v>0.1</v>
      </c>
      <c r="GN258">
        <v>0.1</v>
      </c>
      <c r="GO258">
        <v>0.1</v>
      </c>
      <c r="GP258">
        <v>0.1</v>
      </c>
      <c r="GQ258">
        <v>0.1</v>
      </c>
      <c r="GR258">
        <v>0.1</v>
      </c>
      <c r="GS258">
        <v>0.1</v>
      </c>
      <c r="GT258">
        <v>0.1</v>
      </c>
      <c r="GU258">
        <v>0.1</v>
      </c>
      <c r="GV258">
        <v>0.1</v>
      </c>
      <c r="GW258">
        <v>0.1</v>
      </c>
      <c r="GX258">
        <v>0.1</v>
      </c>
      <c r="GY258">
        <v>0.1</v>
      </c>
      <c r="GZ258">
        <v>0.1</v>
      </c>
      <c r="HA258">
        <v>0.1</v>
      </c>
      <c r="HB258">
        <v>0.1</v>
      </c>
      <c r="HC258">
        <v>0.1</v>
      </c>
      <c r="HD258">
        <v>0.1</v>
      </c>
      <c r="HE258">
        <v>0.1</v>
      </c>
      <c r="HF258">
        <v>0.1</v>
      </c>
      <c r="HG258">
        <v>0.1</v>
      </c>
      <c r="HH258">
        <v>0.1</v>
      </c>
      <c r="HI258">
        <v>0.1</v>
      </c>
      <c r="HJ258">
        <v>0.1</v>
      </c>
      <c r="HK258">
        <v>0.1</v>
      </c>
      <c r="HL258">
        <v>0.1</v>
      </c>
      <c r="HM258">
        <v>0.1</v>
      </c>
      <c r="HN258">
        <v>0.1</v>
      </c>
      <c r="HO258">
        <v>0.1</v>
      </c>
    </row>
    <row r="259" spans="71:223" ht="15.75" thickBot="1" x14ac:dyDescent="0.3">
      <c r="BS259">
        <v>256</v>
      </c>
      <c r="BT259" s="270">
        <v>3.15</v>
      </c>
      <c r="BU259" s="271">
        <v>2.74</v>
      </c>
      <c r="BV259" s="2"/>
      <c r="BW259" s="2"/>
      <c r="BX259" s="2"/>
      <c r="BY259" s="258">
        <v>0.1</v>
      </c>
      <c r="BZ259" s="259">
        <v>0.1</v>
      </c>
      <c r="CA259" s="259">
        <v>0.1</v>
      </c>
      <c r="CB259" s="259">
        <v>0.1</v>
      </c>
      <c r="CC259" s="259">
        <v>0.1</v>
      </c>
      <c r="CD259" s="259">
        <v>0.1</v>
      </c>
      <c r="CE259" s="259">
        <v>0.1</v>
      </c>
      <c r="CF259" s="259">
        <v>0.1</v>
      </c>
      <c r="CG259" s="259">
        <v>0.1</v>
      </c>
      <c r="CH259" s="259">
        <v>0.1</v>
      </c>
      <c r="CI259" s="259">
        <v>0.1</v>
      </c>
      <c r="CJ259" s="259">
        <v>0.1</v>
      </c>
      <c r="CK259" s="259">
        <v>0.1</v>
      </c>
      <c r="CL259" s="259">
        <v>0.1</v>
      </c>
      <c r="CM259" s="259">
        <v>0.1</v>
      </c>
      <c r="CN259" s="259">
        <v>0.1</v>
      </c>
      <c r="CO259" s="259">
        <v>0.1</v>
      </c>
      <c r="CP259" s="259">
        <v>0.1</v>
      </c>
      <c r="CQ259" s="259">
        <v>0.1</v>
      </c>
      <c r="CR259" s="259">
        <v>0.1</v>
      </c>
      <c r="CS259" s="259">
        <v>0.1</v>
      </c>
      <c r="CT259" s="259">
        <v>0.1</v>
      </c>
      <c r="CU259" s="259">
        <v>0.1</v>
      </c>
      <c r="CV259" s="259">
        <v>0.1</v>
      </c>
      <c r="CW259" s="259">
        <v>0.1</v>
      </c>
      <c r="CX259" s="259">
        <v>0.1</v>
      </c>
      <c r="CY259" s="259">
        <v>0.1</v>
      </c>
      <c r="CZ259" s="259">
        <v>0.1</v>
      </c>
      <c r="DA259" s="259">
        <v>0.1</v>
      </c>
      <c r="DB259" s="259">
        <v>0.1</v>
      </c>
      <c r="DC259" s="259">
        <v>0.1</v>
      </c>
      <c r="DD259" s="260">
        <v>0.1</v>
      </c>
      <c r="DE259" s="258">
        <v>0.1</v>
      </c>
      <c r="DF259" s="259">
        <v>0.1</v>
      </c>
      <c r="DG259" s="259">
        <v>0.1</v>
      </c>
      <c r="DH259" s="259">
        <v>0.1</v>
      </c>
      <c r="DI259" s="259">
        <v>0.1</v>
      </c>
      <c r="DJ259" s="259">
        <v>0.1</v>
      </c>
      <c r="DK259" s="259">
        <v>0.1</v>
      </c>
      <c r="DL259" s="259">
        <v>0.1</v>
      </c>
      <c r="DM259" s="259">
        <v>0.1</v>
      </c>
      <c r="DN259" s="259">
        <v>0.1</v>
      </c>
      <c r="DO259" s="259">
        <v>0.1</v>
      </c>
      <c r="DP259" s="259">
        <v>0.1</v>
      </c>
      <c r="DQ259" s="259">
        <v>0.1</v>
      </c>
      <c r="DR259" s="259">
        <v>0.1</v>
      </c>
      <c r="DS259" s="259">
        <v>0.1</v>
      </c>
      <c r="DT259" s="259">
        <v>0.1</v>
      </c>
      <c r="DU259" s="259">
        <v>0.1</v>
      </c>
      <c r="DV259" s="259">
        <v>0.1</v>
      </c>
      <c r="DW259" s="259">
        <v>0.1</v>
      </c>
      <c r="DX259" s="259">
        <v>0.1</v>
      </c>
      <c r="DY259" s="259">
        <v>0.1</v>
      </c>
      <c r="DZ259" s="259">
        <v>0.1</v>
      </c>
      <c r="EA259" s="259">
        <v>0.1</v>
      </c>
      <c r="EB259" s="259">
        <v>0.1</v>
      </c>
      <c r="EC259" s="259">
        <v>0.1</v>
      </c>
      <c r="ED259" s="259">
        <v>0.1</v>
      </c>
      <c r="EE259" s="259">
        <v>0.1</v>
      </c>
      <c r="EF259" s="260">
        <v>0.1</v>
      </c>
      <c r="EJ259">
        <v>256</v>
      </c>
      <c r="EN259">
        <v>0.1</v>
      </c>
      <c r="EO259">
        <v>0.1</v>
      </c>
      <c r="EP259">
        <v>0.1</v>
      </c>
      <c r="EQ259">
        <v>0.1</v>
      </c>
      <c r="ER259">
        <v>0.1</v>
      </c>
      <c r="ES259">
        <v>0.1</v>
      </c>
      <c r="ET259">
        <v>0.1</v>
      </c>
      <c r="EU259">
        <v>0.1</v>
      </c>
      <c r="EV259">
        <v>0.1</v>
      </c>
      <c r="EW259">
        <v>0.1</v>
      </c>
      <c r="EX259">
        <v>0.1</v>
      </c>
      <c r="EY259">
        <v>0.1</v>
      </c>
      <c r="EZ259">
        <v>0.1</v>
      </c>
      <c r="FA259">
        <v>0.1</v>
      </c>
      <c r="FB259">
        <v>0.1</v>
      </c>
      <c r="FC259">
        <v>0.1</v>
      </c>
      <c r="FD259">
        <v>0.1</v>
      </c>
      <c r="FE259">
        <v>0.1</v>
      </c>
      <c r="FF259">
        <v>0.1</v>
      </c>
      <c r="FG259">
        <v>0.1</v>
      </c>
      <c r="FH259">
        <v>0.1</v>
      </c>
      <c r="FI259">
        <v>0.1</v>
      </c>
      <c r="FJ259">
        <v>0.1</v>
      </c>
      <c r="FK259">
        <v>0.1</v>
      </c>
      <c r="FL259">
        <v>0.1</v>
      </c>
      <c r="FM259">
        <v>0.1</v>
      </c>
      <c r="FN259">
        <v>0.1</v>
      </c>
      <c r="FO259">
        <v>0.1</v>
      </c>
      <c r="FP259">
        <v>0.1</v>
      </c>
      <c r="FQ259">
        <v>0.1</v>
      </c>
      <c r="FU259">
        <v>256</v>
      </c>
      <c r="GB259">
        <v>0.1</v>
      </c>
      <c r="GC259">
        <v>0.1</v>
      </c>
      <c r="GD259">
        <v>0.1</v>
      </c>
      <c r="GE259">
        <v>0.1</v>
      </c>
      <c r="GF259">
        <v>0.1</v>
      </c>
      <c r="GG259">
        <v>0.1</v>
      </c>
      <c r="GH259">
        <v>0.1</v>
      </c>
      <c r="GI259">
        <v>0.1</v>
      </c>
      <c r="GJ259">
        <v>0.1</v>
      </c>
      <c r="GK259">
        <v>0.1</v>
      </c>
      <c r="GL259">
        <v>0.1</v>
      </c>
      <c r="GM259">
        <v>0.1</v>
      </c>
      <c r="GN259">
        <v>0.1</v>
      </c>
      <c r="GO259">
        <v>0.1</v>
      </c>
      <c r="GP259">
        <v>0.1</v>
      </c>
      <c r="GQ259">
        <v>0.1</v>
      </c>
      <c r="GR259">
        <v>0.1</v>
      </c>
      <c r="GS259">
        <v>0.1</v>
      </c>
      <c r="GT259">
        <v>0.1</v>
      </c>
      <c r="GU259">
        <v>0.1</v>
      </c>
      <c r="GV259">
        <v>0.1</v>
      </c>
      <c r="GW259">
        <v>0.1</v>
      </c>
      <c r="GX259">
        <v>0.1</v>
      </c>
      <c r="GY259">
        <v>0.1</v>
      </c>
      <c r="GZ259">
        <v>0.1</v>
      </c>
      <c r="HA259">
        <v>0.1</v>
      </c>
      <c r="HB259">
        <v>0.1</v>
      </c>
      <c r="HC259">
        <v>0.1</v>
      </c>
      <c r="HD259">
        <v>0.1</v>
      </c>
      <c r="HE259">
        <v>0.1</v>
      </c>
      <c r="HF259">
        <v>0.1</v>
      </c>
      <c r="HG259">
        <v>0.1</v>
      </c>
      <c r="HH259">
        <v>0.1</v>
      </c>
      <c r="HI259">
        <v>0.1</v>
      </c>
      <c r="HJ259">
        <v>0.1</v>
      </c>
      <c r="HK259">
        <v>0.1</v>
      </c>
      <c r="HL259">
        <v>0.1</v>
      </c>
      <c r="HM259">
        <v>0.1</v>
      </c>
      <c r="HN259">
        <v>0.1</v>
      </c>
      <c r="HO259">
        <v>0.1</v>
      </c>
    </row>
    <row r="260" spans="71:223" ht="15.75" thickBot="1" x14ac:dyDescent="0.3">
      <c r="BS260">
        <v>257</v>
      </c>
      <c r="BT260" s="271">
        <v>3.15</v>
      </c>
      <c r="BU260" s="270">
        <v>2.74</v>
      </c>
      <c r="BV260" s="2"/>
      <c r="BW260" s="2"/>
      <c r="BX260" s="2"/>
      <c r="BY260" s="258">
        <v>0.1</v>
      </c>
      <c r="BZ260" s="259">
        <v>0.1</v>
      </c>
      <c r="CA260" s="259">
        <v>0.1</v>
      </c>
      <c r="CB260" s="259">
        <v>0.1</v>
      </c>
      <c r="CC260" s="259">
        <v>0.1</v>
      </c>
      <c r="CD260" s="259">
        <v>0.1</v>
      </c>
      <c r="CE260" s="259">
        <v>0.1</v>
      </c>
      <c r="CF260" s="259">
        <v>0.1</v>
      </c>
      <c r="CG260" s="259">
        <v>0.1</v>
      </c>
      <c r="CH260" s="259">
        <v>0.1</v>
      </c>
      <c r="CI260" s="259">
        <v>0.1</v>
      </c>
      <c r="CJ260" s="259">
        <v>0.1</v>
      </c>
      <c r="CK260" s="259">
        <v>0.1</v>
      </c>
      <c r="CL260" s="259">
        <v>0.1</v>
      </c>
      <c r="CM260" s="259">
        <v>0.1</v>
      </c>
      <c r="CN260" s="259">
        <v>0.1</v>
      </c>
      <c r="CO260" s="259">
        <v>0.1</v>
      </c>
      <c r="CP260" s="259">
        <v>0.1</v>
      </c>
      <c r="CQ260" s="259">
        <v>0.1</v>
      </c>
      <c r="CR260" s="259">
        <v>0.1</v>
      </c>
      <c r="CS260" s="259">
        <v>0.1</v>
      </c>
      <c r="CT260" s="259">
        <v>0.1</v>
      </c>
      <c r="CU260" s="259">
        <v>0.1</v>
      </c>
      <c r="CV260" s="259">
        <v>0.1</v>
      </c>
      <c r="CW260" s="259">
        <v>0.1</v>
      </c>
      <c r="CX260" s="259">
        <v>0.1</v>
      </c>
      <c r="CY260" s="259">
        <v>0.1</v>
      </c>
      <c r="CZ260" s="259">
        <v>0.1</v>
      </c>
      <c r="DA260" s="259">
        <v>0.1</v>
      </c>
      <c r="DB260" s="259">
        <v>0.1</v>
      </c>
      <c r="DC260" s="259">
        <v>0.1</v>
      </c>
      <c r="DD260" s="260">
        <v>0.1</v>
      </c>
      <c r="DE260" s="258">
        <v>0.1</v>
      </c>
      <c r="DF260" s="259">
        <v>0.1</v>
      </c>
      <c r="DG260" s="259">
        <v>0.1</v>
      </c>
      <c r="DH260" s="259">
        <v>0.1</v>
      </c>
      <c r="DI260" s="259">
        <v>0.1</v>
      </c>
      <c r="DJ260" s="259">
        <v>0.1</v>
      </c>
      <c r="DK260" s="259">
        <v>0.1</v>
      </c>
      <c r="DL260" s="259">
        <v>0.1</v>
      </c>
      <c r="DM260" s="259">
        <v>0.1</v>
      </c>
      <c r="DN260" s="259">
        <v>0.1</v>
      </c>
      <c r="DO260" s="259">
        <v>0.1</v>
      </c>
      <c r="DP260" s="259">
        <v>0.1</v>
      </c>
      <c r="DQ260" s="259">
        <v>0.1</v>
      </c>
      <c r="DR260" s="259">
        <v>0.1</v>
      </c>
      <c r="DS260" s="259">
        <v>0.1</v>
      </c>
      <c r="DT260" s="259">
        <v>0.1</v>
      </c>
      <c r="DU260" s="259">
        <v>0.1</v>
      </c>
      <c r="DV260" s="259">
        <v>0.1</v>
      </c>
      <c r="DW260" s="259">
        <v>0.1</v>
      </c>
      <c r="DX260" s="259">
        <v>0.1</v>
      </c>
      <c r="DY260" s="259">
        <v>0.1</v>
      </c>
      <c r="DZ260" s="259">
        <v>0.1</v>
      </c>
      <c r="EA260" s="259">
        <v>0.1</v>
      </c>
      <c r="EB260" s="259">
        <v>0.1</v>
      </c>
      <c r="EC260" s="259">
        <v>0.1</v>
      </c>
      <c r="ED260" s="259">
        <v>0.1</v>
      </c>
      <c r="EE260" s="259">
        <v>0.1</v>
      </c>
      <c r="EF260" s="260">
        <v>0.1</v>
      </c>
      <c r="EJ260">
        <v>257</v>
      </c>
      <c r="EN260">
        <v>0.1</v>
      </c>
      <c r="EO260">
        <v>0.1</v>
      </c>
      <c r="EP260">
        <v>0.1</v>
      </c>
      <c r="EQ260">
        <v>0.1</v>
      </c>
      <c r="ER260">
        <v>0.1</v>
      </c>
      <c r="ES260">
        <v>0.1</v>
      </c>
      <c r="ET260">
        <v>0.1</v>
      </c>
      <c r="EU260">
        <v>0.1</v>
      </c>
      <c r="EV260">
        <v>0.1</v>
      </c>
      <c r="EW260">
        <v>0.1</v>
      </c>
      <c r="EX260">
        <v>0.1</v>
      </c>
      <c r="EY260">
        <v>0.1</v>
      </c>
      <c r="EZ260">
        <v>0.1</v>
      </c>
      <c r="FA260">
        <v>0.1</v>
      </c>
      <c r="FB260">
        <v>0.1</v>
      </c>
      <c r="FC260">
        <v>0.1</v>
      </c>
      <c r="FD260">
        <v>0.1</v>
      </c>
      <c r="FE260">
        <v>0.1</v>
      </c>
      <c r="FF260">
        <v>0.1</v>
      </c>
      <c r="FG260">
        <v>0.1</v>
      </c>
      <c r="FH260">
        <v>0.1</v>
      </c>
      <c r="FI260">
        <v>0.1</v>
      </c>
      <c r="FJ260">
        <v>0.1</v>
      </c>
      <c r="FK260">
        <v>0.1</v>
      </c>
      <c r="FL260">
        <v>0.1</v>
      </c>
      <c r="FM260">
        <v>0.1</v>
      </c>
      <c r="FN260">
        <v>0.1</v>
      </c>
      <c r="FO260">
        <v>0.1</v>
      </c>
      <c r="FP260">
        <v>0.1</v>
      </c>
      <c r="FQ260">
        <v>0.1</v>
      </c>
      <c r="FU260">
        <v>257</v>
      </c>
      <c r="GB260">
        <v>0.1</v>
      </c>
      <c r="GC260">
        <v>0.1</v>
      </c>
      <c r="GD260">
        <v>0.1</v>
      </c>
      <c r="GE260">
        <v>0.1</v>
      </c>
      <c r="GF260">
        <v>0.1</v>
      </c>
      <c r="GG260">
        <v>0.1</v>
      </c>
      <c r="GH260">
        <v>0.1</v>
      </c>
      <c r="GI260">
        <v>0.1</v>
      </c>
      <c r="GJ260">
        <v>0.1</v>
      </c>
      <c r="GK260">
        <v>0.1</v>
      </c>
      <c r="GL260">
        <v>0.1</v>
      </c>
      <c r="GM260">
        <v>0.1</v>
      </c>
      <c r="GN260">
        <v>0.1</v>
      </c>
      <c r="GO260">
        <v>0.1</v>
      </c>
      <c r="GP260">
        <v>0.1</v>
      </c>
      <c r="GQ260">
        <v>0.1</v>
      </c>
      <c r="GR260">
        <v>0.1</v>
      </c>
      <c r="GS260">
        <v>0.1</v>
      </c>
      <c r="GT260">
        <v>0.1</v>
      </c>
      <c r="GU260">
        <v>0.1</v>
      </c>
      <c r="GV260">
        <v>0.1</v>
      </c>
      <c r="GW260">
        <v>0.1</v>
      </c>
      <c r="GX260">
        <v>0.1</v>
      </c>
      <c r="GY260">
        <v>0.1</v>
      </c>
      <c r="GZ260">
        <v>0.1</v>
      </c>
      <c r="HA260">
        <v>0.1</v>
      </c>
      <c r="HB260">
        <v>0.1</v>
      </c>
      <c r="HC260">
        <v>0.1</v>
      </c>
      <c r="HD260">
        <v>0.1</v>
      </c>
      <c r="HE260">
        <v>0.1</v>
      </c>
      <c r="HF260">
        <v>0.1</v>
      </c>
      <c r="HG260">
        <v>0.1</v>
      </c>
      <c r="HH260">
        <v>0.1</v>
      </c>
      <c r="HI260">
        <v>0.1</v>
      </c>
      <c r="HJ260">
        <v>0.1</v>
      </c>
      <c r="HK260">
        <v>0.1</v>
      </c>
      <c r="HL260">
        <v>0.1</v>
      </c>
      <c r="HM260">
        <v>0.1</v>
      </c>
      <c r="HN260">
        <v>0.1</v>
      </c>
      <c r="HO260">
        <v>0.1</v>
      </c>
    </row>
    <row r="261" spans="71:223" ht="15.75" thickBot="1" x14ac:dyDescent="0.3">
      <c r="BS261">
        <v>258</v>
      </c>
      <c r="BT261" s="270">
        <v>3.15</v>
      </c>
      <c r="BU261" s="271">
        <v>2.75</v>
      </c>
      <c r="BV261" s="2"/>
      <c r="BW261" s="2"/>
      <c r="BX261" s="2"/>
      <c r="BY261" s="258">
        <v>0.1</v>
      </c>
      <c r="BZ261" s="259">
        <v>0.1</v>
      </c>
      <c r="CA261" s="259">
        <v>0.1</v>
      </c>
      <c r="CB261" s="259">
        <v>0.1</v>
      </c>
      <c r="CC261" s="259">
        <v>0.1</v>
      </c>
      <c r="CD261" s="259">
        <v>0.1</v>
      </c>
      <c r="CE261" s="259">
        <v>0.1</v>
      </c>
      <c r="CF261" s="259">
        <v>0.1</v>
      </c>
      <c r="CG261" s="259">
        <v>0.1</v>
      </c>
      <c r="CH261" s="259">
        <v>0.1</v>
      </c>
      <c r="CI261" s="259">
        <v>0.1</v>
      </c>
      <c r="CJ261" s="259">
        <v>0.1</v>
      </c>
      <c r="CK261" s="259">
        <v>0.1</v>
      </c>
      <c r="CL261" s="259">
        <v>0.1</v>
      </c>
      <c r="CM261" s="259">
        <v>0.1</v>
      </c>
      <c r="CN261" s="259">
        <v>0.1</v>
      </c>
      <c r="CO261" s="259">
        <v>0.1</v>
      </c>
      <c r="CP261" s="259">
        <v>0.1</v>
      </c>
      <c r="CQ261" s="259">
        <v>0.1</v>
      </c>
      <c r="CR261" s="259">
        <v>0.1</v>
      </c>
      <c r="CS261" s="259">
        <v>0.1</v>
      </c>
      <c r="CT261" s="259">
        <v>0.1</v>
      </c>
      <c r="CU261" s="259">
        <v>0.1</v>
      </c>
      <c r="CV261" s="259">
        <v>0.1</v>
      </c>
      <c r="CW261" s="259">
        <v>0.1</v>
      </c>
      <c r="CX261" s="259">
        <v>0.1</v>
      </c>
      <c r="CY261" s="259">
        <v>0.1</v>
      </c>
      <c r="CZ261" s="259">
        <v>0.1</v>
      </c>
      <c r="DA261" s="259">
        <v>0.1</v>
      </c>
      <c r="DB261" s="259">
        <v>0.1</v>
      </c>
      <c r="DC261" s="259">
        <v>0.1</v>
      </c>
      <c r="DD261" s="260">
        <v>0.1</v>
      </c>
      <c r="DE261" s="258">
        <v>0.1</v>
      </c>
      <c r="DF261" s="259">
        <v>0.1</v>
      </c>
      <c r="DG261" s="259">
        <v>0.1</v>
      </c>
      <c r="DH261" s="259">
        <v>0.1</v>
      </c>
      <c r="DI261" s="259">
        <v>0.1</v>
      </c>
      <c r="DJ261" s="259">
        <v>0.1</v>
      </c>
      <c r="DK261" s="259">
        <v>0.1</v>
      </c>
      <c r="DL261" s="259">
        <v>0.1</v>
      </c>
      <c r="DM261" s="259">
        <v>0.1</v>
      </c>
      <c r="DN261" s="259">
        <v>0.1</v>
      </c>
      <c r="DO261" s="259">
        <v>0.1</v>
      </c>
      <c r="DP261" s="259">
        <v>0.1</v>
      </c>
      <c r="DQ261" s="259">
        <v>0.1</v>
      </c>
      <c r="DR261" s="259">
        <v>0.1</v>
      </c>
      <c r="DS261" s="259">
        <v>0.1</v>
      </c>
      <c r="DT261" s="259">
        <v>0.1</v>
      </c>
      <c r="DU261" s="259">
        <v>0.1</v>
      </c>
      <c r="DV261" s="259">
        <v>0.1</v>
      </c>
      <c r="DW261" s="259">
        <v>0.1</v>
      </c>
      <c r="DX261" s="259">
        <v>0.1</v>
      </c>
      <c r="DY261" s="259">
        <v>0.1</v>
      </c>
      <c r="DZ261" s="259">
        <v>0.1</v>
      </c>
      <c r="EA261" s="259">
        <v>0.1</v>
      </c>
      <c r="EB261" s="259">
        <v>0.1</v>
      </c>
      <c r="EC261" s="259">
        <v>0.1</v>
      </c>
      <c r="ED261" s="259">
        <v>0.1</v>
      </c>
      <c r="EE261" s="259">
        <v>0.1</v>
      </c>
      <c r="EF261" s="260">
        <v>0.1</v>
      </c>
    </row>
    <row r="262" spans="71:223" ht="15.75" thickBot="1" x14ac:dyDescent="0.3">
      <c r="BS262">
        <v>259</v>
      </c>
      <c r="BT262" s="271">
        <v>3.15</v>
      </c>
      <c r="BU262" s="270">
        <v>2.75</v>
      </c>
      <c r="BV262" s="2"/>
      <c r="BW262" s="2"/>
      <c r="BX262" s="2"/>
      <c r="BY262" s="258">
        <v>0.1</v>
      </c>
      <c r="BZ262" s="259">
        <v>0.1</v>
      </c>
      <c r="CA262" s="259">
        <v>0.1</v>
      </c>
      <c r="CB262" s="259">
        <v>0.1</v>
      </c>
      <c r="CC262" s="259">
        <v>0.1</v>
      </c>
      <c r="CD262" s="259">
        <v>0.1</v>
      </c>
      <c r="CE262" s="259">
        <v>0.1</v>
      </c>
      <c r="CF262" s="259">
        <v>0.1</v>
      </c>
      <c r="CG262" s="259">
        <v>0.1</v>
      </c>
      <c r="CH262" s="259">
        <v>0.1</v>
      </c>
      <c r="CI262" s="259">
        <v>0.1</v>
      </c>
      <c r="CJ262" s="259">
        <v>0.1</v>
      </c>
      <c r="CK262" s="259">
        <v>0.1</v>
      </c>
      <c r="CL262" s="259">
        <v>0.1</v>
      </c>
      <c r="CM262" s="259">
        <v>0.1</v>
      </c>
      <c r="CN262" s="259">
        <v>0.1</v>
      </c>
      <c r="CO262" s="259">
        <v>0.1</v>
      </c>
      <c r="CP262" s="259">
        <v>0.1</v>
      </c>
      <c r="CQ262" s="259">
        <v>0.1</v>
      </c>
      <c r="CR262" s="259">
        <v>0.1</v>
      </c>
      <c r="CS262" s="259">
        <v>0.1</v>
      </c>
      <c r="CT262" s="259">
        <v>0.1</v>
      </c>
      <c r="CU262" s="259">
        <v>0.1</v>
      </c>
      <c r="CV262" s="259">
        <v>0.1</v>
      </c>
      <c r="CW262" s="259">
        <v>0.1</v>
      </c>
      <c r="CX262" s="259">
        <v>0.1</v>
      </c>
      <c r="CY262" s="259">
        <v>0.1</v>
      </c>
      <c r="CZ262" s="259">
        <v>0.1</v>
      </c>
      <c r="DA262" s="259">
        <v>0.1</v>
      </c>
      <c r="DB262" s="259">
        <v>0.1</v>
      </c>
      <c r="DC262" s="259">
        <v>0.1</v>
      </c>
      <c r="DD262" s="260">
        <v>0.1</v>
      </c>
      <c r="DE262" s="258">
        <v>0.1</v>
      </c>
      <c r="DF262" s="259">
        <v>0.1</v>
      </c>
      <c r="DG262" s="259">
        <v>0.1</v>
      </c>
      <c r="DH262" s="259">
        <v>0.1</v>
      </c>
      <c r="DI262" s="259">
        <v>0.1</v>
      </c>
      <c r="DJ262" s="259">
        <v>0.1</v>
      </c>
      <c r="DK262" s="259">
        <v>0.1</v>
      </c>
      <c r="DL262" s="259">
        <v>0.1</v>
      </c>
      <c r="DM262" s="259">
        <v>0.1</v>
      </c>
      <c r="DN262" s="259">
        <v>0.1</v>
      </c>
      <c r="DO262" s="259">
        <v>0.1</v>
      </c>
      <c r="DP262" s="259">
        <v>0.1</v>
      </c>
      <c r="DQ262" s="259">
        <v>0.1</v>
      </c>
      <c r="DR262" s="259">
        <v>0.1</v>
      </c>
      <c r="DS262" s="259">
        <v>0.1</v>
      </c>
      <c r="DT262" s="259">
        <v>0.1</v>
      </c>
      <c r="DU262" s="259">
        <v>0.1</v>
      </c>
      <c r="DV262" s="259">
        <v>0.1</v>
      </c>
      <c r="DW262" s="259">
        <v>0.1</v>
      </c>
      <c r="DX262" s="259">
        <v>0.1</v>
      </c>
      <c r="DY262" s="259">
        <v>0.1</v>
      </c>
      <c r="DZ262" s="259">
        <v>0.1</v>
      </c>
      <c r="EA262" s="259">
        <v>0.1</v>
      </c>
      <c r="EB262" s="259">
        <v>0.1</v>
      </c>
      <c r="EC262" s="259">
        <v>0.1</v>
      </c>
      <c r="ED262" s="259">
        <v>0.1</v>
      </c>
      <c r="EE262" s="259">
        <v>0.1</v>
      </c>
      <c r="EF262" s="260">
        <v>0.1</v>
      </c>
    </row>
    <row r="263" spans="71:223" ht="15.75" thickBot="1" x14ac:dyDescent="0.3">
      <c r="BS263">
        <v>260</v>
      </c>
      <c r="BT263" s="270">
        <v>3.15</v>
      </c>
      <c r="BU263" s="271">
        <v>2.76</v>
      </c>
      <c r="BV263" s="2"/>
      <c r="BW263" s="2"/>
      <c r="BX263" s="2"/>
      <c r="BY263" s="258">
        <v>0.1</v>
      </c>
      <c r="BZ263" s="259">
        <v>0.1</v>
      </c>
      <c r="CA263" s="259">
        <v>0.1</v>
      </c>
      <c r="CB263" s="259">
        <v>0.1</v>
      </c>
      <c r="CC263" s="259">
        <v>0.1</v>
      </c>
      <c r="CD263" s="259">
        <v>0.1</v>
      </c>
      <c r="CE263" s="259">
        <v>0.1</v>
      </c>
      <c r="CF263" s="259">
        <v>0.1</v>
      </c>
      <c r="CG263" s="259">
        <v>0.1</v>
      </c>
      <c r="CH263" s="259">
        <v>0.1</v>
      </c>
      <c r="CI263" s="259">
        <v>0.1</v>
      </c>
      <c r="CJ263" s="259">
        <v>0.1</v>
      </c>
      <c r="CK263" s="259">
        <v>0.1</v>
      </c>
      <c r="CL263" s="259">
        <v>0.1</v>
      </c>
      <c r="CM263" s="259">
        <v>0.1</v>
      </c>
      <c r="CN263" s="259">
        <v>0.1</v>
      </c>
      <c r="CO263" s="259">
        <v>0.1</v>
      </c>
      <c r="CP263" s="259">
        <v>0.1</v>
      </c>
      <c r="CQ263" s="259">
        <v>0.1</v>
      </c>
      <c r="CR263" s="259">
        <v>0.1</v>
      </c>
      <c r="CS263" s="259">
        <v>0.1</v>
      </c>
      <c r="CT263" s="259">
        <v>0.1</v>
      </c>
      <c r="CU263" s="259">
        <v>0.1</v>
      </c>
      <c r="CV263" s="259">
        <v>0.1</v>
      </c>
      <c r="CW263" s="259">
        <v>0.1</v>
      </c>
      <c r="CX263" s="259">
        <v>0.1</v>
      </c>
      <c r="CY263" s="259">
        <v>0.1</v>
      </c>
      <c r="CZ263" s="259">
        <v>0.1</v>
      </c>
      <c r="DA263" s="259">
        <v>0.1</v>
      </c>
      <c r="DB263" s="259">
        <v>0.1</v>
      </c>
      <c r="DC263" s="259">
        <v>0.1</v>
      </c>
      <c r="DD263" s="260">
        <v>0.1</v>
      </c>
      <c r="DE263" s="258">
        <v>0.1</v>
      </c>
      <c r="DF263" s="259">
        <v>0.1</v>
      </c>
      <c r="DG263" s="259">
        <v>0.1</v>
      </c>
      <c r="DH263" s="259">
        <v>0.1</v>
      </c>
      <c r="DI263" s="259">
        <v>0.1</v>
      </c>
      <c r="DJ263" s="259">
        <v>0.1</v>
      </c>
      <c r="DK263" s="259">
        <v>0.1</v>
      </c>
      <c r="DL263" s="259">
        <v>0.1</v>
      </c>
      <c r="DM263" s="259">
        <v>0.1</v>
      </c>
      <c r="DN263" s="259">
        <v>0.1</v>
      </c>
      <c r="DO263" s="259">
        <v>0.1</v>
      </c>
      <c r="DP263" s="259">
        <v>0.1</v>
      </c>
      <c r="DQ263" s="259">
        <v>0.1</v>
      </c>
      <c r="DR263" s="259">
        <v>0.1</v>
      </c>
      <c r="DS263" s="259">
        <v>0.1</v>
      </c>
      <c r="DT263" s="259">
        <v>0.1</v>
      </c>
      <c r="DU263" s="259">
        <v>0.1</v>
      </c>
      <c r="DV263" s="259">
        <v>0.1</v>
      </c>
      <c r="DW263" s="259">
        <v>0.1</v>
      </c>
      <c r="DX263" s="259">
        <v>0.1</v>
      </c>
      <c r="DY263" s="259">
        <v>0.1</v>
      </c>
      <c r="DZ263" s="259">
        <v>0.1</v>
      </c>
      <c r="EA263" s="259">
        <v>0.1</v>
      </c>
      <c r="EB263" s="259">
        <v>0.1</v>
      </c>
      <c r="EC263" s="259">
        <v>0.1</v>
      </c>
      <c r="ED263" s="259">
        <v>0.1</v>
      </c>
      <c r="EE263" s="259">
        <v>0.1</v>
      </c>
      <c r="EF263" s="260">
        <v>0.1</v>
      </c>
    </row>
    <row r="264" spans="71:223" ht="15.75" thickBot="1" x14ac:dyDescent="0.3">
      <c r="BS264">
        <v>261</v>
      </c>
      <c r="BT264" s="271">
        <v>3.15</v>
      </c>
      <c r="BU264" s="270">
        <v>2.76</v>
      </c>
      <c r="BV264" s="2"/>
      <c r="BW264" s="2"/>
      <c r="BX264" s="2"/>
      <c r="BY264" s="258">
        <v>0.1</v>
      </c>
      <c r="BZ264" s="259">
        <v>0.1</v>
      </c>
      <c r="CA264" s="259">
        <v>0.1</v>
      </c>
      <c r="CB264" s="259">
        <v>0.1</v>
      </c>
      <c r="CC264" s="259">
        <v>0.1</v>
      </c>
      <c r="CD264" s="259">
        <v>0.1</v>
      </c>
      <c r="CE264" s="259">
        <v>0.1</v>
      </c>
      <c r="CF264" s="259">
        <v>0.1</v>
      </c>
      <c r="CG264" s="259">
        <v>0.1</v>
      </c>
      <c r="CH264" s="259">
        <v>0.1</v>
      </c>
      <c r="CI264" s="259">
        <v>0.1</v>
      </c>
      <c r="CJ264" s="259">
        <v>0.1</v>
      </c>
      <c r="CK264" s="259">
        <v>0.1</v>
      </c>
      <c r="CL264" s="259">
        <v>0.1</v>
      </c>
      <c r="CM264" s="259">
        <v>0.1</v>
      </c>
      <c r="CN264" s="259">
        <v>0.1</v>
      </c>
      <c r="CO264" s="259">
        <v>0.1</v>
      </c>
      <c r="CP264" s="259">
        <v>0.1</v>
      </c>
      <c r="CQ264" s="259">
        <v>0.1</v>
      </c>
      <c r="CR264" s="259">
        <v>0.1</v>
      </c>
      <c r="CS264" s="259">
        <v>0.1</v>
      </c>
      <c r="CT264" s="259">
        <v>0.1</v>
      </c>
      <c r="CU264" s="259">
        <v>0.1</v>
      </c>
      <c r="CV264" s="259">
        <v>0.1</v>
      </c>
      <c r="CW264" s="259">
        <v>0.1</v>
      </c>
      <c r="CX264" s="259">
        <v>0.1</v>
      </c>
      <c r="CY264" s="259">
        <v>0.1</v>
      </c>
      <c r="CZ264" s="259">
        <v>0.1</v>
      </c>
      <c r="DA264" s="259">
        <v>0.1</v>
      </c>
      <c r="DB264" s="259">
        <v>0.1</v>
      </c>
      <c r="DC264" s="259">
        <v>0.1</v>
      </c>
      <c r="DD264" s="260">
        <v>0.1</v>
      </c>
      <c r="DE264" s="258">
        <v>0.1</v>
      </c>
      <c r="DF264" s="259">
        <v>0.1</v>
      </c>
      <c r="DG264" s="259">
        <v>0.1</v>
      </c>
      <c r="DH264" s="259">
        <v>0.1</v>
      </c>
      <c r="DI264" s="259">
        <v>0.1</v>
      </c>
      <c r="DJ264" s="259">
        <v>0.1</v>
      </c>
      <c r="DK264" s="259">
        <v>0.1</v>
      </c>
      <c r="DL264" s="259">
        <v>0.1</v>
      </c>
      <c r="DM264" s="259">
        <v>0.1</v>
      </c>
      <c r="DN264" s="259">
        <v>0.1</v>
      </c>
      <c r="DO264" s="259">
        <v>0.1</v>
      </c>
      <c r="DP264" s="259">
        <v>0.1</v>
      </c>
      <c r="DQ264" s="259">
        <v>0.1</v>
      </c>
      <c r="DR264" s="259">
        <v>0.1</v>
      </c>
      <c r="DS264" s="259">
        <v>0.1</v>
      </c>
      <c r="DT264" s="259">
        <v>0.1</v>
      </c>
      <c r="DU264" s="259">
        <v>0.1</v>
      </c>
      <c r="DV264" s="259">
        <v>0.1</v>
      </c>
      <c r="DW264" s="259">
        <v>0.1</v>
      </c>
      <c r="DX264" s="259">
        <v>0.1</v>
      </c>
      <c r="DY264" s="259">
        <v>0.1</v>
      </c>
      <c r="DZ264" s="259">
        <v>0.1</v>
      </c>
      <c r="EA264" s="259">
        <v>0.1</v>
      </c>
      <c r="EB264" s="259">
        <v>0.1</v>
      </c>
      <c r="EC264" s="259">
        <v>0.1</v>
      </c>
      <c r="ED264" s="259">
        <v>0.1</v>
      </c>
      <c r="EE264" s="259">
        <v>0.1</v>
      </c>
      <c r="EF264" s="260">
        <v>0.1</v>
      </c>
    </row>
    <row r="265" spans="71:223" ht="15.75" thickBot="1" x14ac:dyDescent="0.3">
      <c r="BS265">
        <v>262</v>
      </c>
      <c r="BT265" s="270">
        <v>3.15</v>
      </c>
      <c r="BU265" s="271">
        <v>2.77</v>
      </c>
      <c r="BV265" s="2"/>
      <c r="BW265" s="2"/>
      <c r="BX265" s="2"/>
      <c r="BY265" s="258">
        <v>0.1</v>
      </c>
      <c r="BZ265" s="259">
        <v>0.1</v>
      </c>
      <c r="CA265" s="259">
        <v>0.1</v>
      </c>
      <c r="CB265" s="259">
        <v>0.1</v>
      </c>
      <c r="CC265" s="259">
        <v>0.1</v>
      </c>
      <c r="CD265" s="259">
        <v>0.1</v>
      </c>
      <c r="CE265" s="259">
        <v>0.1</v>
      </c>
      <c r="CF265" s="259">
        <v>0.1</v>
      </c>
      <c r="CG265" s="259">
        <v>0.1</v>
      </c>
      <c r="CH265" s="259">
        <v>0.1</v>
      </c>
      <c r="CI265" s="259">
        <v>0.1</v>
      </c>
      <c r="CJ265" s="259">
        <v>0.1</v>
      </c>
      <c r="CK265" s="259">
        <v>0.1</v>
      </c>
      <c r="CL265" s="259">
        <v>0.1</v>
      </c>
      <c r="CM265" s="259">
        <v>0.1</v>
      </c>
      <c r="CN265" s="259">
        <v>0.1</v>
      </c>
      <c r="CO265" s="259">
        <v>0.1</v>
      </c>
      <c r="CP265" s="259">
        <v>0.1</v>
      </c>
      <c r="CQ265" s="259">
        <v>0.1</v>
      </c>
      <c r="CR265" s="259">
        <v>0.1</v>
      </c>
      <c r="CS265" s="259">
        <v>0.1</v>
      </c>
      <c r="CT265" s="259">
        <v>0.1</v>
      </c>
      <c r="CU265" s="259">
        <v>0.1</v>
      </c>
      <c r="CV265" s="259">
        <v>0.1</v>
      </c>
      <c r="CW265" s="259">
        <v>0.1</v>
      </c>
      <c r="CX265" s="259">
        <v>0.1</v>
      </c>
      <c r="CY265" s="259">
        <v>0.1</v>
      </c>
      <c r="CZ265" s="259">
        <v>0.1</v>
      </c>
      <c r="DA265" s="259">
        <v>0.1</v>
      </c>
      <c r="DB265" s="259">
        <v>0.1</v>
      </c>
      <c r="DC265" s="259">
        <v>0.1</v>
      </c>
      <c r="DD265" s="260">
        <v>0.1</v>
      </c>
      <c r="DE265" s="258">
        <v>0.1</v>
      </c>
      <c r="DF265" s="259">
        <v>0.1</v>
      </c>
      <c r="DG265" s="259">
        <v>0.1</v>
      </c>
      <c r="DH265" s="259">
        <v>0.1</v>
      </c>
      <c r="DI265" s="259">
        <v>0.1</v>
      </c>
      <c r="DJ265" s="259">
        <v>0.1</v>
      </c>
      <c r="DK265" s="259">
        <v>0.1</v>
      </c>
      <c r="DL265" s="259">
        <v>0.1</v>
      </c>
      <c r="DM265" s="259">
        <v>0.1</v>
      </c>
      <c r="DN265" s="259">
        <v>0.1</v>
      </c>
      <c r="DO265" s="259">
        <v>0.1</v>
      </c>
      <c r="DP265" s="259">
        <v>0.1</v>
      </c>
      <c r="DQ265" s="259">
        <v>0.1</v>
      </c>
      <c r="DR265" s="259">
        <v>0.1</v>
      </c>
      <c r="DS265" s="259">
        <v>0.1</v>
      </c>
      <c r="DT265" s="259">
        <v>0.1</v>
      </c>
      <c r="DU265" s="259">
        <v>0.1</v>
      </c>
      <c r="DV265" s="259">
        <v>0.1</v>
      </c>
      <c r="DW265" s="259">
        <v>0.1</v>
      </c>
      <c r="DX265" s="259">
        <v>0.1</v>
      </c>
      <c r="DY265" s="259">
        <v>0.1</v>
      </c>
      <c r="DZ265" s="259">
        <v>0.1</v>
      </c>
      <c r="EA265" s="259">
        <v>0.1</v>
      </c>
      <c r="EB265" s="259">
        <v>0.1</v>
      </c>
      <c r="EC265" s="259">
        <v>0.1</v>
      </c>
      <c r="ED265" s="259">
        <v>0.1</v>
      </c>
      <c r="EE265" s="259">
        <v>0.1</v>
      </c>
      <c r="EF265" s="260">
        <v>0.1</v>
      </c>
    </row>
    <row r="266" spans="71:223" ht="15.75" thickBot="1" x14ac:dyDescent="0.3">
      <c r="BS266">
        <v>263</v>
      </c>
      <c r="BT266" s="271">
        <v>3.12</v>
      </c>
      <c r="BU266" s="270">
        <v>2.8</v>
      </c>
      <c r="BV266" s="2"/>
      <c r="BW266" s="2"/>
      <c r="BX266" s="2"/>
      <c r="BY266" s="258">
        <v>0.1</v>
      </c>
      <c r="BZ266" s="259">
        <v>0.1</v>
      </c>
      <c r="CA266" s="259">
        <v>0.1</v>
      </c>
      <c r="CB266" s="259">
        <v>0.1</v>
      </c>
      <c r="CC266" s="259">
        <v>0.1</v>
      </c>
      <c r="CD266" s="259">
        <v>0.1</v>
      </c>
      <c r="CE266" s="259">
        <v>0.1</v>
      </c>
      <c r="CF266" s="259">
        <v>0.1</v>
      </c>
      <c r="CG266" s="259">
        <v>0.1</v>
      </c>
      <c r="CH266" s="259">
        <v>0.1</v>
      </c>
      <c r="CI266" s="259">
        <v>0.1</v>
      </c>
      <c r="CJ266" s="259">
        <v>0.1</v>
      </c>
      <c r="CK266" s="259">
        <v>0.1</v>
      </c>
      <c r="CL266" s="259">
        <v>0.1</v>
      </c>
      <c r="CM266" s="259">
        <v>0.1</v>
      </c>
      <c r="CN266" s="259">
        <v>0.1</v>
      </c>
      <c r="CO266" s="259">
        <v>0.1</v>
      </c>
      <c r="CP266" s="259">
        <v>0.1</v>
      </c>
      <c r="CQ266" s="259">
        <v>0.1</v>
      </c>
      <c r="CR266" s="259">
        <v>0.1</v>
      </c>
      <c r="CS266" s="259">
        <v>0.1</v>
      </c>
      <c r="CT266" s="259">
        <v>0.1</v>
      </c>
      <c r="CU266" s="259">
        <v>0.1</v>
      </c>
      <c r="CV266" s="259">
        <v>0.1</v>
      </c>
      <c r="CW266" s="259">
        <v>0.1</v>
      </c>
      <c r="CX266" s="259">
        <v>0.1</v>
      </c>
      <c r="CY266" s="259">
        <v>0.1</v>
      </c>
      <c r="CZ266" s="259">
        <v>0.1</v>
      </c>
      <c r="DA266" s="259">
        <v>0.1</v>
      </c>
      <c r="DB266" s="259">
        <v>0.1</v>
      </c>
      <c r="DC266" s="259">
        <v>0.1</v>
      </c>
      <c r="DD266" s="260">
        <v>0.1</v>
      </c>
      <c r="DE266" s="258">
        <v>0.1</v>
      </c>
      <c r="DF266" s="259">
        <v>0.1</v>
      </c>
      <c r="DG266" s="259">
        <v>0.1</v>
      </c>
      <c r="DH266" s="259">
        <v>0.1</v>
      </c>
      <c r="DI266" s="259">
        <v>0.1</v>
      </c>
      <c r="DJ266" s="259">
        <v>0.1</v>
      </c>
      <c r="DK266" s="259">
        <v>0.1</v>
      </c>
      <c r="DL266" s="259">
        <v>0.1</v>
      </c>
      <c r="DM266" s="259">
        <v>0.1</v>
      </c>
      <c r="DN266" s="259">
        <v>0.1</v>
      </c>
      <c r="DO266" s="259">
        <v>0.1</v>
      </c>
      <c r="DP266" s="259">
        <v>0.1</v>
      </c>
      <c r="DQ266" s="259">
        <v>0.1</v>
      </c>
      <c r="DR266" s="259">
        <v>0.1</v>
      </c>
      <c r="DS266" s="259">
        <v>0.1</v>
      </c>
      <c r="DT266" s="259">
        <v>0.1</v>
      </c>
      <c r="DU266" s="259">
        <v>0.1</v>
      </c>
      <c r="DV266" s="259">
        <v>0.1</v>
      </c>
      <c r="DW266" s="259">
        <v>0.1</v>
      </c>
      <c r="DX266" s="259">
        <v>0.1</v>
      </c>
      <c r="DY266" s="259">
        <v>0.1</v>
      </c>
      <c r="DZ266" s="259">
        <v>0.1</v>
      </c>
      <c r="EA266" s="259">
        <v>0.1</v>
      </c>
      <c r="EB266" s="259">
        <v>0.1</v>
      </c>
      <c r="EC266" s="259">
        <v>0.1</v>
      </c>
      <c r="ED266" s="259">
        <v>0.1</v>
      </c>
      <c r="EE266" s="259">
        <v>0.1</v>
      </c>
      <c r="EF266" s="260">
        <v>0.1</v>
      </c>
    </row>
    <row r="267" spans="71:223" ht="15.75" thickBot="1" x14ac:dyDescent="0.3">
      <c r="BS267">
        <v>264</v>
      </c>
      <c r="BT267" s="270">
        <v>3.12</v>
      </c>
      <c r="BU267" s="271">
        <v>2.8</v>
      </c>
      <c r="BV267" s="2"/>
      <c r="BW267" s="2"/>
      <c r="BX267" s="2"/>
      <c r="BY267" s="258">
        <v>0.1</v>
      </c>
      <c r="BZ267" s="259">
        <v>0.1</v>
      </c>
      <c r="CA267" s="259">
        <v>0.1</v>
      </c>
      <c r="CB267" s="259">
        <v>0.1</v>
      </c>
      <c r="CC267" s="259">
        <v>0.1</v>
      </c>
      <c r="CD267" s="259">
        <v>0.1</v>
      </c>
      <c r="CE267" s="259">
        <v>0.1</v>
      </c>
      <c r="CF267" s="259">
        <v>0.1</v>
      </c>
      <c r="CG267" s="259">
        <v>0.1</v>
      </c>
      <c r="CH267" s="259">
        <v>0.1</v>
      </c>
      <c r="CI267" s="259">
        <v>0.1</v>
      </c>
      <c r="CJ267" s="259">
        <v>0.1</v>
      </c>
      <c r="CK267" s="259">
        <v>0.1</v>
      </c>
      <c r="CL267" s="259">
        <v>0.1</v>
      </c>
      <c r="CM267" s="259">
        <v>0.1</v>
      </c>
      <c r="CN267" s="259">
        <v>0.1</v>
      </c>
      <c r="CO267" s="259">
        <v>0.1</v>
      </c>
      <c r="CP267" s="259">
        <v>0.1</v>
      </c>
      <c r="CQ267" s="259">
        <v>0.1</v>
      </c>
      <c r="CR267" s="259">
        <v>0.1</v>
      </c>
      <c r="CS267" s="259">
        <v>0.1</v>
      </c>
      <c r="CT267" s="259">
        <v>0.1</v>
      </c>
      <c r="CU267" s="259">
        <v>0.1</v>
      </c>
      <c r="CV267" s="259">
        <v>0.1</v>
      </c>
      <c r="CW267" s="259">
        <v>0.1</v>
      </c>
      <c r="CX267" s="259">
        <v>0.1</v>
      </c>
      <c r="CY267" s="259">
        <v>0.1</v>
      </c>
      <c r="CZ267" s="259">
        <v>0.1</v>
      </c>
      <c r="DA267" s="259">
        <v>0.1</v>
      </c>
      <c r="DB267" s="259">
        <v>0.1</v>
      </c>
      <c r="DC267" s="259">
        <v>0.1</v>
      </c>
      <c r="DD267" s="260">
        <v>0.1</v>
      </c>
      <c r="DE267" s="258">
        <v>0.1</v>
      </c>
      <c r="DF267" s="259">
        <v>0.1</v>
      </c>
      <c r="DG267" s="259">
        <v>0.1</v>
      </c>
      <c r="DH267" s="259">
        <v>0.1</v>
      </c>
      <c r="DI267" s="259">
        <v>0.1</v>
      </c>
      <c r="DJ267" s="259">
        <v>0.1</v>
      </c>
      <c r="DK267" s="259">
        <v>0.1</v>
      </c>
      <c r="DL267" s="259">
        <v>0.1</v>
      </c>
      <c r="DM267" s="259">
        <v>0.1</v>
      </c>
      <c r="DN267" s="259">
        <v>0.1</v>
      </c>
      <c r="DO267" s="259">
        <v>0.1</v>
      </c>
      <c r="DP267" s="259">
        <v>0.1</v>
      </c>
      <c r="DQ267" s="259">
        <v>0.1</v>
      </c>
      <c r="DR267" s="259">
        <v>0.1</v>
      </c>
      <c r="DS267" s="259">
        <v>0.1</v>
      </c>
      <c r="DT267" s="259">
        <v>0.1</v>
      </c>
      <c r="DU267" s="259">
        <v>0.1</v>
      </c>
      <c r="DV267" s="259">
        <v>0.1</v>
      </c>
      <c r="DW267" s="259">
        <v>0.1</v>
      </c>
      <c r="DX267" s="259">
        <v>0.1</v>
      </c>
      <c r="DY267" s="259">
        <v>0.1</v>
      </c>
      <c r="DZ267" s="259">
        <v>0.1</v>
      </c>
      <c r="EA267" s="259">
        <v>0.1</v>
      </c>
      <c r="EB267" s="259">
        <v>0.1</v>
      </c>
      <c r="EC267" s="259">
        <v>0.1</v>
      </c>
      <c r="ED267" s="259">
        <v>0.1</v>
      </c>
      <c r="EE267" s="259">
        <v>0.1</v>
      </c>
      <c r="EF267" s="260">
        <v>0.1</v>
      </c>
    </row>
    <row r="268" spans="71:223" ht="15.75" thickBot="1" x14ac:dyDescent="0.3">
      <c r="BS268">
        <v>265</v>
      </c>
      <c r="BT268" s="271">
        <v>3.12</v>
      </c>
      <c r="BU268" s="270">
        <v>2.8</v>
      </c>
      <c r="BV268" s="2"/>
      <c r="BW268" s="2"/>
      <c r="BX268" s="2"/>
      <c r="BY268" s="258">
        <v>0.1</v>
      </c>
      <c r="BZ268" s="259">
        <v>0.1</v>
      </c>
      <c r="CA268" s="259">
        <v>0.1</v>
      </c>
      <c r="CB268" s="259">
        <v>0.1</v>
      </c>
      <c r="CC268" s="259">
        <v>0.1</v>
      </c>
      <c r="CD268" s="259">
        <v>0.1</v>
      </c>
      <c r="CE268" s="259">
        <v>0.1</v>
      </c>
      <c r="CF268" s="259">
        <v>0.1</v>
      </c>
      <c r="CG268" s="259">
        <v>0.1</v>
      </c>
      <c r="CH268" s="259">
        <v>0.1</v>
      </c>
      <c r="CI268" s="259">
        <v>0.1</v>
      </c>
      <c r="CJ268" s="259">
        <v>0.1</v>
      </c>
      <c r="CK268" s="259">
        <v>0.1</v>
      </c>
      <c r="CL268" s="259">
        <v>0.1</v>
      </c>
      <c r="CM268" s="259">
        <v>0.1</v>
      </c>
      <c r="CN268" s="259">
        <v>0.1</v>
      </c>
      <c r="CO268" s="259">
        <v>0.1</v>
      </c>
      <c r="CP268" s="259">
        <v>0.1</v>
      </c>
      <c r="CQ268" s="259">
        <v>0.1</v>
      </c>
      <c r="CR268" s="259">
        <v>0.1</v>
      </c>
      <c r="CS268" s="259">
        <v>0.1</v>
      </c>
      <c r="CT268" s="259">
        <v>0.1</v>
      </c>
      <c r="CU268" s="259">
        <v>0.1</v>
      </c>
      <c r="CV268" s="259">
        <v>0.1</v>
      </c>
      <c r="CW268" s="259">
        <v>0.1</v>
      </c>
      <c r="CX268" s="259">
        <v>0.1</v>
      </c>
      <c r="CY268" s="259">
        <v>0.1</v>
      </c>
      <c r="CZ268" s="259">
        <v>0.1</v>
      </c>
      <c r="DA268" s="259">
        <v>0.1</v>
      </c>
      <c r="DB268" s="259">
        <v>0.1</v>
      </c>
      <c r="DC268" s="259">
        <v>0.1</v>
      </c>
      <c r="DD268" s="260">
        <v>0.1</v>
      </c>
      <c r="DE268" s="258">
        <v>0.1</v>
      </c>
      <c r="DF268" s="259">
        <v>0.1</v>
      </c>
      <c r="DG268" s="259">
        <v>0.1</v>
      </c>
      <c r="DH268" s="259">
        <v>0.1</v>
      </c>
      <c r="DI268" s="259">
        <v>0.1</v>
      </c>
      <c r="DJ268" s="259">
        <v>0.1</v>
      </c>
      <c r="DK268" s="259">
        <v>0.1</v>
      </c>
      <c r="DL268" s="259">
        <v>0.1</v>
      </c>
      <c r="DM268" s="259">
        <v>0.1</v>
      </c>
      <c r="DN268" s="259">
        <v>0.1</v>
      </c>
      <c r="DO268" s="259">
        <v>0.1</v>
      </c>
      <c r="DP268" s="259">
        <v>0.1</v>
      </c>
      <c r="DQ268" s="259">
        <v>0.1</v>
      </c>
      <c r="DR268" s="259">
        <v>0.1</v>
      </c>
      <c r="DS268" s="259">
        <v>0.1</v>
      </c>
      <c r="DT268" s="259">
        <v>0.1</v>
      </c>
      <c r="DU268" s="259">
        <v>0.1</v>
      </c>
      <c r="DV268" s="259">
        <v>0.1</v>
      </c>
      <c r="DW268" s="259">
        <v>0.1</v>
      </c>
      <c r="DX268" s="259">
        <v>0.1</v>
      </c>
      <c r="DY268" s="259">
        <v>0.1</v>
      </c>
      <c r="DZ268" s="259">
        <v>0.1</v>
      </c>
      <c r="EA268" s="259">
        <v>0.1</v>
      </c>
      <c r="EB268" s="259">
        <v>0.1</v>
      </c>
      <c r="EC268" s="259">
        <v>0.1</v>
      </c>
      <c r="ED268" s="259">
        <v>0.1</v>
      </c>
      <c r="EE268" s="259">
        <v>0.1</v>
      </c>
      <c r="EF268" s="260">
        <v>0.1</v>
      </c>
    </row>
    <row r="269" spans="71:223" ht="15.75" thickBot="1" x14ac:dyDescent="0.3">
      <c r="BS269">
        <v>266</v>
      </c>
      <c r="BT269" s="270">
        <v>3.1</v>
      </c>
      <c r="BU269" s="271">
        <v>2.8</v>
      </c>
      <c r="BV269" s="2"/>
      <c r="BW269" s="2"/>
      <c r="BX269" s="2"/>
      <c r="BY269" s="258">
        <v>0.1</v>
      </c>
      <c r="BZ269" s="259">
        <v>0.1</v>
      </c>
      <c r="CA269" s="259">
        <v>0.1</v>
      </c>
      <c r="CB269" s="259">
        <v>0.1</v>
      </c>
      <c r="CC269" s="259">
        <v>0.1</v>
      </c>
      <c r="CD269" s="259">
        <v>0.1</v>
      </c>
      <c r="CE269" s="259">
        <v>0.1</v>
      </c>
      <c r="CF269" s="259">
        <v>0.1</v>
      </c>
      <c r="CG269" s="259">
        <v>0.1</v>
      </c>
      <c r="CH269" s="259">
        <v>0.1</v>
      </c>
      <c r="CI269" s="259">
        <v>0.1</v>
      </c>
      <c r="CJ269" s="259">
        <v>0.1</v>
      </c>
      <c r="CK269" s="259">
        <v>0.1</v>
      </c>
      <c r="CL269" s="259">
        <v>0.1</v>
      </c>
      <c r="CM269" s="259">
        <v>0.1</v>
      </c>
      <c r="CN269" s="259">
        <v>0.1</v>
      </c>
      <c r="CO269" s="259">
        <v>0.1</v>
      </c>
      <c r="CP269" s="259">
        <v>0.1</v>
      </c>
      <c r="CQ269" s="259">
        <v>0.1</v>
      </c>
      <c r="CR269" s="259">
        <v>0.1</v>
      </c>
      <c r="CS269" s="259">
        <v>0.1</v>
      </c>
      <c r="CT269" s="259">
        <v>0.1</v>
      </c>
      <c r="CU269" s="259">
        <v>0.1</v>
      </c>
      <c r="CV269" s="259">
        <v>0.1</v>
      </c>
      <c r="CW269" s="259">
        <v>0.1</v>
      </c>
      <c r="CX269" s="259">
        <v>0.1</v>
      </c>
      <c r="CY269" s="259">
        <v>0.1</v>
      </c>
      <c r="CZ269" s="259">
        <v>0.1</v>
      </c>
      <c r="DA269" s="259">
        <v>0.1</v>
      </c>
      <c r="DB269" s="259">
        <v>0.1</v>
      </c>
      <c r="DC269" s="260">
        <v>0.1</v>
      </c>
      <c r="DD269" s="258">
        <v>0.1</v>
      </c>
      <c r="DE269" s="259">
        <v>0.1</v>
      </c>
      <c r="DF269" s="259">
        <v>0.1</v>
      </c>
      <c r="DG269" s="259">
        <v>0.1</v>
      </c>
      <c r="DH269" s="259">
        <v>0.1</v>
      </c>
      <c r="DI269" s="259">
        <v>0.1</v>
      </c>
      <c r="DJ269" s="259">
        <v>0.1</v>
      </c>
      <c r="DK269" s="259">
        <v>0.1</v>
      </c>
      <c r="DL269" s="259">
        <v>0.1</v>
      </c>
      <c r="DM269" s="259">
        <v>0.1</v>
      </c>
      <c r="DN269" s="259">
        <v>0.1</v>
      </c>
      <c r="DO269" s="259">
        <v>0.1</v>
      </c>
      <c r="DP269" s="259">
        <v>0.1</v>
      </c>
      <c r="DQ269" s="259">
        <v>0.1</v>
      </c>
      <c r="DR269" s="259">
        <v>0.1</v>
      </c>
      <c r="DS269" s="259">
        <v>0.1</v>
      </c>
      <c r="DT269" s="259">
        <v>0.1</v>
      </c>
      <c r="DU269" s="259">
        <v>0.1</v>
      </c>
      <c r="DV269" s="259">
        <v>0.1</v>
      </c>
      <c r="DW269" s="259">
        <v>0.1</v>
      </c>
      <c r="DX269" s="259">
        <v>0.1</v>
      </c>
      <c r="DY269" s="259">
        <v>0.1</v>
      </c>
      <c r="DZ269" s="259">
        <v>0.1</v>
      </c>
      <c r="EA269" s="259">
        <v>0.1</v>
      </c>
      <c r="EB269" s="259">
        <v>0.1</v>
      </c>
      <c r="EC269" s="259">
        <v>0.1</v>
      </c>
      <c r="ED269" s="259">
        <v>0.1</v>
      </c>
      <c r="EE269" s="260">
        <v>0.1</v>
      </c>
      <c r="EF269">
        <v>0.1</v>
      </c>
      <c r="EG269">
        <f>SUM(EF269)</f>
        <v>0.1</v>
      </c>
    </row>
    <row r="270" spans="71:223" ht="15.75" thickBot="1" x14ac:dyDescent="0.3">
      <c r="BS270">
        <v>267</v>
      </c>
      <c r="BT270" s="271">
        <v>3.1</v>
      </c>
      <c r="BU270" s="270">
        <v>2.8</v>
      </c>
      <c r="BV270" s="2"/>
      <c r="BW270" s="2"/>
      <c r="BX270" s="2"/>
      <c r="BY270" s="258">
        <v>0.1</v>
      </c>
      <c r="BZ270" s="259">
        <v>0.1</v>
      </c>
      <c r="CA270" s="259">
        <v>0.1</v>
      </c>
      <c r="CB270" s="259">
        <v>0.1</v>
      </c>
      <c r="CC270" s="259">
        <v>0.1</v>
      </c>
      <c r="CD270" s="259">
        <v>0.1</v>
      </c>
      <c r="CE270" s="259">
        <v>0.1</v>
      </c>
      <c r="CF270" s="259">
        <v>0.1</v>
      </c>
      <c r="CG270" s="259">
        <v>0.1</v>
      </c>
      <c r="CH270" s="259">
        <v>0.1</v>
      </c>
      <c r="CI270" s="259">
        <v>0.1</v>
      </c>
      <c r="CJ270" s="259">
        <v>0.1</v>
      </c>
      <c r="CK270" s="259">
        <v>0.1</v>
      </c>
      <c r="CL270" s="259">
        <v>0.1</v>
      </c>
      <c r="CM270" s="259">
        <v>0.1</v>
      </c>
      <c r="CN270" s="259">
        <v>0.1</v>
      </c>
      <c r="CO270" s="259">
        <v>0.1</v>
      </c>
      <c r="CP270" s="259">
        <v>0.1</v>
      </c>
      <c r="CQ270" s="259">
        <v>0.1</v>
      </c>
      <c r="CR270" s="259">
        <v>0.1</v>
      </c>
      <c r="CS270" s="259">
        <v>0.1</v>
      </c>
      <c r="CT270" s="259">
        <v>0.1</v>
      </c>
      <c r="CU270" s="259">
        <v>0.1</v>
      </c>
      <c r="CV270" s="259">
        <v>0.1</v>
      </c>
      <c r="CW270" s="259">
        <v>0.1</v>
      </c>
      <c r="CX270" s="259">
        <v>0.1</v>
      </c>
      <c r="CY270" s="259">
        <v>0.1</v>
      </c>
      <c r="CZ270" s="259">
        <v>0.1</v>
      </c>
      <c r="DA270" s="259">
        <v>0.1</v>
      </c>
      <c r="DB270" s="259">
        <v>0.1</v>
      </c>
      <c r="DC270" s="260">
        <v>0.1</v>
      </c>
      <c r="DD270" s="258">
        <v>0.1</v>
      </c>
      <c r="DE270" s="259">
        <v>0.1</v>
      </c>
      <c r="DF270" s="259">
        <v>0.1</v>
      </c>
      <c r="DG270" s="259">
        <v>0.1</v>
      </c>
      <c r="DH270" s="259">
        <v>0.1</v>
      </c>
      <c r="DI270" s="259">
        <v>0.1</v>
      </c>
      <c r="DJ270" s="259">
        <v>0.1</v>
      </c>
      <c r="DK270" s="259">
        <v>0.1</v>
      </c>
      <c r="DL270" s="259">
        <v>0.1</v>
      </c>
      <c r="DM270" s="259">
        <v>0.1</v>
      </c>
      <c r="DN270" s="259">
        <v>0.1</v>
      </c>
      <c r="DO270" s="259">
        <v>0.1</v>
      </c>
      <c r="DP270" s="259">
        <v>0.1</v>
      </c>
      <c r="DQ270" s="259">
        <v>0.1</v>
      </c>
      <c r="DR270" s="259">
        <v>0.1</v>
      </c>
      <c r="DS270" s="259">
        <v>0.1</v>
      </c>
      <c r="DT270" s="259">
        <v>0.1</v>
      </c>
      <c r="DU270" s="259">
        <v>0.1</v>
      </c>
      <c r="DV270" s="259">
        <v>0.1</v>
      </c>
      <c r="DW270" s="259">
        <v>0.1</v>
      </c>
      <c r="DX270" s="259">
        <v>0.1</v>
      </c>
      <c r="DY270" s="259">
        <v>0.1</v>
      </c>
      <c r="DZ270" s="259">
        <v>0.1</v>
      </c>
      <c r="EA270" s="259">
        <v>0.1</v>
      </c>
      <c r="EB270" s="259">
        <v>0.1</v>
      </c>
      <c r="EC270" s="259">
        <v>0.1</v>
      </c>
      <c r="ED270" s="259">
        <v>0.1</v>
      </c>
      <c r="EE270" s="260">
        <v>0.1</v>
      </c>
      <c r="EF270">
        <v>0.1</v>
      </c>
      <c r="EG270">
        <f>SUM(EF270)</f>
        <v>0.1</v>
      </c>
    </row>
    <row r="271" spans="71:223" ht="15.75" thickBot="1" x14ac:dyDescent="0.3">
      <c r="BS271">
        <v>268</v>
      </c>
      <c r="BT271" s="270">
        <v>3.09</v>
      </c>
      <c r="BU271" s="271">
        <v>2.81</v>
      </c>
      <c r="BV271" s="2"/>
      <c r="BW271" s="2"/>
      <c r="BX271" s="2"/>
      <c r="BY271" s="258">
        <v>0.1</v>
      </c>
      <c r="BZ271" s="259">
        <v>0.1</v>
      </c>
      <c r="CA271" s="259">
        <v>0.1</v>
      </c>
      <c r="CB271" s="259">
        <v>0.1</v>
      </c>
      <c r="CC271" s="259">
        <v>0.1</v>
      </c>
      <c r="CD271" s="259">
        <v>0.1</v>
      </c>
      <c r="CE271" s="259">
        <v>0.1</v>
      </c>
      <c r="CF271" s="259">
        <v>0.1</v>
      </c>
      <c r="CG271" s="259">
        <v>0.1</v>
      </c>
      <c r="CH271" s="259">
        <v>0.1</v>
      </c>
      <c r="CI271" s="259">
        <v>0.1</v>
      </c>
      <c r="CJ271" s="259">
        <v>0.1</v>
      </c>
      <c r="CK271" s="259">
        <v>0.1</v>
      </c>
      <c r="CL271" s="259">
        <v>0.1</v>
      </c>
      <c r="CM271" s="259">
        <v>0.1</v>
      </c>
      <c r="CN271" s="259">
        <v>0.1</v>
      </c>
      <c r="CO271" s="259">
        <v>0.1</v>
      </c>
      <c r="CP271" s="259">
        <v>0.1</v>
      </c>
      <c r="CQ271" s="259">
        <v>0.1</v>
      </c>
      <c r="CR271" s="259">
        <v>0.1</v>
      </c>
      <c r="CS271" s="259">
        <v>0.1</v>
      </c>
      <c r="CT271" s="259">
        <v>0.1</v>
      </c>
      <c r="CU271" s="259">
        <v>0.1</v>
      </c>
      <c r="CV271" s="259">
        <v>0.1</v>
      </c>
      <c r="CW271" s="259">
        <v>0.1</v>
      </c>
      <c r="CX271" s="259">
        <v>0.1</v>
      </c>
      <c r="CY271" s="259">
        <v>0.1</v>
      </c>
      <c r="CZ271" s="259">
        <v>0.1</v>
      </c>
      <c r="DA271" s="259">
        <v>0.1</v>
      </c>
      <c r="DB271" s="259">
        <v>0.1</v>
      </c>
      <c r="DC271" s="260">
        <v>0.1</v>
      </c>
      <c r="DD271" s="258">
        <v>0.1</v>
      </c>
      <c r="DE271" s="259">
        <v>0.1</v>
      </c>
      <c r="DF271" s="259">
        <v>0.1</v>
      </c>
      <c r="DG271" s="259">
        <v>0.1</v>
      </c>
      <c r="DH271" s="259">
        <v>0.1</v>
      </c>
      <c r="DI271" s="259">
        <v>0.1</v>
      </c>
      <c r="DJ271" s="259">
        <v>0.1</v>
      </c>
      <c r="DK271" s="259">
        <v>0.1</v>
      </c>
      <c r="DL271" s="259">
        <v>0.1</v>
      </c>
      <c r="DM271" s="259">
        <v>0.1</v>
      </c>
      <c r="DN271" s="259">
        <v>0.1</v>
      </c>
      <c r="DO271" s="259">
        <v>0.1</v>
      </c>
      <c r="DP271" s="259">
        <v>0.1</v>
      </c>
      <c r="DQ271" s="259">
        <v>0.1</v>
      </c>
      <c r="DR271" s="259">
        <v>0.1</v>
      </c>
      <c r="DS271" s="259">
        <v>0.1</v>
      </c>
      <c r="DT271" s="259">
        <v>0.1</v>
      </c>
      <c r="DU271" s="259">
        <v>0.1</v>
      </c>
      <c r="DV271" s="259">
        <v>0.1</v>
      </c>
      <c r="DW271" s="259">
        <v>0.1</v>
      </c>
      <c r="DX271" s="259">
        <v>0.1</v>
      </c>
      <c r="DY271" s="259">
        <v>0.1</v>
      </c>
      <c r="DZ271" s="259">
        <v>0.1</v>
      </c>
      <c r="EA271" s="259">
        <v>0.1</v>
      </c>
      <c r="EB271" s="259">
        <v>0.1</v>
      </c>
      <c r="EC271" s="259">
        <v>0.1</v>
      </c>
      <c r="ED271" s="259">
        <v>0.1</v>
      </c>
      <c r="EE271" s="259">
        <v>0.1</v>
      </c>
      <c r="EF271" s="260">
        <v>0.1</v>
      </c>
    </row>
    <row r="272" spans="71:223" ht="15.75" thickBot="1" x14ac:dyDescent="0.3">
      <c r="BS272">
        <v>269</v>
      </c>
      <c r="BT272" s="271">
        <v>3.08</v>
      </c>
      <c r="BU272" s="270">
        <v>2.81</v>
      </c>
      <c r="BV272" s="2"/>
      <c r="BW272" s="2"/>
      <c r="BX272" s="2"/>
      <c r="BY272" s="258">
        <v>0.1</v>
      </c>
      <c r="BZ272" s="259">
        <v>0.1</v>
      </c>
      <c r="CA272" s="259">
        <v>0.1</v>
      </c>
      <c r="CB272" s="259">
        <v>0.1</v>
      </c>
      <c r="CC272" s="259">
        <v>0.1</v>
      </c>
      <c r="CD272" s="259">
        <v>0.1</v>
      </c>
      <c r="CE272" s="259">
        <v>0.1</v>
      </c>
      <c r="CF272" s="259">
        <v>0.1</v>
      </c>
      <c r="CG272" s="259">
        <v>0.1</v>
      </c>
      <c r="CH272" s="259">
        <v>0.1</v>
      </c>
      <c r="CI272" s="259">
        <v>0.1</v>
      </c>
      <c r="CJ272" s="259">
        <v>0.1</v>
      </c>
      <c r="CK272" s="259">
        <v>0.1</v>
      </c>
      <c r="CL272" s="259">
        <v>0.1</v>
      </c>
      <c r="CM272" s="259">
        <v>0.1</v>
      </c>
      <c r="CN272" s="259">
        <v>0.1</v>
      </c>
      <c r="CO272" s="259">
        <v>0.1</v>
      </c>
      <c r="CP272" s="259">
        <v>0.1</v>
      </c>
      <c r="CQ272" s="259">
        <v>0.1</v>
      </c>
      <c r="CR272" s="259">
        <v>0.1</v>
      </c>
      <c r="CS272" s="259">
        <v>0.1</v>
      </c>
      <c r="CT272" s="259">
        <v>0.1</v>
      </c>
      <c r="CU272" s="259">
        <v>0.1</v>
      </c>
      <c r="CV272" s="259">
        <v>0.1</v>
      </c>
      <c r="CW272" s="259">
        <v>0.1</v>
      </c>
      <c r="CX272" s="259">
        <v>0.1</v>
      </c>
      <c r="CY272" s="259">
        <v>0.1</v>
      </c>
      <c r="CZ272" s="259">
        <v>0.1</v>
      </c>
      <c r="DA272" s="259">
        <v>0.1</v>
      </c>
      <c r="DB272" s="259">
        <v>0.1</v>
      </c>
      <c r="DC272" s="260">
        <v>0.1</v>
      </c>
      <c r="DD272" s="258">
        <v>0.1</v>
      </c>
      <c r="DE272" s="259">
        <v>0.1</v>
      </c>
      <c r="DF272" s="259">
        <v>0.1</v>
      </c>
      <c r="DG272" s="259">
        <v>0.1</v>
      </c>
      <c r="DH272" s="259">
        <v>0.1</v>
      </c>
      <c r="DI272" s="259">
        <v>0.1</v>
      </c>
      <c r="DJ272" s="259">
        <v>0.1</v>
      </c>
      <c r="DK272" s="259">
        <v>0.1</v>
      </c>
      <c r="DL272" s="259">
        <v>0.1</v>
      </c>
      <c r="DM272" s="259">
        <v>0.1</v>
      </c>
      <c r="DN272" s="259">
        <v>0.1</v>
      </c>
      <c r="DO272" s="259">
        <v>0.1</v>
      </c>
      <c r="DP272" s="259">
        <v>0.1</v>
      </c>
      <c r="DQ272" s="259">
        <v>0.1</v>
      </c>
      <c r="DR272" s="259">
        <v>0.1</v>
      </c>
      <c r="DS272" s="259">
        <v>0.1</v>
      </c>
      <c r="DT272" s="259">
        <v>0.1</v>
      </c>
      <c r="DU272" s="259">
        <v>0.1</v>
      </c>
      <c r="DV272" s="259">
        <v>0.1</v>
      </c>
      <c r="DW272" s="259">
        <v>0.1</v>
      </c>
      <c r="DX272" s="259">
        <v>0.1</v>
      </c>
      <c r="DY272" s="259">
        <v>0.1</v>
      </c>
      <c r="DZ272" s="259">
        <v>0.1</v>
      </c>
      <c r="EA272" s="259">
        <v>0.1</v>
      </c>
      <c r="EB272" s="259">
        <v>0.1</v>
      </c>
      <c r="EC272" s="259">
        <v>0.1</v>
      </c>
      <c r="ED272" s="259">
        <v>0.1</v>
      </c>
      <c r="EE272" s="259">
        <v>0.1</v>
      </c>
      <c r="EF272" s="260">
        <v>0.1</v>
      </c>
    </row>
    <row r="273" spans="71:136" ht="15.75" thickBot="1" x14ac:dyDescent="0.3">
      <c r="BS273">
        <v>270</v>
      </c>
      <c r="BT273" s="270">
        <v>3.08</v>
      </c>
      <c r="BU273" s="271">
        <v>2.82</v>
      </c>
      <c r="BV273" s="2"/>
      <c r="BW273" s="2"/>
      <c r="BX273" s="2"/>
      <c r="BY273" s="258">
        <v>0.1</v>
      </c>
      <c r="BZ273" s="259">
        <v>0.1</v>
      </c>
      <c r="CA273" s="259">
        <v>0.1</v>
      </c>
      <c r="CB273" s="259">
        <v>0.1</v>
      </c>
      <c r="CC273" s="259">
        <v>0.1</v>
      </c>
      <c r="CD273" s="259">
        <v>0.1</v>
      </c>
      <c r="CE273" s="259">
        <v>0.1</v>
      </c>
      <c r="CF273" s="259">
        <v>0.1</v>
      </c>
      <c r="CG273" s="259">
        <v>0.1</v>
      </c>
      <c r="CH273" s="259">
        <v>0.1</v>
      </c>
      <c r="CI273" s="259">
        <v>0.1</v>
      </c>
      <c r="CJ273" s="259">
        <v>0.1</v>
      </c>
      <c r="CK273" s="259">
        <v>0.1</v>
      </c>
      <c r="CL273" s="259">
        <v>0.1</v>
      </c>
      <c r="CM273" s="259">
        <v>0.1</v>
      </c>
      <c r="CN273" s="259">
        <v>0.1</v>
      </c>
      <c r="CO273" s="259">
        <v>0.1</v>
      </c>
      <c r="CP273" s="259">
        <v>0.1</v>
      </c>
      <c r="CQ273" s="259">
        <v>0.1</v>
      </c>
      <c r="CR273" s="259">
        <v>0.1</v>
      </c>
      <c r="CS273" s="259">
        <v>0.1</v>
      </c>
      <c r="CT273" s="259">
        <v>0.1</v>
      </c>
      <c r="CU273" s="259">
        <v>0.1</v>
      </c>
      <c r="CV273" s="259">
        <v>0.1</v>
      </c>
      <c r="CW273" s="259">
        <v>0.1</v>
      </c>
      <c r="CX273" s="259">
        <v>0.1</v>
      </c>
      <c r="CY273" s="259">
        <v>0.1</v>
      </c>
      <c r="CZ273" s="259">
        <v>0.1</v>
      </c>
      <c r="DA273" s="259">
        <v>0.1</v>
      </c>
      <c r="DB273" s="259">
        <v>0.1</v>
      </c>
      <c r="DC273" s="260">
        <v>0.1</v>
      </c>
      <c r="DD273" s="258">
        <v>0.1</v>
      </c>
      <c r="DE273" s="259">
        <v>0.1</v>
      </c>
      <c r="DF273" s="259">
        <v>0.1</v>
      </c>
      <c r="DG273" s="259">
        <v>0.1</v>
      </c>
      <c r="DH273" s="259">
        <v>0.1</v>
      </c>
      <c r="DI273" s="259">
        <v>0.1</v>
      </c>
      <c r="DJ273" s="259">
        <v>0.1</v>
      </c>
      <c r="DK273" s="259">
        <v>0.1</v>
      </c>
      <c r="DL273" s="259">
        <v>0.1</v>
      </c>
      <c r="DM273" s="259">
        <v>0.1</v>
      </c>
      <c r="DN273" s="259">
        <v>0.1</v>
      </c>
      <c r="DO273" s="259">
        <v>0.1</v>
      </c>
      <c r="DP273" s="259">
        <v>0.1</v>
      </c>
      <c r="DQ273" s="259">
        <v>0.1</v>
      </c>
      <c r="DR273" s="259">
        <v>0.1</v>
      </c>
      <c r="DS273" s="259">
        <v>0.1</v>
      </c>
      <c r="DT273" s="259">
        <v>0.1</v>
      </c>
      <c r="DU273" s="259">
        <v>0.1</v>
      </c>
      <c r="DV273" s="259">
        <v>0.1</v>
      </c>
      <c r="DW273" s="259">
        <v>0.1</v>
      </c>
      <c r="DX273" s="259">
        <v>0.1</v>
      </c>
      <c r="DY273" s="259">
        <v>0.1</v>
      </c>
      <c r="DZ273" s="259">
        <v>0.1</v>
      </c>
      <c r="EA273" s="259">
        <v>0.1</v>
      </c>
      <c r="EB273" s="259">
        <v>0.1</v>
      </c>
      <c r="EC273" s="259">
        <v>0.1</v>
      </c>
      <c r="ED273" s="259">
        <v>0.1</v>
      </c>
      <c r="EE273" s="259">
        <v>0.1</v>
      </c>
      <c r="EF273" s="260">
        <v>0.1</v>
      </c>
    </row>
    <row r="274" spans="71:136" ht="15.75" thickBot="1" x14ac:dyDescent="0.3">
      <c r="BS274">
        <v>271</v>
      </c>
      <c r="BT274" s="271">
        <v>3.08</v>
      </c>
      <c r="BU274" s="270">
        <v>2.82</v>
      </c>
      <c r="BV274" s="2"/>
      <c r="BW274" s="2"/>
      <c r="BX274" s="2"/>
      <c r="BY274" s="258">
        <v>0.1</v>
      </c>
      <c r="BZ274" s="259">
        <v>0.1</v>
      </c>
      <c r="CA274" s="259">
        <v>0.1</v>
      </c>
      <c r="CB274" s="259">
        <v>0.1</v>
      </c>
      <c r="CC274" s="259">
        <v>0.1</v>
      </c>
      <c r="CD274" s="259">
        <v>0.1</v>
      </c>
      <c r="CE274" s="259">
        <v>0.1</v>
      </c>
      <c r="CF274" s="259">
        <v>0.1</v>
      </c>
      <c r="CG274" s="259">
        <v>0.1</v>
      </c>
      <c r="CH274" s="259">
        <v>0.1</v>
      </c>
      <c r="CI274" s="259">
        <v>0.1</v>
      </c>
      <c r="CJ274" s="259">
        <v>0.1</v>
      </c>
      <c r="CK274" s="259">
        <v>0.1</v>
      </c>
      <c r="CL274" s="259">
        <v>0.1</v>
      </c>
      <c r="CM274" s="259">
        <v>0.1</v>
      </c>
      <c r="CN274" s="259">
        <v>0.1</v>
      </c>
      <c r="CO274" s="259">
        <v>0.1</v>
      </c>
      <c r="CP274" s="259">
        <v>0.1</v>
      </c>
      <c r="CQ274" s="259">
        <v>0.1</v>
      </c>
      <c r="CR274" s="259">
        <v>0.1</v>
      </c>
      <c r="CS274" s="259">
        <v>0.1</v>
      </c>
      <c r="CT274" s="259">
        <v>0.1</v>
      </c>
      <c r="CU274" s="259">
        <v>0.1</v>
      </c>
      <c r="CV274" s="259">
        <v>0.1</v>
      </c>
      <c r="CW274" s="259">
        <v>0.1</v>
      </c>
      <c r="CX274" s="259">
        <v>0.1</v>
      </c>
      <c r="CY274" s="259">
        <v>0.1</v>
      </c>
      <c r="CZ274" s="259">
        <v>0.1</v>
      </c>
      <c r="DA274" s="259">
        <v>0.1</v>
      </c>
      <c r="DB274" s="259">
        <v>0.1</v>
      </c>
      <c r="DC274" s="260">
        <v>0.1</v>
      </c>
      <c r="DD274" s="258">
        <v>0.1</v>
      </c>
      <c r="DE274" s="259">
        <v>0.1</v>
      </c>
      <c r="DF274" s="259">
        <v>0.1</v>
      </c>
      <c r="DG274" s="259">
        <v>0.1</v>
      </c>
      <c r="DH274" s="259">
        <v>0.1</v>
      </c>
      <c r="DI274" s="259">
        <v>0.1</v>
      </c>
      <c r="DJ274" s="259">
        <v>0.1</v>
      </c>
      <c r="DK274" s="259">
        <v>0.1</v>
      </c>
      <c r="DL274" s="259">
        <v>0.1</v>
      </c>
      <c r="DM274" s="259">
        <v>0.1</v>
      </c>
      <c r="DN274" s="259">
        <v>0.1</v>
      </c>
      <c r="DO274" s="259">
        <v>0.1</v>
      </c>
      <c r="DP274" s="259">
        <v>0.1</v>
      </c>
      <c r="DQ274" s="259">
        <v>0.1</v>
      </c>
      <c r="DR274" s="259">
        <v>0.1</v>
      </c>
      <c r="DS274" s="259">
        <v>0.1</v>
      </c>
      <c r="DT274" s="259">
        <v>0.1</v>
      </c>
      <c r="DU274" s="259">
        <v>0.1</v>
      </c>
      <c r="DV274" s="259">
        <v>0.1</v>
      </c>
      <c r="DW274" s="259">
        <v>0.1</v>
      </c>
      <c r="DX274" s="259">
        <v>0.1</v>
      </c>
      <c r="DY274" s="259">
        <v>0.1</v>
      </c>
      <c r="DZ274" s="259">
        <v>0.1</v>
      </c>
      <c r="EA274" s="259">
        <v>0.1</v>
      </c>
      <c r="EB274" s="259">
        <v>0.1</v>
      </c>
      <c r="EC274" s="259">
        <v>0.1</v>
      </c>
      <c r="ED274" s="259">
        <v>0.1</v>
      </c>
      <c r="EE274" s="259">
        <v>0.1</v>
      </c>
      <c r="EF274" s="260">
        <v>0.1</v>
      </c>
    </row>
    <row r="275" spans="71:136" ht="15.75" thickBot="1" x14ac:dyDescent="0.3">
      <c r="BS275">
        <v>272</v>
      </c>
      <c r="BT275" s="270">
        <v>3.08</v>
      </c>
      <c r="BU275" s="271">
        <v>2.82</v>
      </c>
      <c r="BV275" s="2"/>
      <c r="BW275" s="2"/>
      <c r="BX275" s="2"/>
      <c r="BY275" s="258">
        <v>0.1</v>
      </c>
      <c r="BZ275" s="259">
        <v>0.1</v>
      </c>
      <c r="CA275" s="259">
        <v>0.1</v>
      </c>
      <c r="CB275" s="259">
        <v>0.1</v>
      </c>
      <c r="CC275" s="259">
        <v>0.1</v>
      </c>
      <c r="CD275" s="259">
        <v>0.1</v>
      </c>
      <c r="CE275" s="259">
        <v>0.1</v>
      </c>
      <c r="CF275" s="259">
        <v>0.1</v>
      </c>
      <c r="CG275" s="259">
        <v>0.1</v>
      </c>
      <c r="CH275" s="259">
        <v>0.1</v>
      </c>
      <c r="CI275" s="259">
        <v>0.1</v>
      </c>
      <c r="CJ275" s="259">
        <v>0.1</v>
      </c>
      <c r="CK275" s="259">
        <v>0.1</v>
      </c>
      <c r="CL275" s="259">
        <v>0.1</v>
      </c>
      <c r="CM275" s="259">
        <v>0.1</v>
      </c>
      <c r="CN275" s="259">
        <v>0.1</v>
      </c>
      <c r="CO275" s="259">
        <v>0.1</v>
      </c>
      <c r="CP275" s="259">
        <v>0.1</v>
      </c>
      <c r="CQ275" s="259">
        <v>0.1</v>
      </c>
      <c r="CR275" s="259">
        <v>0.1</v>
      </c>
      <c r="CS275" s="259">
        <v>0.1</v>
      </c>
      <c r="CT275" s="259">
        <v>0.1</v>
      </c>
      <c r="CU275" s="259">
        <v>0.1</v>
      </c>
      <c r="CV275" s="259">
        <v>0.1</v>
      </c>
      <c r="CW275" s="259">
        <v>0.1</v>
      </c>
      <c r="CX275" s="259">
        <v>0.1</v>
      </c>
      <c r="CY275" s="259">
        <v>0.1</v>
      </c>
      <c r="CZ275" s="259">
        <v>0.1</v>
      </c>
      <c r="DA275" s="259">
        <v>0.1</v>
      </c>
      <c r="DB275" s="259">
        <v>0.1</v>
      </c>
      <c r="DC275" s="260">
        <v>0.1</v>
      </c>
      <c r="DD275" s="258">
        <v>0.1</v>
      </c>
      <c r="DE275" s="259">
        <v>0.1</v>
      </c>
      <c r="DF275" s="259">
        <v>0.1</v>
      </c>
      <c r="DG275" s="259">
        <v>0.1</v>
      </c>
      <c r="DH275" s="259">
        <v>0.1</v>
      </c>
      <c r="DI275" s="259">
        <v>0.1</v>
      </c>
      <c r="DJ275" s="259">
        <v>0.1</v>
      </c>
      <c r="DK275" s="259">
        <v>0.1</v>
      </c>
      <c r="DL275" s="259">
        <v>0.1</v>
      </c>
      <c r="DM275" s="259">
        <v>0.1</v>
      </c>
      <c r="DN275" s="259">
        <v>0.1</v>
      </c>
      <c r="DO275" s="259">
        <v>0.1</v>
      </c>
      <c r="DP275" s="259">
        <v>0.1</v>
      </c>
      <c r="DQ275" s="259">
        <v>0.1</v>
      </c>
      <c r="DR275" s="259">
        <v>0.1</v>
      </c>
      <c r="DS275" s="259">
        <v>0.1</v>
      </c>
      <c r="DT275" s="259">
        <v>0.1</v>
      </c>
      <c r="DU275" s="259">
        <v>0.1</v>
      </c>
      <c r="DV275" s="259">
        <v>0.1</v>
      </c>
      <c r="DW275" s="259">
        <v>0.1</v>
      </c>
      <c r="DX275" s="259">
        <v>0.1</v>
      </c>
      <c r="DY275" s="259">
        <v>0.1</v>
      </c>
      <c r="DZ275" s="259">
        <v>0.1</v>
      </c>
      <c r="EA275" s="259">
        <v>0.1</v>
      </c>
      <c r="EB275" s="259">
        <v>0.1</v>
      </c>
      <c r="EC275" s="259">
        <v>0.1</v>
      </c>
      <c r="ED275" s="259">
        <v>0.1</v>
      </c>
      <c r="EE275" s="259">
        <v>0.1</v>
      </c>
      <c r="EF275" s="260">
        <v>0.1</v>
      </c>
    </row>
    <row r="276" spans="71:136" ht="15.75" thickBot="1" x14ac:dyDescent="0.3">
      <c r="BS276">
        <v>273</v>
      </c>
      <c r="BT276" s="271">
        <v>3.08</v>
      </c>
      <c r="BU276" s="270">
        <v>2.82</v>
      </c>
      <c r="BV276" s="2"/>
      <c r="BW276" s="2"/>
      <c r="BX276" s="2"/>
      <c r="BY276" s="258">
        <v>0.1</v>
      </c>
      <c r="BZ276" s="259">
        <v>0.1</v>
      </c>
      <c r="CA276" s="259">
        <v>0.1</v>
      </c>
      <c r="CB276" s="259">
        <v>0.1</v>
      </c>
      <c r="CC276" s="259">
        <v>0.1</v>
      </c>
      <c r="CD276" s="259">
        <v>0.1</v>
      </c>
      <c r="CE276" s="259">
        <v>0.1</v>
      </c>
      <c r="CF276" s="259">
        <v>0.1</v>
      </c>
      <c r="CG276" s="259">
        <v>0.1</v>
      </c>
      <c r="CH276" s="259">
        <v>0.1</v>
      </c>
      <c r="CI276" s="259">
        <v>0.1</v>
      </c>
      <c r="CJ276" s="259">
        <v>0.1</v>
      </c>
      <c r="CK276" s="259">
        <v>0.1</v>
      </c>
      <c r="CL276" s="259">
        <v>0.1</v>
      </c>
      <c r="CM276" s="259">
        <v>0.1</v>
      </c>
      <c r="CN276" s="259">
        <v>0.1</v>
      </c>
      <c r="CO276" s="259">
        <v>0.1</v>
      </c>
      <c r="CP276" s="259">
        <v>0.1</v>
      </c>
      <c r="CQ276" s="259">
        <v>0.1</v>
      </c>
      <c r="CR276" s="259">
        <v>0.1</v>
      </c>
      <c r="CS276" s="259">
        <v>0.1</v>
      </c>
      <c r="CT276" s="259">
        <v>0.1</v>
      </c>
      <c r="CU276" s="259">
        <v>0.1</v>
      </c>
      <c r="CV276" s="259">
        <v>0.1</v>
      </c>
      <c r="CW276" s="259">
        <v>0.1</v>
      </c>
      <c r="CX276" s="259">
        <v>0.1</v>
      </c>
      <c r="CY276" s="259">
        <v>0.1</v>
      </c>
      <c r="CZ276" s="259">
        <v>0.1</v>
      </c>
      <c r="DA276" s="259">
        <v>0.1</v>
      </c>
      <c r="DB276" s="259">
        <v>0.1</v>
      </c>
      <c r="DC276" s="260">
        <v>0.1</v>
      </c>
      <c r="DD276" s="258">
        <v>0.1</v>
      </c>
      <c r="DE276" s="259">
        <v>0.1</v>
      </c>
      <c r="DF276" s="259">
        <v>0.1</v>
      </c>
      <c r="DG276" s="259">
        <v>0.1</v>
      </c>
      <c r="DH276" s="259">
        <v>0.1</v>
      </c>
      <c r="DI276" s="259">
        <v>0.1</v>
      </c>
      <c r="DJ276" s="259">
        <v>0.1</v>
      </c>
      <c r="DK276" s="259">
        <v>0.1</v>
      </c>
      <c r="DL276" s="259">
        <v>0.1</v>
      </c>
      <c r="DM276" s="259">
        <v>0.1</v>
      </c>
      <c r="DN276" s="259">
        <v>0.1</v>
      </c>
      <c r="DO276" s="259">
        <v>0.1</v>
      </c>
      <c r="DP276" s="259">
        <v>0.1</v>
      </c>
      <c r="DQ276" s="259">
        <v>0.1</v>
      </c>
      <c r="DR276" s="259">
        <v>0.1</v>
      </c>
      <c r="DS276" s="259">
        <v>0.1</v>
      </c>
      <c r="DT276" s="259">
        <v>0.1</v>
      </c>
      <c r="DU276" s="259">
        <v>0.1</v>
      </c>
      <c r="DV276" s="259">
        <v>0.1</v>
      </c>
      <c r="DW276" s="259">
        <v>0.1</v>
      </c>
      <c r="DX276" s="259">
        <v>0.1</v>
      </c>
      <c r="DY276" s="259">
        <v>0.1</v>
      </c>
      <c r="DZ276" s="259">
        <v>0.1</v>
      </c>
      <c r="EA276" s="259">
        <v>0.1</v>
      </c>
      <c r="EB276" s="259">
        <v>0.1</v>
      </c>
      <c r="EC276" s="259">
        <v>0.1</v>
      </c>
      <c r="ED276" s="259">
        <v>0.1</v>
      </c>
      <c r="EE276" s="259">
        <v>0.1</v>
      </c>
      <c r="EF276" s="260">
        <v>0.1</v>
      </c>
    </row>
    <row r="277" spans="71:136" ht="15.75" thickBot="1" x14ac:dyDescent="0.3">
      <c r="BS277">
        <v>274</v>
      </c>
      <c r="BT277" s="270">
        <v>3.08</v>
      </c>
      <c r="BU277" s="271">
        <v>2.82</v>
      </c>
      <c r="BV277" s="2"/>
      <c r="BW277" s="2"/>
      <c r="BX277" s="2"/>
      <c r="BY277" s="258">
        <v>0.1</v>
      </c>
      <c r="BZ277" s="259">
        <v>0.1</v>
      </c>
      <c r="CA277" s="259">
        <v>0.1</v>
      </c>
      <c r="CB277" s="259">
        <v>0.1</v>
      </c>
      <c r="CC277" s="259">
        <v>0.1</v>
      </c>
      <c r="CD277" s="259">
        <v>0.1</v>
      </c>
      <c r="CE277" s="259">
        <v>0.1</v>
      </c>
      <c r="CF277" s="259">
        <v>0.1</v>
      </c>
      <c r="CG277" s="259">
        <v>0.1</v>
      </c>
      <c r="CH277" s="259">
        <v>0.1</v>
      </c>
      <c r="CI277" s="259">
        <v>0.1</v>
      </c>
      <c r="CJ277" s="259">
        <v>0.1</v>
      </c>
      <c r="CK277" s="259">
        <v>0.1</v>
      </c>
      <c r="CL277" s="259">
        <v>0.1</v>
      </c>
      <c r="CM277" s="259">
        <v>0.1</v>
      </c>
      <c r="CN277" s="259">
        <v>0.1</v>
      </c>
      <c r="CO277" s="259">
        <v>0.1</v>
      </c>
      <c r="CP277" s="259">
        <v>0.1</v>
      </c>
      <c r="CQ277" s="259">
        <v>0.1</v>
      </c>
      <c r="CR277" s="259">
        <v>0.1</v>
      </c>
      <c r="CS277" s="259">
        <v>0.1</v>
      </c>
      <c r="CT277" s="259">
        <v>0.1</v>
      </c>
      <c r="CU277" s="259">
        <v>0.1</v>
      </c>
      <c r="CV277" s="259">
        <v>0.1</v>
      </c>
      <c r="CW277" s="259">
        <v>0.1</v>
      </c>
      <c r="CX277" s="259">
        <v>0.1</v>
      </c>
      <c r="CY277" s="259">
        <v>0.1</v>
      </c>
      <c r="CZ277" s="259">
        <v>0.1</v>
      </c>
      <c r="DA277" s="259">
        <v>0.1</v>
      </c>
      <c r="DB277" s="259">
        <v>0.1</v>
      </c>
      <c r="DC277" s="260">
        <v>0.1</v>
      </c>
      <c r="DD277" s="258">
        <v>0.1</v>
      </c>
      <c r="DE277" s="259">
        <v>0.1</v>
      </c>
      <c r="DF277" s="259">
        <v>0.1</v>
      </c>
      <c r="DG277" s="259">
        <v>0.1</v>
      </c>
      <c r="DH277" s="259">
        <v>0.1</v>
      </c>
      <c r="DI277" s="259">
        <v>0.1</v>
      </c>
      <c r="DJ277" s="259">
        <v>0.1</v>
      </c>
      <c r="DK277" s="259">
        <v>0.1</v>
      </c>
      <c r="DL277" s="259">
        <v>0.1</v>
      </c>
      <c r="DM277" s="259">
        <v>0.1</v>
      </c>
      <c r="DN277" s="259">
        <v>0.1</v>
      </c>
      <c r="DO277" s="259">
        <v>0.1</v>
      </c>
      <c r="DP277" s="259">
        <v>0.1</v>
      </c>
      <c r="DQ277" s="259">
        <v>0.1</v>
      </c>
      <c r="DR277" s="259">
        <v>0.1</v>
      </c>
      <c r="DS277" s="259">
        <v>0.1</v>
      </c>
      <c r="DT277" s="259">
        <v>0.1</v>
      </c>
      <c r="DU277" s="259">
        <v>0.1</v>
      </c>
      <c r="DV277" s="259">
        <v>0.1</v>
      </c>
      <c r="DW277" s="259">
        <v>0.1</v>
      </c>
      <c r="DX277" s="259">
        <v>0.1</v>
      </c>
      <c r="DY277" s="259">
        <v>0.1</v>
      </c>
      <c r="DZ277" s="259">
        <v>0.1</v>
      </c>
      <c r="EA277" s="259">
        <v>0.1</v>
      </c>
      <c r="EB277" s="259">
        <v>0.1</v>
      </c>
      <c r="EC277" s="259">
        <v>0.1</v>
      </c>
      <c r="ED277" s="259">
        <v>0.1</v>
      </c>
      <c r="EE277" s="259">
        <v>0.1</v>
      </c>
      <c r="EF277" s="260">
        <v>0.1</v>
      </c>
    </row>
    <row r="278" spans="71:136" ht="15.75" thickBot="1" x14ac:dyDescent="0.3">
      <c r="BS278">
        <v>275</v>
      </c>
      <c r="BT278" s="271">
        <v>3.08</v>
      </c>
      <c r="BU278" s="270">
        <v>2.82</v>
      </c>
      <c r="BV278" s="2"/>
      <c r="BW278" s="2"/>
      <c r="BX278" s="2"/>
      <c r="BY278" s="258">
        <v>0.1</v>
      </c>
      <c r="BZ278" s="259">
        <v>0.1</v>
      </c>
      <c r="CA278" s="259">
        <v>0.1</v>
      </c>
      <c r="CB278" s="259">
        <v>0.1</v>
      </c>
      <c r="CC278" s="259">
        <v>0.1</v>
      </c>
      <c r="CD278" s="259">
        <v>0.1</v>
      </c>
      <c r="CE278" s="259">
        <v>0.1</v>
      </c>
      <c r="CF278" s="259">
        <v>0.1</v>
      </c>
      <c r="CG278" s="259">
        <v>0.1</v>
      </c>
      <c r="CH278" s="259">
        <v>0.1</v>
      </c>
      <c r="CI278" s="259">
        <v>0.1</v>
      </c>
      <c r="CJ278" s="259">
        <v>0.1</v>
      </c>
      <c r="CK278" s="259">
        <v>0.1</v>
      </c>
      <c r="CL278" s="259">
        <v>0.1</v>
      </c>
      <c r="CM278" s="259">
        <v>0.1</v>
      </c>
      <c r="CN278" s="259">
        <v>0.1</v>
      </c>
      <c r="CO278" s="259">
        <v>0.1</v>
      </c>
      <c r="CP278" s="259">
        <v>0.1</v>
      </c>
      <c r="CQ278" s="259">
        <v>0.1</v>
      </c>
      <c r="CR278" s="259">
        <v>0.1</v>
      </c>
      <c r="CS278" s="259">
        <v>0.1</v>
      </c>
      <c r="CT278" s="259">
        <v>0.1</v>
      </c>
      <c r="CU278" s="259">
        <v>0.1</v>
      </c>
      <c r="CV278" s="259">
        <v>0.1</v>
      </c>
      <c r="CW278" s="259">
        <v>0.1</v>
      </c>
      <c r="CX278" s="259">
        <v>0.1</v>
      </c>
      <c r="CY278" s="259">
        <v>0.1</v>
      </c>
      <c r="CZ278" s="259">
        <v>0.1</v>
      </c>
      <c r="DA278" s="259">
        <v>0.1</v>
      </c>
      <c r="DB278" s="259">
        <v>0.1</v>
      </c>
      <c r="DC278" s="260">
        <v>0.1</v>
      </c>
      <c r="DD278" s="258">
        <v>0.1</v>
      </c>
      <c r="DE278" s="259">
        <v>0.1</v>
      </c>
      <c r="DF278" s="259">
        <v>0.1</v>
      </c>
      <c r="DG278" s="259">
        <v>0.1</v>
      </c>
      <c r="DH278" s="259">
        <v>0.1</v>
      </c>
      <c r="DI278" s="259">
        <v>0.1</v>
      </c>
      <c r="DJ278" s="259">
        <v>0.1</v>
      </c>
      <c r="DK278" s="259">
        <v>0.1</v>
      </c>
      <c r="DL278" s="259">
        <v>0.1</v>
      </c>
      <c r="DM278" s="259">
        <v>0.1</v>
      </c>
      <c r="DN278" s="259">
        <v>0.1</v>
      </c>
      <c r="DO278" s="259">
        <v>0.1</v>
      </c>
      <c r="DP278" s="259">
        <v>0.1</v>
      </c>
      <c r="DQ278" s="259">
        <v>0.1</v>
      </c>
      <c r="DR278" s="259">
        <v>0.1</v>
      </c>
      <c r="DS278" s="259">
        <v>0.1</v>
      </c>
      <c r="DT278" s="259">
        <v>0.1</v>
      </c>
      <c r="DU278" s="259">
        <v>0.1</v>
      </c>
      <c r="DV278" s="259">
        <v>0.1</v>
      </c>
      <c r="DW278" s="259">
        <v>0.1</v>
      </c>
      <c r="DX278" s="259">
        <v>0.1</v>
      </c>
      <c r="DY278" s="259">
        <v>0.1</v>
      </c>
      <c r="DZ278" s="259">
        <v>0.1</v>
      </c>
      <c r="EA278" s="259">
        <v>0.1</v>
      </c>
      <c r="EB278" s="259">
        <v>0.1</v>
      </c>
      <c r="EC278" s="259">
        <v>0.1</v>
      </c>
      <c r="ED278" s="259">
        <v>0.1</v>
      </c>
      <c r="EE278" s="259">
        <v>0.1</v>
      </c>
      <c r="EF278" s="260">
        <v>0.1</v>
      </c>
    </row>
    <row r="279" spans="71:136" ht="15.75" thickBot="1" x14ac:dyDescent="0.3">
      <c r="BS279">
        <v>276</v>
      </c>
      <c r="BT279" s="270">
        <v>3.08</v>
      </c>
      <c r="BU279" s="271">
        <v>2.82</v>
      </c>
      <c r="BV279" s="2"/>
      <c r="BW279" s="2"/>
      <c r="BX279" s="2"/>
      <c r="BY279" s="258">
        <v>0.1</v>
      </c>
      <c r="BZ279" s="259">
        <v>0.1</v>
      </c>
      <c r="CA279" s="259">
        <v>0.1</v>
      </c>
      <c r="CB279" s="259">
        <v>0.1</v>
      </c>
      <c r="CC279" s="259">
        <v>0.1</v>
      </c>
      <c r="CD279" s="259">
        <v>0.1</v>
      </c>
      <c r="CE279" s="259">
        <v>0.1</v>
      </c>
      <c r="CF279" s="259">
        <v>0.1</v>
      </c>
      <c r="CG279" s="259">
        <v>0.1</v>
      </c>
      <c r="CH279" s="259">
        <v>0.1</v>
      </c>
      <c r="CI279" s="259">
        <v>0.1</v>
      </c>
      <c r="CJ279" s="259">
        <v>0.1</v>
      </c>
      <c r="CK279" s="259">
        <v>0.1</v>
      </c>
      <c r="CL279" s="259">
        <v>0.1</v>
      </c>
      <c r="CM279" s="259">
        <v>0.1</v>
      </c>
      <c r="CN279" s="259">
        <v>0.1</v>
      </c>
      <c r="CO279" s="259">
        <v>0.1</v>
      </c>
      <c r="CP279" s="259">
        <v>0.1</v>
      </c>
      <c r="CQ279" s="259">
        <v>0.1</v>
      </c>
      <c r="CR279" s="259">
        <v>0.1</v>
      </c>
      <c r="CS279" s="259">
        <v>0.1</v>
      </c>
      <c r="CT279" s="259">
        <v>0.1</v>
      </c>
      <c r="CU279" s="259">
        <v>0.1</v>
      </c>
      <c r="CV279" s="259">
        <v>0.1</v>
      </c>
      <c r="CW279" s="259">
        <v>0.1</v>
      </c>
      <c r="CX279" s="259">
        <v>0.1</v>
      </c>
      <c r="CY279" s="259">
        <v>0.1</v>
      </c>
      <c r="CZ279" s="259">
        <v>0.1</v>
      </c>
      <c r="DA279" s="259">
        <v>0.1</v>
      </c>
      <c r="DB279" s="259">
        <v>0.1</v>
      </c>
      <c r="DC279" s="260">
        <v>0.1</v>
      </c>
      <c r="DD279" s="258">
        <v>0.1</v>
      </c>
      <c r="DE279" s="259">
        <v>0.1</v>
      </c>
      <c r="DF279" s="259">
        <v>0.1</v>
      </c>
      <c r="DG279" s="259">
        <v>0.1</v>
      </c>
      <c r="DH279" s="259">
        <v>0.1</v>
      </c>
      <c r="DI279" s="259">
        <v>0.1</v>
      </c>
      <c r="DJ279" s="259">
        <v>0.1</v>
      </c>
      <c r="DK279" s="259">
        <v>0.1</v>
      </c>
      <c r="DL279" s="259">
        <v>0.1</v>
      </c>
      <c r="DM279" s="259">
        <v>0.1</v>
      </c>
      <c r="DN279" s="259">
        <v>0.1</v>
      </c>
      <c r="DO279" s="259">
        <v>0.1</v>
      </c>
      <c r="DP279" s="259">
        <v>0.1</v>
      </c>
      <c r="DQ279" s="259">
        <v>0.1</v>
      </c>
      <c r="DR279" s="259">
        <v>0.1</v>
      </c>
      <c r="DS279" s="259">
        <v>0.1</v>
      </c>
      <c r="DT279" s="259">
        <v>0.1</v>
      </c>
      <c r="DU279" s="259">
        <v>0.1</v>
      </c>
      <c r="DV279" s="259">
        <v>0.1</v>
      </c>
      <c r="DW279" s="259">
        <v>0.1</v>
      </c>
      <c r="DX279" s="259">
        <v>0.1</v>
      </c>
      <c r="DY279" s="259">
        <v>0.1</v>
      </c>
      <c r="DZ279" s="259">
        <v>0.1</v>
      </c>
      <c r="EA279" s="259">
        <v>0.1</v>
      </c>
      <c r="EB279" s="259">
        <v>0.1</v>
      </c>
      <c r="EC279" s="259">
        <v>0.1</v>
      </c>
      <c r="ED279" s="259">
        <v>0.1</v>
      </c>
      <c r="EE279" s="259">
        <v>0.1</v>
      </c>
      <c r="EF279" s="260">
        <v>0.1</v>
      </c>
    </row>
    <row r="280" spans="71:136" ht="15.75" thickBot="1" x14ac:dyDescent="0.3">
      <c r="BS280">
        <v>277</v>
      </c>
      <c r="BT280" s="271">
        <v>3.0790000000000002</v>
      </c>
      <c r="BU280" s="270">
        <v>2.82</v>
      </c>
      <c r="BV280" s="2"/>
      <c r="BW280" s="2"/>
      <c r="BX280" s="2"/>
      <c r="BY280" s="258">
        <v>0.1</v>
      </c>
      <c r="BZ280" s="259">
        <v>0.1</v>
      </c>
      <c r="CA280" s="259">
        <v>0.1</v>
      </c>
      <c r="CB280" s="259">
        <v>0.1</v>
      </c>
      <c r="CC280" s="259">
        <v>0.1</v>
      </c>
      <c r="CD280" s="259">
        <v>0.1</v>
      </c>
      <c r="CE280" s="259">
        <v>0.1</v>
      </c>
      <c r="CF280" s="259">
        <v>0.1</v>
      </c>
      <c r="CG280" s="259">
        <v>0.1</v>
      </c>
      <c r="CH280" s="259">
        <v>0.1</v>
      </c>
      <c r="CI280" s="259">
        <v>0.1</v>
      </c>
      <c r="CJ280" s="259">
        <v>0.1</v>
      </c>
      <c r="CK280" s="259">
        <v>0.1</v>
      </c>
      <c r="CL280" s="259">
        <v>0.1</v>
      </c>
      <c r="CM280" s="259">
        <v>0.1</v>
      </c>
      <c r="CN280" s="259">
        <v>0.1</v>
      </c>
      <c r="CO280" s="259">
        <v>0.1</v>
      </c>
      <c r="CP280" s="259">
        <v>0.1</v>
      </c>
      <c r="CQ280" s="259">
        <v>0.1</v>
      </c>
      <c r="CR280" s="259">
        <v>0.1</v>
      </c>
      <c r="CS280" s="259">
        <v>0.1</v>
      </c>
      <c r="CT280" s="259">
        <v>0.1</v>
      </c>
      <c r="CU280" s="259">
        <v>0.1</v>
      </c>
      <c r="CV280" s="259">
        <v>0.1</v>
      </c>
      <c r="CW280" s="259">
        <v>0.1</v>
      </c>
      <c r="CX280" s="259">
        <v>0.1</v>
      </c>
      <c r="CY280" s="259">
        <v>0.1</v>
      </c>
      <c r="CZ280" s="259">
        <v>0.1</v>
      </c>
      <c r="DA280" s="259">
        <v>0.1</v>
      </c>
      <c r="DB280" s="259">
        <v>0.1</v>
      </c>
      <c r="DC280" s="260">
        <v>0.1</v>
      </c>
      <c r="DD280" s="258">
        <v>0.1</v>
      </c>
      <c r="DE280" s="259">
        <v>0.1</v>
      </c>
      <c r="DF280" s="259">
        <v>0.1</v>
      </c>
      <c r="DG280" s="259">
        <v>0.1</v>
      </c>
      <c r="DH280" s="259">
        <v>0.1</v>
      </c>
      <c r="DI280" s="259">
        <v>0.1</v>
      </c>
      <c r="DJ280" s="259">
        <v>0.1</v>
      </c>
      <c r="DK280" s="259">
        <v>0.1</v>
      </c>
      <c r="DL280" s="259">
        <v>0.1</v>
      </c>
      <c r="DM280" s="259">
        <v>0.1</v>
      </c>
      <c r="DN280" s="259">
        <v>0.1</v>
      </c>
      <c r="DO280" s="259">
        <v>0.1</v>
      </c>
      <c r="DP280" s="259">
        <v>0.1</v>
      </c>
      <c r="DQ280" s="259">
        <v>0.1</v>
      </c>
      <c r="DR280" s="259">
        <v>0.1</v>
      </c>
      <c r="DS280" s="259">
        <v>0.1</v>
      </c>
      <c r="DT280" s="259">
        <v>0.1</v>
      </c>
      <c r="DU280" s="259">
        <v>0.1</v>
      </c>
      <c r="DV280" s="259">
        <v>0.1</v>
      </c>
      <c r="DW280" s="259">
        <v>0.1</v>
      </c>
      <c r="DX280" s="259">
        <v>0.1</v>
      </c>
      <c r="DY280" s="259">
        <v>0.1</v>
      </c>
      <c r="DZ280" s="259">
        <v>0.1</v>
      </c>
      <c r="EA280" s="259">
        <v>0.1</v>
      </c>
      <c r="EB280" s="259">
        <v>0.1</v>
      </c>
      <c r="EC280" s="259">
        <v>0.1</v>
      </c>
      <c r="ED280" s="259">
        <v>0.1</v>
      </c>
      <c r="EE280" s="259">
        <v>0.1</v>
      </c>
      <c r="EF280" s="260">
        <v>0.1</v>
      </c>
    </row>
    <row r="281" spans="71:136" ht="15.75" thickBot="1" x14ac:dyDescent="0.3">
      <c r="BS281">
        <v>278</v>
      </c>
      <c r="BT281" s="270">
        <v>3.0790000000000002</v>
      </c>
      <c r="BU281" s="271">
        <v>2.83</v>
      </c>
      <c r="BV281" s="2"/>
      <c r="BW281" s="2"/>
      <c r="BX281" s="2"/>
      <c r="BY281" s="258">
        <v>0.1</v>
      </c>
      <c r="BZ281" s="259">
        <v>0.1</v>
      </c>
      <c r="CA281" s="259">
        <v>0.1</v>
      </c>
      <c r="CB281" s="259">
        <v>0.1</v>
      </c>
      <c r="CC281" s="259">
        <v>0.1</v>
      </c>
      <c r="CD281" s="259">
        <v>0.1</v>
      </c>
      <c r="CE281" s="259">
        <v>0.1</v>
      </c>
      <c r="CF281" s="259">
        <v>0.1</v>
      </c>
      <c r="CG281" s="259">
        <v>0.1</v>
      </c>
      <c r="CH281" s="259">
        <v>0.1</v>
      </c>
      <c r="CI281" s="259">
        <v>0.1</v>
      </c>
      <c r="CJ281" s="259">
        <v>0.1</v>
      </c>
      <c r="CK281" s="259">
        <v>0.1</v>
      </c>
      <c r="CL281" s="259">
        <v>0.1</v>
      </c>
      <c r="CM281" s="259">
        <v>0.1</v>
      </c>
      <c r="CN281" s="259">
        <v>0.1</v>
      </c>
      <c r="CO281" s="259">
        <v>0.1</v>
      </c>
      <c r="CP281" s="259">
        <v>0.1</v>
      </c>
      <c r="CQ281" s="259">
        <v>0.1</v>
      </c>
      <c r="CR281" s="259">
        <v>0.1</v>
      </c>
      <c r="CS281" s="259">
        <v>0.1</v>
      </c>
      <c r="CT281" s="259">
        <v>0.1</v>
      </c>
      <c r="CU281" s="259">
        <v>0.1</v>
      </c>
      <c r="CV281" s="259">
        <v>0.1</v>
      </c>
      <c r="CW281" s="259">
        <v>0.1</v>
      </c>
      <c r="CX281" s="259">
        <v>0.1</v>
      </c>
      <c r="CY281" s="259">
        <v>0.1</v>
      </c>
      <c r="CZ281" s="259">
        <v>0.1</v>
      </c>
      <c r="DA281" s="259">
        <v>0.1</v>
      </c>
      <c r="DB281" s="259">
        <v>0.1</v>
      </c>
      <c r="DC281" s="260">
        <v>0.1</v>
      </c>
      <c r="DD281" s="258">
        <v>0.1</v>
      </c>
      <c r="DE281" s="259">
        <v>0.1</v>
      </c>
      <c r="DF281" s="259">
        <v>0.1</v>
      </c>
      <c r="DG281" s="259">
        <v>0.1</v>
      </c>
      <c r="DH281" s="259">
        <v>0.1</v>
      </c>
      <c r="DI281" s="259">
        <v>0.1</v>
      </c>
      <c r="DJ281" s="259">
        <v>0.1</v>
      </c>
      <c r="DK281" s="259">
        <v>0.1</v>
      </c>
      <c r="DL281" s="259">
        <v>0.1</v>
      </c>
      <c r="DM281" s="259">
        <v>0.1</v>
      </c>
      <c r="DN281" s="259">
        <v>0.1</v>
      </c>
      <c r="DO281" s="259">
        <v>0.1</v>
      </c>
      <c r="DP281" s="259">
        <v>0.1</v>
      </c>
      <c r="DQ281" s="259">
        <v>0.1</v>
      </c>
      <c r="DR281" s="259">
        <v>0.1</v>
      </c>
      <c r="DS281" s="259">
        <v>0.1</v>
      </c>
      <c r="DT281" s="259">
        <v>0.1</v>
      </c>
      <c r="DU281" s="259">
        <v>0.1</v>
      </c>
      <c r="DV281" s="259">
        <v>0.1</v>
      </c>
      <c r="DW281" s="259">
        <v>0.1</v>
      </c>
      <c r="DX281" s="259">
        <v>0.1</v>
      </c>
      <c r="DY281" s="259">
        <v>0.1</v>
      </c>
      <c r="DZ281" s="259">
        <v>0.1</v>
      </c>
      <c r="EA281" s="259">
        <v>0.1</v>
      </c>
      <c r="EB281" s="259">
        <v>0.1</v>
      </c>
      <c r="EC281" s="259">
        <v>0.1</v>
      </c>
      <c r="ED281" s="259">
        <v>0.1</v>
      </c>
      <c r="EE281" s="259">
        <v>0.1</v>
      </c>
      <c r="EF281" s="260">
        <v>0.1</v>
      </c>
    </row>
    <row r="282" spans="71:136" ht="15.75" thickBot="1" x14ac:dyDescent="0.3">
      <c r="BS282">
        <v>279</v>
      </c>
      <c r="BT282" s="271">
        <v>3.0790000000000002</v>
      </c>
      <c r="BU282" s="270">
        <v>2.85</v>
      </c>
      <c r="BV282" s="2"/>
      <c r="BW282" s="2"/>
      <c r="BX282" s="2"/>
      <c r="BY282" s="258">
        <v>0.1</v>
      </c>
      <c r="BZ282" s="259">
        <v>0.1</v>
      </c>
      <c r="CA282" s="259">
        <v>0.1</v>
      </c>
      <c r="CB282" s="259">
        <v>0.1</v>
      </c>
      <c r="CC282" s="259">
        <v>0.1</v>
      </c>
      <c r="CD282" s="259">
        <v>0.1</v>
      </c>
      <c r="CE282" s="259">
        <v>0.1</v>
      </c>
      <c r="CF282" s="259">
        <v>0.1</v>
      </c>
      <c r="CG282" s="259">
        <v>0.1</v>
      </c>
      <c r="CH282" s="259">
        <v>0.1</v>
      </c>
      <c r="CI282" s="259">
        <v>0.1</v>
      </c>
      <c r="CJ282" s="259">
        <v>0.1</v>
      </c>
      <c r="CK282" s="259">
        <v>0.1</v>
      </c>
      <c r="CL282" s="259">
        <v>0.1</v>
      </c>
      <c r="CM282" s="259">
        <v>0.1</v>
      </c>
      <c r="CN282" s="259">
        <v>0.1</v>
      </c>
      <c r="CO282" s="259">
        <v>0.1</v>
      </c>
      <c r="CP282" s="259">
        <v>0.1</v>
      </c>
      <c r="CQ282" s="259">
        <v>0.1</v>
      </c>
      <c r="CR282" s="259">
        <v>0.1</v>
      </c>
      <c r="CS282" s="259">
        <v>0.1</v>
      </c>
      <c r="CT282" s="259">
        <v>0.1</v>
      </c>
      <c r="CU282" s="259">
        <v>0.1</v>
      </c>
      <c r="CV282" s="259">
        <v>0.1</v>
      </c>
      <c r="CW282" s="259">
        <v>0.1</v>
      </c>
      <c r="CX282" s="259">
        <v>0.1</v>
      </c>
      <c r="CY282" s="259">
        <v>0.1</v>
      </c>
      <c r="CZ282" s="259">
        <v>0.1</v>
      </c>
      <c r="DA282" s="259">
        <v>0.1</v>
      </c>
      <c r="DB282" s="259">
        <v>0.1</v>
      </c>
      <c r="DC282" s="260">
        <v>0.1</v>
      </c>
      <c r="DD282" s="258">
        <v>0.1</v>
      </c>
      <c r="DE282" s="259">
        <v>0.1</v>
      </c>
      <c r="DF282" s="259">
        <v>0.1</v>
      </c>
      <c r="DG282" s="259">
        <v>0.1</v>
      </c>
      <c r="DH282" s="259">
        <v>0.1</v>
      </c>
      <c r="DI282" s="259">
        <v>0.1</v>
      </c>
      <c r="DJ282" s="259">
        <v>0.1</v>
      </c>
      <c r="DK282" s="259">
        <v>0.1</v>
      </c>
      <c r="DL282" s="259">
        <v>0.1</v>
      </c>
      <c r="DM282" s="259">
        <v>0.1</v>
      </c>
      <c r="DN282" s="259">
        <v>0.1</v>
      </c>
      <c r="DO282" s="259">
        <v>0.1</v>
      </c>
      <c r="DP282" s="259">
        <v>0.1</v>
      </c>
      <c r="DQ282" s="259">
        <v>0.1</v>
      </c>
      <c r="DR282" s="259">
        <v>0.1</v>
      </c>
      <c r="DS282" s="259">
        <v>0.1</v>
      </c>
      <c r="DT282" s="259">
        <v>0.1</v>
      </c>
      <c r="DU282" s="259">
        <v>0.1</v>
      </c>
      <c r="DV282" s="259">
        <v>0.1</v>
      </c>
      <c r="DW282" s="259">
        <v>0.1</v>
      </c>
      <c r="DX282" s="259">
        <v>0.1</v>
      </c>
      <c r="DY282" s="259">
        <v>0.1</v>
      </c>
      <c r="DZ282" s="259">
        <v>0.1</v>
      </c>
      <c r="EA282" s="259">
        <v>0.1</v>
      </c>
      <c r="EB282" s="259">
        <v>0.1</v>
      </c>
      <c r="EC282" s="259">
        <v>0.1</v>
      </c>
      <c r="ED282" s="259">
        <v>0.1</v>
      </c>
      <c r="EE282" s="259">
        <v>0.1</v>
      </c>
      <c r="EF282" s="260">
        <v>0.1</v>
      </c>
    </row>
    <row r="283" spans="71:136" ht="15.75" thickBot="1" x14ac:dyDescent="0.3">
      <c r="BS283">
        <v>280</v>
      </c>
      <c r="BT283" s="270">
        <v>3.0790000000000002</v>
      </c>
      <c r="BU283" s="271">
        <v>2.85</v>
      </c>
      <c r="BV283" s="2"/>
      <c r="BW283" s="2"/>
      <c r="BX283" s="2"/>
      <c r="BY283" s="258">
        <v>0.1</v>
      </c>
      <c r="BZ283" s="259">
        <v>0.1</v>
      </c>
      <c r="CA283" s="259">
        <v>0.1</v>
      </c>
      <c r="CB283" s="259">
        <v>0.1</v>
      </c>
      <c r="CC283" s="259">
        <v>0.1</v>
      </c>
      <c r="CD283" s="259">
        <v>0.1</v>
      </c>
      <c r="CE283" s="259">
        <v>0.1</v>
      </c>
      <c r="CF283" s="259">
        <v>0.1</v>
      </c>
      <c r="CG283" s="259">
        <v>0.1</v>
      </c>
      <c r="CH283" s="259">
        <v>0.1</v>
      </c>
      <c r="CI283" s="259">
        <v>0.1</v>
      </c>
      <c r="CJ283" s="259">
        <v>0.1</v>
      </c>
      <c r="CK283" s="259">
        <v>0.1</v>
      </c>
      <c r="CL283" s="259">
        <v>0.1</v>
      </c>
      <c r="CM283" s="259">
        <v>0.1</v>
      </c>
      <c r="CN283" s="259">
        <v>0.1</v>
      </c>
      <c r="CO283" s="259">
        <v>0.1</v>
      </c>
      <c r="CP283" s="259">
        <v>0.1</v>
      </c>
      <c r="CQ283" s="259">
        <v>0.1</v>
      </c>
      <c r="CR283" s="259">
        <v>0.1</v>
      </c>
      <c r="CS283" s="259">
        <v>0.1</v>
      </c>
      <c r="CT283" s="259">
        <v>0.1</v>
      </c>
      <c r="CU283" s="259">
        <v>0.1</v>
      </c>
      <c r="CV283" s="259">
        <v>0.1</v>
      </c>
      <c r="CW283" s="259">
        <v>0.1</v>
      </c>
      <c r="CX283" s="259">
        <v>0.1</v>
      </c>
      <c r="CY283" s="259">
        <v>0.1</v>
      </c>
      <c r="CZ283" s="259">
        <v>0.1</v>
      </c>
      <c r="DA283" s="259">
        <v>0.1</v>
      </c>
      <c r="DB283" s="259">
        <v>0.1</v>
      </c>
      <c r="DC283" s="260">
        <v>0.1</v>
      </c>
      <c r="DD283" s="258">
        <v>0.1</v>
      </c>
      <c r="DE283" s="259">
        <v>0.1</v>
      </c>
      <c r="DF283" s="259">
        <v>0.1</v>
      </c>
      <c r="DG283" s="259">
        <v>0.1</v>
      </c>
      <c r="DH283" s="259">
        <v>0.1</v>
      </c>
      <c r="DI283" s="259">
        <v>0.1</v>
      </c>
      <c r="DJ283" s="259">
        <v>0.1</v>
      </c>
      <c r="DK283" s="259">
        <v>0.1</v>
      </c>
      <c r="DL283" s="259">
        <v>0.1</v>
      </c>
      <c r="DM283" s="259">
        <v>0.1</v>
      </c>
      <c r="DN283" s="259">
        <v>0.1</v>
      </c>
      <c r="DO283" s="259">
        <v>0.1</v>
      </c>
      <c r="DP283" s="259">
        <v>0.1</v>
      </c>
      <c r="DQ283" s="259">
        <v>0.1</v>
      </c>
      <c r="DR283" s="259">
        <v>0.1</v>
      </c>
      <c r="DS283" s="259">
        <v>0.1</v>
      </c>
      <c r="DT283" s="259">
        <v>0.1</v>
      </c>
      <c r="DU283" s="259">
        <v>0.1</v>
      </c>
      <c r="DV283" s="259">
        <v>0.1</v>
      </c>
      <c r="DW283" s="259">
        <v>0.1</v>
      </c>
      <c r="DX283" s="259">
        <v>0.1</v>
      </c>
      <c r="DY283" s="259">
        <v>0.1</v>
      </c>
      <c r="DZ283" s="259">
        <v>0.1</v>
      </c>
      <c r="EA283" s="259">
        <v>0.1</v>
      </c>
      <c r="EB283" s="259">
        <v>0.1</v>
      </c>
      <c r="EC283" s="259">
        <v>0.1</v>
      </c>
      <c r="ED283" s="259">
        <v>0.1</v>
      </c>
      <c r="EE283" s="259">
        <v>0.1</v>
      </c>
      <c r="EF283" s="260">
        <v>0.1</v>
      </c>
    </row>
    <row r="284" spans="71:136" ht="15.75" thickBot="1" x14ac:dyDescent="0.3">
      <c r="BS284">
        <v>281</v>
      </c>
      <c r="BT284" s="271">
        <v>3.0790000000000002</v>
      </c>
      <c r="BU284" s="270">
        <v>2.85</v>
      </c>
      <c r="BV284" s="2"/>
      <c r="BW284" s="2"/>
      <c r="BX284" s="2"/>
      <c r="BY284" s="258">
        <v>0.1</v>
      </c>
      <c r="BZ284" s="259">
        <v>0.1</v>
      </c>
      <c r="CA284" s="259">
        <v>0.1</v>
      </c>
      <c r="CB284" s="259">
        <v>0.1</v>
      </c>
      <c r="CC284" s="259">
        <v>0.1</v>
      </c>
      <c r="CD284" s="259">
        <v>0.1</v>
      </c>
      <c r="CE284" s="259">
        <v>0.1</v>
      </c>
      <c r="CF284" s="259">
        <v>0.1</v>
      </c>
      <c r="CG284" s="259">
        <v>0.1</v>
      </c>
      <c r="CH284" s="259">
        <v>0.1</v>
      </c>
      <c r="CI284" s="259">
        <v>0.1</v>
      </c>
      <c r="CJ284" s="259">
        <v>0.1</v>
      </c>
      <c r="CK284" s="259">
        <v>0.1</v>
      </c>
      <c r="CL284" s="259">
        <v>0.1</v>
      </c>
      <c r="CM284" s="259">
        <v>0.1</v>
      </c>
      <c r="CN284" s="259">
        <v>0.1</v>
      </c>
      <c r="CO284" s="259">
        <v>0.1</v>
      </c>
      <c r="CP284" s="259">
        <v>0.1</v>
      </c>
      <c r="CQ284" s="259">
        <v>0.1</v>
      </c>
      <c r="CR284" s="259">
        <v>0.1</v>
      </c>
      <c r="CS284" s="259">
        <v>0.1</v>
      </c>
      <c r="CT284" s="259">
        <v>0.1</v>
      </c>
      <c r="CU284" s="259">
        <v>0.1</v>
      </c>
      <c r="CV284" s="259">
        <v>0.1</v>
      </c>
      <c r="CW284" s="259">
        <v>0.1</v>
      </c>
      <c r="CX284" s="259">
        <v>0.1</v>
      </c>
      <c r="CY284" s="259">
        <v>0.1</v>
      </c>
      <c r="CZ284" s="259">
        <v>0.1</v>
      </c>
      <c r="DA284" s="259">
        <v>0.1</v>
      </c>
      <c r="DB284" s="259">
        <v>0.1</v>
      </c>
      <c r="DC284" s="260">
        <v>0.1</v>
      </c>
      <c r="DD284" s="258">
        <v>0.1</v>
      </c>
      <c r="DE284" s="259">
        <v>0.1</v>
      </c>
      <c r="DF284" s="259">
        <v>0.1</v>
      </c>
      <c r="DG284" s="259">
        <v>0.1</v>
      </c>
      <c r="DH284" s="259">
        <v>0.1</v>
      </c>
      <c r="DI284" s="259">
        <v>0.1</v>
      </c>
      <c r="DJ284" s="259">
        <v>0.1</v>
      </c>
      <c r="DK284" s="259">
        <v>0.1</v>
      </c>
      <c r="DL284" s="259">
        <v>0.1</v>
      </c>
      <c r="DM284" s="259">
        <v>0.1</v>
      </c>
      <c r="DN284" s="259">
        <v>0.1</v>
      </c>
      <c r="DO284" s="259">
        <v>0.1</v>
      </c>
      <c r="DP284" s="259">
        <v>0.1</v>
      </c>
      <c r="DQ284" s="259">
        <v>0.1</v>
      </c>
      <c r="DR284" s="259">
        <v>0.1</v>
      </c>
      <c r="DS284" s="259">
        <v>0.1</v>
      </c>
      <c r="DT284" s="259">
        <v>0.1</v>
      </c>
      <c r="DU284" s="259">
        <v>0.1</v>
      </c>
      <c r="DV284" s="259">
        <v>0.1</v>
      </c>
      <c r="DW284" s="259">
        <v>0.1</v>
      </c>
      <c r="DX284" s="259">
        <v>0.1</v>
      </c>
      <c r="DY284" s="259">
        <v>0.1</v>
      </c>
      <c r="DZ284" s="259">
        <v>0.1</v>
      </c>
      <c r="EA284" s="259">
        <v>0.1</v>
      </c>
      <c r="EB284" s="259">
        <v>0.1</v>
      </c>
      <c r="EC284" s="259">
        <v>0.1</v>
      </c>
      <c r="ED284" s="259">
        <v>0.1</v>
      </c>
      <c r="EE284" s="259">
        <v>0.1</v>
      </c>
      <c r="EF284" s="260">
        <v>0.1</v>
      </c>
    </row>
    <row r="285" spans="71:136" ht="15.75" thickBot="1" x14ac:dyDescent="0.3">
      <c r="BS285">
        <v>282</v>
      </c>
      <c r="BT285" s="270">
        <v>3.0790000000000002</v>
      </c>
      <c r="BU285" s="271">
        <v>2.85</v>
      </c>
      <c r="BV285" s="2"/>
      <c r="BW285" s="2"/>
      <c r="BX285" s="2"/>
      <c r="BY285" s="258">
        <v>0.1</v>
      </c>
      <c r="BZ285" s="259">
        <v>0.1</v>
      </c>
      <c r="CA285" s="259">
        <v>0.1</v>
      </c>
      <c r="CB285" s="259">
        <v>0.1</v>
      </c>
      <c r="CC285" s="259">
        <v>0.1</v>
      </c>
      <c r="CD285" s="259">
        <v>0.1</v>
      </c>
      <c r="CE285" s="259">
        <v>0.1</v>
      </c>
      <c r="CF285" s="259">
        <v>0.1</v>
      </c>
      <c r="CG285" s="259">
        <v>0.1</v>
      </c>
      <c r="CH285" s="259">
        <v>0.1</v>
      </c>
      <c r="CI285" s="259">
        <v>0.1</v>
      </c>
      <c r="CJ285" s="259">
        <v>0.1</v>
      </c>
      <c r="CK285" s="259">
        <v>0.1</v>
      </c>
      <c r="CL285" s="259">
        <v>0.1</v>
      </c>
      <c r="CM285" s="259">
        <v>0.1</v>
      </c>
      <c r="CN285" s="259">
        <v>0.1</v>
      </c>
      <c r="CO285" s="259">
        <v>0.1</v>
      </c>
      <c r="CP285" s="259">
        <v>0.1</v>
      </c>
      <c r="CQ285" s="259">
        <v>0.1</v>
      </c>
      <c r="CR285" s="259">
        <v>0.1</v>
      </c>
      <c r="CS285" s="259">
        <v>0.1</v>
      </c>
      <c r="CT285" s="259">
        <v>0.1</v>
      </c>
      <c r="CU285" s="259">
        <v>0.1</v>
      </c>
      <c r="CV285" s="259">
        <v>0.1</v>
      </c>
      <c r="CW285" s="259">
        <v>0.1</v>
      </c>
      <c r="CX285" s="259">
        <v>0.1</v>
      </c>
      <c r="CY285" s="259">
        <v>0.1</v>
      </c>
      <c r="CZ285" s="259">
        <v>0.1</v>
      </c>
      <c r="DA285" s="259">
        <v>0.1</v>
      </c>
      <c r="DB285" s="259">
        <v>0.1</v>
      </c>
      <c r="DC285" s="260">
        <v>0.1</v>
      </c>
      <c r="DD285" s="258">
        <v>0.1</v>
      </c>
      <c r="DE285" s="259">
        <v>0.1</v>
      </c>
      <c r="DF285" s="259">
        <v>0.1</v>
      </c>
      <c r="DG285" s="259">
        <v>0.1</v>
      </c>
      <c r="DH285" s="259">
        <v>0.1</v>
      </c>
      <c r="DI285" s="259">
        <v>0.1</v>
      </c>
      <c r="DJ285" s="259">
        <v>0.1</v>
      </c>
      <c r="DK285" s="259">
        <v>0.1</v>
      </c>
      <c r="DL285" s="259">
        <v>0.1</v>
      </c>
      <c r="DM285" s="259">
        <v>0.1</v>
      </c>
      <c r="DN285" s="259">
        <v>0.1</v>
      </c>
      <c r="DO285" s="259">
        <v>0.1</v>
      </c>
      <c r="DP285" s="259">
        <v>0.1</v>
      </c>
      <c r="DQ285" s="259">
        <v>0.1</v>
      </c>
      <c r="DR285" s="259">
        <v>0.1</v>
      </c>
      <c r="DS285" s="259">
        <v>0.1</v>
      </c>
      <c r="DT285" s="259">
        <v>0.1</v>
      </c>
      <c r="DU285" s="259">
        <v>0.1</v>
      </c>
      <c r="DV285" s="259">
        <v>0.1</v>
      </c>
      <c r="DW285" s="259">
        <v>0.1</v>
      </c>
      <c r="DX285" s="259">
        <v>0.1</v>
      </c>
      <c r="DY285" s="259">
        <v>0.1</v>
      </c>
      <c r="DZ285" s="259">
        <v>0.1</v>
      </c>
      <c r="EA285" s="259">
        <v>0.1</v>
      </c>
      <c r="EB285" s="259">
        <v>0.1</v>
      </c>
      <c r="EC285" s="259">
        <v>0.1</v>
      </c>
      <c r="ED285" s="259">
        <v>0.1</v>
      </c>
      <c r="EE285" s="259">
        <v>0.1</v>
      </c>
      <c r="EF285" s="260">
        <v>0.1</v>
      </c>
    </row>
    <row r="286" spans="71:136" ht="15.75" thickBot="1" x14ac:dyDescent="0.3">
      <c r="BS286">
        <v>283</v>
      </c>
      <c r="BT286" s="271">
        <v>3.0790000000000002</v>
      </c>
      <c r="BU286" s="270">
        <v>2.85</v>
      </c>
      <c r="BV286" s="2"/>
      <c r="BW286" s="2"/>
      <c r="BX286" s="2"/>
      <c r="BY286" s="258">
        <v>0.1</v>
      </c>
      <c r="BZ286" s="259">
        <v>0.1</v>
      </c>
      <c r="CA286" s="259">
        <v>0.1</v>
      </c>
      <c r="CB286" s="259">
        <v>0.1</v>
      </c>
      <c r="CC286" s="259">
        <v>0.1</v>
      </c>
      <c r="CD286" s="259">
        <v>0.1</v>
      </c>
      <c r="CE286" s="259">
        <v>0.1</v>
      </c>
      <c r="CF286" s="259">
        <v>0.1</v>
      </c>
      <c r="CG286" s="259">
        <v>0.1</v>
      </c>
      <c r="CH286" s="259">
        <v>0.1</v>
      </c>
      <c r="CI286" s="259">
        <v>0.1</v>
      </c>
      <c r="CJ286" s="259">
        <v>0.1</v>
      </c>
      <c r="CK286" s="259">
        <v>0.1</v>
      </c>
      <c r="CL286" s="259">
        <v>0.1</v>
      </c>
      <c r="CM286" s="259">
        <v>0.1</v>
      </c>
      <c r="CN286" s="259">
        <v>0.1</v>
      </c>
      <c r="CO286" s="259">
        <v>0.1</v>
      </c>
      <c r="CP286" s="259">
        <v>0.1</v>
      </c>
      <c r="CQ286" s="259">
        <v>0.1</v>
      </c>
      <c r="CR286" s="259">
        <v>0.1</v>
      </c>
      <c r="CS286" s="259">
        <v>0.1</v>
      </c>
      <c r="CT286" s="259">
        <v>0.1</v>
      </c>
      <c r="CU286" s="259">
        <v>0.1</v>
      </c>
      <c r="CV286" s="259">
        <v>0.1</v>
      </c>
      <c r="CW286" s="259">
        <v>0.1</v>
      </c>
      <c r="CX286" s="259">
        <v>0.1</v>
      </c>
      <c r="CY286" s="259">
        <v>0.1</v>
      </c>
      <c r="CZ286" s="259">
        <v>0.1</v>
      </c>
      <c r="DA286" s="259">
        <v>0.1</v>
      </c>
      <c r="DB286" s="259">
        <v>0.1</v>
      </c>
      <c r="DC286" s="260">
        <v>0.1</v>
      </c>
      <c r="DD286" s="258">
        <v>0.1</v>
      </c>
      <c r="DE286" s="259">
        <v>0.1</v>
      </c>
      <c r="DF286" s="259">
        <v>0.1</v>
      </c>
      <c r="DG286" s="259">
        <v>0.1</v>
      </c>
      <c r="DH286" s="259">
        <v>0.1</v>
      </c>
      <c r="DI286" s="259">
        <v>0.1</v>
      </c>
      <c r="DJ286" s="259">
        <v>0.1</v>
      </c>
      <c r="DK286" s="259">
        <v>0.1</v>
      </c>
      <c r="DL286" s="259">
        <v>0.1</v>
      </c>
      <c r="DM286" s="259">
        <v>0.1</v>
      </c>
      <c r="DN286" s="259">
        <v>0.1</v>
      </c>
      <c r="DO286" s="259">
        <v>0.1</v>
      </c>
      <c r="DP286" s="259">
        <v>0.1</v>
      </c>
      <c r="DQ286" s="259">
        <v>0.1</v>
      </c>
      <c r="DR286" s="259">
        <v>0.1</v>
      </c>
      <c r="DS286" s="259">
        <v>0.1</v>
      </c>
      <c r="DT286" s="259">
        <v>0.1</v>
      </c>
      <c r="DU286" s="259">
        <v>0.1</v>
      </c>
      <c r="DV286" s="259">
        <v>0.1</v>
      </c>
      <c r="DW286" s="259">
        <v>0.1</v>
      </c>
      <c r="DX286" s="259">
        <v>0.1</v>
      </c>
      <c r="DY286" s="259">
        <v>0.1</v>
      </c>
      <c r="DZ286" s="259">
        <v>0.1</v>
      </c>
      <c r="EA286" s="259">
        <v>0.1</v>
      </c>
      <c r="EB286" s="259">
        <v>0.1</v>
      </c>
      <c r="EC286" s="259">
        <v>0.1</v>
      </c>
      <c r="ED286" s="259">
        <v>0.1</v>
      </c>
      <c r="EE286" s="259">
        <v>0.1</v>
      </c>
      <c r="EF286" s="260">
        <v>0.1</v>
      </c>
    </row>
    <row r="287" spans="71:136" ht="15.75" thickBot="1" x14ac:dyDescent="0.3">
      <c r="BS287">
        <v>284</v>
      </c>
      <c r="BT287" s="270">
        <v>3.0790000000000002</v>
      </c>
      <c r="BU287" s="271">
        <v>2.85</v>
      </c>
      <c r="BV287" s="2"/>
      <c r="BW287" s="2"/>
      <c r="BX287" s="2"/>
      <c r="BY287" s="258">
        <v>0.1</v>
      </c>
      <c r="BZ287" s="259">
        <v>0.1</v>
      </c>
      <c r="CA287" s="259">
        <v>0.1</v>
      </c>
      <c r="CB287" s="259">
        <v>0.1</v>
      </c>
      <c r="CC287" s="259">
        <v>0.1</v>
      </c>
      <c r="CD287" s="259">
        <v>0.1</v>
      </c>
      <c r="CE287" s="259">
        <v>0.1</v>
      </c>
      <c r="CF287" s="259">
        <v>0.1</v>
      </c>
      <c r="CG287" s="259">
        <v>0.1</v>
      </c>
      <c r="CH287" s="259">
        <v>0.1</v>
      </c>
      <c r="CI287" s="259">
        <v>0.1</v>
      </c>
      <c r="CJ287" s="259">
        <v>0.1</v>
      </c>
      <c r="CK287" s="259">
        <v>0.1</v>
      </c>
      <c r="CL287" s="259">
        <v>0.1</v>
      </c>
      <c r="CM287" s="259">
        <v>0.1</v>
      </c>
      <c r="CN287" s="259">
        <v>0.1</v>
      </c>
      <c r="CO287" s="259">
        <v>0.1</v>
      </c>
      <c r="CP287" s="259">
        <v>0.1</v>
      </c>
      <c r="CQ287" s="259">
        <v>0.1</v>
      </c>
      <c r="CR287" s="259">
        <v>0.1</v>
      </c>
      <c r="CS287" s="259">
        <v>0.1</v>
      </c>
      <c r="CT287" s="259">
        <v>0.1</v>
      </c>
      <c r="CU287" s="259">
        <v>0.1</v>
      </c>
      <c r="CV287" s="259">
        <v>0.1</v>
      </c>
      <c r="CW287" s="259">
        <v>0.1</v>
      </c>
      <c r="CX287" s="259">
        <v>0.1</v>
      </c>
      <c r="CY287" s="259">
        <v>0.1</v>
      </c>
      <c r="CZ287" s="259">
        <v>0.1</v>
      </c>
      <c r="DA287" s="259">
        <v>0.1</v>
      </c>
      <c r="DB287" s="259">
        <v>0.1</v>
      </c>
      <c r="DC287" s="260">
        <v>0.1</v>
      </c>
      <c r="DD287" s="258">
        <v>0.1</v>
      </c>
      <c r="DE287" s="259">
        <v>0.1</v>
      </c>
      <c r="DF287" s="259">
        <v>0.1</v>
      </c>
      <c r="DG287" s="259">
        <v>0.1</v>
      </c>
      <c r="DH287" s="259">
        <v>0.1</v>
      </c>
      <c r="DI287" s="259">
        <v>0.1</v>
      </c>
      <c r="DJ287" s="259">
        <v>0.1</v>
      </c>
      <c r="DK287" s="259">
        <v>0.1</v>
      </c>
      <c r="DL287" s="259">
        <v>0.1</v>
      </c>
      <c r="DM287" s="259">
        <v>0.1</v>
      </c>
      <c r="DN287" s="259">
        <v>0.1</v>
      </c>
      <c r="DO287" s="259">
        <v>0.1</v>
      </c>
      <c r="DP287" s="259">
        <v>0.1</v>
      </c>
      <c r="DQ287" s="259">
        <v>0.1</v>
      </c>
      <c r="DR287" s="259">
        <v>0.1</v>
      </c>
      <c r="DS287" s="259">
        <v>0.1</v>
      </c>
      <c r="DT287" s="259">
        <v>0.1</v>
      </c>
      <c r="DU287" s="259">
        <v>0.1</v>
      </c>
      <c r="DV287" s="259">
        <v>0.1</v>
      </c>
      <c r="DW287" s="259">
        <v>0.1</v>
      </c>
      <c r="DX287" s="259">
        <v>0.1</v>
      </c>
      <c r="DY287" s="259">
        <v>0.1</v>
      </c>
      <c r="DZ287" s="259">
        <v>0.1</v>
      </c>
      <c r="EA287" s="259">
        <v>0.1</v>
      </c>
      <c r="EB287" s="259">
        <v>0.1</v>
      </c>
      <c r="EC287" s="259">
        <v>0.1</v>
      </c>
      <c r="ED287" s="259">
        <v>0.1</v>
      </c>
      <c r="EE287" s="259">
        <v>0.1</v>
      </c>
      <c r="EF287" s="260">
        <v>0.1</v>
      </c>
    </row>
    <row r="288" spans="71:136" ht="15.75" thickBot="1" x14ac:dyDescent="0.3">
      <c r="BS288">
        <v>285</v>
      </c>
      <c r="BT288" s="271">
        <v>3.06</v>
      </c>
      <c r="BU288" s="270">
        <v>2.86</v>
      </c>
      <c r="BV288" s="2"/>
      <c r="BW288" s="2"/>
      <c r="BX288" s="2"/>
      <c r="BY288" s="258">
        <v>0.1</v>
      </c>
      <c r="BZ288" s="259">
        <v>0.1</v>
      </c>
      <c r="CA288" s="259">
        <v>0.1</v>
      </c>
      <c r="CB288" s="259">
        <v>0.1</v>
      </c>
      <c r="CC288" s="259">
        <v>0.1</v>
      </c>
      <c r="CD288" s="259">
        <v>0.1</v>
      </c>
      <c r="CE288" s="259">
        <v>0.1</v>
      </c>
      <c r="CF288" s="259">
        <v>0.1</v>
      </c>
      <c r="CG288" s="259">
        <v>0.1</v>
      </c>
      <c r="CH288" s="259">
        <v>0.1</v>
      </c>
      <c r="CI288" s="259">
        <v>0.1</v>
      </c>
      <c r="CJ288" s="259">
        <v>0.1</v>
      </c>
      <c r="CK288" s="259">
        <v>0.1</v>
      </c>
      <c r="CL288" s="259">
        <v>0.1</v>
      </c>
      <c r="CM288" s="259">
        <v>0.1</v>
      </c>
      <c r="CN288" s="259">
        <v>0.1</v>
      </c>
      <c r="CO288" s="259">
        <v>0.1</v>
      </c>
      <c r="CP288" s="259">
        <v>0.1</v>
      </c>
      <c r="CQ288" s="259">
        <v>0.1</v>
      </c>
      <c r="CR288" s="259">
        <v>0.1</v>
      </c>
      <c r="CS288" s="259">
        <v>0.1</v>
      </c>
      <c r="CT288" s="259">
        <v>0.1</v>
      </c>
      <c r="CU288" s="259">
        <v>0.1</v>
      </c>
      <c r="CV288" s="259">
        <v>0.1</v>
      </c>
      <c r="CW288" s="259">
        <v>0.1</v>
      </c>
      <c r="CX288" s="259">
        <v>0.1</v>
      </c>
      <c r="CY288" s="259">
        <v>0.1</v>
      </c>
      <c r="CZ288" s="259">
        <v>0.1</v>
      </c>
      <c r="DA288" s="259">
        <v>0.1</v>
      </c>
      <c r="DB288" s="259">
        <v>0.1</v>
      </c>
      <c r="DC288" s="260">
        <v>0.1</v>
      </c>
      <c r="DD288" s="258">
        <v>0.1</v>
      </c>
      <c r="DE288" s="259">
        <v>0.1</v>
      </c>
      <c r="DF288" s="259">
        <v>0.1</v>
      </c>
      <c r="DG288" s="259">
        <v>0.1</v>
      </c>
      <c r="DH288" s="259">
        <v>0.1</v>
      </c>
      <c r="DI288" s="259">
        <v>0.1</v>
      </c>
      <c r="DJ288" s="259">
        <v>0.1</v>
      </c>
      <c r="DK288" s="259">
        <v>0.1</v>
      </c>
      <c r="DL288" s="259">
        <v>0.1</v>
      </c>
      <c r="DM288" s="259">
        <v>0.1</v>
      </c>
      <c r="DN288" s="259">
        <v>0.1</v>
      </c>
      <c r="DO288" s="259">
        <v>0.1</v>
      </c>
      <c r="DP288" s="259">
        <v>0.1</v>
      </c>
      <c r="DQ288" s="259">
        <v>0.1</v>
      </c>
      <c r="DR288" s="259">
        <v>0.1</v>
      </c>
      <c r="DS288" s="259">
        <v>0.1</v>
      </c>
      <c r="DT288" s="259">
        <v>0.1</v>
      </c>
      <c r="DU288" s="259">
        <v>0.1</v>
      </c>
      <c r="DV288" s="259">
        <v>0.1</v>
      </c>
      <c r="DW288" s="259">
        <v>0.1</v>
      </c>
      <c r="DX288" s="259">
        <v>0.1</v>
      </c>
      <c r="DY288" s="259">
        <v>0.1</v>
      </c>
      <c r="DZ288" s="259">
        <v>0.1</v>
      </c>
      <c r="EA288" s="259">
        <v>0.1</v>
      </c>
      <c r="EB288" s="259">
        <v>0.1</v>
      </c>
      <c r="EC288" s="259">
        <v>0.1</v>
      </c>
      <c r="ED288" s="259">
        <v>0.1</v>
      </c>
      <c r="EE288" s="259">
        <v>0.1</v>
      </c>
      <c r="EF288" s="260">
        <v>0.1</v>
      </c>
    </row>
    <row r="289" spans="71:136" ht="15.75" thickBot="1" x14ac:dyDescent="0.3">
      <c r="BS289">
        <v>286</v>
      </c>
      <c r="BT289" s="270">
        <v>3.06</v>
      </c>
      <c r="BU289" s="271">
        <v>2.86</v>
      </c>
      <c r="BV289" s="2"/>
      <c r="BW289" s="2"/>
      <c r="BX289" s="2"/>
      <c r="BY289" s="258">
        <v>0.1</v>
      </c>
      <c r="BZ289" s="259">
        <v>0.1</v>
      </c>
      <c r="CA289" s="259">
        <v>0.1</v>
      </c>
      <c r="CB289" s="259">
        <v>0.1</v>
      </c>
      <c r="CC289" s="259">
        <v>0.1</v>
      </c>
      <c r="CD289" s="259">
        <v>0.1</v>
      </c>
      <c r="CE289" s="259">
        <v>0.1</v>
      </c>
      <c r="CF289" s="259">
        <v>0.1</v>
      </c>
      <c r="CG289" s="259">
        <v>0.1</v>
      </c>
      <c r="CH289" s="259">
        <v>0.1</v>
      </c>
      <c r="CI289" s="259">
        <v>0.1</v>
      </c>
      <c r="CJ289" s="259">
        <v>0.1</v>
      </c>
      <c r="CK289" s="259">
        <v>0.1</v>
      </c>
      <c r="CL289" s="259">
        <v>0.1</v>
      </c>
      <c r="CM289" s="259">
        <v>0.1</v>
      </c>
      <c r="CN289" s="259">
        <v>0.1</v>
      </c>
      <c r="CO289" s="259">
        <v>0.1</v>
      </c>
      <c r="CP289" s="259">
        <v>0.1</v>
      </c>
      <c r="CQ289" s="259">
        <v>0.1</v>
      </c>
      <c r="CR289" s="259">
        <v>0.1</v>
      </c>
      <c r="CS289" s="259">
        <v>0.1</v>
      </c>
      <c r="CT289" s="259">
        <v>0.1</v>
      </c>
      <c r="CU289" s="259">
        <v>0.1</v>
      </c>
      <c r="CV289" s="259">
        <v>0.1</v>
      </c>
      <c r="CW289" s="259">
        <v>0.1</v>
      </c>
      <c r="CX289" s="259">
        <v>0.1</v>
      </c>
      <c r="CY289" s="259">
        <v>0.1</v>
      </c>
      <c r="CZ289" s="259">
        <v>0.1</v>
      </c>
      <c r="DA289" s="259">
        <v>0.1</v>
      </c>
      <c r="DB289" s="259">
        <v>0.1</v>
      </c>
      <c r="DC289" s="260">
        <v>0.1</v>
      </c>
      <c r="DD289" s="258">
        <v>0.1</v>
      </c>
      <c r="DE289" s="259">
        <v>0.1</v>
      </c>
      <c r="DF289" s="259">
        <v>0.1</v>
      </c>
      <c r="DG289" s="259">
        <v>0.1</v>
      </c>
      <c r="DH289" s="259">
        <v>0.1</v>
      </c>
      <c r="DI289" s="259">
        <v>0.1</v>
      </c>
      <c r="DJ289" s="259">
        <v>0.1</v>
      </c>
      <c r="DK289" s="259">
        <v>0.1</v>
      </c>
      <c r="DL289" s="259">
        <v>0.1</v>
      </c>
      <c r="DM289" s="259">
        <v>0.1</v>
      </c>
      <c r="DN289" s="259">
        <v>0.1</v>
      </c>
      <c r="DO289" s="259">
        <v>0.1</v>
      </c>
      <c r="DP289" s="259">
        <v>0.1</v>
      </c>
      <c r="DQ289" s="259">
        <v>0.1</v>
      </c>
      <c r="DR289" s="259">
        <v>0.1</v>
      </c>
      <c r="DS289" s="259">
        <v>0.1</v>
      </c>
      <c r="DT289" s="259">
        <v>0.1</v>
      </c>
      <c r="DU289" s="259">
        <v>0.1</v>
      </c>
      <c r="DV289" s="259">
        <v>0.1</v>
      </c>
      <c r="DW289" s="259">
        <v>0.1</v>
      </c>
      <c r="DX289" s="259">
        <v>0.1</v>
      </c>
      <c r="DY289" s="259">
        <v>0.1</v>
      </c>
      <c r="DZ289" s="259">
        <v>0.1</v>
      </c>
      <c r="EA289" s="259">
        <v>0.1</v>
      </c>
      <c r="EB289" s="259">
        <v>0.1</v>
      </c>
      <c r="EC289" s="259">
        <v>0.1</v>
      </c>
      <c r="ED289" s="259">
        <v>0.1</v>
      </c>
      <c r="EE289" s="259">
        <v>0.1</v>
      </c>
      <c r="EF289" s="260">
        <v>0.1</v>
      </c>
    </row>
    <row r="290" spans="71:136" ht="15.75" thickBot="1" x14ac:dyDescent="0.3">
      <c r="BS290">
        <v>287</v>
      </c>
      <c r="BT290" s="271">
        <v>3.05</v>
      </c>
      <c r="BU290" s="270">
        <v>2.9</v>
      </c>
      <c r="BV290" s="2"/>
      <c r="BW290" s="2"/>
      <c r="BX290" s="2"/>
      <c r="BY290" s="258">
        <v>0.1</v>
      </c>
      <c r="BZ290" s="259">
        <v>0.1</v>
      </c>
      <c r="CA290" s="259">
        <v>0.1</v>
      </c>
      <c r="CB290" s="259">
        <v>0.1</v>
      </c>
      <c r="CC290" s="259">
        <v>0.1</v>
      </c>
      <c r="CD290" s="259">
        <v>0.1</v>
      </c>
      <c r="CE290" s="259">
        <v>0.1</v>
      </c>
      <c r="CF290" s="259">
        <v>0.1</v>
      </c>
      <c r="CG290" s="259">
        <v>0.1</v>
      </c>
      <c r="CH290" s="259">
        <v>0.1</v>
      </c>
      <c r="CI290" s="259">
        <v>0.1</v>
      </c>
      <c r="CJ290" s="259">
        <v>0.1</v>
      </c>
      <c r="CK290" s="259">
        <v>0.1</v>
      </c>
      <c r="CL290" s="259">
        <v>0.1</v>
      </c>
      <c r="CM290" s="259">
        <v>0.1</v>
      </c>
      <c r="CN290" s="259">
        <v>0.1</v>
      </c>
      <c r="CO290" s="259">
        <v>0.1</v>
      </c>
      <c r="CP290" s="259">
        <v>0.1</v>
      </c>
      <c r="CQ290" s="259">
        <v>0.1</v>
      </c>
      <c r="CR290" s="259">
        <v>0.1</v>
      </c>
      <c r="CS290" s="259">
        <v>0.1</v>
      </c>
      <c r="CT290" s="259">
        <v>0.1</v>
      </c>
      <c r="CU290" s="259">
        <v>0.1</v>
      </c>
      <c r="CV290" s="259">
        <v>0.1</v>
      </c>
      <c r="CW290" s="259">
        <v>0.1</v>
      </c>
      <c r="CX290" s="259">
        <v>0.1</v>
      </c>
      <c r="CY290" s="259">
        <v>0.1</v>
      </c>
      <c r="CZ290" s="259">
        <v>0.1</v>
      </c>
      <c r="DA290" s="259">
        <v>0.1</v>
      </c>
      <c r="DB290" s="259">
        <v>0.1</v>
      </c>
      <c r="DC290" s="260">
        <v>0.1</v>
      </c>
      <c r="DD290" s="258">
        <v>0.1</v>
      </c>
      <c r="DE290" s="259">
        <v>0.1</v>
      </c>
      <c r="DF290" s="259">
        <v>0.1</v>
      </c>
      <c r="DG290" s="259">
        <v>0.1</v>
      </c>
      <c r="DH290" s="259">
        <v>0.1</v>
      </c>
      <c r="DI290" s="259">
        <v>0.1</v>
      </c>
      <c r="DJ290" s="259">
        <v>0.1</v>
      </c>
      <c r="DK290" s="259">
        <v>0.1</v>
      </c>
      <c r="DL290" s="259">
        <v>0.1</v>
      </c>
      <c r="DM290" s="259">
        <v>0.1</v>
      </c>
      <c r="DN290" s="259">
        <v>0.1</v>
      </c>
      <c r="DO290" s="259">
        <v>0.1</v>
      </c>
      <c r="DP290" s="259">
        <v>0.1</v>
      </c>
      <c r="DQ290" s="259">
        <v>0.1</v>
      </c>
      <c r="DR290" s="259">
        <v>0.1</v>
      </c>
      <c r="DS290" s="259">
        <v>0.1</v>
      </c>
      <c r="DT290" s="259">
        <v>0.1</v>
      </c>
      <c r="DU290" s="259">
        <v>0.1</v>
      </c>
      <c r="DV290" s="259">
        <v>0.1</v>
      </c>
      <c r="DW290" s="259">
        <v>0.1</v>
      </c>
      <c r="DX290" s="259">
        <v>0.1</v>
      </c>
      <c r="DY290" s="259">
        <v>0.1</v>
      </c>
      <c r="DZ290" s="259">
        <v>0.1</v>
      </c>
      <c r="EA290" s="259">
        <v>0.1</v>
      </c>
      <c r="EB290" s="259">
        <v>0.1</v>
      </c>
      <c r="EC290" s="259">
        <v>0.1</v>
      </c>
      <c r="ED290" s="259">
        <v>0.1</v>
      </c>
      <c r="EE290" s="259">
        <v>0.1</v>
      </c>
      <c r="EF290" s="260">
        <v>0.1</v>
      </c>
    </row>
    <row r="291" spans="71:136" ht="15.75" thickBot="1" x14ac:dyDescent="0.3">
      <c r="BS291">
        <v>288</v>
      </c>
      <c r="BT291" s="270">
        <v>3.05</v>
      </c>
      <c r="BU291" s="271">
        <v>2.9</v>
      </c>
      <c r="BV291" s="2"/>
      <c r="BW291" s="2"/>
      <c r="BX291" s="2"/>
      <c r="BY291" s="258">
        <v>0.1</v>
      </c>
      <c r="BZ291" s="259">
        <v>0.1</v>
      </c>
      <c r="CA291" s="259">
        <v>0.1</v>
      </c>
      <c r="CB291" s="259">
        <v>0.1</v>
      </c>
      <c r="CC291" s="259">
        <v>0.1</v>
      </c>
      <c r="CD291" s="259">
        <v>0.1</v>
      </c>
      <c r="CE291" s="259">
        <v>0.1</v>
      </c>
      <c r="CF291" s="259">
        <v>0.1</v>
      </c>
      <c r="CG291" s="259">
        <v>0.1</v>
      </c>
      <c r="CH291" s="259">
        <v>0.1</v>
      </c>
      <c r="CI291" s="259">
        <v>0.1</v>
      </c>
      <c r="CJ291" s="259">
        <v>0.1</v>
      </c>
      <c r="CK291" s="259">
        <v>0.1</v>
      </c>
      <c r="CL291" s="259">
        <v>0.1</v>
      </c>
      <c r="CM291" s="259">
        <v>0.1</v>
      </c>
      <c r="CN291" s="259">
        <v>0.1</v>
      </c>
      <c r="CO291" s="259">
        <v>0.1</v>
      </c>
      <c r="CP291" s="259">
        <v>0.1</v>
      </c>
      <c r="CQ291" s="259">
        <v>0.1</v>
      </c>
      <c r="CR291" s="259">
        <v>0.1</v>
      </c>
      <c r="CS291" s="259">
        <v>0.1</v>
      </c>
      <c r="CT291" s="259">
        <v>0.1</v>
      </c>
      <c r="CU291" s="259">
        <v>0.1</v>
      </c>
      <c r="CV291" s="259">
        <v>0.1</v>
      </c>
      <c r="CW291" s="259">
        <v>0.1</v>
      </c>
      <c r="CX291" s="259">
        <v>0.1</v>
      </c>
      <c r="CY291" s="259">
        <v>0.1</v>
      </c>
      <c r="CZ291" s="259">
        <v>0.1</v>
      </c>
      <c r="DA291" s="259">
        <v>0.1</v>
      </c>
      <c r="DB291" s="259">
        <v>0.1</v>
      </c>
      <c r="DC291" s="260">
        <v>0.1</v>
      </c>
      <c r="DD291" s="258">
        <v>0.1</v>
      </c>
      <c r="DE291" s="259">
        <v>0.1</v>
      </c>
      <c r="DF291" s="259">
        <v>0.1</v>
      </c>
      <c r="DG291" s="259">
        <v>0.1</v>
      </c>
      <c r="DH291" s="259">
        <v>0.1</v>
      </c>
      <c r="DI291" s="259">
        <v>0.1</v>
      </c>
      <c r="DJ291" s="259">
        <v>0.1</v>
      </c>
      <c r="DK291" s="259">
        <v>0.1</v>
      </c>
      <c r="DL291" s="259">
        <v>0.1</v>
      </c>
      <c r="DM291" s="259">
        <v>0.1</v>
      </c>
      <c r="DN291" s="259">
        <v>0.1</v>
      </c>
      <c r="DO291" s="259">
        <v>0.1</v>
      </c>
      <c r="DP291" s="259">
        <v>0.1</v>
      </c>
      <c r="DQ291" s="259">
        <v>0.1</v>
      </c>
      <c r="DR291" s="259">
        <v>0.1</v>
      </c>
      <c r="DS291" s="259">
        <v>0.1</v>
      </c>
      <c r="DT291" s="259">
        <v>0.1</v>
      </c>
      <c r="DU291" s="259">
        <v>0.1</v>
      </c>
      <c r="DV291" s="259">
        <v>0.1</v>
      </c>
      <c r="DW291" s="259">
        <v>0.1</v>
      </c>
      <c r="DX291" s="259">
        <v>0.1</v>
      </c>
      <c r="DY291" s="259">
        <v>0.1</v>
      </c>
      <c r="DZ291" s="259">
        <v>0.1</v>
      </c>
      <c r="EA291" s="259">
        <v>0.1</v>
      </c>
      <c r="EB291" s="259">
        <v>0.1</v>
      </c>
      <c r="EC291" s="259">
        <v>0.1</v>
      </c>
      <c r="ED291" s="259">
        <v>0.1</v>
      </c>
      <c r="EE291" s="259">
        <v>0.1</v>
      </c>
      <c r="EF291" s="260">
        <v>0.1</v>
      </c>
    </row>
    <row r="292" spans="71:136" ht="15.75" thickBot="1" x14ac:dyDescent="0.3">
      <c r="BS292">
        <v>289</v>
      </c>
      <c r="BT292" s="271">
        <v>3.05</v>
      </c>
      <c r="BU292" s="270">
        <v>2.9</v>
      </c>
      <c r="BV292" s="2"/>
      <c r="BW292" s="2"/>
      <c r="BX292" s="2"/>
      <c r="BY292" s="258">
        <v>0.1</v>
      </c>
      <c r="BZ292" s="259">
        <v>0.1</v>
      </c>
      <c r="CA292" s="259">
        <v>0.1</v>
      </c>
      <c r="CB292" s="259">
        <v>0.1</v>
      </c>
      <c r="CC292" s="259">
        <v>0.1</v>
      </c>
      <c r="CD292" s="259">
        <v>0.1</v>
      </c>
      <c r="CE292" s="259">
        <v>0.1</v>
      </c>
      <c r="CF292" s="259">
        <v>0.1</v>
      </c>
      <c r="CG292" s="259">
        <v>0.1</v>
      </c>
      <c r="CH292" s="259">
        <v>0.1</v>
      </c>
      <c r="CI292" s="259">
        <v>0.1</v>
      </c>
      <c r="CJ292" s="259">
        <v>0.1</v>
      </c>
      <c r="CK292" s="259">
        <v>0.1</v>
      </c>
      <c r="CL292" s="259">
        <v>0.1</v>
      </c>
      <c r="CM292" s="259">
        <v>0.1</v>
      </c>
      <c r="CN292" s="259">
        <v>0.1</v>
      </c>
      <c r="CO292" s="259">
        <v>0.1</v>
      </c>
      <c r="CP292" s="259">
        <v>0.1</v>
      </c>
      <c r="CQ292" s="259">
        <v>0.1</v>
      </c>
      <c r="CR292" s="259">
        <v>0.1</v>
      </c>
      <c r="CS292" s="259">
        <v>0.1</v>
      </c>
      <c r="CT292" s="259">
        <v>0.1</v>
      </c>
      <c r="CU292" s="259">
        <v>0.1</v>
      </c>
      <c r="CV292" s="259">
        <v>0.1</v>
      </c>
      <c r="CW292" s="259">
        <v>0.1</v>
      </c>
      <c r="CX292" s="259">
        <v>0.1</v>
      </c>
      <c r="CY292" s="259">
        <v>0.1</v>
      </c>
      <c r="CZ292" s="259">
        <v>0.1</v>
      </c>
      <c r="DA292" s="259">
        <v>0.1</v>
      </c>
      <c r="DB292" s="259">
        <v>0.1</v>
      </c>
      <c r="DC292" s="260">
        <v>0.1</v>
      </c>
      <c r="DD292" s="258">
        <v>0.1</v>
      </c>
      <c r="DE292" s="259">
        <v>0.1</v>
      </c>
      <c r="DF292" s="259">
        <v>0.1</v>
      </c>
      <c r="DG292" s="259">
        <v>0.1</v>
      </c>
      <c r="DH292" s="259">
        <v>0.1</v>
      </c>
      <c r="DI292" s="259">
        <v>0.1</v>
      </c>
      <c r="DJ292" s="259">
        <v>0.1</v>
      </c>
      <c r="DK292" s="259">
        <v>0.1</v>
      </c>
      <c r="DL292" s="259">
        <v>0.1</v>
      </c>
      <c r="DM292" s="259">
        <v>0.1</v>
      </c>
      <c r="DN292" s="259">
        <v>0.1</v>
      </c>
      <c r="DO292" s="259">
        <v>0.1</v>
      </c>
      <c r="DP292" s="259">
        <v>0.1</v>
      </c>
      <c r="DQ292" s="259">
        <v>0.1</v>
      </c>
      <c r="DR292" s="259">
        <v>0.1</v>
      </c>
      <c r="DS292" s="259">
        <v>0.1</v>
      </c>
      <c r="DT292" s="259">
        <v>0.1</v>
      </c>
      <c r="DU292" s="259">
        <v>0.1</v>
      </c>
      <c r="DV292" s="259">
        <v>0.1</v>
      </c>
      <c r="DW292" s="259">
        <v>0.1</v>
      </c>
      <c r="DX292" s="259">
        <v>0.1</v>
      </c>
      <c r="DY292" s="259">
        <v>0.1</v>
      </c>
      <c r="DZ292" s="259">
        <v>0.1</v>
      </c>
      <c r="EA292" s="259">
        <v>0.1</v>
      </c>
      <c r="EB292" s="259">
        <v>0.1</v>
      </c>
      <c r="EC292" s="259">
        <v>0.1</v>
      </c>
      <c r="ED292" s="259">
        <v>0.1</v>
      </c>
      <c r="EE292" s="259">
        <v>0.1</v>
      </c>
      <c r="EF292" s="260">
        <v>0.1</v>
      </c>
    </row>
    <row r="293" spans="71:136" ht="15.75" thickBot="1" x14ac:dyDescent="0.3">
      <c r="BS293">
        <v>290</v>
      </c>
      <c r="BT293" s="270">
        <v>3.05</v>
      </c>
      <c r="BU293" s="271">
        <v>2.9</v>
      </c>
      <c r="BV293" s="2"/>
      <c r="BW293" s="2"/>
      <c r="BX293" s="2"/>
      <c r="BY293" s="258">
        <v>0.1</v>
      </c>
      <c r="BZ293" s="259">
        <v>0.1</v>
      </c>
      <c r="CA293" s="259">
        <v>0.1</v>
      </c>
      <c r="CB293" s="259">
        <v>0.1</v>
      </c>
      <c r="CC293" s="259">
        <v>0.1</v>
      </c>
      <c r="CD293" s="259">
        <v>0.1</v>
      </c>
      <c r="CE293" s="259">
        <v>0.1</v>
      </c>
      <c r="CF293" s="259">
        <v>0.1</v>
      </c>
      <c r="CG293" s="259">
        <v>0.1</v>
      </c>
      <c r="CH293" s="259">
        <v>0.1</v>
      </c>
      <c r="CI293" s="259">
        <v>0.1</v>
      </c>
      <c r="CJ293" s="259">
        <v>0.1</v>
      </c>
      <c r="CK293" s="259">
        <v>0.1</v>
      </c>
      <c r="CL293" s="259">
        <v>0.1</v>
      </c>
      <c r="CM293" s="259">
        <v>0.1</v>
      </c>
      <c r="CN293" s="259">
        <v>0.1</v>
      </c>
      <c r="CO293" s="259">
        <v>0.1</v>
      </c>
      <c r="CP293" s="259">
        <v>0.1</v>
      </c>
      <c r="CQ293" s="259">
        <v>0.1</v>
      </c>
      <c r="CR293" s="259">
        <v>0.1</v>
      </c>
      <c r="CS293" s="259">
        <v>0.1</v>
      </c>
      <c r="CT293" s="259">
        <v>0.1</v>
      </c>
      <c r="CU293" s="259">
        <v>0.1</v>
      </c>
      <c r="CV293" s="259">
        <v>0.1</v>
      </c>
      <c r="CW293" s="259">
        <v>0.1</v>
      </c>
      <c r="CX293" s="259">
        <v>0.1</v>
      </c>
      <c r="CY293" s="259">
        <v>0.1</v>
      </c>
      <c r="CZ293" s="259">
        <v>0.1</v>
      </c>
      <c r="DA293" s="259">
        <v>0.1</v>
      </c>
      <c r="DB293" s="259">
        <v>0.1</v>
      </c>
      <c r="DC293" s="260">
        <v>0.1</v>
      </c>
      <c r="DD293" s="258">
        <v>0.1</v>
      </c>
      <c r="DE293" s="259">
        <v>0.1</v>
      </c>
      <c r="DF293" s="259">
        <v>0.1</v>
      </c>
      <c r="DG293" s="259">
        <v>0.1</v>
      </c>
      <c r="DH293" s="259">
        <v>0.1</v>
      </c>
      <c r="DI293" s="259">
        <v>0.1</v>
      </c>
      <c r="DJ293" s="259">
        <v>0.1</v>
      </c>
      <c r="DK293" s="259">
        <v>0.1</v>
      </c>
      <c r="DL293" s="259">
        <v>0.1</v>
      </c>
      <c r="DM293" s="259">
        <v>0.1</v>
      </c>
      <c r="DN293" s="259">
        <v>0.1</v>
      </c>
      <c r="DO293" s="259">
        <v>0.1</v>
      </c>
      <c r="DP293" s="259">
        <v>0.1</v>
      </c>
      <c r="DQ293" s="259">
        <v>0.1</v>
      </c>
      <c r="DR293" s="259">
        <v>0.1</v>
      </c>
      <c r="DS293" s="259">
        <v>0.1</v>
      </c>
      <c r="DT293" s="259">
        <v>0.1</v>
      </c>
      <c r="DU293" s="259">
        <v>0.1</v>
      </c>
      <c r="DV293" s="259">
        <v>0.1</v>
      </c>
      <c r="DW293" s="259">
        <v>0.1</v>
      </c>
      <c r="DX293" s="259">
        <v>0.1</v>
      </c>
      <c r="DY293" s="259">
        <v>0.1</v>
      </c>
      <c r="DZ293" s="259">
        <v>0.1</v>
      </c>
      <c r="EA293" s="259">
        <v>0.1</v>
      </c>
      <c r="EB293" s="259">
        <v>0.1</v>
      </c>
      <c r="EC293" s="259">
        <v>0.1</v>
      </c>
      <c r="ED293" s="259">
        <v>0.1</v>
      </c>
      <c r="EE293" s="259">
        <v>0.1</v>
      </c>
      <c r="EF293" s="260">
        <v>0.1</v>
      </c>
    </row>
    <row r="294" spans="71:136" ht="15.75" thickBot="1" x14ac:dyDescent="0.3">
      <c r="BS294">
        <v>291</v>
      </c>
      <c r="BT294" s="271">
        <v>3.05</v>
      </c>
      <c r="BU294" s="270">
        <v>2.9</v>
      </c>
      <c r="BV294" s="2"/>
      <c r="BW294" s="2"/>
      <c r="BX294" s="2"/>
      <c r="BY294" s="258">
        <v>0.1</v>
      </c>
      <c r="BZ294" s="259">
        <v>0.1</v>
      </c>
      <c r="CA294" s="259">
        <v>0.1</v>
      </c>
      <c r="CB294" s="259">
        <v>0.1</v>
      </c>
      <c r="CC294" s="259">
        <v>0.1</v>
      </c>
      <c r="CD294" s="259">
        <v>0.1</v>
      </c>
      <c r="CE294" s="259">
        <v>0.1</v>
      </c>
      <c r="CF294" s="259">
        <v>0.1</v>
      </c>
      <c r="CG294" s="259">
        <v>0.1</v>
      </c>
      <c r="CH294" s="259">
        <v>0.1</v>
      </c>
      <c r="CI294" s="259">
        <v>0.1</v>
      </c>
      <c r="CJ294" s="259">
        <v>0.1</v>
      </c>
      <c r="CK294" s="259">
        <v>0.1</v>
      </c>
      <c r="CL294" s="259">
        <v>0.1</v>
      </c>
      <c r="CM294" s="259">
        <v>0.1</v>
      </c>
      <c r="CN294" s="259">
        <v>0.1</v>
      </c>
      <c r="CO294" s="259">
        <v>0.1</v>
      </c>
      <c r="CP294" s="259">
        <v>0.1</v>
      </c>
      <c r="CQ294" s="259">
        <v>0.1</v>
      </c>
      <c r="CR294" s="259">
        <v>0.1</v>
      </c>
      <c r="CS294" s="259">
        <v>0.1</v>
      </c>
      <c r="CT294" s="259">
        <v>0.1</v>
      </c>
      <c r="CU294" s="259">
        <v>0.1</v>
      </c>
      <c r="CV294" s="259">
        <v>0.1</v>
      </c>
      <c r="CW294" s="259">
        <v>0.1</v>
      </c>
      <c r="CX294" s="259">
        <v>0.1</v>
      </c>
      <c r="CY294" s="259">
        <v>0.1</v>
      </c>
      <c r="CZ294" s="259">
        <v>0.1</v>
      </c>
      <c r="DA294" s="259">
        <v>0.1</v>
      </c>
      <c r="DB294" s="259">
        <v>0.1</v>
      </c>
      <c r="DC294" s="260">
        <v>0.1</v>
      </c>
      <c r="DD294" s="258">
        <v>0.1</v>
      </c>
      <c r="DE294" s="259">
        <v>0.1</v>
      </c>
      <c r="DF294" s="259">
        <v>0.1</v>
      </c>
      <c r="DG294" s="259">
        <v>0.1</v>
      </c>
      <c r="DH294" s="259">
        <v>0.1</v>
      </c>
      <c r="DI294" s="259">
        <v>0.1</v>
      </c>
      <c r="DJ294" s="259">
        <v>0.1</v>
      </c>
      <c r="DK294" s="259">
        <v>0.1</v>
      </c>
      <c r="DL294" s="259">
        <v>0.1</v>
      </c>
      <c r="DM294" s="259">
        <v>0.1</v>
      </c>
      <c r="DN294" s="259">
        <v>0.1</v>
      </c>
      <c r="DO294" s="259">
        <v>0.1</v>
      </c>
      <c r="DP294" s="259">
        <v>0.1</v>
      </c>
      <c r="DQ294" s="259">
        <v>0.1</v>
      </c>
      <c r="DR294" s="259">
        <v>0.1</v>
      </c>
      <c r="DS294" s="259">
        <v>0.1</v>
      </c>
      <c r="DT294" s="259">
        <v>0.1</v>
      </c>
      <c r="DU294" s="259">
        <v>0.1</v>
      </c>
      <c r="DV294" s="259">
        <v>0.1</v>
      </c>
      <c r="DW294" s="259">
        <v>0.1</v>
      </c>
      <c r="DX294" s="259">
        <v>0.1</v>
      </c>
      <c r="DY294" s="259">
        <v>0.1</v>
      </c>
      <c r="DZ294" s="259">
        <v>0.1</v>
      </c>
      <c r="EA294" s="259">
        <v>0.1</v>
      </c>
      <c r="EB294" s="259">
        <v>0.1</v>
      </c>
      <c r="EC294" s="259">
        <v>0.1</v>
      </c>
      <c r="ED294" s="259">
        <v>0.1</v>
      </c>
      <c r="EE294" s="259">
        <v>0.1</v>
      </c>
      <c r="EF294" s="260">
        <v>0.1</v>
      </c>
    </row>
    <row r="295" spans="71:136" ht="15.75" thickBot="1" x14ac:dyDescent="0.3">
      <c r="BS295">
        <v>292</v>
      </c>
      <c r="BT295" s="270">
        <v>3.02</v>
      </c>
      <c r="BU295" s="271">
        <v>2.9</v>
      </c>
      <c r="BV295" s="2"/>
      <c r="BW295" s="2"/>
      <c r="BX295" s="2"/>
      <c r="BY295" s="258">
        <v>0.1</v>
      </c>
      <c r="BZ295" s="259">
        <v>0.1</v>
      </c>
      <c r="CA295" s="259">
        <v>0.1</v>
      </c>
      <c r="CB295" s="259">
        <v>0.1</v>
      </c>
      <c r="CC295" s="259">
        <v>0.1</v>
      </c>
      <c r="CD295" s="259">
        <v>0.1</v>
      </c>
      <c r="CE295" s="259">
        <v>0.1</v>
      </c>
      <c r="CF295" s="259">
        <v>0.1</v>
      </c>
      <c r="CG295" s="259">
        <v>0.1</v>
      </c>
      <c r="CH295" s="259">
        <v>0.1</v>
      </c>
      <c r="CI295" s="259">
        <v>0.1</v>
      </c>
      <c r="CJ295" s="259">
        <v>0.1</v>
      </c>
      <c r="CK295" s="259">
        <v>0.1</v>
      </c>
      <c r="CL295" s="259">
        <v>0.1</v>
      </c>
      <c r="CM295" s="259">
        <v>0.1</v>
      </c>
      <c r="CN295" s="259">
        <v>0.1</v>
      </c>
      <c r="CO295" s="259">
        <v>0.1</v>
      </c>
      <c r="CP295" s="259">
        <v>0.1</v>
      </c>
      <c r="CQ295" s="259">
        <v>0.1</v>
      </c>
      <c r="CR295" s="259">
        <v>0.1</v>
      </c>
      <c r="CS295" s="259">
        <v>0.1</v>
      </c>
      <c r="CT295" s="259">
        <v>0.1</v>
      </c>
      <c r="CU295" s="259">
        <v>0.1</v>
      </c>
      <c r="CV295" s="259">
        <v>0.1</v>
      </c>
      <c r="CW295" s="259">
        <v>0.1</v>
      </c>
      <c r="CX295" s="259">
        <v>0.1</v>
      </c>
      <c r="CY295" s="259">
        <v>0.1</v>
      </c>
      <c r="CZ295" s="259">
        <v>0.1</v>
      </c>
      <c r="DA295" s="259">
        <v>0.1</v>
      </c>
      <c r="DB295" s="259">
        <v>0.1</v>
      </c>
      <c r="DC295" s="260">
        <v>0.1</v>
      </c>
      <c r="DD295" s="258">
        <v>0.1</v>
      </c>
      <c r="DE295" s="259">
        <v>0.1</v>
      </c>
      <c r="DF295" s="259">
        <v>0.1</v>
      </c>
      <c r="DG295" s="259">
        <v>0.1</v>
      </c>
      <c r="DH295" s="259">
        <v>0.1</v>
      </c>
      <c r="DI295" s="259">
        <v>0.1</v>
      </c>
      <c r="DJ295" s="259">
        <v>0.1</v>
      </c>
      <c r="DK295" s="259">
        <v>0.1</v>
      </c>
      <c r="DL295" s="259">
        <v>0.1</v>
      </c>
      <c r="DM295" s="259">
        <v>0.1</v>
      </c>
      <c r="DN295" s="259">
        <v>0.1</v>
      </c>
      <c r="DO295" s="259">
        <v>0.1</v>
      </c>
      <c r="DP295" s="259">
        <v>0.1</v>
      </c>
      <c r="DQ295" s="259">
        <v>0.1</v>
      </c>
      <c r="DR295" s="259">
        <v>0.1</v>
      </c>
      <c r="DS295" s="259">
        <v>0.1</v>
      </c>
      <c r="DT295" s="259">
        <v>0.1</v>
      </c>
      <c r="DU295" s="259">
        <v>0.1</v>
      </c>
      <c r="DV295" s="259">
        <v>0.1</v>
      </c>
      <c r="DW295" s="259">
        <v>0.1</v>
      </c>
      <c r="DX295" s="259">
        <v>0.1</v>
      </c>
      <c r="DY295" s="259">
        <v>0.1</v>
      </c>
      <c r="DZ295" s="259">
        <v>0.1</v>
      </c>
      <c r="EA295" s="259">
        <v>0.1</v>
      </c>
      <c r="EB295" s="259">
        <v>0.1</v>
      </c>
      <c r="EC295" s="259">
        <v>0.1</v>
      </c>
      <c r="ED295" s="259">
        <v>0.1</v>
      </c>
      <c r="EE295" s="259">
        <v>0.1</v>
      </c>
      <c r="EF295" s="260">
        <v>0.1</v>
      </c>
    </row>
    <row r="296" spans="71:136" ht="15.75" thickBot="1" x14ac:dyDescent="0.3">
      <c r="BS296">
        <v>293</v>
      </c>
      <c r="BT296" s="271">
        <v>3.02</v>
      </c>
      <c r="BU296" s="270">
        <v>2.9</v>
      </c>
      <c r="BV296" s="2"/>
      <c r="BW296" s="2"/>
      <c r="BX296" s="2"/>
      <c r="BY296" s="258">
        <v>0.1</v>
      </c>
      <c r="BZ296" s="259">
        <v>0.1</v>
      </c>
      <c r="CA296" s="259">
        <v>0.1</v>
      </c>
      <c r="CB296" s="259">
        <v>0.1</v>
      </c>
      <c r="CC296" s="259">
        <v>0.1</v>
      </c>
      <c r="CD296" s="259">
        <v>0.1</v>
      </c>
      <c r="CE296" s="259">
        <v>0.1</v>
      </c>
      <c r="CF296" s="259">
        <v>0.1</v>
      </c>
      <c r="CG296" s="259">
        <v>0.1</v>
      </c>
      <c r="CH296" s="259">
        <v>0.1</v>
      </c>
      <c r="CI296" s="259">
        <v>0.1</v>
      </c>
      <c r="CJ296" s="259">
        <v>0.1</v>
      </c>
      <c r="CK296" s="259">
        <v>0.1</v>
      </c>
      <c r="CL296" s="259">
        <v>0.1</v>
      </c>
      <c r="CM296" s="259">
        <v>0.1</v>
      </c>
      <c r="CN296" s="259">
        <v>0.1</v>
      </c>
      <c r="CO296" s="259">
        <v>0.1</v>
      </c>
      <c r="CP296" s="259">
        <v>0.1</v>
      </c>
      <c r="CQ296" s="259">
        <v>0.1</v>
      </c>
      <c r="CR296" s="259">
        <v>0.1</v>
      </c>
      <c r="CS296" s="259">
        <v>0.1</v>
      </c>
      <c r="CT296" s="259">
        <v>0.1</v>
      </c>
      <c r="CU296" s="259">
        <v>0.1</v>
      </c>
      <c r="CV296" s="259">
        <v>0.1</v>
      </c>
      <c r="CW296" s="259">
        <v>0.1</v>
      </c>
      <c r="CX296" s="259">
        <v>0.1</v>
      </c>
      <c r="CY296" s="259">
        <v>0.1</v>
      </c>
      <c r="CZ296" s="259">
        <v>0.1</v>
      </c>
      <c r="DA296" s="259">
        <v>0.1</v>
      </c>
      <c r="DB296" s="259">
        <v>0.1</v>
      </c>
      <c r="DC296" s="260">
        <v>0.1</v>
      </c>
      <c r="DD296" s="258">
        <v>0.1</v>
      </c>
      <c r="DE296" s="259">
        <v>0.1</v>
      </c>
      <c r="DF296" s="259">
        <v>0.1</v>
      </c>
      <c r="DG296" s="259">
        <v>0.1</v>
      </c>
      <c r="DH296" s="259">
        <v>0.1</v>
      </c>
      <c r="DI296" s="259">
        <v>0.1</v>
      </c>
      <c r="DJ296" s="259">
        <v>0.1</v>
      </c>
      <c r="DK296" s="259">
        <v>0.1</v>
      </c>
      <c r="DL296" s="259">
        <v>0.1</v>
      </c>
      <c r="DM296" s="259">
        <v>0.1</v>
      </c>
      <c r="DN296" s="259">
        <v>0.1</v>
      </c>
      <c r="DO296" s="259">
        <v>0.1</v>
      </c>
      <c r="DP296" s="259">
        <v>0.1</v>
      </c>
      <c r="DQ296" s="259">
        <v>0.1</v>
      </c>
      <c r="DR296" s="259">
        <v>0.1</v>
      </c>
      <c r="DS296" s="259">
        <v>0.1</v>
      </c>
      <c r="DT296" s="259">
        <v>0.1</v>
      </c>
      <c r="DU296" s="259">
        <v>0.1</v>
      </c>
      <c r="DV296" s="259">
        <v>0.1</v>
      </c>
      <c r="DW296" s="259">
        <v>0.1</v>
      </c>
      <c r="DX296" s="259">
        <v>0.1</v>
      </c>
      <c r="DY296" s="259">
        <v>0.1</v>
      </c>
      <c r="DZ296" s="259">
        <v>0.1</v>
      </c>
      <c r="EA296" s="259">
        <v>0.1</v>
      </c>
      <c r="EB296" s="259">
        <v>0.1</v>
      </c>
      <c r="EC296" s="259">
        <v>0.1</v>
      </c>
      <c r="ED296" s="259">
        <v>0.1</v>
      </c>
      <c r="EE296" s="259">
        <v>0.1</v>
      </c>
      <c r="EF296" s="260">
        <v>0.1</v>
      </c>
    </row>
    <row r="297" spans="71:136" ht="15.75" thickBot="1" x14ac:dyDescent="0.3">
      <c r="BS297">
        <v>294</v>
      </c>
      <c r="BT297" s="270">
        <v>3.02</v>
      </c>
      <c r="BU297" s="271">
        <v>2.9</v>
      </c>
      <c r="BV297" s="2"/>
      <c r="BW297" s="2"/>
      <c r="BX297" s="2"/>
      <c r="BY297" s="258">
        <v>0.1</v>
      </c>
      <c r="BZ297" s="259">
        <v>0.1</v>
      </c>
      <c r="CA297" s="259">
        <v>0.1</v>
      </c>
      <c r="CB297" s="259">
        <v>0.1</v>
      </c>
      <c r="CC297" s="259">
        <v>0.1</v>
      </c>
      <c r="CD297" s="259">
        <v>0.1</v>
      </c>
      <c r="CE297" s="259">
        <v>0.1</v>
      </c>
      <c r="CF297" s="259">
        <v>0.1</v>
      </c>
      <c r="CG297" s="259">
        <v>0.1</v>
      </c>
      <c r="CH297" s="259">
        <v>0.1</v>
      </c>
      <c r="CI297" s="259">
        <v>0.1</v>
      </c>
      <c r="CJ297" s="259">
        <v>0.1</v>
      </c>
      <c r="CK297" s="259">
        <v>0.1</v>
      </c>
      <c r="CL297" s="259">
        <v>0.1</v>
      </c>
      <c r="CM297" s="259">
        <v>0.1</v>
      </c>
      <c r="CN297" s="259">
        <v>0.1</v>
      </c>
      <c r="CO297" s="259">
        <v>0.1</v>
      </c>
      <c r="CP297" s="259">
        <v>0.1</v>
      </c>
      <c r="CQ297" s="259">
        <v>0.1</v>
      </c>
      <c r="CR297" s="259">
        <v>0.1</v>
      </c>
      <c r="CS297" s="259">
        <v>0.1</v>
      </c>
      <c r="CT297" s="259">
        <v>0.1</v>
      </c>
      <c r="CU297" s="259">
        <v>0.1</v>
      </c>
      <c r="CV297" s="259">
        <v>0.1</v>
      </c>
      <c r="CW297" s="259">
        <v>0.1</v>
      </c>
      <c r="CX297" s="259">
        <v>0.1</v>
      </c>
      <c r="CY297" s="259">
        <v>0.1</v>
      </c>
      <c r="CZ297" s="259">
        <v>0.1</v>
      </c>
      <c r="DA297" s="259">
        <v>0.1</v>
      </c>
      <c r="DB297" s="259">
        <v>0.1</v>
      </c>
      <c r="DC297" s="260">
        <v>0.1</v>
      </c>
      <c r="DD297" s="258">
        <v>0.1</v>
      </c>
      <c r="DE297" s="259">
        <v>0.1</v>
      </c>
      <c r="DF297" s="259">
        <v>0.1</v>
      </c>
      <c r="DG297" s="259">
        <v>0.1</v>
      </c>
      <c r="DH297" s="259">
        <v>0.1</v>
      </c>
      <c r="DI297" s="259">
        <v>0.1</v>
      </c>
      <c r="DJ297" s="259">
        <v>0.1</v>
      </c>
      <c r="DK297" s="259">
        <v>0.1</v>
      </c>
      <c r="DL297" s="259">
        <v>0.1</v>
      </c>
      <c r="DM297" s="259">
        <v>0.1</v>
      </c>
      <c r="DN297" s="259">
        <v>0.1</v>
      </c>
      <c r="DO297" s="259">
        <v>0.1</v>
      </c>
      <c r="DP297" s="259">
        <v>0.1</v>
      </c>
      <c r="DQ297" s="259">
        <v>0.1</v>
      </c>
      <c r="DR297" s="259">
        <v>0.1</v>
      </c>
      <c r="DS297" s="259">
        <v>0.1</v>
      </c>
      <c r="DT297" s="259">
        <v>0.1</v>
      </c>
      <c r="DU297" s="259">
        <v>0.1</v>
      </c>
      <c r="DV297" s="259">
        <v>0.1</v>
      </c>
      <c r="DW297" s="259">
        <v>0.1</v>
      </c>
      <c r="DX297" s="259">
        <v>0.1</v>
      </c>
      <c r="DY297" s="259">
        <v>0.1</v>
      </c>
      <c r="DZ297" s="259">
        <v>0.1</v>
      </c>
      <c r="EA297" s="259">
        <v>0.1</v>
      </c>
      <c r="EB297" s="259">
        <v>0.1</v>
      </c>
      <c r="EC297" s="259">
        <v>0.1</v>
      </c>
      <c r="ED297" s="259">
        <v>0.1</v>
      </c>
      <c r="EE297" s="259">
        <v>0.1</v>
      </c>
      <c r="EF297" s="260">
        <v>0.1</v>
      </c>
    </row>
    <row r="298" spans="71:136" ht="15.75" thickBot="1" x14ac:dyDescent="0.3">
      <c r="BS298">
        <v>295</v>
      </c>
      <c r="BT298" s="271">
        <v>3.02</v>
      </c>
      <c r="BU298" s="270">
        <v>2.9</v>
      </c>
      <c r="BV298" s="2"/>
      <c r="BW298" s="2"/>
      <c r="BX298" s="2"/>
      <c r="BY298" s="258">
        <v>0.1</v>
      </c>
      <c r="BZ298" s="259">
        <v>0.1</v>
      </c>
      <c r="CA298" s="259">
        <v>0.1</v>
      </c>
      <c r="CB298" s="259">
        <v>0.1</v>
      </c>
      <c r="CC298" s="259">
        <v>0.1</v>
      </c>
      <c r="CD298" s="259">
        <v>0.1</v>
      </c>
      <c r="CE298" s="259">
        <v>0.1</v>
      </c>
      <c r="CF298" s="259">
        <v>0.1</v>
      </c>
      <c r="CG298" s="259">
        <v>0.1</v>
      </c>
      <c r="CH298" s="259">
        <v>0.1</v>
      </c>
      <c r="CI298" s="259">
        <v>0.1</v>
      </c>
      <c r="CJ298" s="259">
        <v>0.1</v>
      </c>
      <c r="CK298" s="259">
        <v>0.1</v>
      </c>
      <c r="CL298" s="259">
        <v>0.1</v>
      </c>
      <c r="CM298" s="259">
        <v>0.1</v>
      </c>
      <c r="CN298" s="259">
        <v>0.1</v>
      </c>
      <c r="CO298" s="259">
        <v>0.1</v>
      </c>
      <c r="CP298" s="259">
        <v>0.1</v>
      </c>
      <c r="CQ298" s="259">
        <v>0.1</v>
      </c>
      <c r="CR298" s="259">
        <v>0.1</v>
      </c>
      <c r="CS298" s="259">
        <v>0.1</v>
      </c>
      <c r="CT298" s="259">
        <v>0.1</v>
      </c>
      <c r="CU298" s="259">
        <v>0.1</v>
      </c>
      <c r="CV298" s="259">
        <v>0.1</v>
      </c>
      <c r="CW298" s="259">
        <v>0.1</v>
      </c>
      <c r="CX298" s="259">
        <v>0.1</v>
      </c>
      <c r="CY298" s="259">
        <v>0.1</v>
      </c>
      <c r="CZ298" s="259">
        <v>0.1</v>
      </c>
      <c r="DA298" s="259">
        <v>0.1</v>
      </c>
      <c r="DB298" s="259">
        <v>0.1</v>
      </c>
      <c r="DC298" s="260">
        <v>0.1</v>
      </c>
      <c r="DD298" s="258">
        <v>0.1</v>
      </c>
      <c r="DE298" s="259">
        <v>0.1</v>
      </c>
      <c r="DF298" s="259">
        <v>0.1</v>
      </c>
      <c r="DG298" s="259">
        <v>0.1</v>
      </c>
      <c r="DH298" s="259">
        <v>0.1</v>
      </c>
      <c r="DI298" s="259">
        <v>0.1</v>
      </c>
      <c r="DJ298" s="259">
        <v>0.1</v>
      </c>
      <c r="DK298" s="259">
        <v>0.1</v>
      </c>
      <c r="DL298" s="259">
        <v>0.1</v>
      </c>
      <c r="DM298" s="259">
        <v>0.1</v>
      </c>
      <c r="DN298" s="259">
        <v>0.1</v>
      </c>
      <c r="DO298" s="259">
        <v>0.1</v>
      </c>
      <c r="DP298" s="259">
        <v>0.1</v>
      </c>
      <c r="DQ298" s="259">
        <v>0.1</v>
      </c>
      <c r="DR298" s="259">
        <v>0.1</v>
      </c>
      <c r="DS298" s="259">
        <v>0.1</v>
      </c>
      <c r="DT298" s="259">
        <v>0.1</v>
      </c>
      <c r="DU298" s="259">
        <v>0.1</v>
      </c>
      <c r="DV298" s="259">
        <v>0.1</v>
      </c>
      <c r="DW298" s="259">
        <v>0.1</v>
      </c>
      <c r="DX298" s="259">
        <v>0.1</v>
      </c>
      <c r="DY298" s="259">
        <v>0.1</v>
      </c>
      <c r="DZ298" s="259">
        <v>0.1</v>
      </c>
      <c r="EA298" s="259">
        <v>0.1</v>
      </c>
      <c r="EB298" s="259">
        <v>0.1</v>
      </c>
      <c r="EC298" s="259">
        <v>0.1</v>
      </c>
      <c r="ED298" s="259">
        <v>0.1</v>
      </c>
      <c r="EE298" s="259">
        <v>0.1</v>
      </c>
      <c r="EF298" s="260">
        <v>0.1</v>
      </c>
    </row>
    <row r="299" spans="71:136" ht="15.75" thickBot="1" x14ac:dyDescent="0.3">
      <c r="BS299">
        <v>296</v>
      </c>
      <c r="BT299" s="270">
        <v>3.01</v>
      </c>
      <c r="BU299" s="271">
        <v>2.9</v>
      </c>
      <c r="BV299" s="2"/>
      <c r="BW299" s="2"/>
      <c r="BX299" s="2"/>
      <c r="BY299" s="258">
        <v>0.1</v>
      </c>
      <c r="BZ299" s="259">
        <v>0.1</v>
      </c>
      <c r="CA299" s="259">
        <v>0.1</v>
      </c>
      <c r="CB299" s="259">
        <v>0.1</v>
      </c>
      <c r="CC299" s="259">
        <v>0.1</v>
      </c>
      <c r="CD299" s="259">
        <v>0.1</v>
      </c>
      <c r="CE299" s="259">
        <v>0.1</v>
      </c>
      <c r="CF299" s="259">
        <v>0.1</v>
      </c>
      <c r="CG299" s="259">
        <v>0.1</v>
      </c>
      <c r="CH299" s="259">
        <v>0.1</v>
      </c>
      <c r="CI299" s="259">
        <v>0.1</v>
      </c>
      <c r="CJ299" s="259">
        <v>0.1</v>
      </c>
      <c r="CK299" s="259">
        <v>0.1</v>
      </c>
      <c r="CL299" s="259">
        <v>0.1</v>
      </c>
      <c r="CM299" s="259">
        <v>0.1</v>
      </c>
      <c r="CN299" s="259">
        <v>0.1</v>
      </c>
      <c r="CO299" s="259">
        <v>0.1</v>
      </c>
      <c r="CP299" s="259">
        <v>0.1</v>
      </c>
      <c r="CQ299" s="259">
        <v>0.1</v>
      </c>
      <c r="CR299" s="259">
        <v>0.1</v>
      </c>
      <c r="CS299" s="259">
        <v>0.1</v>
      </c>
      <c r="CT299" s="259">
        <v>0.1</v>
      </c>
      <c r="CU299" s="259">
        <v>0.1</v>
      </c>
      <c r="CV299" s="259">
        <v>0.1</v>
      </c>
      <c r="CW299" s="259">
        <v>0.1</v>
      </c>
      <c r="CX299" s="259">
        <v>0.1</v>
      </c>
      <c r="CY299" s="259">
        <v>0.1</v>
      </c>
      <c r="CZ299" s="259">
        <v>0.1</v>
      </c>
      <c r="DA299" s="259">
        <v>0.1</v>
      </c>
      <c r="DB299" s="259">
        <v>0.1</v>
      </c>
      <c r="DC299" s="260">
        <v>0.1</v>
      </c>
      <c r="DD299" s="258">
        <v>0.1</v>
      </c>
      <c r="DE299" s="259">
        <v>0.1</v>
      </c>
      <c r="DF299" s="259">
        <v>0.1</v>
      </c>
      <c r="DG299" s="259">
        <v>0.1</v>
      </c>
      <c r="DH299" s="259">
        <v>0.1</v>
      </c>
      <c r="DI299" s="259">
        <v>0.1</v>
      </c>
      <c r="DJ299" s="259">
        <v>0.1</v>
      </c>
      <c r="DK299" s="259">
        <v>0.1</v>
      </c>
      <c r="DL299" s="259">
        <v>0.1</v>
      </c>
      <c r="DM299" s="259">
        <v>0.1</v>
      </c>
      <c r="DN299" s="259">
        <v>0.1</v>
      </c>
      <c r="DO299" s="259">
        <v>0.1</v>
      </c>
      <c r="DP299" s="259">
        <v>0.1</v>
      </c>
      <c r="DQ299" s="259">
        <v>0.1</v>
      </c>
      <c r="DR299" s="259">
        <v>0.1</v>
      </c>
      <c r="DS299" s="259">
        <v>0.1</v>
      </c>
      <c r="DT299" s="259">
        <v>0.1</v>
      </c>
      <c r="DU299" s="259">
        <v>0.1</v>
      </c>
      <c r="DV299" s="259">
        <v>0.1</v>
      </c>
      <c r="DW299" s="259">
        <v>0.1</v>
      </c>
      <c r="DX299" s="259">
        <v>0.1</v>
      </c>
      <c r="DY299" s="259">
        <v>0.1</v>
      </c>
      <c r="DZ299" s="259">
        <v>0.1</v>
      </c>
      <c r="EA299" s="259">
        <v>0.1</v>
      </c>
      <c r="EB299" s="259">
        <v>0.1</v>
      </c>
      <c r="EC299" s="259">
        <v>0.1</v>
      </c>
      <c r="ED299" s="259">
        <v>0.1</v>
      </c>
      <c r="EE299" s="259">
        <v>0.1</v>
      </c>
      <c r="EF299" s="260">
        <v>0.1</v>
      </c>
    </row>
    <row r="300" spans="71:136" ht="15.75" thickBot="1" x14ac:dyDescent="0.3">
      <c r="BS300">
        <v>297</v>
      </c>
      <c r="BT300" s="271">
        <v>3</v>
      </c>
      <c r="BU300" s="271">
        <v>2.96</v>
      </c>
      <c r="BX300" s="2"/>
      <c r="BY300" s="258">
        <v>0.1</v>
      </c>
      <c r="BZ300" s="259">
        <v>0.1</v>
      </c>
      <c r="CA300" s="259">
        <v>0.1</v>
      </c>
      <c r="CB300" s="259">
        <v>0.1</v>
      </c>
      <c r="CC300" s="259">
        <v>0.1</v>
      </c>
      <c r="CD300" s="259">
        <v>0.1</v>
      </c>
      <c r="CE300" s="259">
        <v>0.1</v>
      </c>
      <c r="CF300" s="259">
        <v>0.1</v>
      </c>
      <c r="CG300" s="259">
        <v>0.1</v>
      </c>
      <c r="CH300" s="259">
        <v>0.1</v>
      </c>
      <c r="CI300" s="259">
        <v>0.1</v>
      </c>
      <c r="CJ300" s="259">
        <v>0.1</v>
      </c>
      <c r="CK300" s="259">
        <v>0.1</v>
      </c>
      <c r="CL300" s="259">
        <v>0.1</v>
      </c>
      <c r="CM300" s="259">
        <v>0.1</v>
      </c>
      <c r="CN300" s="259">
        <v>0.1</v>
      </c>
      <c r="CO300" s="259">
        <v>0.1</v>
      </c>
      <c r="CP300" s="259">
        <v>0.1</v>
      </c>
      <c r="CQ300" s="259">
        <v>0.1</v>
      </c>
      <c r="CR300" s="259">
        <v>0.1</v>
      </c>
      <c r="CS300" s="259">
        <v>0.1</v>
      </c>
      <c r="CT300" s="259">
        <v>0.1</v>
      </c>
      <c r="CU300" s="259">
        <v>0.1</v>
      </c>
      <c r="CV300" s="259">
        <v>0.1</v>
      </c>
      <c r="CW300" s="259">
        <v>0.1</v>
      </c>
      <c r="CX300" s="259">
        <v>0.1</v>
      </c>
      <c r="CY300" s="259">
        <v>0.1</v>
      </c>
      <c r="CZ300" s="259">
        <v>0.1</v>
      </c>
      <c r="DA300" s="259">
        <v>0.1</v>
      </c>
      <c r="DB300" s="260">
        <v>0.1</v>
      </c>
      <c r="DC300" s="258">
        <v>0.1</v>
      </c>
      <c r="DD300" s="259">
        <v>0.1</v>
      </c>
      <c r="DE300" s="259">
        <v>0.1</v>
      </c>
      <c r="DF300" s="259">
        <v>0.1</v>
      </c>
      <c r="DG300" s="259">
        <v>0.1</v>
      </c>
      <c r="DH300" s="259">
        <v>0.1</v>
      </c>
      <c r="DI300" s="259">
        <v>0.1</v>
      </c>
      <c r="DJ300" s="259">
        <v>0.1</v>
      </c>
      <c r="DK300" s="259">
        <v>0.1</v>
      </c>
      <c r="DL300" s="259">
        <v>0.1</v>
      </c>
      <c r="DM300" s="259">
        <v>0.1</v>
      </c>
      <c r="DN300" s="259">
        <v>0.1</v>
      </c>
      <c r="DO300" s="259">
        <v>0.1</v>
      </c>
      <c r="DP300" s="259">
        <v>0.1</v>
      </c>
      <c r="DQ300" s="259">
        <v>0.1</v>
      </c>
      <c r="DR300" s="259">
        <v>0.1</v>
      </c>
      <c r="DS300" s="259">
        <v>0.1</v>
      </c>
      <c r="DT300" s="259">
        <v>0.1</v>
      </c>
      <c r="DU300" s="259">
        <v>0.1</v>
      </c>
      <c r="DV300" s="259">
        <v>0.1</v>
      </c>
      <c r="DW300" s="259">
        <v>0.1</v>
      </c>
      <c r="DX300" s="259">
        <v>0.1</v>
      </c>
      <c r="DY300" s="259">
        <v>0.1</v>
      </c>
      <c r="DZ300" s="259">
        <v>0.1</v>
      </c>
      <c r="EA300" s="259">
        <v>0.1</v>
      </c>
      <c r="EB300" s="259">
        <v>0.1</v>
      </c>
      <c r="EC300" s="259">
        <v>0.1</v>
      </c>
      <c r="ED300" s="259">
        <v>0.1</v>
      </c>
      <c r="EE300" s="259">
        <v>0.1</v>
      </c>
      <c r="EF300" s="260">
        <v>0.1</v>
      </c>
    </row>
    <row r="301" spans="71:136" ht="15.75" thickBot="1" x14ac:dyDescent="0.3">
      <c r="BS301">
        <v>298</v>
      </c>
      <c r="BT301" s="270">
        <v>3</v>
      </c>
      <c r="BU301" s="270">
        <v>2.96</v>
      </c>
      <c r="BX301" s="2"/>
      <c r="BY301" s="258">
        <v>0.1</v>
      </c>
      <c r="BZ301" s="259">
        <v>0.1</v>
      </c>
      <c r="CA301" s="259">
        <v>0.1</v>
      </c>
      <c r="CB301" s="259">
        <v>0.1</v>
      </c>
      <c r="CC301" s="259">
        <v>0.1</v>
      </c>
      <c r="CD301" s="259">
        <v>0.1</v>
      </c>
      <c r="CE301" s="259">
        <v>0.1</v>
      </c>
      <c r="CF301" s="259">
        <v>0.1</v>
      </c>
      <c r="CG301" s="259">
        <v>0.1</v>
      </c>
      <c r="CH301" s="259">
        <v>0.1</v>
      </c>
      <c r="CI301" s="259">
        <v>0.1</v>
      </c>
      <c r="CJ301" s="259">
        <v>0.1</v>
      </c>
      <c r="CK301" s="259">
        <v>0.1</v>
      </c>
      <c r="CL301" s="259">
        <v>0.1</v>
      </c>
      <c r="CM301" s="259">
        <v>0.1</v>
      </c>
      <c r="CN301" s="259">
        <v>0.1</v>
      </c>
      <c r="CO301" s="259">
        <v>0.1</v>
      </c>
      <c r="CP301" s="259">
        <v>0.1</v>
      </c>
      <c r="CQ301" s="259">
        <v>0.1</v>
      </c>
      <c r="CR301" s="259">
        <v>0.1</v>
      </c>
      <c r="CS301" s="259">
        <v>0.1</v>
      </c>
      <c r="CT301" s="259">
        <v>0.1</v>
      </c>
      <c r="CU301" s="259">
        <v>0.1</v>
      </c>
      <c r="CV301" s="259">
        <v>0.1</v>
      </c>
      <c r="CW301" s="259">
        <v>0.1</v>
      </c>
      <c r="CX301" s="259">
        <v>0.1</v>
      </c>
      <c r="CY301" s="259">
        <v>0.1</v>
      </c>
      <c r="CZ301" s="259">
        <v>0.1</v>
      </c>
      <c r="DA301" s="259">
        <v>0.1</v>
      </c>
      <c r="DB301" s="260">
        <v>0.1</v>
      </c>
      <c r="DC301" s="258">
        <v>0.1</v>
      </c>
      <c r="DD301" s="259">
        <v>0.1</v>
      </c>
      <c r="DE301" s="259">
        <v>0.1</v>
      </c>
      <c r="DF301" s="259">
        <v>0.1</v>
      </c>
      <c r="DG301" s="259">
        <v>0.1</v>
      </c>
      <c r="DH301" s="259">
        <v>0.1</v>
      </c>
      <c r="DI301" s="259">
        <v>0.1</v>
      </c>
      <c r="DJ301" s="259">
        <v>0.1</v>
      </c>
      <c r="DK301" s="259">
        <v>0.1</v>
      </c>
      <c r="DL301" s="259">
        <v>0.1</v>
      </c>
      <c r="DM301" s="259">
        <v>0.1</v>
      </c>
      <c r="DN301" s="259">
        <v>0.1</v>
      </c>
      <c r="DO301" s="259">
        <v>0.1</v>
      </c>
      <c r="DP301" s="259">
        <v>0.1</v>
      </c>
      <c r="DQ301" s="259">
        <v>0.1</v>
      </c>
      <c r="DR301" s="259">
        <v>0.1</v>
      </c>
      <c r="DS301" s="259">
        <v>0.1</v>
      </c>
      <c r="DT301" s="259">
        <v>0.1</v>
      </c>
      <c r="DU301" s="259">
        <v>0.1</v>
      </c>
      <c r="DV301" s="259">
        <v>0.1</v>
      </c>
      <c r="DW301" s="259">
        <v>0.1</v>
      </c>
      <c r="DX301" s="259">
        <v>0.1</v>
      </c>
      <c r="DY301" s="259">
        <v>0.1</v>
      </c>
      <c r="DZ301" s="259">
        <v>0.1</v>
      </c>
      <c r="EA301" s="259">
        <v>0.1</v>
      </c>
      <c r="EB301" s="259">
        <v>0.1</v>
      </c>
      <c r="EC301" s="259">
        <v>0.1</v>
      </c>
      <c r="ED301" s="259">
        <v>0.1</v>
      </c>
      <c r="EE301" s="259">
        <v>0.1</v>
      </c>
      <c r="EF301" s="260">
        <v>0.1</v>
      </c>
    </row>
    <row r="302" spans="71:136" ht="15.75" thickBot="1" x14ac:dyDescent="0.3">
      <c r="BS302">
        <v>299</v>
      </c>
      <c r="BT302" s="271">
        <v>3</v>
      </c>
      <c r="BU302" s="271">
        <v>2.96</v>
      </c>
      <c r="BX302" s="2"/>
      <c r="BY302" s="258">
        <v>0.1</v>
      </c>
      <c r="BZ302" s="259">
        <v>0.1</v>
      </c>
      <c r="CA302" s="259">
        <v>0.1</v>
      </c>
      <c r="CB302" s="259">
        <v>0.1</v>
      </c>
      <c r="CC302" s="259">
        <v>0.1</v>
      </c>
      <c r="CD302" s="259">
        <v>0.1</v>
      </c>
      <c r="CE302" s="259">
        <v>0.1</v>
      </c>
      <c r="CF302" s="259">
        <v>0.1</v>
      </c>
      <c r="CG302" s="259">
        <v>0.1</v>
      </c>
      <c r="CH302" s="259">
        <v>0.1</v>
      </c>
      <c r="CI302" s="259">
        <v>0.1</v>
      </c>
      <c r="CJ302" s="259">
        <v>0.1</v>
      </c>
      <c r="CK302" s="259">
        <v>0.1</v>
      </c>
      <c r="CL302" s="259">
        <v>0.1</v>
      </c>
      <c r="CM302" s="259">
        <v>0.1</v>
      </c>
      <c r="CN302" s="259">
        <v>0.1</v>
      </c>
      <c r="CO302" s="259">
        <v>0.1</v>
      </c>
      <c r="CP302" s="259">
        <v>0.1</v>
      </c>
      <c r="CQ302" s="259">
        <v>0.1</v>
      </c>
      <c r="CR302" s="259">
        <v>0.1</v>
      </c>
      <c r="CS302" s="259">
        <v>0.1</v>
      </c>
      <c r="CT302" s="259">
        <v>0.1</v>
      </c>
      <c r="CU302" s="259">
        <v>0.1</v>
      </c>
      <c r="CV302" s="259">
        <v>0.1</v>
      </c>
      <c r="CW302" s="259">
        <v>0.1</v>
      </c>
      <c r="CX302" s="259">
        <v>0.1</v>
      </c>
      <c r="CY302" s="259">
        <v>0.1</v>
      </c>
      <c r="CZ302" s="259">
        <v>0.1</v>
      </c>
      <c r="DA302" s="259">
        <v>0.1</v>
      </c>
      <c r="DB302" s="260">
        <v>0.1</v>
      </c>
      <c r="DC302" s="258">
        <v>0.1</v>
      </c>
      <c r="DD302" s="259">
        <v>0.1</v>
      </c>
      <c r="DE302" s="259">
        <v>0.1</v>
      </c>
      <c r="DF302" s="259">
        <v>0.1</v>
      </c>
      <c r="DG302" s="259">
        <v>0.1</v>
      </c>
      <c r="DH302" s="259">
        <v>0.1</v>
      </c>
      <c r="DI302" s="259">
        <v>0.1</v>
      </c>
      <c r="DJ302" s="259">
        <v>0.1</v>
      </c>
      <c r="DK302" s="259">
        <v>0.1</v>
      </c>
      <c r="DL302" s="259">
        <v>0.1</v>
      </c>
      <c r="DM302" s="259">
        <v>0.1</v>
      </c>
      <c r="DN302" s="259">
        <v>0.1</v>
      </c>
      <c r="DO302" s="259">
        <v>0.1</v>
      </c>
      <c r="DP302" s="259">
        <v>0.1</v>
      </c>
      <c r="DQ302" s="259">
        <v>0.1</v>
      </c>
      <c r="DR302" s="259">
        <v>0.1</v>
      </c>
      <c r="DS302" s="259">
        <v>0.1</v>
      </c>
      <c r="DT302" s="259">
        <v>0.1</v>
      </c>
      <c r="DU302" s="259">
        <v>0.1</v>
      </c>
      <c r="DV302" s="259">
        <v>0.1</v>
      </c>
      <c r="DW302" s="259">
        <v>0.1</v>
      </c>
      <c r="DX302" s="259">
        <v>0.1</v>
      </c>
      <c r="DY302" s="259">
        <v>0.1</v>
      </c>
      <c r="DZ302" s="259">
        <v>0.1</v>
      </c>
      <c r="EA302" s="259">
        <v>0.1</v>
      </c>
      <c r="EB302" s="259">
        <v>0.1</v>
      </c>
      <c r="EC302" s="259">
        <v>0.1</v>
      </c>
      <c r="ED302" s="259">
        <v>0.1</v>
      </c>
      <c r="EE302" s="259">
        <v>0.1</v>
      </c>
      <c r="EF302" s="260">
        <v>0.1</v>
      </c>
    </row>
    <row r="303" spans="71:136" ht="15.75" thickBot="1" x14ac:dyDescent="0.3">
      <c r="BS303">
        <v>300</v>
      </c>
      <c r="BT303" s="270">
        <v>3</v>
      </c>
      <c r="BU303" s="270">
        <v>2.96</v>
      </c>
      <c r="BX303" s="2"/>
      <c r="BY303" s="258">
        <v>0.1</v>
      </c>
      <c r="BZ303" s="259">
        <v>0.1</v>
      </c>
      <c r="CA303" s="259">
        <v>0.1</v>
      </c>
      <c r="CB303" s="259">
        <v>0.1</v>
      </c>
      <c r="CC303" s="259">
        <v>0.1</v>
      </c>
      <c r="CD303" s="259">
        <v>0.1</v>
      </c>
      <c r="CE303" s="259">
        <v>0.1</v>
      </c>
      <c r="CF303" s="259">
        <v>0.1</v>
      </c>
      <c r="CG303" s="259">
        <v>0.1</v>
      </c>
      <c r="CH303" s="259">
        <v>0.1</v>
      </c>
      <c r="CI303" s="259">
        <v>0.1</v>
      </c>
      <c r="CJ303" s="259">
        <v>0.1</v>
      </c>
      <c r="CK303" s="259">
        <v>0.1</v>
      </c>
      <c r="CL303" s="259">
        <v>0.1</v>
      </c>
      <c r="CM303" s="259">
        <v>0.1</v>
      </c>
      <c r="CN303" s="259">
        <v>0.1</v>
      </c>
      <c r="CO303" s="259">
        <v>0.1</v>
      </c>
      <c r="CP303" s="259">
        <v>0.1</v>
      </c>
      <c r="CQ303" s="259">
        <v>0.1</v>
      </c>
      <c r="CR303" s="259">
        <v>0.1</v>
      </c>
      <c r="CS303" s="259">
        <v>0.1</v>
      </c>
      <c r="CT303" s="259">
        <v>0.1</v>
      </c>
      <c r="CU303" s="259">
        <v>0.1</v>
      </c>
      <c r="CV303" s="259">
        <v>0.1</v>
      </c>
      <c r="CW303" s="259">
        <v>0.1</v>
      </c>
      <c r="CX303" s="259">
        <v>0.1</v>
      </c>
      <c r="CY303" s="259">
        <v>0.1</v>
      </c>
      <c r="CZ303" s="259">
        <v>0.1</v>
      </c>
      <c r="DA303" s="259">
        <v>0.1</v>
      </c>
      <c r="DB303" s="260">
        <v>0.1</v>
      </c>
      <c r="DC303" s="258">
        <v>0.1</v>
      </c>
      <c r="DD303" s="259">
        <v>0.1</v>
      </c>
      <c r="DE303" s="259">
        <v>0.1</v>
      </c>
      <c r="DF303" s="259">
        <v>0.1</v>
      </c>
      <c r="DG303" s="259">
        <v>0.1</v>
      </c>
      <c r="DH303" s="259">
        <v>0.1</v>
      </c>
      <c r="DI303" s="259">
        <v>0.1</v>
      </c>
      <c r="DJ303" s="259">
        <v>0.1</v>
      </c>
      <c r="DK303" s="259">
        <v>0.1</v>
      </c>
      <c r="DL303" s="259">
        <v>0.1</v>
      </c>
      <c r="DM303" s="259">
        <v>0.1</v>
      </c>
      <c r="DN303" s="259">
        <v>0.1</v>
      </c>
      <c r="DO303" s="259">
        <v>0.1</v>
      </c>
      <c r="DP303" s="259">
        <v>0.1</v>
      </c>
      <c r="DQ303" s="259">
        <v>0.1</v>
      </c>
      <c r="DR303" s="259">
        <v>0.1</v>
      </c>
      <c r="DS303" s="259">
        <v>0.1</v>
      </c>
      <c r="DT303" s="259">
        <v>0.1</v>
      </c>
      <c r="DU303" s="259">
        <v>0.1</v>
      </c>
      <c r="DV303" s="259">
        <v>0.1</v>
      </c>
      <c r="DW303" s="259">
        <v>0.1</v>
      </c>
      <c r="DX303" s="259">
        <v>0.1</v>
      </c>
      <c r="DY303" s="259">
        <v>0.1</v>
      </c>
      <c r="DZ303" s="259">
        <v>0.1</v>
      </c>
      <c r="EA303" s="259">
        <v>0.1</v>
      </c>
      <c r="EB303" s="259">
        <v>0.1</v>
      </c>
      <c r="EC303" s="259">
        <v>0.1</v>
      </c>
      <c r="ED303" s="259">
        <v>0.1</v>
      </c>
      <c r="EE303" s="259">
        <v>0.1</v>
      </c>
      <c r="EF303" s="260">
        <v>0.1</v>
      </c>
    </row>
    <row r="304" spans="71:136" ht="15.75" thickBot="1" x14ac:dyDescent="0.3">
      <c r="BS304">
        <v>301</v>
      </c>
      <c r="BT304" s="271">
        <v>3</v>
      </c>
      <c r="BU304" s="271">
        <v>2.96</v>
      </c>
      <c r="BX304" s="2"/>
      <c r="BY304" s="258">
        <v>0.1</v>
      </c>
      <c r="BZ304" s="259">
        <v>0.1</v>
      </c>
      <c r="CA304" s="259">
        <v>0.1</v>
      </c>
      <c r="CB304" s="259">
        <v>0.1</v>
      </c>
      <c r="CC304" s="259">
        <v>0.1</v>
      </c>
      <c r="CD304" s="259">
        <v>0.1</v>
      </c>
      <c r="CE304" s="259">
        <v>0.1</v>
      </c>
      <c r="CF304" s="259">
        <v>0.1</v>
      </c>
      <c r="CG304" s="259">
        <v>0.1</v>
      </c>
      <c r="CH304" s="259">
        <v>0.1</v>
      </c>
      <c r="CI304" s="259">
        <v>0.1</v>
      </c>
      <c r="CJ304" s="259">
        <v>0.1</v>
      </c>
      <c r="CK304" s="259">
        <v>0.1</v>
      </c>
      <c r="CL304" s="259">
        <v>0.1</v>
      </c>
      <c r="CM304" s="259">
        <v>0.1</v>
      </c>
      <c r="CN304" s="259">
        <v>0.1</v>
      </c>
      <c r="CO304" s="259">
        <v>0.1</v>
      </c>
      <c r="CP304" s="259">
        <v>0.1</v>
      </c>
      <c r="CQ304" s="259">
        <v>0.1</v>
      </c>
      <c r="CR304" s="259">
        <v>0.1</v>
      </c>
      <c r="CS304" s="259">
        <v>0.1</v>
      </c>
      <c r="CT304" s="259">
        <v>0.1</v>
      </c>
      <c r="CU304" s="259">
        <v>0.1</v>
      </c>
      <c r="CV304" s="259">
        <v>0.1</v>
      </c>
      <c r="CW304" s="259">
        <v>0.1</v>
      </c>
      <c r="CX304" s="259">
        <v>0.1</v>
      </c>
      <c r="CY304" s="259">
        <v>0.1</v>
      </c>
      <c r="CZ304" s="259">
        <v>0.1</v>
      </c>
      <c r="DA304" s="259">
        <v>0.1</v>
      </c>
      <c r="DB304" s="260">
        <v>0.1</v>
      </c>
      <c r="DC304" s="258">
        <v>0.1</v>
      </c>
      <c r="DD304" s="259">
        <v>0.1</v>
      </c>
      <c r="DE304" s="259">
        <v>0.1</v>
      </c>
      <c r="DF304" s="259">
        <v>0.1</v>
      </c>
      <c r="DG304" s="259">
        <v>0.1</v>
      </c>
      <c r="DH304" s="259">
        <v>0.1</v>
      </c>
      <c r="DI304" s="259">
        <v>0.1</v>
      </c>
      <c r="DJ304" s="259">
        <v>0.1</v>
      </c>
      <c r="DK304" s="259">
        <v>0.1</v>
      </c>
      <c r="DL304" s="259">
        <v>0.1</v>
      </c>
      <c r="DM304" s="259">
        <v>0.1</v>
      </c>
      <c r="DN304" s="259">
        <v>0.1</v>
      </c>
      <c r="DO304" s="259">
        <v>0.1</v>
      </c>
      <c r="DP304" s="259">
        <v>0.1</v>
      </c>
      <c r="DQ304" s="259">
        <v>0.1</v>
      </c>
      <c r="DR304" s="259">
        <v>0.1</v>
      </c>
      <c r="DS304" s="259">
        <v>0.1</v>
      </c>
      <c r="DT304" s="259">
        <v>0.1</v>
      </c>
      <c r="DU304" s="259">
        <v>0.1</v>
      </c>
      <c r="DV304" s="259">
        <v>0.1</v>
      </c>
      <c r="DW304" s="259">
        <v>0.1</v>
      </c>
      <c r="DX304" s="259">
        <v>0.1</v>
      </c>
      <c r="DY304" s="259">
        <v>0.1</v>
      </c>
      <c r="DZ304" s="259">
        <v>0.1</v>
      </c>
      <c r="EA304" s="259">
        <v>0.1</v>
      </c>
      <c r="EB304" s="259">
        <v>0.1</v>
      </c>
      <c r="EC304" s="259">
        <v>0.1</v>
      </c>
      <c r="ED304" s="259">
        <v>0.1</v>
      </c>
      <c r="EE304" s="259">
        <v>0.1</v>
      </c>
      <c r="EF304" s="260">
        <v>0.1</v>
      </c>
    </row>
    <row r="305" spans="71:136" ht="15.75" thickBot="1" x14ac:dyDescent="0.3">
      <c r="BS305">
        <v>302</v>
      </c>
      <c r="BT305" s="270">
        <v>3</v>
      </c>
      <c r="BU305" s="270">
        <v>2.96</v>
      </c>
      <c r="BX305" s="2"/>
      <c r="BY305" s="258">
        <v>0.1</v>
      </c>
      <c r="BZ305" s="259">
        <v>0.1</v>
      </c>
      <c r="CA305" s="259">
        <v>0.1</v>
      </c>
      <c r="CB305" s="259">
        <v>0.1</v>
      </c>
      <c r="CC305" s="259">
        <v>0.1</v>
      </c>
      <c r="CD305" s="259">
        <v>0.1</v>
      </c>
      <c r="CE305" s="259">
        <v>0.1</v>
      </c>
      <c r="CF305" s="259">
        <v>0.1</v>
      </c>
      <c r="CG305" s="259">
        <v>0.1</v>
      </c>
      <c r="CH305" s="259">
        <v>0.1</v>
      </c>
      <c r="CI305" s="259">
        <v>0.1</v>
      </c>
      <c r="CJ305" s="259">
        <v>0.1</v>
      </c>
      <c r="CK305" s="259">
        <v>0.1</v>
      </c>
      <c r="CL305" s="259">
        <v>0.1</v>
      </c>
      <c r="CM305" s="259">
        <v>0.1</v>
      </c>
      <c r="CN305" s="259">
        <v>0.1</v>
      </c>
      <c r="CO305" s="259">
        <v>0.1</v>
      </c>
      <c r="CP305" s="259">
        <v>0.1</v>
      </c>
      <c r="CQ305" s="259">
        <v>0.1</v>
      </c>
      <c r="CR305" s="259">
        <v>0.1</v>
      </c>
      <c r="CS305" s="259">
        <v>0.1</v>
      </c>
      <c r="CT305" s="259">
        <v>0.1</v>
      </c>
      <c r="CU305" s="259">
        <v>0.1</v>
      </c>
      <c r="CV305" s="259">
        <v>0.1</v>
      </c>
      <c r="CW305" s="259">
        <v>0.1</v>
      </c>
      <c r="CX305" s="259">
        <v>0.1</v>
      </c>
      <c r="CY305" s="259">
        <v>0.1</v>
      </c>
      <c r="CZ305" s="259">
        <v>0.1</v>
      </c>
      <c r="DA305" s="259">
        <v>0.1</v>
      </c>
      <c r="DB305" s="260">
        <v>0.1</v>
      </c>
      <c r="DC305" s="258">
        <v>0.1</v>
      </c>
      <c r="DD305" s="259">
        <v>0.1</v>
      </c>
      <c r="DE305" s="259">
        <v>0.1</v>
      </c>
      <c r="DF305" s="259">
        <v>0.1</v>
      </c>
      <c r="DG305" s="259">
        <v>0.1</v>
      </c>
      <c r="DH305" s="259">
        <v>0.1</v>
      </c>
      <c r="DI305" s="259">
        <v>0.1</v>
      </c>
      <c r="DJ305" s="259">
        <v>0.1</v>
      </c>
      <c r="DK305" s="259">
        <v>0.1</v>
      </c>
      <c r="DL305" s="259">
        <v>0.1</v>
      </c>
      <c r="DM305" s="259">
        <v>0.1</v>
      </c>
      <c r="DN305" s="259">
        <v>0.1</v>
      </c>
      <c r="DO305" s="259">
        <v>0.1</v>
      </c>
      <c r="DP305" s="259">
        <v>0.1</v>
      </c>
      <c r="DQ305" s="259">
        <v>0.1</v>
      </c>
      <c r="DR305" s="259">
        <v>0.1</v>
      </c>
      <c r="DS305" s="259">
        <v>0.1</v>
      </c>
      <c r="DT305" s="259">
        <v>0.1</v>
      </c>
      <c r="DU305" s="259">
        <v>0.1</v>
      </c>
      <c r="DV305" s="259">
        <v>0.1</v>
      </c>
      <c r="DW305" s="259">
        <v>0.1</v>
      </c>
      <c r="DX305" s="259">
        <v>0.1</v>
      </c>
      <c r="DY305" s="259">
        <v>0.1</v>
      </c>
      <c r="DZ305" s="259">
        <v>0.1</v>
      </c>
      <c r="EA305" s="259">
        <v>0.1</v>
      </c>
      <c r="EB305" s="259">
        <v>0.1</v>
      </c>
      <c r="EC305" s="259">
        <v>0.1</v>
      </c>
      <c r="ED305" s="259">
        <v>0.1</v>
      </c>
      <c r="EE305" s="259">
        <v>0.1</v>
      </c>
      <c r="EF305" s="260">
        <v>0.1</v>
      </c>
    </row>
    <row r="306" spans="71:136" ht="15.75" thickBot="1" x14ac:dyDescent="0.3">
      <c r="BS306">
        <v>303</v>
      </c>
      <c r="BT306" s="271">
        <v>3</v>
      </c>
      <c r="BU306" s="271">
        <v>2.96</v>
      </c>
      <c r="BX306" s="2"/>
      <c r="BY306" s="258">
        <v>0.1</v>
      </c>
      <c r="BZ306" s="259">
        <v>0.1</v>
      </c>
      <c r="CA306" s="259">
        <v>0.1</v>
      </c>
      <c r="CB306" s="259">
        <v>0.1</v>
      </c>
      <c r="CC306" s="259">
        <v>0.1</v>
      </c>
      <c r="CD306" s="259">
        <v>0.1</v>
      </c>
      <c r="CE306" s="259">
        <v>0.1</v>
      </c>
      <c r="CF306" s="259">
        <v>0.1</v>
      </c>
      <c r="CG306" s="259">
        <v>0.1</v>
      </c>
      <c r="CH306" s="259">
        <v>0.1</v>
      </c>
      <c r="CI306" s="259">
        <v>0.1</v>
      </c>
      <c r="CJ306" s="259">
        <v>0.1</v>
      </c>
      <c r="CK306" s="259">
        <v>0.1</v>
      </c>
      <c r="CL306" s="259">
        <v>0.1</v>
      </c>
      <c r="CM306" s="259">
        <v>0.1</v>
      </c>
      <c r="CN306" s="259">
        <v>0.1</v>
      </c>
      <c r="CO306" s="259">
        <v>0.1</v>
      </c>
      <c r="CP306" s="259">
        <v>0.1</v>
      </c>
      <c r="CQ306" s="259">
        <v>0.1</v>
      </c>
      <c r="CR306" s="259">
        <v>0.1</v>
      </c>
      <c r="CS306" s="259">
        <v>0.1</v>
      </c>
      <c r="CT306" s="259">
        <v>0.1</v>
      </c>
      <c r="CU306" s="259">
        <v>0.1</v>
      </c>
      <c r="CV306" s="259">
        <v>0.1</v>
      </c>
      <c r="CW306" s="259">
        <v>0.1</v>
      </c>
      <c r="CX306" s="259">
        <v>0.1</v>
      </c>
      <c r="CY306" s="259">
        <v>0.1</v>
      </c>
      <c r="CZ306" s="259">
        <v>0.1</v>
      </c>
      <c r="DA306" s="259">
        <v>0.1</v>
      </c>
      <c r="DB306" s="260">
        <v>0.1</v>
      </c>
      <c r="DC306" s="258">
        <v>0.1</v>
      </c>
      <c r="DD306" s="259">
        <v>0.1</v>
      </c>
      <c r="DE306" s="259">
        <v>0.1</v>
      </c>
      <c r="DF306" s="259">
        <v>0.1</v>
      </c>
      <c r="DG306" s="259">
        <v>0.1</v>
      </c>
      <c r="DH306" s="259">
        <v>0.1</v>
      </c>
      <c r="DI306" s="259">
        <v>0.1</v>
      </c>
      <c r="DJ306" s="259">
        <v>0.1</v>
      </c>
      <c r="DK306" s="259">
        <v>0.1</v>
      </c>
      <c r="DL306" s="259">
        <v>0.1</v>
      </c>
      <c r="DM306" s="259">
        <v>0.1</v>
      </c>
      <c r="DN306" s="259">
        <v>0.1</v>
      </c>
      <c r="DO306" s="259">
        <v>0.1</v>
      </c>
      <c r="DP306" s="259">
        <v>0.1</v>
      </c>
      <c r="DQ306" s="259">
        <v>0.1</v>
      </c>
      <c r="DR306" s="259">
        <v>0.1</v>
      </c>
      <c r="DS306" s="259">
        <v>0.1</v>
      </c>
      <c r="DT306" s="259">
        <v>0.1</v>
      </c>
      <c r="DU306" s="259">
        <v>0.1</v>
      </c>
      <c r="DV306" s="259">
        <v>0.1</v>
      </c>
      <c r="DW306" s="259">
        <v>0.1</v>
      </c>
      <c r="DX306" s="259">
        <v>0.1</v>
      </c>
      <c r="DY306" s="259">
        <v>0.1</v>
      </c>
      <c r="DZ306" s="259">
        <v>0.1</v>
      </c>
      <c r="EA306" s="259">
        <v>0.1</v>
      </c>
      <c r="EB306" s="259">
        <v>0.1</v>
      </c>
      <c r="EC306" s="259">
        <v>0.1</v>
      </c>
      <c r="ED306" s="259">
        <v>0.1</v>
      </c>
      <c r="EE306" s="259">
        <v>0.1</v>
      </c>
      <c r="EF306" s="260">
        <v>0.1</v>
      </c>
    </row>
    <row r="307" spans="71:136" ht="15.75" thickBot="1" x14ac:dyDescent="0.3">
      <c r="BS307">
        <v>304</v>
      </c>
      <c r="BT307" s="270">
        <v>3</v>
      </c>
      <c r="BU307" s="270">
        <v>2.96</v>
      </c>
      <c r="BX307" s="2"/>
      <c r="BY307" s="258">
        <v>0.1</v>
      </c>
      <c r="BZ307" s="259">
        <v>0.1</v>
      </c>
      <c r="CA307" s="259">
        <v>0.1</v>
      </c>
      <c r="CB307" s="259">
        <v>0.1</v>
      </c>
      <c r="CC307" s="259">
        <v>0.1</v>
      </c>
      <c r="CD307" s="259">
        <v>0.1</v>
      </c>
      <c r="CE307" s="259">
        <v>0.1</v>
      </c>
      <c r="CF307" s="259">
        <v>0.1</v>
      </c>
      <c r="CG307" s="259">
        <v>0.1</v>
      </c>
      <c r="CH307" s="259">
        <v>0.1</v>
      </c>
      <c r="CI307" s="259">
        <v>0.1</v>
      </c>
      <c r="CJ307" s="259">
        <v>0.1</v>
      </c>
      <c r="CK307" s="259">
        <v>0.1</v>
      </c>
      <c r="CL307" s="259">
        <v>0.1</v>
      </c>
      <c r="CM307" s="259">
        <v>0.1</v>
      </c>
      <c r="CN307" s="259">
        <v>0.1</v>
      </c>
      <c r="CO307" s="259">
        <v>0.1</v>
      </c>
      <c r="CP307" s="259">
        <v>0.1</v>
      </c>
      <c r="CQ307" s="259">
        <v>0.1</v>
      </c>
      <c r="CR307" s="259">
        <v>0.1</v>
      </c>
      <c r="CS307" s="259">
        <v>0.1</v>
      </c>
      <c r="CT307" s="259">
        <v>0.1</v>
      </c>
      <c r="CU307" s="259">
        <v>0.1</v>
      </c>
      <c r="CV307" s="259">
        <v>0.1</v>
      </c>
      <c r="CW307" s="259">
        <v>0.1</v>
      </c>
      <c r="CX307" s="259">
        <v>0.1</v>
      </c>
      <c r="CY307" s="259">
        <v>0.1</v>
      </c>
      <c r="CZ307" s="259">
        <v>0.1</v>
      </c>
      <c r="DA307" s="259">
        <v>0.1</v>
      </c>
      <c r="DB307" s="260">
        <v>0.1</v>
      </c>
      <c r="DC307" s="258">
        <v>0.1</v>
      </c>
      <c r="DD307" s="259">
        <v>0.1</v>
      </c>
      <c r="DE307" s="259">
        <v>0.1</v>
      </c>
      <c r="DF307" s="259">
        <v>0.1</v>
      </c>
      <c r="DG307" s="259">
        <v>0.1</v>
      </c>
      <c r="DH307" s="259">
        <v>0.1</v>
      </c>
      <c r="DI307" s="259">
        <v>0.1</v>
      </c>
      <c r="DJ307" s="259">
        <v>0.1</v>
      </c>
      <c r="DK307" s="259">
        <v>0.1</v>
      </c>
      <c r="DL307" s="259">
        <v>0.1</v>
      </c>
      <c r="DM307" s="259">
        <v>0.1</v>
      </c>
      <c r="DN307" s="259">
        <v>0.1</v>
      </c>
      <c r="DO307" s="259">
        <v>0.1</v>
      </c>
      <c r="DP307" s="259">
        <v>0.1</v>
      </c>
      <c r="DQ307" s="259">
        <v>0.1</v>
      </c>
      <c r="DR307" s="259">
        <v>0.1</v>
      </c>
      <c r="DS307" s="259">
        <v>0.1</v>
      </c>
      <c r="DT307" s="259">
        <v>0.1</v>
      </c>
      <c r="DU307" s="259">
        <v>0.1</v>
      </c>
      <c r="DV307" s="259">
        <v>0.1</v>
      </c>
      <c r="DW307" s="259">
        <v>0.1</v>
      </c>
      <c r="DX307" s="259">
        <v>0.1</v>
      </c>
      <c r="DY307" s="259">
        <v>0.1</v>
      </c>
      <c r="DZ307" s="259">
        <v>0.1</v>
      </c>
      <c r="EA307" s="259">
        <v>0.1</v>
      </c>
      <c r="EB307" s="259">
        <v>0.1</v>
      </c>
      <c r="EC307" s="259">
        <v>0.1</v>
      </c>
      <c r="ED307" s="259">
        <v>0.1</v>
      </c>
      <c r="EE307" s="259">
        <v>0.1</v>
      </c>
      <c r="EF307" s="260">
        <v>0.1</v>
      </c>
    </row>
    <row r="308" spans="71:136" ht="15.75" thickBot="1" x14ac:dyDescent="0.3">
      <c r="BS308">
        <v>305</v>
      </c>
      <c r="BT308" s="271">
        <v>3</v>
      </c>
      <c r="BU308" s="271">
        <v>2.96</v>
      </c>
      <c r="BX308" s="2"/>
      <c r="BY308" s="258">
        <v>0.1</v>
      </c>
      <c r="BZ308" s="259">
        <v>0.1</v>
      </c>
      <c r="CA308" s="259">
        <v>0.1</v>
      </c>
      <c r="CB308" s="259">
        <v>0.1</v>
      </c>
      <c r="CC308" s="259">
        <v>0.1</v>
      </c>
      <c r="CD308" s="259">
        <v>0.1</v>
      </c>
      <c r="CE308" s="259">
        <v>0.1</v>
      </c>
      <c r="CF308" s="259">
        <v>0.1</v>
      </c>
      <c r="CG308" s="259">
        <v>0.1</v>
      </c>
      <c r="CH308" s="259">
        <v>0.1</v>
      </c>
      <c r="CI308" s="259">
        <v>0.1</v>
      </c>
      <c r="CJ308" s="259">
        <v>0.1</v>
      </c>
      <c r="CK308" s="259">
        <v>0.1</v>
      </c>
      <c r="CL308" s="259">
        <v>0.1</v>
      </c>
      <c r="CM308" s="259">
        <v>0.1</v>
      </c>
      <c r="CN308" s="259">
        <v>0.1</v>
      </c>
      <c r="CO308" s="259">
        <v>0.1</v>
      </c>
      <c r="CP308" s="259">
        <v>0.1</v>
      </c>
      <c r="CQ308" s="259">
        <v>0.1</v>
      </c>
      <c r="CR308" s="259">
        <v>0.1</v>
      </c>
      <c r="CS308" s="259">
        <v>0.1</v>
      </c>
      <c r="CT308" s="259">
        <v>0.1</v>
      </c>
      <c r="CU308" s="259">
        <v>0.1</v>
      </c>
      <c r="CV308" s="259">
        <v>0.1</v>
      </c>
      <c r="CW308" s="259">
        <v>0.1</v>
      </c>
      <c r="CX308" s="259">
        <v>0.1</v>
      </c>
      <c r="CY308" s="259">
        <v>0.1</v>
      </c>
      <c r="CZ308" s="259">
        <v>0.1</v>
      </c>
      <c r="DA308" s="259">
        <v>0.1</v>
      </c>
      <c r="DB308" s="260">
        <v>0.1</v>
      </c>
      <c r="DC308" s="258">
        <v>0.1</v>
      </c>
      <c r="DD308" s="259">
        <v>0.1</v>
      </c>
      <c r="DE308" s="259">
        <v>0.1</v>
      </c>
      <c r="DF308" s="259">
        <v>0.1</v>
      </c>
      <c r="DG308" s="259">
        <v>0.1</v>
      </c>
      <c r="DH308" s="259">
        <v>0.1</v>
      </c>
      <c r="DI308" s="259">
        <v>0.1</v>
      </c>
      <c r="DJ308" s="259">
        <v>0.1</v>
      </c>
      <c r="DK308" s="259">
        <v>0.1</v>
      </c>
      <c r="DL308" s="259">
        <v>0.1</v>
      </c>
      <c r="DM308" s="259">
        <v>0.1</v>
      </c>
      <c r="DN308" s="259">
        <v>0.1</v>
      </c>
      <c r="DO308" s="259">
        <v>0.1</v>
      </c>
      <c r="DP308" s="259">
        <v>0.1</v>
      </c>
      <c r="DQ308" s="259">
        <v>0.1</v>
      </c>
      <c r="DR308" s="259">
        <v>0.1</v>
      </c>
      <c r="DS308" s="259">
        <v>0.1</v>
      </c>
      <c r="DT308" s="259">
        <v>0.1</v>
      </c>
      <c r="DU308" s="259">
        <v>0.1</v>
      </c>
      <c r="DV308" s="259">
        <v>0.1</v>
      </c>
      <c r="DW308" s="259">
        <v>0.1</v>
      </c>
      <c r="DX308" s="259">
        <v>0.1</v>
      </c>
      <c r="DY308" s="259">
        <v>0.1</v>
      </c>
      <c r="DZ308" s="259">
        <v>0.1</v>
      </c>
      <c r="EA308" s="259">
        <v>0.1</v>
      </c>
      <c r="EB308" s="259">
        <v>0.1</v>
      </c>
      <c r="EC308" s="259">
        <v>0.1</v>
      </c>
      <c r="ED308" s="259">
        <v>0.1</v>
      </c>
      <c r="EE308" s="259">
        <v>0.1</v>
      </c>
      <c r="EF308" s="260">
        <v>0.1</v>
      </c>
    </row>
    <row r="309" spans="71:136" ht="15.75" thickBot="1" x14ac:dyDescent="0.3">
      <c r="BS309">
        <v>306</v>
      </c>
      <c r="BT309" s="270">
        <v>3</v>
      </c>
      <c r="BU309" s="270">
        <v>2.96</v>
      </c>
      <c r="BX309" s="2"/>
      <c r="BY309" s="258">
        <v>0.1</v>
      </c>
      <c r="BZ309" s="259">
        <v>0.1</v>
      </c>
      <c r="CA309" s="259">
        <v>0.1</v>
      </c>
      <c r="CB309" s="259">
        <v>0.1</v>
      </c>
      <c r="CC309" s="259">
        <v>0.1</v>
      </c>
      <c r="CD309" s="259">
        <v>0.1</v>
      </c>
      <c r="CE309" s="259">
        <v>0.1</v>
      </c>
      <c r="CF309" s="259">
        <v>0.1</v>
      </c>
      <c r="CG309" s="259">
        <v>0.1</v>
      </c>
      <c r="CH309" s="259">
        <v>0.1</v>
      </c>
      <c r="CI309" s="259">
        <v>0.1</v>
      </c>
      <c r="CJ309" s="259">
        <v>0.1</v>
      </c>
      <c r="CK309" s="259">
        <v>0.1</v>
      </c>
      <c r="CL309" s="259">
        <v>0.1</v>
      </c>
      <c r="CM309" s="259">
        <v>0.1</v>
      </c>
      <c r="CN309" s="259">
        <v>0.1</v>
      </c>
      <c r="CO309" s="259">
        <v>0.1</v>
      </c>
      <c r="CP309" s="259">
        <v>0.1</v>
      </c>
      <c r="CQ309" s="259">
        <v>0.1</v>
      </c>
      <c r="CR309" s="259">
        <v>0.1</v>
      </c>
      <c r="CS309" s="259">
        <v>0.1</v>
      </c>
      <c r="CT309" s="259">
        <v>0.1</v>
      </c>
      <c r="CU309" s="259">
        <v>0.1</v>
      </c>
      <c r="CV309" s="259">
        <v>0.1</v>
      </c>
      <c r="CW309" s="259">
        <v>0.1</v>
      </c>
      <c r="CX309" s="259">
        <v>0.1</v>
      </c>
      <c r="CY309" s="259">
        <v>0.1</v>
      </c>
      <c r="CZ309" s="259">
        <v>0.1</v>
      </c>
      <c r="DA309" s="259">
        <v>0.1</v>
      </c>
      <c r="DB309" s="260">
        <v>0.1</v>
      </c>
      <c r="DC309" s="258">
        <v>0.1</v>
      </c>
      <c r="DD309" s="259">
        <v>0.1</v>
      </c>
      <c r="DE309" s="259">
        <v>0.1</v>
      </c>
      <c r="DF309" s="259">
        <v>0.1</v>
      </c>
      <c r="DG309" s="259">
        <v>0.1</v>
      </c>
      <c r="DH309" s="259">
        <v>0.1</v>
      </c>
      <c r="DI309" s="259">
        <v>0.1</v>
      </c>
      <c r="DJ309" s="259">
        <v>0.1</v>
      </c>
      <c r="DK309" s="259">
        <v>0.1</v>
      </c>
      <c r="DL309" s="259">
        <v>0.1</v>
      </c>
      <c r="DM309" s="259">
        <v>0.1</v>
      </c>
      <c r="DN309" s="259">
        <v>0.1</v>
      </c>
      <c r="DO309" s="259">
        <v>0.1</v>
      </c>
      <c r="DP309" s="259">
        <v>0.1</v>
      </c>
      <c r="DQ309" s="259">
        <v>0.1</v>
      </c>
      <c r="DR309" s="259">
        <v>0.1</v>
      </c>
      <c r="DS309" s="259">
        <v>0.1</v>
      </c>
      <c r="DT309" s="259">
        <v>0.1</v>
      </c>
      <c r="DU309" s="259">
        <v>0.1</v>
      </c>
      <c r="DV309" s="259">
        <v>0.1</v>
      </c>
      <c r="DW309" s="259">
        <v>0.1</v>
      </c>
      <c r="DX309" s="259">
        <v>0.1</v>
      </c>
      <c r="DY309" s="259">
        <v>0.1</v>
      </c>
      <c r="DZ309" s="259">
        <v>0.1</v>
      </c>
      <c r="EA309" s="259">
        <v>0.1</v>
      </c>
      <c r="EB309" s="259">
        <v>0.1</v>
      </c>
      <c r="EC309" s="259">
        <v>0.1</v>
      </c>
      <c r="ED309" s="259">
        <v>0.1</v>
      </c>
      <c r="EE309" s="259">
        <v>0.1</v>
      </c>
      <c r="EF309" s="260">
        <v>0.1</v>
      </c>
    </row>
    <row r="310" spans="71:136" ht="15.75" thickBot="1" x14ac:dyDescent="0.3">
      <c r="BS310">
        <v>307</v>
      </c>
      <c r="BT310" s="271">
        <v>3</v>
      </c>
      <c r="BU310" s="271">
        <v>2.96</v>
      </c>
      <c r="BX310" s="2"/>
      <c r="BY310" s="258">
        <v>0.1</v>
      </c>
      <c r="BZ310" s="259">
        <v>0.1</v>
      </c>
      <c r="CA310" s="259">
        <v>0.1</v>
      </c>
      <c r="CB310" s="259">
        <v>0.1</v>
      </c>
      <c r="CC310" s="259">
        <v>0.1</v>
      </c>
      <c r="CD310" s="259">
        <v>0.1</v>
      </c>
      <c r="CE310" s="259">
        <v>0.1</v>
      </c>
      <c r="CF310" s="259">
        <v>0.1</v>
      </c>
      <c r="CG310" s="259">
        <v>0.1</v>
      </c>
      <c r="CH310" s="259">
        <v>0.1</v>
      </c>
      <c r="CI310" s="259">
        <v>0.1</v>
      </c>
      <c r="CJ310" s="259">
        <v>0.1</v>
      </c>
      <c r="CK310" s="259">
        <v>0.1</v>
      </c>
      <c r="CL310" s="259">
        <v>0.1</v>
      </c>
      <c r="CM310" s="259">
        <v>0.1</v>
      </c>
      <c r="CN310" s="259">
        <v>0.1</v>
      </c>
      <c r="CO310" s="259">
        <v>0.1</v>
      </c>
      <c r="CP310" s="259">
        <v>0.1</v>
      </c>
      <c r="CQ310" s="259">
        <v>0.1</v>
      </c>
      <c r="CR310" s="259">
        <v>0.1</v>
      </c>
      <c r="CS310" s="259">
        <v>0.1</v>
      </c>
      <c r="CT310" s="259">
        <v>0.1</v>
      </c>
      <c r="CU310" s="259">
        <v>0.1</v>
      </c>
      <c r="CV310" s="259">
        <v>0.1</v>
      </c>
      <c r="CW310" s="259">
        <v>0.1</v>
      </c>
      <c r="CX310" s="259">
        <v>0.1</v>
      </c>
      <c r="CY310" s="259">
        <v>0.1</v>
      </c>
      <c r="CZ310" s="259">
        <v>0.1</v>
      </c>
      <c r="DA310" s="259">
        <v>0.1</v>
      </c>
      <c r="DB310" s="260">
        <v>0.1</v>
      </c>
      <c r="DC310" s="258">
        <v>0.1</v>
      </c>
      <c r="DD310" s="259">
        <v>0.1</v>
      </c>
      <c r="DE310" s="259">
        <v>0.1</v>
      </c>
      <c r="DF310" s="259">
        <v>0.1</v>
      </c>
      <c r="DG310" s="259">
        <v>0.1</v>
      </c>
      <c r="DH310" s="259">
        <v>0.1</v>
      </c>
      <c r="DI310" s="259">
        <v>0.1</v>
      </c>
      <c r="DJ310" s="259">
        <v>0.1</v>
      </c>
      <c r="DK310" s="259">
        <v>0.1</v>
      </c>
      <c r="DL310" s="259">
        <v>0.1</v>
      </c>
      <c r="DM310" s="259">
        <v>0.1</v>
      </c>
      <c r="DN310" s="259">
        <v>0.1</v>
      </c>
      <c r="DO310" s="259">
        <v>0.1</v>
      </c>
      <c r="DP310" s="259">
        <v>0.1</v>
      </c>
      <c r="DQ310" s="259">
        <v>0.1</v>
      </c>
      <c r="DR310" s="259">
        <v>0.1</v>
      </c>
      <c r="DS310" s="259">
        <v>0.1</v>
      </c>
      <c r="DT310" s="259">
        <v>0.1</v>
      </c>
      <c r="DU310" s="259">
        <v>0.1</v>
      </c>
      <c r="DV310" s="259">
        <v>0.1</v>
      </c>
      <c r="DW310" s="259">
        <v>0.1</v>
      </c>
      <c r="DX310" s="259">
        <v>0.1</v>
      </c>
      <c r="DY310" s="259">
        <v>0.1</v>
      </c>
      <c r="DZ310" s="259">
        <v>0.1</v>
      </c>
      <c r="EA310" s="259">
        <v>0.1</v>
      </c>
      <c r="EB310" s="259">
        <v>0.1</v>
      </c>
      <c r="EC310" s="259">
        <v>0.1</v>
      </c>
      <c r="ED310" s="259">
        <v>0.1</v>
      </c>
      <c r="EE310" s="259">
        <v>0.1</v>
      </c>
      <c r="EF310" s="260">
        <v>0.1</v>
      </c>
    </row>
    <row r="311" spans="71:136" ht="15.75" thickBot="1" x14ac:dyDescent="0.3">
      <c r="BS311">
        <v>308</v>
      </c>
      <c r="BT311" s="270">
        <v>2.96</v>
      </c>
      <c r="BU311" s="271">
        <v>2.96</v>
      </c>
      <c r="BX311" s="2"/>
      <c r="BY311" s="258">
        <v>0.1</v>
      </c>
      <c r="BZ311" s="259">
        <v>0.1</v>
      </c>
      <c r="CA311" s="259">
        <v>0.1</v>
      </c>
      <c r="CB311" s="259">
        <v>0.1</v>
      </c>
      <c r="CC311" s="259">
        <v>0.1</v>
      </c>
      <c r="CD311" s="259">
        <v>0.1</v>
      </c>
      <c r="CE311" s="259">
        <v>0.1</v>
      </c>
      <c r="CF311" s="259">
        <v>0.1</v>
      </c>
      <c r="CG311" s="259">
        <v>0.1</v>
      </c>
      <c r="CH311" s="259">
        <v>0.1</v>
      </c>
      <c r="CI311" s="259">
        <v>0.1</v>
      </c>
      <c r="CJ311" s="259">
        <v>0.1</v>
      </c>
      <c r="CK311" s="259">
        <v>0.1</v>
      </c>
      <c r="CL311" s="259">
        <v>0.1</v>
      </c>
      <c r="CM311" s="259">
        <v>0.1</v>
      </c>
      <c r="CN311" s="259">
        <v>0.1</v>
      </c>
      <c r="CO311" s="259">
        <v>0.1</v>
      </c>
      <c r="CP311" s="259">
        <v>0.1</v>
      </c>
      <c r="CQ311" s="259">
        <v>0.1</v>
      </c>
      <c r="CR311" s="259">
        <v>0.1</v>
      </c>
      <c r="CS311" s="259">
        <v>0.1</v>
      </c>
      <c r="CT311" s="259">
        <v>0.1</v>
      </c>
      <c r="CU311" s="259">
        <v>0.1</v>
      </c>
      <c r="CV311" s="259">
        <v>0.1</v>
      </c>
      <c r="CW311" s="259">
        <v>0.1</v>
      </c>
      <c r="CX311" s="259">
        <v>0.1</v>
      </c>
      <c r="CY311" s="259">
        <v>0.1</v>
      </c>
      <c r="CZ311" s="259">
        <v>0.1</v>
      </c>
      <c r="DA311" s="259">
        <v>0.1</v>
      </c>
      <c r="DB311" s="260">
        <v>0.1</v>
      </c>
      <c r="DC311" s="258">
        <v>0.1</v>
      </c>
      <c r="DD311" s="259">
        <v>0.1</v>
      </c>
      <c r="DE311" s="259">
        <v>0.1</v>
      </c>
      <c r="DF311" s="259">
        <v>0.1</v>
      </c>
      <c r="DG311" s="259">
        <v>0.1</v>
      </c>
      <c r="DH311" s="259">
        <v>0.1</v>
      </c>
      <c r="DI311" s="259">
        <v>0.1</v>
      </c>
      <c r="DJ311" s="259">
        <v>0.1</v>
      </c>
      <c r="DK311" s="259">
        <v>0.1</v>
      </c>
      <c r="DL311" s="259">
        <v>0.1</v>
      </c>
      <c r="DM311" s="259">
        <v>0.1</v>
      </c>
      <c r="DN311" s="259">
        <v>0.1</v>
      </c>
      <c r="DO311" s="259">
        <v>0.1</v>
      </c>
      <c r="DP311" s="259">
        <v>0.1</v>
      </c>
      <c r="DQ311" s="259">
        <v>0.1</v>
      </c>
      <c r="DR311" s="259">
        <v>0.1</v>
      </c>
      <c r="DS311" s="259">
        <v>0.1</v>
      </c>
      <c r="DT311" s="259">
        <v>0.1</v>
      </c>
      <c r="DU311" s="259">
        <v>0.1</v>
      </c>
      <c r="DV311" s="259">
        <v>0.1</v>
      </c>
      <c r="DW311" s="259">
        <v>0.1</v>
      </c>
      <c r="DX311" s="259">
        <v>0.1</v>
      </c>
      <c r="DY311" s="259">
        <v>0.1</v>
      </c>
      <c r="DZ311" s="259">
        <v>0.1</v>
      </c>
      <c r="EA311" s="259">
        <v>0.1</v>
      </c>
      <c r="EB311" s="259">
        <v>0.1</v>
      </c>
      <c r="EC311" s="259">
        <v>0.1</v>
      </c>
      <c r="ED311" s="259">
        <v>0.1</v>
      </c>
      <c r="EE311" s="259">
        <v>0.1</v>
      </c>
      <c r="EF311" s="260">
        <v>0.1</v>
      </c>
    </row>
    <row r="312" spans="71:136" ht="15.75" thickBot="1" x14ac:dyDescent="0.3">
      <c r="BS312">
        <v>309</v>
      </c>
      <c r="BT312" s="271">
        <v>2.96</v>
      </c>
      <c r="BU312" s="270">
        <v>2.96</v>
      </c>
      <c r="BV312" s="2"/>
      <c r="BW312" s="2"/>
      <c r="BX312" s="2"/>
      <c r="BY312" s="258">
        <v>0.1</v>
      </c>
      <c r="BZ312" s="259">
        <v>0.1</v>
      </c>
      <c r="CA312" s="259">
        <v>0.1</v>
      </c>
      <c r="CB312" s="259">
        <v>0.1</v>
      </c>
      <c r="CC312" s="259">
        <v>0.1</v>
      </c>
      <c r="CD312" s="259">
        <v>0.1</v>
      </c>
      <c r="CE312" s="259">
        <v>0.1</v>
      </c>
      <c r="CF312" s="259">
        <v>0.1</v>
      </c>
      <c r="CG312" s="259">
        <v>0.1</v>
      </c>
      <c r="CH312" s="259">
        <v>0.1</v>
      </c>
      <c r="CI312" s="259">
        <v>0.1</v>
      </c>
      <c r="CJ312" s="259">
        <v>0.1</v>
      </c>
      <c r="CK312" s="259">
        <v>0.1</v>
      </c>
      <c r="CL312" s="259">
        <v>0.1</v>
      </c>
      <c r="CM312" s="259">
        <v>0.1</v>
      </c>
      <c r="CN312" s="259">
        <v>0.1</v>
      </c>
      <c r="CO312" s="259">
        <v>0.1</v>
      </c>
      <c r="CP312" s="259">
        <v>0.1</v>
      </c>
      <c r="CQ312" s="259">
        <v>0.1</v>
      </c>
      <c r="CR312" s="259">
        <v>0.1</v>
      </c>
      <c r="CS312" s="259">
        <v>0.1</v>
      </c>
      <c r="CT312" s="259">
        <v>0.1</v>
      </c>
      <c r="CU312" s="259">
        <v>0.1</v>
      </c>
      <c r="CV312" s="259">
        <v>0.1</v>
      </c>
      <c r="CW312" s="259">
        <v>0.1</v>
      </c>
      <c r="CX312" s="259">
        <v>0.1</v>
      </c>
      <c r="CY312" s="259">
        <v>0.1</v>
      </c>
      <c r="CZ312" s="259">
        <v>0.1</v>
      </c>
      <c r="DA312" s="259">
        <v>0.1</v>
      </c>
      <c r="DB312" s="260">
        <v>0.1</v>
      </c>
      <c r="DC312" s="258">
        <v>0.1</v>
      </c>
      <c r="DD312" s="259">
        <v>0.1</v>
      </c>
      <c r="DE312" s="259">
        <v>0.1</v>
      </c>
      <c r="DF312" s="259">
        <v>0.1</v>
      </c>
      <c r="DG312" s="259">
        <v>0.1</v>
      </c>
      <c r="DH312" s="259">
        <v>0.1</v>
      </c>
      <c r="DI312" s="259">
        <v>0.1</v>
      </c>
      <c r="DJ312" s="259">
        <v>0.1</v>
      </c>
      <c r="DK312" s="259">
        <v>0.1</v>
      </c>
      <c r="DL312" s="259">
        <v>0.1</v>
      </c>
      <c r="DM312" s="259">
        <v>0.1</v>
      </c>
      <c r="DN312" s="259">
        <v>0.1</v>
      </c>
      <c r="DO312" s="259">
        <v>0.1</v>
      </c>
      <c r="DP312" s="259">
        <v>0.1</v>
      </c>
      <c r="DQ312" s="259">
        <v>0.1</v>
      </c>
      <c r="DR312" s="259">
        <v>0.1</v>
      </c>
      <c r="DS312" s="259">
        <v>0.1</v>
      </c>
      <c r="DT312" s="259">
        <v>0.1</v>
      </c>
      <c r="DU312" s="259">
        <v>0.1</v>
      </c>
      <c r="DV312" s="259">
        <v>0.1</v>
      </c>
      <c r="DW312" s="259">
        <v>0.1</v>
      </c>
      <c r="DX312" s="259">
        <v>0.1</v>
      </c>
      <c r="DY312" s="259">
        <v>0.1</v>
      </c>
      <c r="DZ312" s="259">
        <v>0.1</v>
      </c>
      <c r="EA312" s="259">
        <v>0.1</v>
      </c>
      <c r="EB312" s="259">
        <v>0.1</v>
      </c>
      <c r="EC312" s="259">
        <v>0.1</v>
      </c>
      <c r="ED312" s="259">
        <v>0.1</v>
      </c>
      <c r="EE312" s="259">
        <v>0.1</v>
      </c>
      <c r="EF312" s="260">
        <v>0.1</v>
      </c>
    </row>
    <row r="313" spans="71:136" ht="15.75" thickBot="1" x14ac:dyDescent="0.3">
      <c r="BS313">
        <v>310</v>
      </c>
      <c r="BT313" s="271">
        <v>2.96</v>
      </c>
      <c r="BU313" s="270">
        <v>2.96</v>
      </c>
      <c r="BV313" s="2"/>
      <c r="BW313" s="2"/>
      <c r="BX313" s="2"/>
      <c r="BY313" s="258">
        <v>0.1</v>
      </c>
      <c r="BZ313" s="259">
        <v>0.1</v>
      </c>
      <c r="CA313" s="259">
        <v>0.1</v>
      </c>
      <c r="CB313" s="259">
        <v>0.1</v>
      </c>
      <c r="CC313" s="259">
        <v>0.1</v>
      </c>
      <c r="CD313" s="259">
        <v>0.1</v>
      </c>
      <c r="CE313" s="259">
        <v>0.1</v>
      </c>
      <c r="CF313" s="259">
        <v>0.1</v>
      </c>
      <c r="CG313" s="259">
        <v>0.1</v>
      </c>
      <c r="CH313" s="259">
        <v>0.1</v>
      </c>
      <c r="CI313" s="259">
        <v>0.1</v>
      </c>
      <c r="CJ313" s="259">
        <v>0.1</v>
      </c>
      <c r="CK313" s="259">
        <v>0.1</v>
      </c>
      <c r="CL313" s="259">
        <v>0.1</v>
      </c>
      <c r="CM313" s="259">
        <v>0.1</v>
      </c>
      <c r="CN313" s="259">
        <v>0.1</v>
      </c>
      <c r="CO313" s="259">
        <v>0.1</v>
      </c>
      <c r="CP313" s="259">
        <v>0.1</v>
      </c>
      <c r="CQ313" s="259">
        <v>0.1</v>
      </c>
      <c r="CR313" s="259">
        <v>0.1</v>
      </c>
      <c r="CS313" s="259">
        <v>0.1</v>
      </c>
      <c r="CT313" s="259">
        <v>0.1</v>
      </c>
      <c r="CU313" s="259">
        <v>0.1</v>
      </c>
      <c r="CV313" s="259">
        <v>0.1</v>
      </c>
      <c r="CW313" s="259">
        <v>0.1</v>
      </c>
      <c r="CX313" s="259">
        <v>0.1</v>
      </c>
      <c r="CY313" s="259">
        <v>0.1</v>
      </c>
      <c r="CZ313" s="259">
        <v>0.1</v>
      </c>
      <c r="DA313" s="259">
        <v>0.1</v>
      </c>
      <c r="DB313" s="260">
        <v>0.1</v>
      </c>
      <c r="DC313" s="258">
        <v>0.1</v>
      </c>
      <c r="DD313" s="259">
        <v>0.1</v>
      </c>
      <c r="DE313" s="259">
        <v>0.1</v>
      </c>
      <c r="DF313" s="259">
        <v>0.1</v>
      </c>
      <c r="DG313" s="259">
        <v>0.1</v>
      </c>
      <c r="DH313" s="259">
        <v>0.1</v>
      </c>
      <c r="DI313" s="259">
        <v>0.1</v>
      </c>
      <c r="DJ313" s="259">
        <v>0.1</v>
      </c>
      <c r="DK313" s="259">
        <v>0.1</v>
      </c>
      <c r="DL313" s="259">
        <v>0.1</v>
      </c>
      <c r="DM313" s="259">
        <v>0.1</v>
      </c>
      <c r="DN313" s="259">
        <v>0.1</v>
      </c>
      <c r="DO313" s="259">
        <v>0.1</v>
      </c>
      <c r="DP313" s="259">
        <v>0.1</v>
      </c>
      <c r="DQ313" s="259">
        <v>0.1</v>
      </c>
      <c r="DR313" s="259">
        <v>0.1</v>
      </c>
      <c r="DS313" s="259">
        <v>0.1</v>
      </c>
      <c r="DT313" s="259">
        <v>0.1</v>
      </c>
      <c r="DU313" s="259">
        <v>0.1</v>
      </c>
      <c r="DV313" s="259">
        <v>0.1</v>
      </c>
      <c r="DW313" s="259">
        <v>0.1</v>
      </c>
      <c r="DX313" s="259">
        <v>0.1</v>
      </c>
      <c r="DY313" s="259">
        <v>0.1</v>
      </c>
      <c r="DZ313" s="259">
        <v>0.1</v>
      </c>
      <c r="EA313" s="259">
        <v>0.1</v>
      </c>
      <c r="EB313" s="259">
        <v>0.1</v>
      </c>
      <c r="EC313" s="259">
        <v>0.1</v>
      </c>
      <c r="ED313" s="259">
        <v>0.1</v>
      </c>
      <c r="EE313" s="259">
        <v>0.1</v>
      </c>
      <c r="EF313" s="260">
        <v>0.1</v>
      </c>
    </row>
    <row r="314" spans="71:136" ht="15.75" thickBot="1" x14ac:dyDescent="0.3">
      <c r="BS314">
        <v>311</v>
      </c>
      <c r="BT314" s="270">
        <v>2.96</v>
      </c>
      <c r="BU314" s="271">
        <v>2.95</v>
      </c>
      <c r="BV314" s="2"/>
      <c r="BW314" s="2"/>
      <c r="BX314" s="2"/>
      <c r="BY314" s="258">
        <v>0.1</v>
      </c>
      <c r="BZ314" s="259">
        <v>0.1</v>
      </c>
      <c r="CA314" s="259">
        <v>0.1</v>
      </c>
      <c r="CB314" s="259">
        <v>0.1</v>
      </c>
      <c r="CC314" s="259">
        <v>0.1</v>
      </c>
      <c r="CD314" s="259">
        <v>0.1</v>
      </c>
      <c r="CE314" s="259">
        <v>0.1</v>
      </c>
      <c r="CF314" s="259">
        <v>0.1</v>
      </c>
      <c r="CG314" s="259">
        <v>0.1</v>
      </c>
      <c r="CH314" s="259">
        <v>0.1</v>
      </c>
      <c r="CI314" s="259">
        <v>0.1</v>
      </c>
      <c r="CJ314" s="259">
        <v>0.1</v>
      </c>
      <c r="CK314" s="259">
        <v>0.1</v>
      </c>
      <c r="CL314" s="259">
        <v>0.1</v>
      </c>
      <c r="CM314" s="259">
        <v>0.1</v>
      </c>
      <c r="CN314" s="259">
        <v>0.1</v>
      </c>
      <c r="CO314" s="259">
        <v>0.1</v>
      </c>
      <c r="CP314" s="259">
        <v>0.1</v>
      </c>
      <c r="CQ314" s="259">
        <v>0.1</v>
      </c>
      <c r="CR314" s="259">
        <v>0.1</v>
      </c>
      <c r="CS314" s="259">
        <v>0.1</v>
      </c>
      <c r="CT314" s="259">
        <v>0.1</v>
      </c>
      <c r="CU314" s="259">
        <v>0.1</v>
      </c>
      <c r="CV314" s="259">
        <v>0.1</v>
      </c>
      <c r="CW314" s="259">
        <v>0.1</v>
      </c>
      <c r="CX314" s="259">
        <v>0.1</v>
      </c>
      <c r="CY314" s="259">
        <v>0.1</v>
      </c>
      <c r="CZ314" s="259">
        <v>0.1</v>
      </c>
      <c r="DA314" s="259">
        <v>0.1</v>
      </c>
      <c r="DB314" s="260">
        <v>0.1</v>
      </c>
      <c r="DC314" s="258">
        <v>0.1</v>
      </c>
      <c r="DD314" s="259">
        <v>0.1</v>
      </c>
      <c r="DE314" s="259">
        <v>0.1</v>
      </c>
      <c r="DF314" s="259">
        <v>0.1</v>
      </c>
      <c r="DG314" s="259">
        <v>0.1</v>
      </c>
      <c r="DH314" s="259">
        <v>0.1</v>
      </c>
      <c r="DI314" s="259">
        <v>0.1</v>
      </c>
      <c r="DJ314" s="259">
        <v>0.1</v>
      </c>
      <c r="DK314" s="259">
        <v>0.1</v>
      </c>
      <c r="DL314" s="259">
        <v>0.1</v>
      </c>
      <c r="DM314" s="259">
        <v>0.1</v>
      </c>
      <c r="DN314" s="259">
        <v>0.1</v>
      </c>
      <c r="DO314" s="259">
        <v>0.1</v>
      </c>
      <c r="DP314" s="259">
        <v>0.1</v>
      </c>
      <c r="DQ314" s="259">
        <v>0.1</v>
      </c>
      <c r="DR314" s="259">
        <v>0.1</v>
      </c>
      <c r="DS314" s="259">
        <v>0.1</v>
      </c>
      <c r="DT314" s="259">
        <v>0.1</v>
      </c>
      <c r="DU314" s="259">
        <v>0.1</v>
      </c>
      <c r="DV314" s="259">
        <v>0.1</v>
      </c>
      <c r="DW314" s="259">
        <v>0.1</v>
      </c>
      <c r="DX314" s="259">
        <v>0.1</v>
      </c>
      <c r="DY314" s="259">
        <v>0.1</v>
      </c>
      <c r="DZ314" s="259">
        <v>0.1</v>
      </c>
      <c r="EA314" s="259">
        <v>0.1</v>
      </c>
      <c r="EB314" s="259">
        <v>0.1</v>
      </c>
      <c r="EC314" s="259">
        <v>0.1</v>
      </c>
      <c r="ED314" s="259">
        <v>0.1</v>
      </c>
      <c r="EE314" s="259">
        <v>0.1</v>
      </c>
      <c r="EF314" s="260">
        <v>0.1</v>
      </c>
    </row>
    <row r="315" spans="71:136" ht="15.75" thickBot="1" x14ac:dyDescent="0.3">
      <c r="BS315">
        <v>312</v>
      </c>
      <c r="BT315" s="271">
        <v>2.96</v>
      </c>
      <c r="BU315" s="270">
        <v>2.95</v>
      </c>
      <c r="BV315" s="2"/>
      <c r="BW315" s="2"/>
      <c r="BX315" s="2"/>
      <c r="BY315" s="258">
        <v>0.1</v>
      </c>
      <c r="BZ315" s="259">
        <v>0.1</v>
      </c>
      <c r="CA315" s="259">
        <v>0.1</v>
      </c>
      <c r="CB315" s="259">
        <v>0.1</v>
      </c>
      <c r="CC315" s="259">
        <v>0.1</v>
      </c>
      <c r="CD315" s="259">
        <v>0.1</v>
      </c>
      <c r="CE315" s="259">
        <v>0.1</v>
      </c>
      <c r="CF315" s="259">
        <v>0.1</v>
      </c>
      <c r="CG315" s="259">
        <v>0.1</v>
      </c>
      <c r="CH315" s="259">
        <v>0.1</v>
      </c>
      <c r="CI315" s="259">
        <v>0.1</v>
      </c>
      <c r="CJ315" s="259">
        <v>0.1</v>
      </c>
      <c r="CK315" s="259">
        <v>0.1</v>
      </c>
      <c r="CL315" s="259">
        <v>0.1</v>
      </c>
      <c r="CM315" s="259">
        <v>0.1</v>
      </c>
      <c r="CN315" s="259">
        <v>0.1</v>
      </c>
      <c r="CO315" s="259">
        <v>0.1</v>
      </c>
      <c r="CP315" s="259">
        <v>0.1</v>
      </c>
      <c r="CQ315" s="259">
        <v>0.1</v>
      </c>
      <c r="CR315" s="259">
        <v>0.1</v>
      </c>
      <c r="CS315" s="259">
        <v>0.1</v>
      </c>
      <c r="CT315" s="259">
        <v>0.1</v>
      </c>
      <c r="CU315" s="259">
        <v>0.1</v>
      </c>
      <c r="CV315" s="259">
        <v>0.1</v>
      </c>
      <c r="CW315" s="259">
        <v>0.1</v>
      </c>
      <c r="CX315" s="259">
        <v>0.1</v>
      </c>
      <c r="CY315" s="259">
        <v>0.1</v>
      </c>
      <c r="CZ315" s="259">
        <v>0.1</v>
      </c>
      <c r="DA315" s="259">
        <v>0.1</v>
      </c>
      <c r="DB315" s="260">
        <v>0.1</v>
      </c>
      <c r="DC315" s="258">
        <v>0.1</v>
      </c>
      <c r="DD315" s="259">
        <v>0.1</v>
      </c>
      <c r="DE315" s="259">
        <v>0.1</v>
      </c>
      <c r="DF315" s="259">
        <v>0.1</v>
      </c>
      <c r="DG315" s="259">
        <v>0.1</v>
      </c>
      <c r="DH315" s="259">
        <v>0.1</v>
      </c>
      <c r="DI315" s="259">
        <v>0.1</v>
      </c>
      <c r="DJ315" s="259">
        <v>0.1</v>
      </c>
      <c r="DK315" s="259">
        <v>0.1</v>
      </c>
      <c r="DL315" s="259">
        <v>0.1</v>
      </c>
      <c r="DM315" s="259">
        <v>0.1</v>
      </c>
      <c r="DN315" s="259">
        <v>0.1</v>
      </c>
      <c r="DO315" s="259">
        <v>0.1</v>
      </c>
      <c r="DP315" s="259">
        <v>0.1</v>
      </c>
      <c r="DQ315" s="259">
        <v>0.1</v>
      </c>
      <c r="DR315" s="259">
        <v>0.1</v>
      </c>
      <c r="DS315" s="259">
        <v>0.1</v>
      </c>
      <c r="DT315" s="259">
        <v>0.1</v>
      </c>
      <c r="DU315" s="259">
        <v>0.1</v>
      </c>
      <c r="DV315" s="259">
        <v>0.1</v>
      </c>
      <c r="DW315" s="259">
        <v>0.1</v>
      </c>
      <c r="DX315" s="259">
        <v>0.1</v>
      </c>
      <c r="DY315" s="259">
        <v>0.1</v>
      </c>
      <c r="DZ315" s="259">
        <v>0.1</v>
      </c>
      <c r="EA315" s="259">
        <v>0.1</v>
      </c>
      <c r="EB315" s="259">
        <v>0.1</v>
      </c>
      <c r="EC315" s="259">
        <v>0.1</v>
      </c>
      <c r="ED315" s="259">
        <v>0.1</v>
      </c>
      <c r="EE315" s="259">
        <v>0.1</v>
      </c>
      <c r="EF315" s="260">
        <v>0.1</v>
      </c>
    </row>
    <row r="316" spans="71:136" ht="15.75" thickBot="1" x14ac:dyDescent="0.3">
      <c r="BS316">
        <v>313</v>
      </c>
      <c r="BT316" s="270">
        <v>2.96</v>
      </c>
      <c r="BU316" s="271">
        <v>2.95</v>
      </c>
      <c r="BV316" s="2"/>
      <c r="BW316" s="2"/>
      <c r="BX316" s="2"/>
      <c r="BY316" s="258">
        <v>0.1</v>
      </c>
      <c r="BZ316" s="259">
        <v>0.1</v>
      </c>
      <c r="CA316" s="259">
        <v>0.1</v>
      </c>
      <c r="CB316" s="259">
        <v>0.1</v>
      </c>
      <c r="CC316" s="259">
        <v>0.1</v>
      </c>
      <c r="CD316" s="259">
        <v>0.1</v>
      </c>
      <c r="CE316" s="259">
        <v>0.1</v>
      </c>
      <c r="CF316" s="259">
        <v>0.1</v>
      </c>
      <c r="CG316" s="259">
        <v>0.1</v>
      </c>
      <c r="CH316" s="259">
        <v>0.1</v>
      </c>
      <c r="CI316" s="259">
        <v>0.1</v>
      </c>
      <c r="CJ316" s="259">
        <v>0.1</v>
      </c>
      <c r="CK316" s="259">
        <v>0.1</v>
      </c>
      <c r="CL316" s="259">
        <v>0.1</v>
      </c>
      <c r="CM316" s="259">
        <v>0.1</v>
      </c>
      <c r="CN316" s="259">
        <v>0.1</v>
      </c>
      <c r="CO316" s="259">
        <v>0.1</v>
      </c>
      <c r="CP316" s="259">
        <v>0.1</v>
      </c>
      <c r="CQ316" s="259">
        <v>0.1</v>
      </c>
      <c r="CR316" s="259">
        <v>0.1</v>
      </c>
      <c r="CS316" s="259">
        <v>0.1</v>
      </c>
      <c r="CT316" s="259">
        <v>0.1</v>
      </c>
      <c r="CU316" s="259">
        <v>0.1</v>
      </c>
      <c r="CV316" s="259">
        <v>0.1</v>
      </c>
      <c r="CW316" s="259">
        <v>0.1</v>
      </c>
      <c r="CX316" s="259">
        <v>0.1</v>
      </c>
      <c r="CY316" s="259">
        <v>0.1</v>
      </c>
      <c r="CZ316" s="259">
        <v>0.1</v>
      </c>
      <c r="DA316" s="259">
        <v>0.1</v>
      </c>
      <c r="DB316" s="260">
        <v>0.1</v>
      </c>
      <c r="DC316" s="258">
        <v>0.1</v>
      </c>
      <c r="DD316" s="259">
        <v>0.1</v>
      </c>
      <c r="DE316" s="259">
        <v>0.1</v>
      </c>
      <c r="DF316" s="259">
        <v>0.1</v>
      </c>
      <c r="DG316" s="259">
        <v>0.1</v>
      </c>
      <c r="DH316" s="259">
        <v>0.1</v>
      </c>
      <c r="DI316" s="259">
        <v>0.1</v>
      </c>
      <c r="DJ316" s="259">
        <v>0.1</v>
      </c>
      <c r="DK316" s="259">
        <v>0.1</v>
      </c>
      <c r="DL316" s="259">
        <v>0.1</v>
      </c>
      <c r="DM316" s="259">
        <v>0.1</v>
      </c>
      <c r="DN316" s="259">
        <v>0.1</v>
      </c>
      <c r="DO316" s="259">
        <v>0.1</v>
      </c>
      <c r="DP316" s="259">
        <v>0.1</v>
      </c>
      <c r="DQ316" s="259">
        <v>0.1</v>
      </c>
      <c r="DR316" s="259">
        <v>0.1</v>
      </c>
      <c r="DS316" s="259">
        <v>0.1</v>
      </c>
      <c r="DT316" s="259">
        <v>0.1</v>
      </c>
      <c r="DU316" s="259">
        <v>0.1</v>
      </c>
      <c r="DV316" s="259">
        <v>0.1</v>
      </c>
      <c r="DW316" s="259">
        <v>0.1</v>
      </c>
      <c r="DX316" s="259">
        <v>0.1</v>
      </c>
      <c r="DY316" s="259">
        <v>0.1</v>
      </c>
      <c r="DZ316" s="259">
        <v>0.1</v>
      </c>
      <c r="EA316" s="259">
        <v>0.1</v>
      </c>
      <c r="EB316" s="259">
        <v>0.1</v>
      </c>
      <c r="EC316" s="259">
        <v>0.1</v>
      </c>
      <c r="ED316" s="259">
        <v>0.1</v>
      </c>
      <c r="EE316" s="259">
        <v>0.1</v>
      </c>
      <c r="EF316" s="260">
        <v>0.1</v>
      </c>
    </row>
    <row r="317" spans="71:136" ht="15.75" thickBot="1" x14ac:dyDescent="0.3">
      <c r="BS317">
        <v>314</v>
      </c>
      <c r="BT317" s="271">
        <v>2.96</v>
      </c>
      <c r="BU317" s="270">
        <v>2.95</v>
      </c>
      <c r="BV317" s="2"/>
      <c r="BW317" s="2"/>
      <c r="BX317" s="2"/>
      <c r="BY317" s="258">
        <v>0.1</v>
      </c>
      <c r="BZ317" s="259">
        <v>0.1</v>
      </c>
      <c r="CA317" s="259">
        <v>0.1</v>
      </c>
      <c r="CB317" s="259">
        <v>0.1</v>
      </c>
      <c r="CC317" s="259">
        <v>0.1</v>
      </c>
      <c r="CD317" s="259">
        <v>0.1</v>
      </c>
      <c r="CE317" s="259">
        <v>0.1</v>
      </c>
      <c r="CF317" s="259">
        <v>0.1</v>
      </c>
      <c r="CG317" s="259">
        <v>0.1</v>
      </c>
      <c r="CH317" s="259">
        <v>0.1</v>
      </c>
      <c r="CI317" s="259">
        <v>0.1</v>
      </c>
      <c r="CJ317" s="259">
        <v>0.1</v>
      </c>
      <c r="CK317" s="259">
        <v>0.1</v>
      </c>
      <c r="CL317" s="259">
        <v>0.1</v>
      </c>
      <c r="CM317" s="259">
        <v>0.1</v>
      </c>
      <c r="CN317" s="259">
        <v>0.1</v>
      </c>
      <c r="CO317" s="259">
        <v>0.1</v>
      </c>
      <c r="CP317" s="259">
        <v>0.1</v>
      </c>
      <c r="CQ317" s="259">
        <v>0.1</v>
      </c>
      <c r="CR317" s="259">
        <v>0.1</v>
      </c>
      <c r="CS317" s="259">
        <v>0.1</v>
      </c>
      <c r="CT317" s="259">
        <v>0.1</v>
      </c>
      <c r="CU317" s="259">
        <v>0.1</v>
      </c>
      <c r="CV317" s="259">
        <v>0.1</v>
      </c>
      <c r="CW317" s="259">
        <v>0.1</v>
      </c>
      <c r="CX317" s="259">
        <v>0.1</v>
      </c>
      <c r="CY317" s="259">
        <v>0.1</v>
      </c>
      <c r="CZ317" s="259">
        <v>0.1</v>
      </c>
      <c r="DA317" s="259">
        <v>0.1</v>
      </c>
      <c r="DB317" s="260">
        <v>0.1</v>
      </c>
      <c r="DC317" s="258">
        <v>0.1</v>
      </c>
      <c r="DD317" s="259">
        <v>0.1</v>
      </c>
      <c r="DE317" s="259">
        <v>0.1</v>
      </c>
      <c r="DF317" s="259">
        <v>0.1</v>
      </c>
      <c r="DG317" s="259">
        <v>0.1</v>
      </c>
      <c r="DH317" s="259">
        <v>0.1</v>
      </c>
      <c r="DI317" s="259">
        <v>0.1</v>
      </c>
      <c r="DJ317" s="259">
        <v>0.1</v>
      </c>
      <c r="DK317" s="259">
        <v>0.1</v>
      </c>
      <c r="DL317" s="259">
        <v>0.1</v>
      </c>
      <c r="DM317" s="259">
        <v>0.1</v>
      </c>
      <c r="DN317" s="259">
        <v>0.1</v>
      </c>
      <c r="DO317" s="259">
        <v>0.1</v>
      </c>
      <c r="DP317" s="259">
        <v>0.1</v>
      </c>
      <c r="DQ317" s="259">
        <v>0.1</v>
      </c>
      <c r="DR317" s="259">
        <v>0.1</v>
      </c>
      <c r="DS317" s="259">
        <v>0.1</v>
      </c>
      <c r="DT317" s="259">
        <v>0.1</v>
      </c>
      <c r="DU317" s="259">
        <v>0.1</v>
      </c>
      <c r="DV317" s="259">
        <v>0.1</v>
      </c>
      <c r="DW317" s="259">
        <v>0.1</v>
      </c>
      <c r="DX317" s="259">
        <v>0.1</v>
      </c>
      <c r="DY317" s="259">
        <v>0.1</v>
      </c>
      <c r="DZ317" s="259">
        <v>0.1</v>
      </c>
      <c r="EA317" s="259">
        <v>0.1</v>
      </c>
      <c r="EB317" s="259">
        <v>0.1</v>
      </c>
      <c r="EC317" s="259">
        <v>0.1</v>
      </c>
      <c r="ED317" s="259">
        <v>0.1</v>
      </c>
      <c r="EE317" s="259">
        <v>0.1</v>
      </c>
      <c r="EF317" s="260">
        <v>0.1</v>
      </c>
    </row>
    <row r="318" spans="71:136" ht="15.75" thickBot="1" x14ac:dyDescent="0.3">
      <c r="BS318">
        <v>315</v>
      </c>
      <c r="BT318" s="270">
        <v>2.96</v>
      </c>
      <c r="BU318" s="271">
        <v>2.94</v>
      </c>
      <c r="BV318" s="2"/>
      <c r="BW318" s="2"/>
      <c r="BX318" s="2"/>
      <c r="BY318" s="258">
        <v>0.1</v>
      </c>
      <c r="BZ318" s="259">
        <v>0.1</v>
      </c>
      <c r="CA318" s="259">
        <v>0.1</v>
      </c>
      <c r="CB318" s="259">
        <v>0.1</v>
      </c>
      <c r="CC318" s="259">
        <v>0.1</v>
      </c>
      <c r="CD318" s="259">
        <v>0.1</v>
      </c>
      <c r="CE318" s="259">
        <v>0.1</v>
      </c>
      <c r="CF318" s="259">
        <v>0.1</v>
      </c>
      <c r="CG318" s="259">
        <v>0.1</v>
      </c>
      <c r="CH318" s="259">
        <v>0.1</v>
      </c>
      <c r="CI318" s="259">
        <v>0.1</v>
      </c>
      <c r="CJ318" s="259">
        <v>0.1</v>
      </c>
      <c r="CK318" s="259">
        <v>0.1</v>
      </c>
      <c r="CL318" s="259">
        <v>0.1</v>
      </c>
      <c r="CM318" s="259">
        <v>0.1</v>
      </c>
      <c r="CN318" s="259">
        <v>0.1</v>
      </c>
      <c r="CO318" s="259">
        <v>0.1</v>
      </c>
      <c r="CP318" s="259">
        <v>0.1</v>
      </c>
      <c r="CQ318" s="259">
        <v>0.1</v>
      </c>
      <c r="CR318" s="259">
        <v>0.1</v>
      </c>
      <c r="CS318" s="259">
        <v>0.1</v>
      </c>
      <c r="CT318" s="259">
        <v>0.1</v>
      </c>
      <c r="CU318" s="259">
        <v>0.1</v>
      </c>
      <c r="CV318" s="259">
        <v>0.1</v>
      </c>
      <c r="CW318" s="259">
        <v>0.1</v>
      </c>
      <c r="CX318" s="259">
        <v>0.1</v>
      </c>
      <c r="CY318" s="259">
        <v>0.1</v>
      </c>
      <c r="CZ318" s="259">
        <v>0.1</v>
      </c>
      <c r="DA318" s="259">
        <v>0.1</v>
      </c>
      <c r="DB318" s="260">
        <v>0.1</v>
      </c>
      <c r="DC318" s="258">
        <v>0.1</v>
      </c>
      <c r="DD318" s="259">
        <v>0.1</v>
      </c>
      <c r="DE318" s="259">
        <v>0.1</v>
      </c>
      <c r="DF318" s="259">
        <v>0.1</v>
      </c>
      <c r="DG318" s="259">
        <v>0.1</v>
      </c>
      <c r="DH318" s="259">
        <v>0.1</v>
      </c>
      <c r="DI318" s="259">
        <v>0.1</v>
      </c>
      <c r="DJ318" s="259">
        <v>0.1</v>
      </c>
      <c r="DK318" s="259">
        <v>0.1</v>
      </c>
      <c r="DL318" s="259">
        <v>0.1</v>
      </c>
      <c r="DM318" s="259">
        <v>0.1</v>
      </c>
      <c r="DN318" s="259">
        <v>0.1</v>
      </c>
      <c r="DO318" s="259">
        <v>0.1</v>
      </c>
      <c r="DP318" s="259">
        <v>0.1</v>
      </c>
      <c r="DQ318" s="259">
        <v>0.1</v>
      </c>
      <c r="DR318" s="259">
        <v>0.1</v>
      </c>
      <c r="DS318" s="259">
        <v>0.1</v>
      </c>
      <c r="DT318" s="259">
        <v>0.1</v>
      </c>
      <c r="DU318" s="259">
        <v>0.1</v>
      </c>
      <c r="DV318" s="259">
        <v>0.1</v>
      </c>
      <c r="DW318" s="259">
        <v>0.1</v>
      </c>
      <c r="DX318" s="259">
        <v>0.1</v>
      </c>
      <c r="DY318" s="259">
        <v>0.1</v>
      </c>
      <c r="DZ318" s="259">
        <v>0.1</v>
      </c>
      <c r="EA318" s="259">
        <v>0.1</v>
      </c>
      <c r="EB318" s="259">
        <v>0.1</v>
      </c>
      <c r="EC318" s="259">
        <v>0.1</v>
      </c>
      <c r="ED318" s="259">
        <v>0.1</v>
      </c>
      <c r="EE318" s="259">
        <v>0.1</v>
      </c>
      <c r="EF318" s="260">
        <v>0.1</v>
      </c>
    </row>
    <row r="319" spans="71:136" ht="15.75" thickBot="1" x14ac:dyDescent="0.3">
      <c r="BS319">
        <v>316</v>
      </c>
      <c r="BT319" s="270">
        <v>2.96</v>
      </c>
      <c r="BU319" s="270">
        <v>2.93</v>
      </c>
      <c r="BV319" s="2"/>
      <c r="BW319" s="2"/>
      <c r="BX319" s="2"/>
      <c r="BY319" s="258">
        <v>0.1</v>
      </c>
      <c r="BZ319" s="259">
        <v>0.1</v>
      </c>
      <c r="CA319" s="259">
        <v>0.1</v>
      </c>
      <c r="CB319" s="259">
        <v>0.1</v>
      </c>
      <c r="CC319" s="259">
        <v>0.1</v>
      </c>
      <c r="CD319" s="259">
        <v>0.1</v>
      </c>
      <c r="CE319" s="259">
        <v>0.1</v>
      </c>
      <c r="CF319" s="259">
        <v>0.1</v>
      </c>
      <c r="CG319" s="259">
        <v>0.1</v>
      </c>
      <c r="CH319" s="259">
        <v>0.1</v>
      </c>
      <c r="CI319" s="259">
        <v>0.1</v>
      </c>
      <c r="CJ319" s="259">
        <v>0.1</v>
      </c>
      <c r="CK319" s="259">
        <v>0.1</v>
      </c>
      <c r="CL319" s="259">
        <v>0.1</v>
      </c>
      <c r="CM319" s="259">
        <v>0.1</v>
      </c>
      <c r="CN319" s="259">
        <v>0.1</v>
      </c>
      <c r="CO319" s="259">
        <v>0.1</v>
      </c>
      <c r="CP319" s="259">
        <v>0.1</v>
      </c>
      <c r="CQ319" s="259">
        <v>0.1</v>
      </c>
      <c r="CR319" s="259">
        <v>0.1</v>
      </c>
      <c r="CS319" s="259">
        <v>0.1</v>
      </c>
      <c r="CT319" s="259">
        <v>0.1</v>
      </c>
      <c r="CU319" s="259">
        <v>0.1</v>
      </c>
      <c r="CV319" s="259">
        <v>0.1</v>
      </c>
      <c r="CW319" s="259">
        <v>0.1</v>
      </c>
      <c r="CX319" s="259">
        <v>0.1</v>
      </c>
      <c r="CY319" s="259">
        <v>0.1</v>
      </c>
      <c r="CZ319" s="259">
        <v>0.1</v>
      </c>
      <c r="DA319" s="259">
        <v>0.1</v>
      </c>
      <c r="DB319" s="260">
        <v>0.1</v>
      </c>
      <c r="DC319" s="258">
        <v>0.1</v>
      </c>
      <c r="DD319" s="259">
        <v>0.1</v>
      </c>
      <c r="DE319" s="259">
        <v>0.1</v>
      </c>
      <c r="DF319" s="259">
        <v>0.1</v>
      </c>
      <c r="DG319" s="259">
        <v>0.1</v>
      </c>
      <c r="DH319" s="259">
        <v>0.1</v>
      </c>
      <c r="DI319" s="259">
        <v>0.1</v>
      </c>
      <c r="DJ319" s="259">
        <v>0.1</v>
      </c>
      <c r="DK319" s="259">
        <v>0.1</v>
      </c>
      <c r="DL319" s="259">
        <v>0.1</v>
      </c>
      <c r="DM319" s="259">
        <v>0.1</v>
      </c>
      <c r="DN319" s="259">
        <v>0.1</v>
      </c>
      <c r="DO319" s="259">
        <v>0.1</v>
      </c>
      <c r="DP319" s="259">
        <v>0.1</v>
      </c>
      <c r="DQ319" s="259">
        <v>0.1</v>
      </c>
      <c r="DR319" s="259">
        <v>0.1</v>
      </c>
      <c r="DS319" s="259">
        <v>0.1</v>
      </c>
      <c r="DT319" s="259">
        <v>0.1</v>
      </c>
      <c r="DU319" s="259">
        <v>0.1</v>
      </c>
      <c r="DV319" s="259">
        <v>0.1</v>
      </c>
      <c r="DW319" s="259">
        <v>0.1</v>
      </c>
      <c r="DX319" s="259">
        <v>0.1</v>
      </c>
      <c r="DY319" s="259">
        <v>0.1</v>
      </c>
      <c r="DZ319" s="259">
        <v>0.1</v>
      </c>
      <c r="EA319" s="259">
        <v>0.1</v>
      </c>
      <c r="EB319" s="259">
        <v>0.1</v>
      </c>
      <c r="EC319" s="259">
        <v>0.1</v>
      </c>
      <c r="ED319" s="259">
        <v>0.1</v>
      </c>
      <c r="EE319" s="259">
        <v>0.1</v>
      </c>
      <c r="EF319" s="260">
        <v>0.1</v>
      </c>
    </row>
    <row r="320" spans="71:136" ht="15.75" thickBot="1" x14ac:dyDescent="0.3">
      <c r="BS320">
        <v>317</v>
      </c>
      <c r="BT320" s="271">
        <v>2.96</v>
      </c>
      <c r="BU320" s="271">
        <v>2.93</v>
      </c>
      <c r="BV320" s="2"/>
      <c r="BW320" s="2"/>
      <c r="BX320" s="2"/>
      <c r="BY320" s="258">
        <v>0.1</v>
      </c>
      <c r="BZ320" s="259">
        <v>0.1</v>
      </c>
      <c r="CA320" s="259">
        <v>0.1</v>
      </c>
      <c r="CB320" s="259">
        <v>0.1</v>
      </c>
      <c r="CC320" s="259">
        <v>0.1</v>
      </c>
      <c r="CD320" s="259">
        <v>0.1</v>
      </c>
      <c r="CE320" s="259">
        <v>0.1</v>
      </c>
      <c r="CF320" s="259">
        <v>0.1</v>
      </c>
      <c r="CG320" s="259">
        <v>0.1</v>
      </c>
      <c r="CH320" s="259">
        <v>0.1</v>
      </c>
      <c r="CI320" s="259">
        <v>0.1</v>
      </c>
      <c r="CJ320" s="259">
        <v>0.1</v>
      </c>
      <c r="CK320" s="259">
        <v>0.1</v>
      </c>
      <c r="CL320" s="259">
        <v>0.1</v>
      </c>
      <c r="CM320" s="259">
        <v>0.1</v>
      </c>
      <c r="CN320" s="259">
        <v>0.1</v>
      </c>
      <c r="CO320" s="259">
        <v>0.1</v>
      </c>
      <c r="CP320" s="259">
        <v>0.1</v>
      </c>
      <c r="CQ320" s="259">
        <v>0.1</v>
      </c>
      <c r="CR320" s="259">
        <v>0.1</v>
      </c>
      <c r="CS320" s="259">
        <v>0.1</v>
      </c>
      <c r="CT320" s="259">
        <v>0.1</v>
      </c>
      <c r="CU320" s="259">
        <v>0.1</v>
      </c>
      <c r="CV320" s="259">
        <v>0.1</v>
      </c>
      <c r="CW320" s="259">
        <v>0.1</v>
      </c>
      <c r="CX320" s="259">
        <v>0.1</v>
      </c>
      <c r="CY320" s="259">
        <v>0.1</v>
      </c>
      <c r="CZ320" s="259">
        <v>0.1</v>
      </c>
      <c r="DA320" s="259">
        <v>0.1</v>
      </c>
      <c r="DB320" s="260">
        <v>0.1</v>
      </c>
      <c r="DC320" s="258">
        <v>0.1</v>
      </c>
      <c r="DD320" s="259">
        <v>0.1</v>
      </c>
      <c r="DE320" s="259">
        <v>0.1</v>
      </c>
      <c r="DF320" s="259">
        <v>0.1</v>
      </c>
      <c r="DG320" s="259">
        <v>0.1</v>
      </c>
      <c r="DH320" s="259">
        <v>0.1</v>
      </c>
      <c r="DI320" s="259">
        <v>0.1</v>
      </c>
      <c r="DJ320" s="259">
        <v>0.1</v>
      </c>
      <c r="DK320" s="259">
        <v>0.1</v>
      </c>
      <c r="DL320" s="259">
        <v>0.1</v>
      </c>
      <c r="DM320" s="259">
        <v>0.1</v>
      </c>
      <c r="DN320" s="259">
        <v>0.1</v>
      </c>
      <c r="DO320" s="259">
        <v>0.1</v>
      </c>
      <c r="DP320" s="259">
        <v>0.1</v>
      </c>
      <c r="DQ320" s="259">
        <v>0.1</v>
      </c>
      <c r="DR320" s="259">
        <v>0.1</v>
      </c>
      <c r="DS320" s="259">
        <v>0.1</v>
      </c>
      <c r="DT320" s="259">
        <v>0.1</v>
      </c>
      <c r="DU320" s="259">
        <v>0.1</v>
      </c>
      <c r="DV320" s="259">
        <v>0.1</v>
      </c>
      <c r="DW320" s="259">
        <v>0.1</v>
      </c>
      <c r="DX320" s="259">
        <v>0.1</v>
      </c>
      <c r="DY320" s="259">
        <v>0.1</v>
      </c>
      <c r="DZ320" s="259">
        <v>0.1</v>
      </c>
      <c r="EA320" s="259">
        <v>0.1</v>
      </c>
      <c r="EB320" s="259">
        <v>0.1</v>
      </c>
      <c r="EC320" s="259">
        <v>0.1</v>
      </c>
      <c r="ED320" s="259">
        <v>0.1</v>
      </c>
      <c r="EE320" s="259">
        <v>0.1</v>
      </c>
      <c r="EF320" s="260">
        <v>0.1</v>
      </c>
    </row>
    <row r="321" spans="71:137" ht="15.75" thickBot="1" x14ac:dyDescent="0.3">
      <c r="BS321">
        <v>318</v>
      </c>
      <c r="BT321" s="270">
        <v>2.96</v>
      </c>
      <c r="BU321" s="270">
        <v>2.93</v>
      </c>
      <c r="BV321" s="2"/>
      <c r="BW321" s="2"/>
      <c r="BX321" s="2"/>
      <c r="BY321" s="258">
        <v>0.1</v>
      </c>
      <c r="BZ321" s="259">
        <v>0.1</v>
      </c>
      <c r="CA321" s="259">
        <v>0.1</v>
      </c>
      <c r="CB321" s="259">
        <v>0.1</v>
      </c>
      <c r="CC321" s="259">
        <v>0.1</v>
      </c>
      <c r="CD321" s="259">
        <v>0.1</v>
      </c>
      <c r="CE321" s="259">
        <v>0.1</v>
      </c>
      <c r="CF321" s="259">
        <v>0.1</v>
      </c>
      <c r="CG321" s="259">
        <v>0.1</v>
      </c>
      <c r="CH321" s="259">
        <v>0.1</v>
      </c>
      <c r="CI321" s="259">
        <v>0.1</v>
      </c>
      <c r="CJ321" s="259">
        <v>0.1</v>
      </c>
      <c r="CK321" s="259">
        <v>0.1</v>
      </c>
      <c r="CL321" s="259">
        <v>0.1</v>
      </c>
      <c r="CM321" s="259">
        <v>0.1</v>
      </c>
      <c r="CN321" s="259">
        <v>0.1</v>
      </c>
      <c r="CO321" s="259">
        <v>0.1</v>
      </c>
      <c r="CP321" s="259">
        <v>0.1</v>
      </c>
      <c r="CQ321" s="259">
        <v>0.1</v>
      </c>
      <c r="CR321" s="259">
        <v>0.1</v>
      </c>
      <c r="CS321" s="259">
        <v>0.1</v>
      </c>
      <c r="CT321" s="259">
        <v>0.1</v>
      </c>
      <c r="CU321" s="259">
        <v>0.1</v>
      </c>
      <c r="CV321" s="259">
        <v>0.1</v>
      </c>
      <c r="CW321" s="259">
        <v>0.1</v>
      </c>
      <c r="CX321" s="259">
        <v>0.1</v>
      </c>
      <c r="CY321" s="259">
        <v>0.1</v>
      </c>
      <c r="CZ321" s="259">
        <v>0.1</v>
      </c>
      <c r="DA321" s="259">
        <v>0.1</v>
      </c>
      <c r="DB321" s="260">
        <v>0.1</v>
      </c>
      <c r="DC321" s="258">
        <v>0.1</v>
      </c>
      <c r="DD321" s="259">
        <v>0.1</v>
      </c>
      <c r="DE321" s="259">
        <v>0.1</v>
      </c>
      <c r="DF321" s="259">
        <v>0.1</v>
      </c>
      <c r="DG321" s="259">
        <v>0.1</v>
      </c>
      <c r="DH321" s="259">
        <v>0.1</v>
      </c>
      <c r="DI321" s="259">
        <v>0.1</v>
      </c>
      <c r="DJ321" s="259">
        <v>0.1</v>
      </c>
      <c r="DK321" s="259">
        <v>0.1</v>
      </c>
      <c r="DL321" s="259">
        <v>0.1</v>
      </c>
      <c r="DM321" s="259">
        <v>0.1</v>
      </c>
      <c r="DN321" s="259">
        <v>0.1</v>
      </c>
      <c r="DO321" s="259">
        <v>0.1</v>
      </c>
      <c r="DP321" s="259">
        <v>0.1</v>
      </c>
      <c r="DQ321" s="259">
        <v>0.1</v>
      </c>
      <c r="DR321" s="259">
        <v>0.1</v>
      </c>
      <c r="DS321" s="259">
        <v>0.1</v>
      </c>
      <c r="DT321" s="259">
        <v>0.1</v>
      </c>
      <c r="DU321" s="259">
        <v>0.1</v>
      </c>
      <c r="DV321" s="259">
        <v>0.1</v>
      </c>
      <c r="DW321" s="259">
        <v>0.1</v>
      </c>
      <c r="DX321" s="259">
        <v>0.1</v>
      </c>
      <c r="DY321" s="259">
        <v>0.1</v>
      </c>
      <c r="DZ321" s="259">
        <v>0.1</v>
      </c>
      <c r="EA321" s="259">
        <v>0.1</v>
      </c>
      <c r="EB321" s="259">
        <v>0.1</v>
      </c>
      <c r="EC321" s="259">
        <v>0.1</v>
      </c>
      <c r="ED321" s="259">
        <v>0.1</v>
      </c>
      <c r="EE321" s="259">
        <v>0.1</v>
      </c>
      <c r="EF321" s="260">
        <v>0.1</v>
      </c>
    </row>
    <row r="322" spans="71:137" ht="15.75" thickBot="1" x14ac:dyDescent="0.3">
      <c r="BS322">
        <v>319</v>
      </c>
      <c r="BT322" s="271">
        <v>2.96</v>
      </c>
      <c r="BU322" s="271">
        <v>2.93</v>
      </c>
      <c r="BV322" s="2"/>
      <c r="BW322" s="2"/>
      <c r="BX322" s="2"/>
      <c r="BY322" s="258">
        <v>0.1</v>
      </c>
      <c r="BZ322" s="259">
        <v>0.1</v>
      </c>
      <c r="CA322" s="259">
        <v>0.1</v>
      </c>
      <c r="CB322" s="259">
        <v>0.1</v>
      </c>
      <c r="CC322" s="259">
        <v>0.1</v>
      </c>
      <c r="CD322" s="259">
        <v>0.1</v>
      </c>
      <c r="CE322" s="259">
        <v>0.1</v>
      </c>
      <c r="CF322" s="259">
        <v>0.1</v>
      </c>
      <c r="CG322" s="259">
        <v>0.1</v>
      </c>
      <c r="CH322" s="259">
        <v>0.1</v>
      </c>
      <c r="CI322" s="259">
        <v>0.1</v>
      </c>
      <c r="CJ322" s="259">
        <v>0.1</v>
      </c>
      <c r="CK322" s="259">
        <v>0.1</v>
      </c>
      <c r="CL322" s="259">
        <v>0.1</v>
      </c>
      <c r="CM322" s="259">
        <v>0.1</v>
      </c>
      <c r="CN322" s="259">
        <v>0.1</v>
      </c>
      <c r="CO322" s="259">
        <v>0.1</v>
      </c>
      <c r="CP322" s="259">
        <v>0.1</v>
      </c>
      <c r="CQ322" s="259">
        <v>0.1</v>
      </c>
      <c r="CR322" s="259">
        <v>0.1</v>
      </c>
      <c r="CS322" s="259">
        <v>0.1</v>
      </c>
      <c r="CT322" s="259">
        <v>0.1</v>
      </c>
      <c r="CU322" s="259">
        <v>0.1</v>
      </c>
      <c r="CV322" s="259">
        <v>0.1</v>
      </c>
      <c r="CW322" s="259">
        <v>0.1</v>
      </c>
      <c r="CX322" s="259">
        <v>0.1</v>
      </c>
      <c r="CY322" s="259">
        <v>0.1</v>
      </c>
      <c r="CZ322" s="259">
        <v>0.1</v>
      </c>
      <c r="DA322" s="259">
        <v>0.1</v>
      </c>
      <c r="DB322" s="260">
        <v>0.1</v>
      </c>
      <c r="DC322" s="258">
        <v>0.1</v>
      </c>
      <c r="DD322" s="259">
        <v>0.1</v>
      </c>
      <c r="DE322" s="259">
        <v>0.1</v>
      </c>
      <c r="DF322" s="259">
        <v>0.1</v>
      </c>
      <c r="DG322" s="259">
        <v>0.1</v>
      </c>
      <c r="DH322" s="259">
        <v>0.1</v>
      </c>
      <c r="DI322" s="259">
        <v>0.1</v>
      </c>
      <c r="DJ322" s="259">
        <v>0.1</v>
      </c>
      <c r="DK322" s="259">
        <v>0.1</v>
      </c>
      <c r="DL322" s="259">
        <v>0.1</v>
      </c>
      <c r="DM322" s="259">
        <v>0.1</v>
      </c>
      <c r="DN322" s="259">
        <v>0.1</v>
      </c>
      <c r="DO322" s="259">
        <v>0.1</v>
      </c>
      <c r="DP322" s="259">
        <v>0.1</v>
      </c>
      <c r="DQ322" s="259">
        <v>0.1</v>
      </c>
      <c r="DR322" s="259">
        <v>0.1</v>
      </c>
      <c r="DS322" s="259">
        <v>0.1</v>
      </c>
      <c r="DT322" s="259">
        <v>0.1</v>
      </c>
      <c r="DU322" s="259">
        <v>0.1</v>
      </c>
      <c r="DV322" s="259">
        <v>0.1</v>
      </c>
      <c r="DW322" s="259">
        <v>0.1</v>
      </c>
      <c r="DX322" s="259">
        <v>0.1</v>
      </c>
      <c r="DY322" s="259">
        <v>0.1</v>
      </c>
      <c r="DZ322" s="259">
        <v>0.1</v>
      </c>
      <c r="EA322" s="259">
        <v>0.1</v>
      </c>
      <c r="EB322" s="259">
        <v>0.1</v>
      </c>
      <c r="EC322" s="259">
        <v>0.1</v>
      </c>
      <c r="ED322" s="259">
        <v>0.1</v>
      </c>
      <c r="EE322" s="259">
        <v>0.1</v>
      </c>
      <c r="EF322" s="260">
        <v>0.1</v>
      </c>
    </row>
    <row r="323" spans="71:137" ht="15.75" thickBot="1" x14ac:dyDescent="0.3">
      <c r="BS323">
        <v>320</v>
      </c>
      <c r="BT323" s="270">
        <v>2.96</v>
      </c>
      <c r="BU323" s="270">
        <v>2.91</v>
      </c>
      <c r="BV323" s="2"/>
      <c r="BW323" s="2"/>
      <c r="BX323" s="2"/>
      <c r="BY323" s="258">
        <v>0.1</v>
      </c>
      <c r="BZ323" s="259">
        <v>0.1</v>
      </c>
      <c r="CA323" s="259">
        <v>0.1</v>
      </c>
      <c r="CB323" s="259">
        <v>0.1</v>
      </c>
      <c r="CC323" s="259">
        <v>0.1</v>
      </c>
      <c r="CD323" s="259">
        <v>0.1</v>
      </c>
      <c r="CE323" s="259">
        <v>0.1</v>
      </c>
      <c r="CF323" s="259">
        <v>0.1</v>
      </c>
      <c r="CG323" s="259">
        <v>0.1</v>
      </c>
      <c r="CH323" s="259">
        <v>0.1</v>
      </c>
      <c r="CI323" s="259">
        <v>0.1</v>
      </c>
      <c r="CJ323" s="259">
        <v>0.1</v>
      </c>
      <c r="CK323" s="259">
        <v>0.1</v>
      </c>
      <c r="CL323" s="259">
        <v>0.1</v>
      </c>
      <c r="CM323" s="259">
        <v>0.1</v>
      </c>
      <c r="CN323" s="259">
        <v>0.1</v>
      </c>
      <c r="CO323" s="259">
        <v>0.1</v>
      </c>
      <c r="CP323" s="259">
        <v>0.1</v>
      </c>
      <c r="CQ323" s="259">
        <v>0.1</v>
      </c>
      <c r="CR323" s="259">
        <v>0.1</v>
      </c>
      <c r="CS323" s="259">
        <v>0.1</v>
      </c>
      <c r="CT323" s="259">
        <v>0.1</v>
      </c>
      <c r="CU323" s="259">
        <v>0.1</v>
      </c>
      <c r="CV323" s="259">
        <v>0.1</v>
      </c>
      <c r="CW323" s="259">
        <v>0.1</v>
      </c>
      <c r="CX323" s="259">
        <v>0.1</v>
      </c>
      <c r="CY323" s="259">
        <v>0.1</v>
      </c>
      <c r="CZ323" s="259">
        <v>0.1</v>
      </c>
      <c r="DA323" s="259">
        <v>0.1</v>
      </c>
      <c r="DB323" s="260">
        <v>0.1</v>
      </c>
      <c r="DC323" s="258">
        <v>0.1</v>
      </c>
      <c r="DD323" s="259">
        <v>0.1</v>
      </c>
      <c r="DE323" s="259">
        <v>0.1</v>
      </c>
      <c r="DF323" s="259">
        <v>0.1</v>
      </c>
      <c r="DG323" s="259">
        <v>0.1</v>
      </c>
      <c r="DH323" s="259">
        <v>0.1</v>
      </c>
      <c r="DI323" s="259">
        <v>0.1</v>
      </c>
      <c r="DJ323" s="259">
        <v>0.1</v>
      </c>
      <c r="DK323" s="259">
        <v>0.1</v>
      </c>
      <c r="DL323" s="259">
        <v>0.1</v>
      </c>
      <c r="DM323" s="259">
        <v>0.1</v>
      </c>
      <c r="DN323" s="259">
        <v>0.1</v>
      </c>
      <c r="DO323" s="259">
        <v>0.1</v>
      </c>
      <c r="DP323" s="259">
        <v>0.1</v>
      </c>
      <c r="DQ323" s="259">
        <v>0.1</v>
      </c>
      <c r="DR323" s="259">
        <v>0.1</v>
      </c>
      <c r="DS323" s="259">
        <v>0.1</v>
      </c>
      <c r="DT323" s="259">
        <v>0.1</v>
      </c>
      <c r="DU323" s="259">
        <v>0.1</v>
      </c>
      <c r="DV323" s="259">
        <v>0.1</v>
      </c>
      <c r="DW323" s="259">
        <v>0.1</v>
      </c>
      <c r="DX323" s="259">
        <v>0.1</v>
      </c>
      <c r="DY323" s="259">
        <v>0.1</v>
      </c>
      <c r="DZ323" s="259">
        <v>0.1</v>
      </c>
      <c r="EA323" s="259">
        <v>0.1</v>
      </c>
      <c r="EB323" s="259">
        <v>0.1</v>
      </c>
      <c r="EC323" s="259">
        <v>0.1</v>
      </c>
      <c r="ED323" s="259">
        <v>0.1</v>
      </c>
      <c r="EE323" s="259">
        <v>0.1</v>
      </c>
      <c r="EF323" s="260">
        <v>0.1</v>
      </c>
    </row>
    <row r="324" spans="71:137" ht="15.75" thickBot="1" x14ac:dyDescent="0.3">
      <c r="BS324">
        <v>321</v>
      </c>
      <c r="BT324" s="271">
        <v>2.96</v>
      </c>
      <c r="BU324" s="270">
        <v>2.96</v>
      </c>
      <c r="BV324" s="2"/>
      <c r="BW324" s="2"/>
      <c r="BX324" s="2"/>
      <c r="BY324" s="258">
        <v>0.1</v>
      </c>
      <c r="BZ324" s="259">
        <v>0.1</v>
      </c>
      <c r="CA324" s="259">
        <v>0.1</v>
      </c>
      <c r="CB324" s="259">
        <v>0.1</v>
      </c>
      <c r="CC324" s="259">
        <v>0.1</v>
      </c>
      <c r="CD324" s="259">
        <v>0.1</v>
      </c>
      <c r="CE324" s="259">
        <v>0.1</v>
      </c>
      <c r="CF324" s="259">
        <v>0.1</v>
      </c>
      <c r="CG324" s="259">
        <v>0.1</v>
      </c>
      <c r="CH324" s="259">
        <v>0.1</v>
      </c>
      <c r="CI324" s="259">
        <v>0.1</v>
      </c>
      <c r="CJ324" s="259">
        <v>0.1</v>
      </c>
      <c r="CK324" s="259">
        <v>0.1</v>
      </c>
      <c r="CL324" s="259">
        <v>0.1</v>
      </c>
      <c r="CM324" s="259">
        <v>0.1</v>
      </c>
      <c r="CN324" s="259">
        <v>0.1</v>
      </c>
      <c r="CO324" s="259">
        <v>0.1</v>
      </c>
      <c r="CP324" s="259">
        <v>0.1</v>
      </c>
      <c r="CQ324" s="259">
        <v>0.1</v>
      </c>
      <c r="CR324" s="259">
        <v>0.1</v>
      </c>
      <c r="CS324" s="259">
        <v>0.1</v>
      </c>
      <c r="CT324" s="259">
        <v>0.1</v>
      </c>
      <c r="CU324" s="259">
        <v>0.1</v>
      </c>
      <c r="CV324" s="259">
        <v>0.1</v>
      </c>
      <c r="CW324" s="259">
        <v>0.1</v>
      </c>
      <c r="CX324" s="259">
        <v>0.1</v>
      </c>
      <c r="CY324" s="259">
        <v>0.1</v>
      </c>
      <c r="CZ324" s="259">
        <v>0.1</v>
      </c>
      <c r="DA324" s="259">
        <v>0.1</v>
      </c>
      <c r="DB324" s="260">
        <v>0.1</v>
      </c>
      <c r="DC324" s="258">
        <v>0.1</v>
      </c>
      <c r="DD324" s="259">
        <v>0.1</v>
      </c>
      <c r="DE324" s="259">
        <v>0.1</v>
      </c>
      <c r="DF324" s="259">
        <v>0.1</v>
      </c>
      <c r="DG324" s="259">
        <v>0.1</v>
      </c>
      <c r="DH324" s="259">
        <v>0.1</v>
      </c>
      <c r="DI324" s="259">
        <v>0.1</v>
      </c>
      <c r="DJ324" s="259">
        <v>0.1</v>
      </c>
      <c r="DK324" s="259">
        <v>0.1</v>
      </c>
      <c r="DL324" s="259">
        <v>0.1</v>
      </c>
      <c r="DM324" s="259">
        <v>0.1</v>
      </c>
      <c r="DN324" s="259">
        <v>0.1</v>
      </c>
      <c r="DO324" s="259">
        <v>0.1</v>
      </c>
      <c r="DP324" s="259">
        <v>0.1</v>
      </c>
      <c r="DQ324" s="259">
        <v>0.1</v>
      </c>
      <c r="DR324" s="259">
        <v>0.1</v>
      </c>
      <c r="DS324" s="259">
        <v>0.1</v>
      </c>
      <c r="DT324" s="259">
        <v>0.1</v>
      </c>
      <c r="DU324" s="259">
        <v>0.1</v>
      </c>
      <c r="DV324" s="259">
        <v>0.1</v>
      </c>
      <c r="DW324" s="259">
        <v>0.1</v>
      </c>
      <c r="DX324" s="259">
        <v>0.1</v>
      </c>
      <c r="DY324" s="259">
        <v>0.1</v>
      </c>
      <c r="DZ324" s="259">
        <v>0.1</v>
      </c>
      <c r="EA324" s="259">
        <v>0.1</v>
      </c>
      <c r="EB324" s="259">
        <v>0.1</v>
      </c>
      <c r="EC324" s="259">
        <v>0.1</v>
      </c>
      <c r="ED324" s="259">
        <v>0.1</v>
      </c>
      <c r="EE324" s="259">
        <v>0.1</v>
      </c>
      <c r="EF324" s="260">
        <v>0.1</v>
      </c>
    </row>
    <row r="325" spans="71:137" ht="15.75" thickBot="1" x14ac:dyDescent="0.3">
      <c r="BS325">
        <v>322</v>
      </c>
      <c r="BT325" s="270">
        <v>2.61</v>
      </c>
      <c r="BU325" s="270">
        <v>2.67</v>
      </c>
      <c r="BV325" s="270">
        <v>0.5</v>
      </c>
      <c r="BW325" s="2"/>
      <c r="BX325" s="2"/>
      <c r="BY325" s="258">
        <v>0.1</v>
      </c>
      <c r="BZ325" s="259">
        <v>0.1</v>
      </c>
      <c r="CA325" s="259">
        <v>0.1</v>
      </c>
      <c r="CB325" s="259">
        <v>0.1</v>
      </c>
      <c r="CC325" s="259">
        <v>0.1</v>
      </c>
      <c r="CD325" s="259">
        <v>0.1</v>
      </c>
      <c r="CE325" s="259">
        <v>0.1</v>
      </c>
      <c r="CF325" s="259">
        <v>0.1</v>
      </c>
      <c r="CG325" s="259">
        <v>0.1</v>
      </c>
      <c r="CH325" s="259">
        <v>0.1</v>
      </c>
      <c r="CI325" s="259">
        <v>0.1</v>
      </c>
      <c r="CJ325" s="259">
        <v>0.1</v>
      </c>
      <c r="CK325" s="259">
        <v>0.1</v>
      </c>
      <c r="CL325" s="259">
        <v>0.1</v>
      </c>
      <c r="CM325" s="259">
        <v>0.1</v>
      </c>
      <c r="CN325" s="259">
        <v>0.1</v>
      </c>
      <c r="CO325" s="259">
        <v>0.1</v>
      </c>
      <c r="CP325" s="259">
        <v>0.1</v>
      </c>
      <c r="CQ325" s="259">
        <v>0.1</v>
      </c>
      <c r="CR325" s="259">
        <v>0.1</v>
      </c>
      <c r="CS325" s="259">
        <v>0.1</v>
      </c>
      <c r="CT325" s="259">
        <v>0.1</v>
      </c>
      <c r="CU325" s="259">
        <v>0.1</v>
      </c>
      <c r="CV325" s="259">
        <v>0.1</v>
      </c>
      <c r="CW325" s="259">
        <v>0.1</v>
      </c>
      <c r="CX325" s="259">
        <v>0.1</v>
      </c>
      <c r="CY325" s="260">
        <v>0.1</v>
      </c>
      <c r="CZ325" s="258">
        <v>0.1</v>
      </c>
      <c r="DA325" s="259">
        <v>0.1</v>
      </c>
      <c r="DB325" s="259">
        <v>0.1</v>
      </c>
      <c r="DC325" s="259">
        <v>0.1</v>
      </c>
      <c r="DD325" s="259">
        <v>0.1</v>
      </c>
      <c r="DE325" s="259">
        <v>0.1</v>
      </c>
      <c r="DF325" s="259">
        <v>0.1</v>
      </c>
      <c r="DG325" s="259">
        <v>0.1</v>
      </c>
      <c r="DH325" s="259">
        <v>0.1</v>
      </c>
      <c r="DI325" s="259">
        <v>0.1</v>
      </c>
      <c r="DJ325" s="259">
        <v>0.1</v>
      </c>
      <c r="DK325" s="259">
        <v>0.1</v>
      </c>
      <c r="DL325" s="259">
        <v>0.1</v>
      </c>
      <c r="DM325" s="259">
        <v>0.1</v>
      </c>
      <c r="DN325" s="259">
        <v>0.1</v>
      </c>
      <c r="DO325" s="259">
        <v>0.1</v>
      </c>
      <c r="DP325" s="259">
        <v>0.1</v>
      </c>
      <c r="DQ325" s="259">
        <v>0.1</v>
      </c>
      <c r="DR325" s="259">
        <v>0.1</v>
      </c>
      <c r="DS325" s="259">
        <v>0.1</v>
      </c>
      <c r="DT325" s="259">
        <v>0.1</v>
      </c>
      <c r="DU325" s="259">
        <v>0.1</v>
      </c>
      <c r="DV325" s="259">
        <v>0.1</v>
      </c>
      <c r="DW325" s="259">
        <v>0.1</v>
      </c>
      <c r="DX325" s="259">
        <v>0.1</v>
      </c>
      <c r="DY325" s="259">
        <v>0.1</v>
      </c>
      <c r="DZ325" s="260">
        <v>0.1</v>
      </c>
      <c r="EA325" s="258">
        <v>0.1</v>
      </c>
      <c r="EB325" s="259">
        <v>0.1</v>
      </c>
      <c r="EC325" s="259">
        <v>0.1</v>
      </c>
      <c r="ED325" s="259">
        <v>0.1</v>
      </c>
      <c r="EE325" s="260">
        <v>0.1</v>
      </c>
      <c r="EF325">
        <v>0.1</v>
      </c>
      <c r="EG325">
        <f t="shared" ref="EG325:EG336" si="18">SUM(EF325)</f>
        <v>0.1</v>
      </c>
    </row>
    <row r="326" spans="71:137" ht="15.75" thickBot="1" x14ac:dyDescent="0.3">
      <c r="BS326">
        <v>323</v>
      </c>
      <c r="BT326" s="271">
        <v>2.62</v>
      </c>
      <c r="BU326" s="271">
        <v>2.67</v>
      </c>
      <c r="BV326" s="271">
        <v>0.5</v>
      </c>
      <c r="BW326" s="2"/>
      <c r="BX326" s="2"/>
      <c r="BY326" s="258">
        <v>0.1</v>
      </c>
      <c r="BZ326" s="259">
        <v>0.1</v>
      </c>
      <c r="CA326" s="259">
        <v>0.1</v>
      </c>
      <c r="CB326" s="259">
        <v>0.1</v>
      </c>
      <c r="CC326" s="259">
        <v>0.1</v>
      </c>
      <c r="CD326" s="259">
        <v>0.1</v>
      </c>
      <c r="CE326" s="259">
        <v>0.1</v>
      </c>
      <c r="CF326" s="259">
        <v>0.1</v>
      </c>
      <c r="CG326" s="259">
        <v>0.1</v>
      </c>
      <c r="CH326" s="259">
        <v>0.1</v>
      </c>
      <c r="CI326" s="259">
        <v>0.1</v>
      </c>
      <c r="CJ326" s="259">
        <v>0.1</v>
      </c>
      <c r="CK326" s="259">
        <v>0.1</v>
      </c>
      <c r="CL326" s="259">
        <v>0.1</v>
      </c>
      <c r="CM326" s="259">
        <v>0.1</v>
      </c>
      <c r="CN326" s="259">
        <v>0.1</v>
      </c>
      <c r="CO326" s="259">
        <v>0.1</v>
      </c>
      <c r="CP326" s="259">
        <v>0.1</v>
      </c>
      <c r="CQ326" s="259">
        <v>0.1</v>
      </c>
      <c r="CR326" s="259">
        <v>0.1</v>
      </c>
      <c r="CS326" s="259">
        <v>0.1</v>
      </c>
      <c r="CT326" s="259">
        <v>0.1</v>
      </c>
      <c r="CU326" s="259">
        <v>0.1</v>
      </c>
      <c r="CV326" s="259">
        <v>0.1</v>
      </c>
      <c r="CW326" s="259">
        <v>0.1</v>
      </c>
      <c r="CX326" s="259">
        <v>0.1</v>
      </c>
      <c r="CY326" s="260">
        <v>0.1</v>
      </c>
      <c r="CZ326" s="258">
        <v>0.1</v>
      </c>
      <c r="DA326" s="259">
        <v>0.1</v>
      </c>
      <c r="DB326" s="259">
        <v>0.1</v>
      </c>
      <c r="DC326" s="259">
        <v>0.1</v>
      </c>
      <c r="DD326" s="259">
        <v>0.1</v>
      </c>
      <c r="DE326" s="259">
        <v>0.1</v>
      </c>
      <c r="DF326" s="259">
        <v>0.1</v>
      </c>
      <c r="DG326" s="259">
        <v>0.1</v>
      </c>
      <c r="DH326" s="259">
        <v>0.1</v>
      </c>
      <c r="DI326" s="259">
        <v>0.1</v>
      </c>
      <c r="DJ326" s="259">
        <v>0.1</v>
      </c>
      <c r="DK326" s="259">
        <v>0.1</v>
      </c>
      <c r="DL326" s="259">
        <v>0.1</v>
      </c>
      <c r="DM326" s="259">
        <v>0.1</v>
      </c>
      <c r="DN326" s="259">
        <v>0.1</v>
      </c>
      <c r="DO326" s="259">
        <v>0.1</v>
      </c>
      <c r="DP326" s="259">
        <v>0.1</v>
      </c>
      <c r="DQ326" s="259">
        <v>0.1</v>
      </c>
      <c r="DR326" s="259">
        <v>0.1</v>
      </c>
      <c r="DS326" s="259">
        <v>0.1</v>
      </c>
      <c r="DT326" s="259">
        <v>0.1</v>
      </c>
      <c r="DU326" s="259">
        <v>0.1</v>
      </c>
      <c r="DV326" s="259">
        <v>0.1</v>
      </c>
      <c r="DW326" s="259">
        <v>0.1</v>
      </c>
      <c r="DX326" s="259">
        <v>0.1</v>
      </c>
      <c r="DY326" s="259">
        <v>0.1</v>
      </c>
      <c r="DZ326" s="260">
        <v>0.1</v>
      </c>
      <c r="EA326" s="258">
        <v>0.1</v>
      </c>
      <c r="EB326" s="259">
        <v>0.1</v>
      </c>
      <c r="EC326" s="259">
        <v>0.1</v>
      </c>
      <c r="ED326" s="259">
        <v>0.1</v>
      </c>
      <c r="EE326" s="260">
        <v>0.1</v>
      </c>
      <c r="EF326">
        <v>0.1</v>
      </c>
      <c r="EG326">
        <f t="shared" si="18"/>
        <v>0.1</v>
      </c>
    </row>
    <row r="327" spans="71:137" ht="15.75" thickBot="1" x14ac:dyDescent="0.3">
      <c r="BS327">
        <v>324</v>
      </c>
      <c r="BT327" s="270">
        <v>2.62</v>
      </c>
      <c r="BU327" s="270">
        <v>2.68</v>
      </c>
      <c r="BV327" s="270">
        <v>0.5</v>
      </c>
      <c r="BW327" s="2"/>
      <c r="BX327" s="2"/>
      <c r="BY327" s="258">
        <v>0.1</v>
      </c>
      <c r="BZ327" s="259">
        <v>0.1</v>
      </c>
      <c r="CA327" s="259">
        <v>0.1</v>
      </c>
      <c r="CB327" s="259">
        <v>0.1</v>
      </c>
      <c r="CC327" s="259">
        <v>0.1</v>
      </c>
      <c r="CD327" s="259">
        <v>0.1</v>
      </c>
      <c r="CE327" s="259">
        <v>0.1</v>
      </c>
      <c r="CF327" s="259">
        <v>0.1</v>
      </c>
      <c r="CG327" s="259">
        <v>0.1</v>
      </c>
      <c r="CH327" s="259">
        <v>0.1</v>
      </c>
      <c r="CI327" s="259">
        <v>0.1</v>
      </c>
      <c r="CJ327" s="259">
        <v>0.1</v>
      </c>
      <c r="CK327" s="259">
        <v>0.1</v>
      </c>
      <c r="CL327" s="259">
        <v>0.1</v>
      </c>
      <c r="CM327" s="259">
        <v>0.1</v>
      </c>
      <c r="CN327" s="259">
        <v>0.1</v>
      </c>
      <c r="CO327" s="259">
        <v>0.1</v>
      </c>
      <c r="CP327" s="259">
        <v>0.1</v>
      </c>
      <c r="CQ327" s="259">
        <v>0.1</v>
      </c>
      <c r="CR327" s="259">
        <v>0.1</v>
      </c>
      <c r="CS327" s="259">
        <v>0.1</v>
      </c>
      <c r="CT327" s="259">
        <v>0.1</v>
      </c>
      <c r="CU327" s="259">
        <v>0.1</v>
      </c>
      <c r="CV327" s="259">
        <v>0.1</v>
      </c>
      <c r="CW327" s="259">
        <v>0.1</v>
      </c>
      <c r="CX327" s="259">
        <v>0.1</v>
      </c>
      <c r="CY327" s="260">
        <v>0.1</v>
      </c>
      <c r="CZ327" s="258">
        <v>0.1</v>
      </c>
      <c r="DA327" s="259">
        <v>0.1</v>
      </c>
      <c r="DB327" s="259">
        <v>0.1</v>
      </c>
      <c r="DC327" s="259">
        <v>0.1</v>
      </c>
      <c r="DD327" s="259">
        <v>0.1</v>
      </c>
      <c r="DE327" s="259">
        <v>0.1</v>
      </c>
      <c r="DF327" s="259">
        <v>0.1</v>
      </c>
      <c r="DG327" s="259">
        <v>0.1</v>
      </c>
      <c r="DH327" s="259">
        <v>0.1</v>
      </c>
      <c r="DI327" s="259">
        <v>0.1</v>
      </c>
      <c r="DJ327" s="259">
        <v>0.1</v>
      </c>
      <c r="DK327" s="259">
        <v>0.1</v>
      </c>
      <c r="DL327" s="259">
        <v>0.1</v>
      </c>
      <c r="DM327" s="259">
        <v>0.1</v>
      </c>
      <c r="DN327" s="259">
        <v>0.1</v>
      </c>
      <c r="DO327" s="259">
        <v>0.1</v>
      </c>
      <c r="DP327" s="259">
        <v>0.1</v>
      </c>
      <c r="DQ327" s="259">
        <v>0.1</v>
      </c>
      <c r="DR327" s="259">
        <v>0.1</v>
      </c>
      <c r="DS327" s="259">
        <v>0.1</v>
      </c>
      <c r="DT327" s="259">
        <v>0.1</v>
      </c>
      <c r="DU327" s="259">
        <v>0.1</v>
      </c>
      <c r="DV327" s="259">
        <v>0.1</v>
      </c>
      <c r="DW327" s="259">
        <v>0.1</v>
      </c>
      <c r="DX327" s="259">
        <v>0.1</v>
      </c>
      <c r="DY327" s="259">
        <v>0.1</v>
      </c>
      <c r="DZ327" s="260">
        <v>0.1</v>
      </c>
      <c r="EA327" s="258">
        <v>0.1</v>
      </c>
      <c r="EB327" s="259">
        <v>0.1</v>
      </c>
      <c r="EC327" s="259">
        <v>0.1</v>
      </c>
      <c r="ED327" s="259">
        <v>0.1</v>
      </c>
      <c r="EE327" s="260">
        <v>0.1</v>
      </c>
      <c r="EF327">
        <v>0.1</v>
      </c>
      <c r="EG327">
        <f t="shared" si="18"/>
        <v>0.1</v>
      </c>
    </row>
    <row r="328" spans="71:137" ht="15.75" thickBot="1" x14ac:dyDescent="0.3">
      <c r="BS328">
        <v>325</v>
      </c>
      <c r="BT328" s="271">
        <v>2.63</v>
      </c>
      <c r="BU328" s="271">
        <v>2.68</v>
      </c>
      <c r="BV328" s="271">
        <v>0.5</v>
      </c>
      <c r="BW328" s="2"/>
      <c r="BX328" s="2"/>
      <c r="BY328" s="258">
        <v>0.1</v>
      </c>
      <c r="BZ328" s="259">
        <v>0.1</v>
      </c>
      <c r="CA328" s="259">
        <v>0.1</v>
      </c>
      <c r="CB328" s="259">
        <v>0.1</v>
      </c>
      <c r="CC328" s="259">
        <v>0.1</v>
      </c>
      <c r="CD328" s="259">
        <v>0.1</v>
      </c>
      <c r="CE328" s="259">
        <v>0.1</v>
      </c>
      <c r="CF328" s="259">
        <v>0.1</v>
      </c>
      <c r="CG328" s="259">
        <v>0.1</v>
      </c>
      <c r="CH328" s="259">
        <v>0.1</v>
      </c>
      <c r="CI328" s="259">
        <v>0.1</v>
      </c>
      <c r="CJ328" s="259">
        <v>0.1</v>
      </c>
      <c r="CK328" s="259">
        <v>0.1</v>
      </c>
      <c r="CL328" s="259">
        <v>0.1</v>
      </c>
      <c r="CM328" s="259">
        <v>0.1</v>
      </c>
      <c r="CN328" s="259">
        <v>0.1</v>
      </c>
      <c r="CO328" s="259">
        <v>0.1</v>
      </c>
      <c r="CP328" s="259">
        <v>0.1</v>
      </c>
      <c r="CQ328" s="259">
        <v>0.1</v>
      </c>
      <c r="CR328" s="259">
        <v>0.1</v>
      </c>
      <c r="CS328" s="259">
        <v>0.1</v>
      </c>
      <c r="CT328" s="259">
        <v>0.1</v>
      </c>
      <c r="CU328" s="259">
        <v>0.1</v>
      </c>
      <c r="CV328" s="259">
        <v>0.1</v>
      </c>
      <c r="CW328" s="259">
        <v>0.1</v>
      </c>
      <c r="CX328" s="259">
        <v>0.1</v>
      </c>
      <c r="CY328" s="260">
        <v>0.1</v>
      </c>
      <c r="CZ328" s="258">
        <v>0.1</v>
      </c>
      <c r="DA328" s="259">
        <v>0.1</v>
      </c>
      <c r="DB328" s="259">
        <v>0.1</v>
      </c>
      <c r="DC328" s="259">
        <v>0.1</v>
      </c>
      <c r="DD328" s="259">
        <v>0.1</v>
      </c>
      <c r="DE328" s="259">
        <v>0.1</v>
      </c>
      <c r="DF328" s="259">
        <v>0.1</v>
      </c>
      <c r="DG328" s="259">
        <v>0.1</v>
      </c>
      <c r="DH328" s="259">
        <v>0.1</v>
      </c>
      <c r="DI328" s="259">
        <v>0.1</v>
      </c>
      <c r="DJ328" s="259">
        <v>0.1</v>
      </c>
      <c r="DK328" s="259">
        <v>0.1</v>
      </c>
      <c r="DL328" s="259">
        <v>0.1</v>
      </c>
      <c r="DM328" s="259">
        <v>0.1</v>
      </c>
      <c r="DN328" s="259">
        <v>0.1</v>
      </c>
      <c r="DO328" s="259">
        <v>0.1</v>
      </c>
      <c r="DP328" s="259">
        <v>0.1</v>
      </c>
      <c r="DQ328" s="259">
        <v>0.1</v>
      </c>
      <c r="DR328" s="259">
        <v>0.1</v>
      </c>
      <c r="DS328" s="259">
        <v>0.1</v>
      </c>
      <c r="DT328" s="259">
        <v>0.1</v>
      </c>
      <c r="DU328" s="259">
        <v>0.1</v>
      </c>
      <c r="DV328" s="259">
        <v>0.1</v>
      </c>
      <c r="DW328" s="259">
        <v>0.1</v>
      </c>
      <c r="DX328" s="259">
        <v>0.1</v>
      </c>
      <c r="DY328" s="259">
        <v>0.1</v>
      </c>
      <c r="DZ328" s="260">
        <v>0.1</v>
      </c>
      <c r="EA328" s="258">
        <v>0.1</v>
      </c>
      <c r="EB328" s="259">
        <v>0.1</v>
      </c>
      <c r="EC328" s="259">
        <v>0.1</v>
      </c>
      <c r="ED328" s="259">
        <v>0.1</v>
      </c>
      <c r="EE328" s="260">
        <v>0.1</v>
      </c>
      <c r="EF328">
        <v>0.1</v>
      </c>
      <c r="EG328">
        <f t="shared" si="18"/>
        <v>0.1</v>
      </c>
    </row>
    <row r="329" spans="71:137" ht="15.75" thickBot="1" x14ac:dyDescent="0.3">
      <c r="BS329">
        <v>326</v>
      </c>
      <c r="BT329" s="270">
        <v>2.63</v>
      </c>
      <c r="BU329" s="270">
        <v>2.68</v>
      </c>
      <c r="BV329" s="270">
        <v>0.5</v>
      </c>
      <c r="BW329" s="2"/>
      <c r="BX329" s="2"/>
      <c r="BY329" s="258">
        <v>0.1</v>
      </c>
      <c r="BZ329" s="259">
        <v>0.1</v>
      </c>
      <c r="CA329" s="259">
        <v>0.1</v>
      </c>
      <c r="CB329" s="259">
        <v>0.1</v>
      </c>
      <c r="CC329" s="259">
        <v>0.1</v>
      </c>
      <c r="CD329" s="259">
        <v>0.1</v>
      </c>
      <c r="CE329" s="259">
        <v>0.1</v>
      </c>
      <c r="CF329" s="259">
        <v>0.1</v>
      </c>
      <c r="CG329" s="259">
        <v>0.1</v>
      </c>
      <c r="CH329" s="259">
        <v>0.1</v>
      </c>
      <c r="CI329" s="259">
        <v>0.1</v>
      </c>
      <c r="CJ329" s="259">
        <v>0.1</v>
      </c>
      <c r="CK329" s="259">
        <v>0.1</v>
      </c>
      <c r="CL329" s="259">
        <v>0.1</v>
      </c>
      <c r="CM329" s="259">
        <v>0.1</v>
      </c>
      <c r="CN329" s="259">
        <v>0.1</v>
      </c>
      <c r="CO329" s="259">
        <v>0.1</v>
      </c>
      <c r="CP329" s="259">
        <v>0.1</v>
      </c>
      <c r="CQ329" s="259">
        <v>0.1</v>
      </c>
      <c r="CR329" s="259">
        <v>0.1</v>
      </c>
      <c r="CS329" s="259">
        <v>0.1</v>
      </c>
      <c r="CT329" s="259">
        <v>0.1</v>
      </c>
      <c r="CU329" s="259">
        <v>0.1</v>
      </c>
      <c r="CV329" s="259">
        <v>0.1</v>
      </c>
      <c r="CW329" s="259">
        <v>0.1</v>
      </c>
      <c r="CX329" s="259">
        <v>0.1</v>
      </c>
      <c r="CY329" s="260">
        <v>0.1</v>
      </c>
      <c r="CZ329" s="258">
        <v>0.1</v>
      </c>
      <c r="DA329" s="259">
        <v>0.1</v>
      </c>
      <c r="DB329" s="259">
        <v>0.1</v>
      </c>
      <c r="DC329" s="259">
        <v>0.1</v>
      </c>
      <c r="DD329" s="259">
        <v>0.1</v>
      </c>
      <c r="DE329" s="259">
        <v>0.1</v>
      </c>
      <c r="DF329" s="259">
        <v>0.1</v>
      </c>
      <c r="DG329" s="259">
        <v>0.1</v>
      </c>
      <c r="DH329" s="259">
        <v>0.1</v>
      </c>
      <c r="DI329" s="259">
        <v>0.1</v>
      </c>
      <c r="DJ329" s="259">
        <v>0.1</v>
      </c>
      <c r="DK329" s="259">
        <v>0.1</v>
      </c>
      <c r="DL329" s="259">
        <v>0.1</v>
      </c>
      <c r="DM329" s="259">
        <v>0.1</v>
      </c>
      <c r="DN329" s="259">
        <v>0.1</v>
      </c>
      <c r="DO329" s="259">
        <v>0.1</v>
      </c>
      <c r="DP329" s="259">
        <v>0.1</v>
      </c>
      <c r="DQ329" s="259">
        <v>0.1</v>
      </c>
      <c r="DR329" s="259">
        <v>0.1</v>
      </c>
      <c r="DS329" s="259">
        <v>0.1</v>
      </c>
      <c r="DT329" s="259">
        <v>0.1</v>
      </c>
      <c r="DU329" s="259">
        <v>0.1</v>
      </c>
      <c r="DV329" s="259">
        <v>0.1</v>
      </c>
      <c r="DW329" s="259">
        <v>0.1</v>
      </c>
      <c r="DX329" s="259">
        <v>0.1</v>
      </c>
      <c r="DY329" s="259">
        <v>0.1</v>
      </c>
      <c r="DZ329" s="260">
        <v>0.1</v>
      </c>
      <c r="EA329" s="258">
        <v>0.1</v>
      </c>
      <c r="EB329" s="259">
        <v>0.1</v>
      </c>
      <c r="EC329" s="259">
        <v>0.1</v>
      </c>
      <c r="ED329" s="259">
        <v>0.1</v>
      </c>
      <c r="EE329" s="260">
        <v>0.1</v>
      </c>
      <c r="EF329">
        <v>0.1</v>
      </c>
      <c r="EG329">
        <f t="shared" si="18"/>
        <v>0.1</v>
      </c>
    </row>
    <row r="330" spans="71:137" ht="15.75" thickBot="1" x14ac:dyDescent="0.3">
      <c r="BS330">
        <v>327</v>
      </c>
      <c r="BT330" s="271">
        <v>2.63</v>
      </c>
      <c r="BU330" s="271">
        <v>2.68</v>
      </c>
      <c r="BV330" s="271">
        <v>0.5</v>
      </c>
      <c r="BW330" s="2"/>
      <c r="BX330" s="2"/>
      <c r="BY330" s="258">
        <v>0.1</v>
      </c>
      <c r="BZ330" s="259">
        <v>0.1</v>
      </c>
      <c r="CA330" s="259">
        <v>0.1</v>
      </c>
      <c r="CB330" s="259">
        <v>0.1</v>
      </c>
      <c r="CC330" s="259">
        <v>0.1</v>
      </c>
      <c r="CD330" s="259">
        <v>0.1</v>
      </c>
      <c r="CE330" s="259">
        <v>0.1</v>
      </c>
      <c r="CF330" s="259">
        <v>0.1</v>
      </c>
      <c r="CG330" s="259">
        <v>0.1</v>
      </c>
      <c r="CH330" s="259">
        <v>0.1</v>
      </c>
      <c r="CI330" s="259">
        <v>0.1</v>
      </c>
      <c r="CJ330" s="259">
        <v>0.1</v>
      </c>
      <c r="CK330" s="259">
        <v>0.1</v>
      </c>
      <c r="CL330" s="259">
        <v>0.1</v>
      </c>
      <c r="CM330" s="259">
        <v>0.1</v>
      </c>
      <c r="CN330" s="259">
        <v>0.1</v>
      </c>
      <c r="CO330" s="259">
        <v>0.1</v>
      </c>
      <c r="CP330" s="259">
        <v>0.1</v>
      </c>
      <c r="CQ330" s="259">
        <v>0.1</v>
      </c>
      <c r="CR330" s="259">
        <v>0.1</v>
      </c>
      <c r="CS330" s="259">
        <v>0.1</v>
      </c>
      <c r="CT330" s="259">
        <v>0.1</v>
      </c>
      <c r="CU330" s="259">
        <v>0.1</v>
      </c>
      <c r="CV330" s="259">
        <v>0.1</v>
      </c>
      <c r="CW330" s="259">
        <v>0.1</v>
      </c>
      <c r="CX330" s="259">
        <v>0.1</v>
      </c>
      <c r="CY330" s="260">
        <v>0.1</v>
      </c>
      <c r="CZ330" s="258">
        <v>0.1</v>
      </c>
      <c r="DA330" s="259">
        <v>0.1</v>
      </c>
      <c r="DB330" s="259">
        <v>0.1</v>
      </c>
      <c r="DC330" s="259">
        <v>0.1</v>
      </c>
      <c r="DD330" s="259">
        <v>0.1</v>
      </c>
      <c r="DE330" s="259">
        <v>0.1</v>
      </c>
      <c r="DF330" s="259">
        <v>0.1</v>
      </c>
      <c r="DG330" s="259">
        <v>0.1</v>
      </c>
      <c r="DH330" s="259">
        <v>0.1</v>
      </c>
      <c r="DI330" s="259">
        <v>0.1</v>
      </c>
      <c r="DJ330" s="259">
        <v>0.1</v>
      </c>
      <c r="DK330" s="259">
        <v>0.1</v>
      </c>
      <c r="DL330" s="259">
        <v>0.1</v>
      </c>
      <c r="DM330" s="259">
        <v>0.1</v>
      </c>
      <c r="DN330" s="259">
        <v>0.1</v>
      </c>
      <c r="DO330" s="259">
        <v>0.1</v>
      </c>
      <c r="DP330" s="259">
        <v>0.1</v>
      </c>
      <c r="DQ330" s="259">
        <v>0.1</v>
      </c>
      <c r="DR330" s="259">
        <v>0.1</v>
      </c>
      <c r="DS330" s="259">
        <v>0.1</v>
      </c>
      <c r="DT330" s="259">
        <v>0.1</v>
      </c>
      <c r="DU330" s="259">
        <v>0.1</v>
      </c>
      <c r="DV330" s="259">
        <v>0.1</v>
      </c>
      <c r="DW330" s="259">
        <v>0.1</v>
      </c>
      <c r="DX330" s="259">
        <v>0.1</v>
      </c>
      <c r="DY330" s="259">
        <v>0.1</v>
      </c>
      <c r="DZ330" s="260">
        <v>0.1</v>
      </c>
      <c r="EA330" s="258">
        <v>0.1</v>
      </c>
      <c r="EB330" s="259">
        <v>0.1</v>
      </c>
      <c r="EC330" s="259">
        <v>0.1</v>
      </c>
      <c r="ED330" s="259">
        <v>0.1</v>
      </c>
      <c r="EE330" s="260">
        <v>0.1</v>
      </c>
      <c r="EF330">
        <v>0.1</v>
      </c>
      <c r="EG330">
        <f t="shared" si="18"/>
        <v>0.1</v>
      </c>
    </row>
    <row r="331" spans="71:137" ht="15.75" thickBot="1" x14ac:dyDescent="0.3">
      <c r="BS331">
        <v>328</v>
      </c>
      <c r="BT331" s="270">
        <v>2.63</v>
      </c>
      <c r="BU331" s="270">
        <v>2.68</v>
      </c>
      <c r="BV331" s="270">
        <v>0.5</v>
      </c>
      <c r="BW331" s="2"/>
      <c r="BX331" s="2"/>
      <c r="BY331" s="258">
        <v>0.1</v>
      </c>
      <c r="BZ331" s="259">
        <v>0.1</v>
      </c>
      <c r="CA331" s="259">
        <v>0.1</v>
      </c>
      <c r="CB331" s="259">
        <v>0.1</v>
      </c>
      <c r="CC331" s="259">
        <v>0.1</v>
      </c>
      <c r="CD331" s="259">
        <v>0.1</v>
      </c>
      <c r="CE331" s="259">
        <v>0.1</v>
      </c>
      <c r="CF331" s="259">
        <v>0.1</v>
      </c>
      <c r="CG331" s="259">
        <v>0.1</v>
      </c>
      <c r="CH331" s="259">
        <v>0.1</v>
      </c>
      <c r="CI331" s="259">
        <v>0.1</v>
      </c>
      <c r="CJ331" s="259">
        <v>0.1</v>
      </c>
      <c r="CK331" s="259">
        <v>0.1</v>
      </c>
      <c r="CL331" s="259">
        <v>0.1</v>
      </c>
      <c r="CM331" s="259">
        <v>0.1</v>
      </c>
      <c r="CN331" s="259">
        <v>0.1</v>
      </c>
      <c r="CO331" s="259">
        <v>0.1</v>
      </c>
      <c r="CP331" s="259">
        <v>0.1</v>
      </c>
      <c r="CQ331" s="259">
        <v>0.1</v>
      </c>
      <c r="CR331" s="259">
        <v>0.1</v>
      </c>
      <c r="CS331" s="259">
        <v>0.1</v>
      </c>
      <c r="CT331" s="259">
        <v>0.1</v>
      </c>
      <c r="CU331" s="259">
        <v>0.1</v>
      </c>
      <c r="CV331" s="259">
        <v>0.1</v>
      </c>
      <c r="CW331" s="259">
        <v>0.1</v>
      </c>
      <c r="CX331" s="259">
        <v>0.1</v>
      </c>
      <c r="CY331" s="260">
        <v>0.1</v>
      </c>
      <c r="CZ331" s="258">
        <v>0.1</v>
      </c>
      <c r="DA331" s="259">
        <v>0.1</v>
      </c>
      <c r="DB331" s="259">
        <v>0.1</v>
      </c>
      <c r="DC331" s="259">
        <v>0.1</v>
      </c>
      <c r="DD331" s="259">
        <v>0.1</v>
      </c>
      <c r="DE331" s="259">
        <v>0.1</v>
      </c>
      <c r="DF331" s="259">
        <v>0.1</v>
      </c>
      <c r="DG331" s="259">
        <v>0.1</v>
      </c>
      <c r="DH331" s="259">
        <v>0.1</v>
      </c>
      <c r="DI331" s="259">
        <v>0.1</v>
      </c>
      <c r="DJ331" s="259">
        <v>0.1</v>
      </c>
      <c r="DK331" s="259">
        <v>0.1</v>
      </c>
      <c r="DL331" s="259">
        <v>0.1</v>
      </c>
      <c r="DM331" s="259">
        <v>0.1</v>
      </c>
      <c r="DN331" s="259">
        <v>0.1</v>
      </c>
      <c r="DO331" s="259">
        <v>0.1</v>
      </c>
      <c r="DP331" s="259">
        <v>0.1</v>
      </c>
      <c r="DQ331" s="259">
        <v>0.1</v>
      </c>
      <c r="DR331" s="259">
        <v>0.1</v>
      </c>
      <c r="DS331" s="259">
        <v>0.1</v>
      </c>
      <c r="DT331" s="259">
        <v>0.1</v>
      </c>
      <c r="DU331" s="259">
        <v>0.1</v>
      </c>
      <c r="DV331" s="259">
        <v>0.1</v>
      </c>
      <c r="DW331" s="259">
        <v>0.1</v>
      </c>
      <c r="DX331" s="259">
        <v>0.1</v>
      </c>
      <c r="DY331" s="259">
        <v>0.1</v>
      </c>
      <c r="DZ331" s="260">
        <v>0.1</v>
      </c>
      <c r="EA331" s="258">
        <v>0.1</v>
      </c>
      <c r="EB331" s="259">
        <v>0.1</v>
      </c>
      <c r="EC331" s="259">
        <v>0.1</v>
      </c>
      <c r="ED331" s="259">
        <v>0.1</v>
      </c>
      <c r="EE331" s="260">
        <v>0.1</v>
      </c>
      <c r="EF331">
        <v>0.1</v>
      </c>
      <c r="EG331">
        <f t="shared" si="18"/>
        <v>0.1</v>
      </c>
    </row>
    <row r="332" spans="71:137" ht="15.75" thickBot="1" x14ac:dyDescent="0.3">
      <c r="BS332">
        <v>329</v>
      </c>
      <c r="BT332" s="271">
        <v>2.63</v>
      </c>
      <c r="BU332" s="271">
        <v>2.68</v>
      </c>
      <c r="BV332" s="271">
        <v>0.5</v>
      </c>
      <c r="BW332" s="2"/>
      <c r="BX332" s="2"/>
      <c r="BY332" s="258">
        <v>0.1</v>
      </c>
      <c r="BZ332" s="259">
        <v>0.1</v>
      </c>
      <c r="CA332" s="259">
        <v>0.1</v>
      </c>
      <c r="CB332" s="259">
        <v>0.1</v>
      </c>
      <c r="CC332" s="259">
        <v>0.1</v>
      </c>
      <c r="CD332" s="259">
        <v>0.1</v>
      </c>
      <c r="CE332" s="259">
        <v>0.1</v>
      </c>
      <c r="CF332" s="259">
        <v>0.1</v>
      </c>
      <c r="CG332" s="259">
        <v>0.1</v>
      </c>
      <c r="CH332" s="259">
        <v>0.1</v>
      </c>
      <c r="CI332" s="259">
        <v>0.1</v>
      </c>
      <c r="CJ332" s="259">
        <v>0.1</v>
      </c>
      <c r="CK332" s="259">
        <v>0.1</v>
      </c>
      <c r="CL332" s="259">
        <v>0.1</v>
      </c>
      <c r="CM332" s="259">
        <v>0.1</v>
      </c>
      <c r="CN332" s="259">
        <v>0.1</v>
      </c>
      <c r="CO332" s="259">
        <v>0.1</v>
      </c>
      <c r="CP332" s="259">
        <v>0.1</v>
      </c>
      <c r="CQ332" s="259">
        <v>0.1</v>
      </c>
      <c r="CR332" s="259">
        <v>0.1</v>
      </c>
      <c r="CS332" s="259">
        <v>0.1</v>
      </c>
      <c r="CT332" s="259">
        <v>0.1</v>
      </c>
      <c r="CU332" s="259">
        <v>0.1</v>
      </c>
      <c r="CV332" s="259">
        <v>0.1</v>
      </c>
      <c r="CW332" s="259">
        <v>0.1</v>
      </c>
      <c r="CX332" s="259">
        <v>0.1</v>
      </c>
      <c r="CY332" s="260">
        <v>0.1</v>
      </c>
      <c r="CZ332" s="258">
        <v>0.1</v>
      </c>
      <c r="DA332" s="259">
        <v>0.1</v>
      </c>
      <c r="DB332" s="259">
        <v>0.1</v>
      </c>
      <c r="DC332" s="259">
        <v>0.1</v>
      </c>
      <c r="DD332" s="259">
        <v>0.1</v>
      </c>
      <c r="DE332" s="259">
        <v>0.1</v>
      </c>
      <c r="DF332" s="259">
        <v>0.1</v>
      </c>
      <c r="DG332" s="259">
        <v>0.1</v>
      </c>
      <c r="DH332" s="259">
        <v>0.1</v>
      </c>
      <c r="DI332" s="259">
        <v>0.1</v>
      </c>
      <c r="DJ332" s="259">
        <v>0.1</v>
      </c>
      <c r="DK332" s="259">
        <v>0.1</v>
      </c>
      <c r="DL332" s="259">
        <v>0.1</v>
      </c>
      <c r="DM332" s="259">
        <v>0.1</v>
      </c>
      <c r="DN332" s="259">
        <v>0.1</v>
      </c>
      <c r="DO332" s="259">
        <v>0.1</v>
      </c>
      <c r="DP332" s="259">
        <v>0.1</v>
      </c>
      <c r="DQ332" s="259">
        <v>0.1</v>
      </c>
      <c r="DR332" s="259">
        <v>0.1</v>
      </c>
      <c r="DS332" s="259">
        <v>0.1</v>
      </c>
      <c r="DT332" s="259">
        <v>0.1</v>
      </c>
      <c r="DU332" s="259">
        <v>0.1</v>
      </c>
      <c r="DV332" s="259">
        <v>0.1</v>
      </c>
      <c r="DW332" s="259">
        <v>0.1</v>
      </c>
      <c r="DX332" s="259">
        <v>0.1</v>
      </c>
      <c r="DY332" s="259">
        <v>0.1</v>
      </c>
      <c r="DZ332" s="260">
        <v>0.1</v>
      </c>
      <c r="EA332" s="258">
        <v>0.1</v>
      </c>
      <c r="EB332" s="259">
        <v>0.1</v>
      </c>
      <c r="EC332" s="259">
        <v>0.1</v>
      </c>
      <c r="ED332" s="259">
        <v>0.1</v>
      </c>
      <c r="EE332" s="260">
        <v>0.1</v>
      </c>
      <c r="EF332">
        <v>0.1</v>
      </c>
      <c r="EG332">
        <f t="shared" si="18"/>
        <v>0.1</v>
      </c>
    </row>
    <row r="333" spans="71:137" ht="15.75" thickBot="1" x14ac:dyDescent="0.3">
      <c r="BS333">
        <v>330</v>
      </c>
      <c r="BT333" s="270">
        <v>2.63</v>
      </c>
      <c r="BU333" s="270">
        <v>2.68</v>
      </c>
      <c r="BV333" s="270">
        <v>0.5</v>
      </c>
      <c r="BW333" s="2"/>
      <c r="BX333" s="2"/>
      <c r="BY333" s="258">
        <v>0.1</v>
      </c>
      <c r="BZ333" s="259">
        <v>0.1</v>
      </c>
      <c r="CA333" s="259">
        <v>0.1</v>
      </c>
      <c r="CB333" s="259">
        <v>0.1</v>
      </c>
      <c r="CC333" s="259">
        <v>0.1</v>
      </c>
      <c r="CD333" s="259">
        <v>0.1</v>
      </c>
      <c r="CE333" s="259">
        <v>0.1</v>
      </c>
      <c r="CF333" s="259">
        <v>0.1</v>
      </c>
      <c r="CG333" s="259">
        <v>0.1</v>
      </c>
      <c r="CH333" s="259">
        <v>0.1</v>
      </c>
      <c r="CI333" s="259">
        <v>0.1</v>
      </c>
      <c r="CJ333" s="259">
        <v>0.1</v>
      </c>
      <c r="CK333" s="259">
        <v>0.1</v>
      </c>
      <c r="CL333" s="259">
        <v>0.1</v>
      </c>
      <c r="CM333" s="259">
        <v>0.1</v>
      </c>
      <c r="CN333" s="259">
        <v>0.1</v>
      </c>
      <c r="CO333" s="259">
        <v>0.1</v>
      </c>
      <c r="CP333" s="259">
        <v>0.1</v>
      </c>
      <c r="CQ333" s="259">
        <v>0.1</v>
      </c>
      <c r="CR333" s="259">
        <v>0.1</v>
      </c>
      <c r="CS333" s="259">
        <v>0.1</v>
      </c>
      <c r="CT333" s="259">
        <v>0.1</v>
      </c>
      <c r="CU333" s="259">
        <v>0.1</v>
      </c>
      <c r="CV333" s="259">
        <v>0.1</v>
      </c>
      <c r="CW333" s="259">
        <v>0.1</v>
      </c>
      <c r="CX333" s="259">
        <v>0.1</v>
      </c>
      <c r="CY333" s="260">
        <v>0.1</v>
      </c>
      <c r="CZ333" s="258">
        <v>0.1</v>
      </c>
      <c r="DA333" s="259">
        <v>0.1</v>
      </c>
      <c r="DB333" s="259">
        <v>0.1</v>
      </c>
      <c r="DC333" s="259">
        <v>0.1</v>
      </c>
      <c r="DD333" s="259">
        <v>0.1</v>
      </c>
      <c r="DE333" s="259">
        <v>0.1</v>
      </c>
      <c r="DF333" s="259">
        <v>0.1</v>
      </c>
      <c r="DG333" s="259">
        <v>0.1</v>
      </c>
      <c r="DH333" s="259">
        <v>0.1</v>
      </c>
      <c r="DI333" s="259">
        <v>0.1</v>
      </c>
      <c r="DJ333" s="259">
        <v>0.1</v>
      </c>
      <c r="DK333" s="259">
        <v>0.1</v>
      </c>
      <c r="DL333" s="259">
        <v>0.1</v>
      </c>
      <c r="DM333" s="259">
        <v>0.1</v>
      </c>
      <c r="DN333" s="259">
        <v>0.1</v>
      </c>
      <c r="DO333" s="259">
        <v>0.1</v>
      </c>
      <c r="DP333" s="259">
        <v>0.1</v>
      </c>
      <c r="DQ333" s="259">
        <v>0.1</v>
      </c>
      <c r="DR333" s="259">
        <v>0.1</v>
      </c>
      <c r="DS333" s="259">
        <v>0.1</v>
      </c>
      <c r="DT333" s="259">
        <v>0.1</v>
      </c>
      <c r="DU333" s="259">
        <v>0.1</v>
      </c>
      <c r="DV333" s="259">
        <v>0.1</v>
      </c>
      <c r="DW333" s="259">
        <v>0.1</v>
      </c>
      <c r="DX333" s="259">
        <v>0.1</v>
      </c>
      <c r="DY333" s="259">
        <v>0.1</v>
      </c>
      <c r="DZ333" s="260">
        <v>0.1</v>
      </c>
      <c r="EA333" s="258">
        <v>0.1</v>
      </c>
      <c r="EB333" s="259">
        <v>0.1</v>
      </c>
      <c r="EC333" s="259">
        <v>0.1</v>
      </c>
      <c r="ED333" s="259">
        <v>0.1</v>
      </c>
      <c r="EE333" s="260">
        <v>0.1</v>
      </c>
      <c r="EF333">
        <v>0.1</v>
      </c>
      <c r="EG333">
        <f t="shared" si="18"/>
        <v>0.1</v>
      </c>
    </row>
    <row r="334" spans="71:137" ht="15.75" thickBot="1" x14ac:dyDescent="0.3">
      <c r="BS334">
        <v>331</v>
      </c>
      <c r="BT334" s="271">
        <v>2.63</v>
      </c>
      <c r="BU334" s="271">
        <v>2.68</v>
      </c>
      <c r="BV334" s="271">
        <v>0.5</v>
      </c>
      <c r="BW334" s="2"/>
      <c r="BX334" s="2"/>
      <c r="BY334" s="258">
        <v>0.1</v>
      </c>
      <c r="BZ334" s="259">
        <v>0.1</v>
      </c>
      <c r="CA334" s="259">
        <v>0.1</v>
      </c>
      <c r="CB334" s="259">
        <v>0.1</v>
      </c>
      <c r="CC334" s="259">
        <v>0.1</v>
      </c>
      <c r="CD334" s="259">
        <v>0.1</v>
      </c>
      <c r="CE334" s="259">
        <v>0.1</v>
      </c>
      <c r="CF334" s="259">
        <v>0.1</v>
      </c>
      <c r="CG334" s="259">
        <v>0.1</v>
      </c>
      <c r="CH334" s="259">
        <v>0.1</v>
      </c>
      <c r="CI334" s="259">
        <v>0.1</v>
      </c>
      <c r="CJ334" s="259">
        <v>0.1</v>
      </c>
      <c r="CK334" s="259">
        <v>0.1</v>
      </c>
      <c r="CL334" s="259">
        <v>0.1</v>
      </c>
      <c r="CM334" s="259">
        <v>0.1</v>
      </c>
      <c r="CN334" s="259">
        <v>0.1</v>
      </c>
      <c r="CO334" s="259">
        <v>0.1</v>
      </c>
      <c r="CP334" s="259">
        <v>0.1</v>
      </c>
      <c r="CQ334" s="259">
        <v>0.1</v>
      </c>
      <c r="CR334" s="259">
        <v>0.1</v>
      </c>
      <c r="CS334" s="259">
        <v>0.1</v>
      </c>
      <c r="CT334" s="259">
        <v>0.1</v>
      </c>
      <c r="CU334" s="259">
        <v>0.1</v>
      </c>
      <c r="CV334" s="259">
        <v>0.1</v>
      </c>
      <c r="CW334" s="259">
        <v>0.1</v>
      </c>
      <c r="CX334" s="259">
        <v>0.1</v>
      </c>
      <c r="CY334" s="260">
        <v>0.1</v>
      </c>
      <c r="CZ334" s="258">
        <v>0.1</v>
      </c>
      <c r="DA334" s="259">
        <v>0.1</v>
      </c>
      <c r="DB334" s="259">
        <v>0.1</v>
      </c>
      <c r="DC334" s="259">
        <v>0.1</v>
      </c>
      <c r="DD334" s="259">
        <v>0.1</v>
      </c>
      <c r="DE334" s="259">
        <v>0.1</v>
      </c>
      <c r="DF334" s="259">
        <v>0.1</v>
      </c>
      <c r="DG334" s="259">
        <v>0.1</v>
      </c>
      <c r="DH334" s="259">
        <v>0.1</v>
      </c>
      <c r="DI334" s="259">
        <v>0.1</v>
      </c>
      <c r="DJ334" s="259">
        <v>0.1</v>
      </c>
      <c r="DK334" s="259">
        <v>0.1</v>
      </c>
      <c r="DL334" s="259">
        <v>0.1</v>
      </c>
      <c r="DM334" s="259">
        <v>0.1</v>
      </c>
      <c r="DN334" s="259">
        <v>0.1</v>
      </c>
      <c r="DO334" s="259">
        <v>0.1</v>
      </c>
      <c r="DP334" s="259">
        <v>0.1</v>
      </c>
      <c r="DQ334" s="259">
        <v>0.1</v>
      </c>
      <c r="DR334" s="259">
        <v>0.1</v>
      </c>
      <c r="DS334" s="259">
        <v>0.1</v>
      </c>
      <c r="DT334" s="259">
        <v>0.1</v>
      </c>
      <c r="DU334" s="259">
        <v>0.1</v>
      </c>
      <c r="DV334" s="259">
        <v>0.1</v>
      </c>
      <c r="DW334" s="259">
        <v>0.1</v>
      </c>
      <c r="DX334" s="259">
        <v>0.1</v>
      </c>
      <c r="DY334" s="259">
        <v>0.1</v>
      </c>
      <c r="DZ334" s="260">
        <v>0.1</v>
      </c>
      <c r="EA334" s="258">
        <v>0.1</v>
      </c>
      <c r="EB334" s="259">
        <v>0.1</v>
      </c>
      <c r="EC334" s="259">
        <v>0.1</v>
      </c>
      <c r="ED334" s="259">
        <v>0.1</v>
      </c>
      <c r="EE334" s="260">
        <v>0.1</v>
      </c>
      <c r="EF334">
        <v>0.1</v>
      </c>
      <c r="EG334">
        <f t="shared" si="18"/>
        <v>0.1</v>
      </c>
    </row>
    <row r="335" spans="71:137" ht="15.75" thickBot="1" x14ac:dyDescent="0.3">
      <c r="BS335">
        <v>332</v>
      </c>
      <c r="BT335" s="270">
        <v>2.63</v>
      </c>
      <c r="BU335" s="270">
        <v>2.68</v>
      </c>
      <c r="BV335" s="270">
        <v>0.5</v>
      </c>
      <c r="BW335" s="2"/>
      <c r="BX335" s="2"/>
      <c r="BY335" s="258">
        <v>0.1</v>
      </c>
      <c r="BZ335" s="259">
        <v>0.1</v>
      </c>
      <c r="CA335" s="259">
        <v>0.1</v>
      </c>
      <c r="CB335" s="259">
        <v>0.1</v>
      </c>
      <c r="CC335" s="259">
        <v>0.1</v>
      </c>
      <c r="CD335" s="259">
        <v>0.1</v>
      </c>
      <c r="CE335" s="259">
        <v>0.1</v>
      </c>
      <c r="CF335" s="259">
        <v>0.1</v>
      </c>
      <c r="CG335" s="259">
        <v>0.1</v>
      </c>
      <c r="CH335" s="259">
        <v>0.1</v>
      </c>
      <c r="CI335" s="259">
        <v>0.1</v>
      </c>
      <c r="CJ335" s="259">
        <v>0.1</v>
      </c>
      <c r="CK335" s="259">
        <v>0.1</v>
      </c>
      <c r="CL335" s="259">
        <v>0.1</v>
      </c>
      <c r="CM335" s="259">
        <v>0.1</v>
      </c>
      <c r="CN335" s="259">
        <v>0.1</v>
      </c>
      <c r="CO335" s="259">
        <v>0.1</v>
      </c>
      <c r="CP335" s="259">
        <v>0.1</v>
      </c>
      <c r="CQ335" s="259">
        <v>0.1</v>
      </c>
      <c r="CR335" s="259">
        <v>0.1</v>
      </c>
      <c r="CS335" s="259">
        <v>0.1</v>
      </c>
      <c r="CT335" s="259">
        <v>0.1</v>
      </c>
      <c r="CU335" s="259">
        <v>0.1</v>
      </c>
      <c r="CV335" s="259">
        <v>0.1</v>
      </c>
      <c r="CW335" s="259">
        <v>0.1</v>
      </c>
      <c r="CX335" s="259">
        <v>0.1</v>
      </c>
      <c r="CY335" s="260">
        <v>0.1</v>
      </c>
      <c r="CZ335" s="258">
        <v>0.1</v>
      </c>
      <c r="DA335" s="259">
        <v>0.1</v>
      </c>
      <c r="DB335" s="259">
        <v>0.1</v>
      </c>
      <c r="DC335" s="259">
        <v>0.1</v>
      </c>
      <c r="DD335" s="259">
        <v>0.1</v>
      </c>
      <c r="DE335" s="259">
        <v>0.1</v>
      </c>
      <c r="DF335" s="259">
        <v>0.1</v>
      </c>
      <c r="DG335" s="259">
        <v>0.1</v>
      </c>
      <c r="DH335" s="259">
        <v>0.1</v>
      </c>
      <c r="DI335" s="259">
        <v>0.1</v>
      </c>
      <c r="DJ335" s="259">
        <v>0.1</v>
      </c>
      <c r="DK335" s="259">
        <v>0.1</v>
      </c>
      <c r="DL335" s="259">
        <v>0.1</v>
      </c>
      <c r="DM335" s="259">
        <v>0.1</v>
      </c>
      <c r="DN335" s="259">
        <v>0.1</v>
      </c>
      <c r="DO335" s="259">
        <v>0.1</v>
      </c>
      <c r="DP335" s="259">
        <v>0.1</v>
      </c>
      <c r="DQ335" s="259">
        <v>0.1</v>
      </c>
      <c r="DR335" s="259">
        <v>0.1</v>
      </c>
      <c r="DS335" s="259">
        <v>0.1</v>
      </c>
      <c r="DT335" s="259">
        <v>0.1</v>
      </c>
      <c r="DU335" s="259">
        <v>0.1</v>
      </c>
      <c r="DV335" s="259">
        <v>0.1</v>
      </c>
      <c r="DW335" s="259">
        <v>0.1</v>
      </c>
      <c r="DX335" s="259">
        <v>0.1</v>
      </c>
      <c r="DY335" s="259">
        <v>0.1</v>
      </c>
      <c r="DZ335" s="260">
        <v>0.1</v>
      </c>
      <c r="EA335" s="258">
        <v>0.1</v>
      </c>
      <c r="EB335" s="259">
        <v>0.1</v>
      </c>
      <c r="EC335" s="259">
        <v>0.1</v>
      </c>
      <c r="ED335" s="259">
        <v>0.1</v>
      </c>
      <c r="EE335" s="260">
        <v>0.1</v>
      </c>
      <c r="EF335">
        <v>0.1</v>
      </c>
      <c r="EG335">
        <f t="shared" si="18"/>
        <v>0.1</v>
      </c>
    </row>
    <row r="336" spans="71:137" ht="15.75" thickBot="1" x14ac:dyDescent="0.3">
      <c r="BS336">
        <v>333</v>
      </c>
      <c r="BT336" s="271">
        <v>2.63</v>
      </c>
      <c r="BU336" s="271">
        <v>2.68</v>
      </c>
      <c r="BV336" s="271">
        <v>0.5</v>
      </c>
      <c r="BW336" s="2"/>
      <c r="BX336" s="2"/>
      <c r="BY336" s="258">
        <v>0.1</v>
      </c>
      <c r="BZ336" s="259">
        <v>0.1</v>
      </c>
      <c r="CA336" s="259">
        <v>0.1</v>
      </c>
      <c r="CB336" s="259">
        <v>0.1</v>
      </c>
      <c r="CC336" s="259">
        <v>0.1</v>
      </c>
      <c r="CD336" s="259">
        <v>0.1</v>
      </c>
      <c r="CE336" s="259">
        <v>0.1</v>
      </c>
      <c r="CF336" s="259">
        <v>0.1</v>
      </c>
      <c r="CG336" s="259">
        <v>0.1</v>
      </c>
      <c r="CH336" s="259">
        <v>0.1</v>
      </c>
      <c r="CI336" s="259">
        <v>0.1</v>
      </c>
      <c r="CJ336" s="259">
        <v>0.1</v>
      </c>
      <c r="CK336" s="259">
        <v>0.1</v>
      </c>
      <c r="CL336" s="259">
        <v>0.1</v>
      </c>
      <c r="CM336" s="259">
        <v>0.1</v>
      </c>
      <c r="CN336" s="259">
        <v>0.1</v>
      </c>
      <c r="CO336" s="259">
        <v>0.1</v>
      </c>
      <c r="CP336" s="259">
        <v>0.1</v>
      </c>
      <c r="CQ336" s="259">
        <v>0.1</v>
      </c>
      <c r="CR336" s="259">
        <v>0.1</v>
      </c>
      <c r="CS336" s="259">
        <v>0.1</v>
      </c>
      <c r="CT336" s="259">
        <v>0.1</v>
      </c>
      <c r="CU336" s="259">
        <v>0.1</v>
      </c>
      <c r="CV336" s="259">
        <v>0.1</v>
      </c>
      <c r="CW336" s="259">
        <v>0.1</v>
      </c>
      <c r="CX336" s="259">
        <v>0.1</v>
      </c>
      <c r="CY336" s="260">
        <v>0.1</v>
      </c>
      <c r="CZ336" s="258">
        <v>0.1</v>
      </c>
      <c r="DA336" s="259">
        <v>0.1</v>
      </c>
      <c r="DB336" s="259">
        <v>0.1</v>
      </c>
      <c r="DC336" s="259">
        <v>0.1</v>
      </c>
      <c r="DD336" s="259">
        <v>0.1</v>
      </c>
      <c r="DE336" s="259">
        <v>0.1</v>
      </c>
      <c r="DF336" s="259">
        <v>0.1</v>
      </c>
      <c r="DG336" s="259">
        <v>0.1</v>
      </c>
      <c r="DH336" s="259">
        <v>0.1</v>
      </c>
      <c r="DI336" s="259">
        <v>0.1</v>
      </c>
      <c r="DJ336" s="259">
        <v>0.1</v>
      </c>
      <c r="DK336" s="259">
        <v>0.1</v>
      </c>
      <c r="DL336" s="259">
        <v>0.1</v>
      </c>
      <c r="DM336" s="259">
        <v>0.1</v>
      </c>
      <c r="DN336" s="259">
        <v>0.1</v>
      </c>
      <c r="DO336" s="259">
        <v>0.1</v>
      </c>
      <c r="DP336" s="259">
        <v>0.1</v>
      </c>
      <c r="DQ336" s="259">
        <v>0.1</v>
      </c>
      <c r="DR336" s="259">
        <v>0.1</v>
      </c>
      <c r="DS336" s="259">
        <v>0.1</v>
      </c>
      <c r="DT336" s="259">
        <v>0.1</v>
      </c>
      <c r="DU336" s="259">
        <v>0.1</v>
      </c>
      <c r="DV336" s="259">
        <v>0.1</v>
      </c>
      <c r="DW336" s="259">
        <v>0.1</v>
      </c>
      <c r="DX336" s="259">
        <v>0.1</v>
      </c>
      <c r="DY336" s="259">
        <v>0.1</v>
      </c>
      <c r="DZ336" s="260">
        <v>0.1</v>
      </c>
      <c r="EA336" s="258">
        <v>0.1</v>
      </c>
      <c r="EB336" s="259">
        <v>0.1</v>
      </c>
      <c r="EC336" s="259">
        <v>0.1</v>
      </c>
      <c r="ED336" s="259">
        <v>0.1</v>
      </c>
      <c r="EE336" s="260">
        <v>0.1</v>
      </c>
      <c r="EF336">
        <v>0.1</v>
      </c>
      <c r="EG336">
        <f t="shared" si="18"/>
        <v>0.1</v>
      </c>
    </row>
    <row r="337" spans="71:137" ht="15.75" thickBot="1" x14ac:dyDescent="0.3">
      <c r="BS337">
        <v>334</v>
      </c>
      <c r="BT337" s="270">
        <v>2.63</v>
      </c>
      <c r="BU337" s="270">
        <v>2.68</v>
      </c>
      <c r="BV337" s="270">
        <v>0.4</v>
      </c>
      <c r="BW337" s="2"/>
      <c r="BX337" s="2"/>
      <c r="BY337" s="258">
        <v>0.1</v>
      </c>
      <c r="BZ337" s="259">
        <v>0.1</v>
      </c>
      <c r="CA337" s="259">
        <v>0.1</v>
      </c>
      <c r="CB337" s="259">
        <v>0.1</v>
      </c>
      <c r="CC337" s="259">
        <v>0.1</v>
      </c>
      <c r="CD337" s="259">
        <v>0.1</v>
      </c>
      <c r="CE337" s="259">
        <v>0.1</v>
      </c>
      <c r="CF337" s="259">
        <v>0.1</v>
      </c>
      <c r="CG337" s="259">
        <v>0.1</v>
      </c>
      <c r="CH337" s="259">
        <v>0.1</v>
      </c>
      <c r="CI337" s="259">
        <v>0.1</v>
      </c>
      <c r="CJ337" s="259">
        <v>0.1</v>
      </c>
      <c r="CK337" s="259">
        <v>0.1</v>
      </c>
      <c r="CL337" s="259">
        <v>0.1</v>
      </c>
      <c r="CM337" s="259">
        <v>0.1</v>
      </c>
      <c r="CN337" s="259">
        <v>0.1</v>
      </c>
      <c r="CO337" s="259">
        <v>0.1</v>
      </c>
      <c r="CP337" s="259">
        <v>0.1</v>
      </c>
      <c r="CQ337" s="259">
        <v>0.1</v>
      </c>
      <c r="CR337" s="259">
        <v>0.1</v>
      </c>
      <c r="CS337" s="259">
        <v>0.1</v>
      </c>
      <c r="CT337" s="259">
        <v>0.1</v>
      </c>
      <c r="CU337" s="259">
        <v>0.1</v>
      </c>
      <c r="CV337" s="259">
        <v>0.1</v>
      </c>
      <c r="CW337" s="259">
        <v>0.1</v>
      </c>
      <c r="CX337" s="259">
        <v>0.1</v>
      </c>
      <c r="CY337" s="260">
        <v>0.1</v>
      </c>
      <c r="CZ337" s="258">
        <v>0.1</v>
      </c>
      <c r="DA337" s="259">
        <v>0.1</v>
      </c>
      <c r="DB337" s="259">
        <v>0.1</v>
      </c>
      <c r="DC337" s="259">
        <v>0.1</v>
      </c>
      <c r="DD337" s="259">
        <v>0.1</v>
      </c>
      <c r="DE337" s="259">
        <v>0.1</v>
      </c>
      <c r="DF337" s="259">
        <v>0.1</v>
      </c>
      <c r="DG337" s="259">
        <v>0.1</v>
      </c>
      <c r="DH337" s="259">
        <v>0.1</v>
      </c>
      <c r="DI337" s="259">
        <v>0.1</v>
      </c>
      <c r="DJ337" s="259">
        <v>0.1</v>
      </c>
      <c r="DK337" s="259">
        <v>0.1</v>
      </c>
      <c r="DL337" s="259">
        <v>0.1</v>
      </c>
      <c r="DM337" s="259">
        <v>0.1</v>
      </c>
      <c r="DN337" s="259">
        <v>0.1</v>
      </c>
      <c r="DO337" s="259">
        <v>0.1</v>
      </c>
      <c r="DP337" s="259">
        <v>0.1</v>
      </c>
      <c r="DQ337" s="259">
        <v>0.1</v>
      </c>
      <c r="DR337" s="259">
        <v>0.1</v>
      </c>
      <c r="DS337" s="259">
        <v>0.1</v>
      </c>
      <c r="DT337" s="259">
        <v>0.1</v>
      </c>
      <c r="DU337" s="259">
        <v>0.1</v>
      </c>
      <c r="DV337" s="259">
        <v>0.1</v>
      </c>
      <c r="DW337" s="259">
        <v>0.1</v>
      </c>
      <c r="DX337" s="259">
        <v>0.1</v>
      </c>
      <c r="DY337" s="259">
        <v>0.1</v>
      </c>
      <c r="DZ337" s="260">
        <v>0.1</v>
      </c>
      <c r="EA337" s="258">
        <v>0.1</v>
      </c>
      <c r="EB337" s="259">
        <v>0.1</v>
      </c>
      <c r="EC337" s="259">
        <v>0.1</v>
      </c>
      <c r="ED337" s="260">
        <v>0.1</v>
      </c>
      <c r="EE337">
        <v>0.1</v>
      </c>
      <c r="EF337">
        <v>0.1</v>
      </c>
      <c r="EG337">
        <f>SUM(EE337:EF337)</f>
        <v>0.2</v>
      </c>
    </row>
    <row r="338" spans="71:137" ht="15.75" thickBot="1" x14ac:dyDescent="0.3">
      <c r="BS338">
        <v>335</v>
      </c>
      <c r="BT338" s="271">
        <v>2.64</v>
      </c>
      <c r="BU338" s="271">
        <v>2.68</v>
      </c>
      <c r="BV338" s="271">
        <v>0.4</v>
      </c>
      <c r="BW338" s="2"/>
      <c r="BX338" s="2"/>
      <c r="BY338" s="258">
        <v>0.1</v>
      </c>
      <c r="BZ338" s="259">
        <v>0.1</v>
      </c>
      <c r="CA338" s="259">
        <v>0.1</v>
      </c>
      <c r="CB338" s="259">
        <v>0.1</v>
      </c>
      <c r="CC338" s="259">
        <v>0.1</v>
      </c>
      <c r="CD338" s="259">
        <v>0.1</v>
      </c>
      <c r="CE338" s="259">
        <v>0.1</v>
      </c>
      <c r="CF338" s="259">
        <v>0.1</v>
      </c>
      <c r="CG338" s="259">
        <v>0.1</v>
      </c>
      <c r="CH338" s="259">
        <v>0.1</v>
      </c>
      <c r="CI338" s="259">
        <v>0.1</v>
      </c>
      <c r="CJ338" s="259">
        <v>0.1</v>
      </c>
      <c r="CK338" s="259">
        <v>0.1</v>
      </c>
      <c r="CL338" s="259">
        <v>0.1</v>
      </c>
      <c r="CM338" s="259">
        <v>0.1</v>
      </c>
      <c r="CN338" s="259">
        <v>0.1</v>
      </c>
      <c r="CO338" s="259">
        <v>0.1</v>
      </c>
      <c r="CP338" s="259">
        <v>0.1</v>
      </c>
      <c r="CQ338" s="259">
        <v>0.1</v>
      </c>
      <c r="CR338" s="259">
        <v>0.1</v>
      </c>
      <c r="CS338" s="259">
        <v>0.1</v>
      </c>
      <c r="CT338" s="259">
        <v>0.1</v>
      </c>
      <c r="CU338" s="259">
        <v>0.1</v>
      </c>
      <c r="CV338" s="259">
        <v>0.1</v>
      </c>
      <c r="CW338" s="259">
        <v>0.1</v>
      </c>
      <c r="CX338" s="259">
        <v>0.1</v>
      </c>
      <c r="CY338" s="260">
        <v>0.1</v>
      </c>
      <c r="CZ338" s="258">
        <v>0.1</v>
      </c>
      <c r="DA338" s="259">
        <v>0.1</v>
      </c>
      <c r="DB338" s="259">
        <v>0.1</v>
      </c>
      <c r="DC338" s="259">
        <v>0.1</v>
      </c>
      <c r="DD338" s="259">
        <v>0.1</v>
      </c>
      <c r="DE338" s="259">
        <v>0.1</v>
      </c>
      <c r="DF338" s="259">
        <v>0.1</v>
      </c>
      <c r="DG338" s="259">
        <v>0.1</v>
      </c>
      <c r="DH338" s="259">
        <v>0.1</v>
      </c>
      <c r="DI338" s="259">
        <v>0.1</v>
      </c>
      <c r="DJ338" s="259">
        <v>0.1</v>
      </c>
      <c r="DK338" s="259">
        <v>0.1</v>
      </c>
      <c r="DL338" s="259">
        <v>0.1</v>
      </c>
      <c r="DM338" s="259">
        <v>0.1</v>
      </c>
      <c r="DN338" s="259">
        <v>0.1</v>
      </c>
      <c r="DO338" s="259">
        <v>0.1</v>
      </c>
      <c r="DP338" s="259">
        <v>0.1</v>
      </c>
      <c r="DQ338" s="259">
        <v>0.1</v>
      </c>
      <c r="DR338" s="259">
        <v>0.1</v>
      </c>
      <c r="DS338" s="259">
        <v>0.1</v>
      </c>
      <c r="DT338" s="259">
        <v>0.1</v>
      </c>
      <c r="DU338" s="259">
        <v>0.1</v>
      </c>
      <c r="DV338" s="259">
        <v>0.1</v>
      </c>
      <c r="DW338" s="259">
        <v>0.1</v>
      </c>
      <c r="DX338" s="259">
        <v>0.1</v>
      </c>
      <c r="DY338" s="259">
        <v>0.1</v>
      </c>
      <c r="DZ338" s="260">
        <v>0.1</v>
      </c>
      <c r="EA338" s="258">
        <v>0.1</v>
      </c>
      <c r="EB338" s="259">
        <v>0.1</v>
      </c>
      <c r="EC338" s="259">
        <v>0.1</v>
      </c>
      <c r="ED338" s="260">
        <v>0.1</v>
      </c>
      <c r="EE338">
        <v>0.1</v>
      </c>
      <c r="EF338">
        <v>0.1</v>
      </c>
      <c r="EG338">
        <f t="shared" ref="EG338:EG347" si="19">SUM(EE338:EF338)</f>
        <v>0.2</v>
      </c>
    </row>
    <row r="339" spans="71:137" ht="15.75" thickBot="1" x14ac:dyDescent="0.3">
      <c r="BS339">
        <v>336</v>
      </c>
      <c r="BT339" s="270">
        <v>2.64</v>
      </c>
      <c r="BU339" s="270">
        <v>2.68</v>
      </c>
      <c r="BV339" s="270">
        <v>0.4</v>
      </c>
      <c r="BW339" s="2"/>
      <c r="BX339" s="2"/>
      <c r="BY339" s="258">
        <v>0.1</v>
      </c>
      <c r="BZ339" s="259">
        <v>0.1</v>
      </c>
      <c r="CA339" s="259">
        <v>0.1</v>
      </c>
      <c r="CB339" s="259">
        <v>0.1</v>
      </c>
      <c r="CC339" s="259">
        <v>0.1</v>
      </c>
      <c r="CD339" s="259">
        <v>0.1</v>
      </c>
      <c r="CE339" s="259">
        <v>0.1</v>
      </c>
      <c r="CF339" s="259">
        <v>0.1</v>
      </c>
      <c r="CG339" s="259">
        <v>0.1</v>
      </c>
      <c r="CH339" s="259">
        <v>0.1</v>
      </c>
      <c r="CI339" s="259">
        <v>0.1</v>
      </c>
      <c r="CJ339" s="259">
        <v>0.1</v>
      </c>
      <c r="CK339" s="259">
        <v>0.1</v>
      </c>
      <c r="CL339" s="259">
        <v>0.1</v>
      </c>
      <c r="CM339" s="259">
        <v>0.1</v>
      </c>
      <c r="CN339" s="259">
        <v>0.1</v>
      </c>
      <c r="CO339" s="259">
        <v>0.1</v>
      </c>
      <c r="CP339" s="259">
        <v>0.1</v>
      </c>
      <c r="CQ339" s="259">
        <v>0.1</v>
      </c>
      <c r="CR339" s="259">
        <v>0.1</v>
      </c>
      <c r="CS339" s="259">
        <v>0.1</v>
      </c>
      <c r="CT339" s="259">
        <v>0.1</v>
      </c>
      <c r="CU339" s="259">
        <v>0.1</v>
      </c>
      <c r="CV339" s="259">
        <v>0.1</v>
      </c>
      <c r="CW339" s="259">
        <v>0.1</v>
      </c>
      <c r="CX339" s="259">
        <v>0.1</v>
      </c>
      <c r="CY339" s="260">
        <v>0.1</v>
      </c>
      <c r="CZ339" s="258">
        <v>0.1</v>
      </c>
      <c r="DA339" s="259">
        <v>0.1</v>
      </c>
      <c r="DB339" s="259">
        <v>0.1</v>
      </c>
      <c r="DC339" s="259">
        <v>0.1</v>
      </c>
      <c r="DD339" s="259">
        <v>0.1</v>
      </c>
      <c r="DE339" s="259">
        <v>0.1</v>
      </c>
      <c r="DF339" s="259">
        <v>0.1</v>
      </c>
      <c r="DG339" s="259">
        <v>0.1</v>
      </c>
      <c r="DH339" s="259">
        <v>0.1</v>
      </c>
      <c r="DI339" s="259">
        <v>0.1</v>
      </c>
      <c r="DJ339" s="259">
        <v>0.1</v>
      </c>
      <c r="DK339" s="259">
        <v>0.1</v>
      </c>
      <c r="DL339" s="259">
        <v>0.1</v>
      </c>
      <c r="DM339" s="259">
        <v>0.1</v>
      </c>
      <c r="DN339" s="259">
        <v>0.1</v>
      </c>
      <c r="DO339" s="259">
        <v>0.1</v>
      </c>
      <c r="DP339" s="259">
        <v>0.1</v>
      </c>
      <c r="DQ339" s="259">
        <v>0.1</v>
      </c>
      <c r="DR339" s="259">
        <v>0.1</v>
      </c>
      <c r="DS339" s="259">
        <v>0.1</v>
      </c>
      <c r="DT339" s="259">
        <v>0.1</v>
      </c>
      <c r="DU339" s="259">
        <v>0.1</v>
      </c>
      <c r="DV339" s="259">
        <v>0.1</v>
      </c>
      <c r="DW339" s="259">
        <v>0.1</v>
      </c>
      <c r="DX339" s="259">
        <v>0.1</v>
      </c>
      <c r="DY339" s="259">
        <v>0.1</v>
      </c>
      <c r="DZ339" s="260">
        <v>0.1</v>
      </c>
      <c r="EA339" s="258">
        <v>0.1</v>
      </c>
      <c r="EB339" s="259">
        <v>0.1</v>
      </c>
      <c r="EC339" s="259">
        <v>0.1</v>
      </c>
      <c r="ED339" s="260">
        <v>0.1</v>
      </c>
      <c r="EE339">
        <v>0.1</v>
      </c>
      <c r="EF339">
        <v>0.1</v>
      </c>
      <c r="EG339">
        <f t="shared" si="19"/>
        <v>0.2</v>
      </c>
    </row>
    <row r="340" spans="71:137" ht="15.75" thickBot="1" x14ac:dyDescent="0.3">
      <c r="BS340">
        <v>337</v>
      </c>
      <c r="BT340" s="271">
        <v>2.64</v>
      </c>
      <c r="BU340" s="271">
        <v>2.68</v>
      </c>
      <c r="BV340" s="271">
        <v>0.4</v>
      </c>
      <c r="BW340" s="2"/>
      <c r="BX340" s="2"/>
      <c r="BY340" s="258">
        <v>0.1</v>
      </c>
      <c r="BZ340" s="259">
        <v>0.1</v>
      </c>
      <c r="CA340" s="259">
        <v>0.1</v>
      </c>
      <c r="CB340" s="259">
        <v>0.1</v>
      </c>
      <c r="CC340" s="259">
        <v>0.1</v>
      </c>
      <c r="CD340" s="259">
        <v>0.1</v>
      </c>
      <c r="CE340" s="259">
        <v>0.1</v>
      </c>
      <c r="CF340" s="259">
        <v>0.1</v>
      </c>
      <c r="CG340" s="259">
        <v>0.1</v>
      </c>
      <c r="CH340" s="259">
        <v>0.1</v>
      </c>
      <c r="CI340" s="259">
        <v>0.1</v>
      </c>
      <c r="CJ340" s="259">
        <v>0.1</v>
      </c>
      <c r="CK340" s="259">
        <v>0.1</v>
      </c>
      <c r="CL340" s="259">
        <v>0.1</v>
      </c>
      <c r="CM340" s="259">
        <v>0.1</v>
      </c>
      <c r="CN340" s="259">
        <v>0.1</v>
      </c>
      <c r="CO340" s="259">
        <v>0.1</v>
      </c>
      <c r="CP340" s="259">
        <v>0.1</v>
      </c>
      <c r="CQ340" s="259">
        <v>0.1</v>
      </c>
      <c r="CR340" s="259">
        <v>0.1</v>
      </c>
      <c r="CS340" s="259">
        <v>0.1</v>
      </c>
      <c r="CT340" s="259">
        <v>0.1</v>
      </c>
      <c r="CU340" s="259">
        <v>0.1</v>
      </c>
      <c r="CV340" s="259">
        <v>0.1</v>
      </c>
      <c r="CW340" s="259">
        <v>0.1</v>
      </c>
      <c r="CX340" s="259">
        <v>0.1</v>
      </c>
      <c r="CY340" s="260">
        <v>0.1</v>
      </c>
      <c r="CZ340" s="258">
        <v>0.1</v>
      </c>
      <c r="DA340" s="259">
        <v>0.1</v>
      </c>
      <c r="DB340" s="259">
        <v>0.1</v>
      </c>
      <c r="DC340" s="259">
        <v>0.1</v>
      </c>
      <c r="DD340" s="259">
        <v>0.1</v>
      </c>
      <c r="DE340" s="259">
        <v>0.1</v>
      </c>
      <c r="DF340" s="259">
        <v>0.1</v>
      </c>
      <c r="DG340" s="259">
        <v>0.1</v>
      </c>
      <c r="DH340" s="259">
        <v>0.1</v>
      </c>
      <c r="DI340" s="259">
        <v>0.1</v>
      </c>
      <c r="DJ340" s="259">
        <v>0.1</v>
      </c>
      <c r="DK340" s="259">
        <v>0.1</v>
      </c>
      <c r="DL340" s="259">
        <v>0.1</v>
      </c>
      <c r="DM340" s="259">
        <v>0.1</v>
      </c>
      <c r="DN340" s="259">
        <v>0.1</v>
      </c>
      <c r="DO340" s="259">
        <v>0.1</v>
      </c>
      <c r="DP340" s="259">
        <v>0.1</v>
      </c>
      <c r="DQ340" s="259">
        <v>0.1</v>
      </c>
      <c r="DR340" s="259">
        <v>0.1</v>
      </c>
      <c r="DS340" s="259">
        <v>0.1</v>
      </c>
      <c r="DT340" s="259">
        <v>0.1</v>
      </c>
      <c r="DU340" s="259">
        <v>0.1</v>
      </c>
      <c r="DV340" s="259">
        <v>0.1</v>
      </c>
      <c r="DW340" s="259">
        <v>0.1</v>
      </c>
      <c r="DX340" s="259">
        <v>0.1</v>
      </c>
      <c r="DY340" s="259">
        <v>0.1</v>
      </c>
      <c r="DZ340" s="260">
        <v>0.1</v>
      </c>
      <c r="EA340" s="258">
        <v>0.1</v>
      </c>
      <c r="EB340" s="259">
        <v>0.1</v>
      </c>
      <c r="EC340" s="259">
        <v>0.1</v>
      </c>
      <c r="ED340" s="260">
        <v>0.1</v>
      </c>
      <c r="EE340">
        <v>0.1</v>
      </c>
      <c r="EF340">
        <v>0.1</v>
      </c>
      <c r="EG340">
        <f t="shared" si="19"/>
        <v>0.2</v>
      </c>
    </row>
    <row r="341" spans="71:137" ht="15.75" thickBot="1" x14ac:dyDescent="0.3">
      <c r="BS341">
        <v>338</v>
      </c>
      <c r="BT341" s="270">
        <v>2.64</v>
      </c>
      <c r="BU341" s="270">
        <v>2.68</v>
      </c>
      <c r="BV341" s="270">
        <v>0.4</v>
      </c>
      <c r="BW341" s="2"/>
      <c r="BX341" s="2"/>
      <c r="BY341" s="258">
        <v>0.1</v>
      </c>
      <c r="BZ341" s="259">
        <v>0.1</v>
      </c>
      <c r="CA341" s="259">
        <v>0.1</v>
      </c>
      <c r="CB341" s="259">
        <v>0.1</v>
      </c>
      <c r="CC341" s="259">
        <v>0.1</v>
      </c>
      <c r="CD341" s="259">
        <v>0.1</v>
      </c>
      <c r="CE341" s="259">
        <v>0.1</v>
      </c>
      <c r="CF341" s="259">
        <v>0.1</v>
      </c>
      <c r="CG341" s="259">
        <v>0.1</v>
      </c>
      <c r="CH341" s="259">
        <v>0.1</v>
      </c>
      <c r="CI341" s="259">
        <v>0.1</v>
      </c>
      <c r="CJ341" s="259">
        <v>0.1</v>
      </c>
      <c r="CK341" s="259">
        <v>0.1</v>
      </c>
      <c r="CL341" s="259">
        <v>0.1</v>
      </c>
      <c r="CM341" s="259">
        <v>0.1</v>
      </c>
      <c r="CN341" s="259">
        <v>0.1</v>
      </c>
      <c r="CO341" s="259">
        <v>0.1</v>
      </c>
      <c r="CP341" s="259">
        <v>0.1</v>
      </c>
      <c r="CQ341" s="259">
        <v>0.1</v>
      </c>
      <c r="CR341" s="259">
        <v>0.1</v>
      </c>
      <c r="CS341" s="259">
        <v>0.1</v>
      </c>
      <c r="CT341" s="259">
        <v>0.1</v>
      </c>
      <c r="CU341" s="259">
        <v>0.1</v>
      </c>
      <c r="CV341" s="259">
        <v>0.1</v>
      </c>
      <c r="CW341" s="259">
        <v>0.1</v>
      </c>
      <c r="CX341" s="259">
        <v>0.1</v>
      </c>
      <c r="CY341" s="260">
        <v>0.1</v>
      </c>
      <c r="CZ341" s="258">
        <v>0.1</v>
      </c>
      <c r="DA341" s="259">
        <v>0.1</v>
      </c>
      <c r="DB341" s="259">
        <v>0.1</v>
      </c>
      <c r="DC341" s="259">
        <v>0.1</v>
      </c>
      <c r="DD341" s="259">
        <v>0.1</v>
      </c>
      <c r="DE341" s="259">
        <v>0.1</v>
      </c>
      <c r="DF341" s="259">
        <v>0.1</v>
      </c>
      <c r="DG341" s="259">
        <v>0.1</v>
      </c>
      <c r="DH341" s="259">
        <v>0.1</v>
      </c>
      <c r="DI341" s="259">
        <v>0.1</v>
      </c>
      <c r="DJ341" s="259">
        <v>0.1</v>
      </c>
      <c r="DK341" s="259">
        <v>0.1</v>
      </c>
      <c r="DL341" s="259">
        <v>0.1</v>
      </c>
      <c r="DM341" s="259">
        <v>0.1</v>
      </c>
      <c r="DN341" s="259">
        <v>0.1</v>
      </c>
      <c r="DO341" s="259">
        <v>0.1</v>
      </c>
      <c r="DP341" s="259">
        <v>0.1</v>
      </c>
      <c r="DQ341" s="259">
        <v>0.1</v>
      </c>
      <c r="DR341" s="259">
        <v>0.1</v>
      </c>
      <c r="DS341" s="259">
        <v>0.1</v>
      </c>
      <c r="DT341" s="259">
        <v>0.1</v>
      </c>
      <c r="DU341" s="259">
        <v>0.1</v>
      </c>
      <c r="DV341" s="259">
        <v>0.1</v>
      </c>
      <c r="DW341" s="259">
        <v>0.1</v>
      </c>
      <c r="DX341" s="259">
        <v>0.1</v>
      </c>
      <c r="DY341" s="259">
        <v>0.1</v>
      </c>
      <c r="DZ341" s="260">
        <v>0.1</v>
      </c>
      <c r="EA341" s="258">
        <v>0.1</v>
      </c>
      <c r="EB341" s="259">
        <v>0.1</v>
      </c>
      <c r="EC341" s="259">
        <v>0.1</v>
      </c>
      <c r="ED341" s="260">
        <v>0.1</v>
      </c>
      <c r="EE341">
        <v>0.1</v>
      </c>
      <c r="EF341">
        <v>0.1</v>
      </c>
      <c r="EG341">
        <f t="shared" si="19"/>
        <v>0.2</v>
      </c>
    </row>
    <row r="342" spans="71:137" ht="15.75" thickBot="1" x14ac:dyDescent="0.3">
      <c r="BS342">
        <v>339</v>
      </c>
      <c r="BT342" s="271">
        <v>2.65</v>
      </c>
      <c r="BU342" s="271">
        <v>2.68</v>
      </c>
      <c r="BV342" s="271">
        <v>0.4</v>
      </c>
      <c r="BW342" s="2"/>
      <c r="BX342" s="2"/>
      <c r="BY342" s="258">
        <v>0.1</v>
      </c>
      <c r="BZ342" s="259">
        <v>0.1</v>
      </c>
      <c r="CA342" s="259">
        <v>0.1</v>
      </c>
      <c r="CB342" s="259">
        <v>0.1</v>
      </c>
      <c r="CC342" s="259">
        <v>0.1</v>
      </c>
      <c r="CD342" s="259">
        <v>0.1</v>
      </c>
      <c r="CE342" s="259">
        <v>0.1</v>
      </c>
      <c r="CF342" s="259">
        <v>0.1</v>
      </c>
      <c r="CG342" s="259">
        <v>0.1</v>
      </c>
      <c r="CH342" s="259">
        <v>0.1</v>
      </c>
      <c r="CI342" s="259">
        <v>0.1</v>
      </c>
      <c r="CJ342" s="259">
        <v>0.1</v>
      </c>
      <c r="CK342" s="259">
        <v>0.1</v>
      </c>
      <c r="CL342" s="259">
        <v>0.1</v>
      </c>
      <c r="CM342" s="259">
        <v>0.1</v>
      </c>
      <c r="CN342" s="259">
        <v>0.1</v>
      </c>
      <c r="CO342" s="259">
        <v>0.1</v>
      </c>
      <c r="CP342" s="259">
        <v>0.1</v>
      </c>
      <c r="CQ342" s="259">
        <v>0.1</v>
      </c>
      <c r="CR342" s="259">
        <v>0.1</v>
      </c>
      <c r="CS342" s="259">
        <v>0.1</v>
      </c>
      <c r="CT342" s="259">
        <v>0.1</v>
      </c>
      <c r="CU342" s="259">
        <v>0.1</v>
      </c>
      <c r="CV342" s="259">
        <v>0.1</v>
      </c>
      <c r="CW342" s="259">
        <v>0.1</v>
      </c>
      <c r="CX342" s="259">
        <v>0.1</v>
      </c>
      <c r="CY342" s="260">
        <v>0.1</v>
      </c>
      <c r="CZ342" s="258">
        <v>0.1</v>
      </c>
      <c r="DA342" s="259">
        <v>0.1</v>
      </c>
      <c r="DB342" s="259">
        <v>0.1</v>
      </c>
      <c r="DC342" s="259">
        <v>0.1</v>
      </c>
      <c r="DD342" s="259">
        <v>0.1</v>
      </c>
      <c r="DE342" s="259">
        <v>0.1</v>
      </c>
      <c r="DF342" s="259">
        <v>0.1</v>
      </c>
      <c r="DG342" s="259">
        <v>0.1</v>
      </c>
      <c r="DH342" s="259">
        <v>0.1</v>
      </c>
      <c r="DI342" s="259">
        <v>0.1</v>
      </c>
      <c r="DJ342" s="259">
        <v>0.1</v>
      </c>
      <c r="DK342" s="259">
        <v>0.1</v>
      </c>
      <c r="DL342" s="259">
        <v>0.1</v>
      </c>
      <c r="DM342" s="259">
        <v>0.1</v>
      </c>
      <c r="DN342" s="259">
        <v>0.1</v>
      </c>
      <c r="DO342" s="259">
        <v>0.1</v>
      </c>
      <c r="DP342" s="259">
        <v>0.1</v>
      </c>
      <c r="DQ342" s="259">
        <v>0.1</v>
      </c>
      <c r="DR342" s="259">
        <v>0.1</v>
      </c>
      <c r="DS342" s="259">
        <v>0.1</v>
      </c>
      <c r="DT342" s="259">
        <v>0.1</v>
      </c>
      <c r="DU342" s="259">
        <v>0.1</v>
      </c>
      <c r="DV342" s="259">
        <v>0.1</v>
      </c>
      <c r="DW342" s="259">
        <v>0.1</v>
      </c>
      <c r="DX342" s="259">
        <v>0.1</v>
      </c>
      <c r="DY342" s="259">
        <v>0.1</v>
      </c>
      <c r="DZ342" s="260">
        <v>0.1</v>
      </c>
      <c r="EA342" s="258">
        <v>0.1</v>
      </c>
      <c r="EB342" s="259">
        <v>0.1</v>
      </c>
      <c r="EC342" s="259">
        <v>0.1</v>
      </c>
      <c r="ED342" s="260">
        <v>0.1</v>
      </c>
      <c r="EE342">
        <v>0.1</v>
      </c>
      <c r="EF342">
        <v>0.1</v>
      </c>
      <c r="EG342">
        <f t="shared" si="19"/>
        <v>0.2</v>
      </c>
    </row>
    <row r="343" spans="71:137" ht="15.75" thickBot="1" x14ac:dyDescent="0.3">
      <c r="BS343">
        <v>340</v>
      </c>
      <c r="BT343" s="270">
        <v>2.65</v>
      </c>
      <c r="BU343" s="270">
        <v>2.68</v>
      </c>
      <c r="BV343" s="270">
        <v>0.4</v>
      </c>
      <c r="BW343" s="2"/>
      <c r="BX343" s="2"/>
      <c r="BY343" s="258">
        <v>0.1</v>
      </c>
      <c r="BZ343" s="259">
        <v>0.1</v>
      </c>
      <c r="CA343" s="259">
        <v>0.1</v>
      </c>
      <c r="CB343" s="259">
        <v>0.1</v>
      </c>
      <c r="CC343" s="259">
        <v>0.1</v>
      </c>
      <c r="CD343" s="259">
        <v>0.1</v>
      </c>
      <c r="CE343" s="259">
        <v>0.1</v>
      </c>
      <c r="CF343" s="259">
        <v>0.1</v>
      </c>
      <c r="CG343" s="259">
        <v>0.1</v>
      </c>
      <c r="CH343" s="259">
        <v>0.1</v>
      </c>
      <c r="CI343" s="259">
        <v>0.1</v>
      </c>
      <c r="CJ343" s="259">
        <v>0.1</v>
      </c>
      <c r="CK343" s="259">
        <v>0.1</v>
      </c>
      <c r="CL343" s="259">
        <v>0.1</v>
      </c>
      <c r="CM343" s="259">
        <v>0.1</v>
      </c>
      <c r="CN343" s="259">
        <v>0.1</v>
      </c>
      <c r="CO343" s="259">
        <v>0.1</v>
      </c>
      <c r="CP343" s="259">
        <v>0.1</v>
      </c>
      <c r="CQ343" s="259">
        <v>0.1</v>
      </c>
      <c r="CR343" s="259">
        <v>0.1</v>
      </c>
      <c r="CS343" s="259">
        <v>0.1</v>
      </c>
      <c r="CT343" s="259">
        <v>0.1</v>
      </c>
      <c r="CU343" s="259">
        <v>0.1</v>
      </c>
      <c r="CV343" s="259">
        <v>0.1</v>
      </c>
      <c r="CW343" s="259">
        <v>0.1</v>
      </c>
      <c r="CX343" s="259">
        <v>0.1</v>
      </c>
      <c r="CY343" s="260">
        <v>0.1</v>
      </c>
      <c r="CZ343" s="258">
        <v>0.1</v>
      </c>
      <c r="DA343" s="259">
        <v>0.1</v>
      </c>
      <c r="DB343" s="259">
        <v>0.1</v>
      </c>
      <c r="DC343" s="259">
        <v>0.1</v>
      </c>
      <c r="DD343" s="259">
        <v>0.1</v>
      </c>
      <c r="DE343" s="259">
        <v>0.1</v>
      </c>
      <c r="DF343" s="259">
        <v>0.1</v>
      </c>
      <c r="DG343" s="259">
        <v>0.1</v>
      </c>
      <c r="DH343" s="259">
        <v>0.1</v>
      </c>
      <c r="DI343" s="259">
        <v>0.1</v>
      </c>
      <c r="DJ343" s="259">
        <v>0.1</v>
      </c>
      <c r="DK343" s="259">
        <v>0.1</v>
      </c>
      <c r="DL343" s="259">
        <v>0.1</v>
      </c>
      <c r="DM343" s="259">
        <v>0.1</v>
      </c>
      <c r="DN343" s="259">
        <v>0.1</v>
      </c>
      <c r="DO343" s="259">
        <v>0.1</v>
      </c>
      <c r="DP343" s="259">
        <v>0.1</v>
      </c>
      <c r="DQ343" s="259">
        <v>0.1</v>
      </c>
      <c r="DR343" s="259">
        <v>0.1</v>
      </c>
      <c r="DS343" s="259">
        <v>0.1</v>
      </c>
      <c r="DT343" s="259">
        <v>0.1</v>
      </c>
      <c r="DU343" s="259">
        <v>0.1</v>
      </c>
      <c r="DV343" s="259">
        <v>0.1</v>
      </c>
      <c r="DW343" s="259">
        <v>0.1</v>
      </c>
      <c r="DX343" s="259">
        <v>0.1</v>
      </c>
      <c r="DY343" s="259">
        <v>0.1</v>
      </c>
      <c r="DZ343" s="260">
        <v>0.1</v>
      </c>
      <c r="EA343" s="258">
        <v>0.1</v>
      </c>
      <c r="EB343" s="259">
        <v>0.1</v>
      </c>
      <c r="EC343" s="259">
        <v>0.1</v>
      </c>
      <c r="ED343" s="260">
        <v>0.1</v>
      </c>
      <c r="EE343">
        <v>0.1</v>
      </c>
      <c r="EF343">
        <v>0.1</v>
      </c>
      <c r="EG343">
        <f t="shared" si="19"/>
        <v>0.2</v>
      </c>
    </row>
    <row r="344" spans="71:137" ht="15.75" thickBot="1" x14ac:dyDescent="0.3">
      <c r="BS344">
        <v>341</v>
      </c>
      <c r="BT344" s="271">
        <v>2.67</v>
      </c>
      <c r="BU344" s="271">
        <v>2.68</v>
      </c>
      <c r="BV344" s="271">
        <v>0.4</v>
      </c>
      <c r="BW344" s="2"/>
      <c r="BX344" s="2"/>
      <c r="BY344" s="258">
        <v>0.1</v>
      </c>
      <c r="BZ344" s="259">
        <v>0.1</v>
      </c>
      <c r="CA344" s="259">
        <v>0.1</v>
      </c>
      <c r="CB344" s="259">
        <v>0.1</v>
      </c>
      <c r="CC344" s="259">
        <v>0.1</v>
      </c>
      <c r="CD344" s="259">
        <v>0.1</v>
      </c>
      <c r="CE344" s="259">
        <v>0.1</v>
      </c>
      <c r="CF344" s="259">
        <v>0.1</v>
      </c>
      <c r="CG344" s="259">
        <v>0.1</v>
      </c>
      <c r="CH344" s="259">
        <v>0.1</v>
      </c>
      <c r="CI344" s="259">
        <v>0.1</v>
      </c>
      <c r="CJ344" s="259">
        <v>0.1</v>
      </c>
      <c r="CK344" s="259">
        <v>0.1</v>
      </c>
      <c r="CL344" s="259">
        <v>0.1</v>
      </c>
      <c r="CM344" s="259">
        <v>0.1</v>
      </c>
      <c r="CN344" s="259">
        <v>0.1</v>
      </c>
      <c r="CO344" s="259">
        <v>0.1</v>
      </c>
      <c r="CP344" s="259">
        <v>0.1</v>
      </c>
      <c r="CQ344" s="259">
        <v>0.1</v>
      </c>
      <c r="CR344" s="259">
        <v>0.1</v>
      </c>
      <c r="CS344" s="259">
        <v>0.1</v>
      </c>
      <c r="CT344" s="259">
        <v>0.1</v>
      </c>
      <c r="CU344" s="259">
        <v>0.1</v>
      </c>
      <c r="CV344" s="259">
        <v>0.1</v>
      </c>
      <c r="CW344" s="259">
        <v>0.1</v>
      </c>
      <c r="CX344" s="259">
        <v>0.1</v>
      </c>
      <c r="CY344" s="260">
        <v>0.1</v>
      </c>
      <c r="CZ344" s="258">
        <v>0.1</v>
      </c>
      <c r="DA344" s="259">
        <v>0.1</v>
      </c>
      <c r="DB344" s="259">
        <v>0.1</v>
      </c>
      <c r="DC344" s="259">
        <v>0.1</v>
      </c>
      <c r="DD344" s="259">
        <v>0.1</v>
      </c>
      <c r="DE344" s="259">
        <v>0.1</v>
      </c>
      <c r="DF344" s="259">
        <v>0.1</v>
      </c>
      <c r="DG344" s="259">
        <v>0.1</v>
      </c>
      <c r="DH344" s="259">
        <v>0.1</v>
      </c>
      <c r="DI344" s="259">
        <v>0.1</v>
      </c>
      <c r="DJ344" s="259">
        <v>0.1</v>
      </c>
      <c r="DK344" s="259">
        <v>0.1</v>
      </c>
      <c r="DL344" s="259">
        <v>0.1</v>
      </c>
      <c r="DM344" s="259">
        <v>0.1</v>
      </c>
      <c r="DN344" s="259">
        <v>0.1</v>
      </c>
      <c r="DO344" s="259">
        <v>0.1</v>
      </c>
      <c r="DP344" s="259">
        <v>0.1</v>
      </c>
      <c r="DQ344" s="259">
        <v>0.1</v>
      </c>
      <c r="DR344" s="259">
        <v>0.1</v>
      </c>
      <c r="DS344" s="259">
        <v>0.1</v>
      </c>
      <c r="DT344" s="259">
        <v>0.1</v>
      </c>
      <c r="DU344" s="259">
        <v>0.1</v>
      </c>
      <c r="DV344" s="259">
        <v>0.1</v>
      </c>
      <c r="DW344" s="259">
        <v>0.1</v>
      </c>
      <c r="DX344" s="259">
        <v>0.1</v>
      </c>
      <c r="DY344" s="259">
        <v>0.1</v>
      </c>
      <c r="DZ344" s="260">
        <v>0.1</v>
      </c>
      <c r="EA344" s="258">
        <v>0.1</v>
      </c>
      <c r="EB344" s="259">
        <v>0.1</v>
      </c>
      <c r="EC344" s="259">
        <v>0.1</v>
      </c>
      <c r="ED344" s="260">
        <v>0.1</v>
      </c>
      <c r="EE344">
        <v>0.1</v>
      </c>
      <c r="EF344">
        <v>0.1</v>
      </c>
      <c r="EG344">
        <f t="shared" si="19"/>
        <v>0.2</v>
      </c>
    </row>
    <row r="345" spans="71:137" ht="15.75" thickBot="1" x14ac:dyDescent="0.3">
      <c r="BS345">
        <v>342</v>
      </c>
      <c r="BT345" s="270">
        <v>2.67</v>
      </c>
      <c r="BU345" s="271">
        <v>2.67</v>
      </c>
      <c r="BV345" s="270">
        <v>0.4</v>
      </c>
      <c r="BW345" s="2"/>
      <c r="BX345" s="2"/>
      <c r="BY345" s="258">
        <v>0.1</v>
      </c>
      <c r="BZ345" s="259">
        <v>0.1</v>
      </c>
      <c r="CA345" s="259">
        <v>0.1</v>
      </c>
      <c r="CB345" s="259">
        <v>0.1</v>
      </c>
      <c r="CC345" s="259">
        <v>0.1</v>
      </c>
      <c r="CD345" s="259">
        <v>0.1</v>
      </c>
      <c r="CE345" s="259">
        <v>0.1</v>
      </c>
      <c r="CF345" s="259">
        <v>0.1</v>
      </c>
      <c r="CG345" s="259">
        <v>0.1</v>
      </c>
      <c r="CH345" s="259">
        <v>0.1</v>
      </c>
      <c r="CI345" s="259">
        <v>0.1</v>
      </c>
      <c r="CJ345" s="259">
        <v>0.1</v>
      </c>
      <c r="CK345" s="259">
        <v>0.1</v>
      </c>
      <c r="CL345" s="259">
        <v>0.1</v>
      </c>
      <c r="CM345" s="259">
        <v>0.1</v>
      </c>
      <c r="CN345" s="259">
        <v>0.1</v>
      </c>
      <c r="CO345" s="259">
        <v>0.1</v>
      </c>
      <c r="CP345" s="259">
        <v>0.1</v>
      </c>
      <c r="CQ345" s="259">
        <v>0.1</v>
      </c>
      <c r="CR345" s="259">
        <v>0.1</v>
      </c>
      <c r="CS345" s="259">
        <v>0.1</v>
      </c>
      <c r="CT345" s="259">
        <v>0.1</v>
      </c>
      <c r="CU345" s="259">
        <v>0.1</v>
      </c>
      <c r="CV345" s="259">
        <v>0.1</v>
      </c>
      <c r="CW345" s="259">
        <v>0.1</v>
      </c>
      <c r="CX345" s="259">
        <v>0.1</v>
      </c>
      <c r="CY345" s="260">
        <v>0.1</v>
      </c>
      <c r="CZ345" s="258">
        <v>0.1</v>
      </c>
      <c r="DA345" s="259">
        <v>0.1</v>
      </c>
      <c r="DB345" s="259">
        <v>0.1</v>
      </c>
      <c r="DC345" s="259">
        <v>0.1</v>
      </c>
      <c r="DD345" s="259">
        <v>0.1</v>
      </c>
      <c r="DE345" s="259">
        <v>0.1</v>
      </c>
      <c r="DF345" s="259">
        <v>0.1</v>
      </c>
      <c r="DG345" s="259">
        <v>0.1</v>
      </c>
      <c r="DH345" s="259">
        <v>0.1</v>
      </c>
      <c r="DI345" s="259">
        <v>0.1</v>
      </c>
      <c r="DJ345" s="259">
        <v>0.1</v>
      </c>
      <c r="DK345" s="259">
        <v>0.1</v>
      </c>
      <c r="DL345" s="259">
        <v>0.1</v>
      </c>
      <c r="DM345" s="259">
        <v>0.1</v>
      </c>
      <c r="DN345" s="259">
        <v>0.1</v>
      </c>
      <c r="DO345" s="259">
        <v>0.1</v>
      </c>
      <c r="DP345" s="259">
        <v>0.1</v>
      </c>
      <c r="DQ345" s="259">
        <v>0.1</v>
      </c>
      <c r="DR345" s="259">
        <v>0.1</v>
      </c>
      <c r="DS345" s="259">
        <v>0.1</v>
      </c>
      <c r="DT345" s="259">
        <v>0.1</v>
      </c>
      <c r="DU345" s="259">
        <v>0.1</v>
      </c>
      <c r="DV345" s="259">
        <v>0.1</v>
      </c>
      <c r="DW345" s="259">
        <v>0.1</v>
      </c>
      <c r="DX345" s="259">
        <v>0.1</v>
      </c>
      <c r="DY345" s="259">
        <v>0.1</v>
      </c>
      <c r="DZ345" s="260">
        <v>0.1</v>
      </c>
      <c r="EA345" s="258">
        <v>0.1</v>
      </c>
      <c r="EB345" s="259">
        <v>0.1</v>
      </c>
      <c r="EC345" s="259">
        <v>0.1</v>
      </c>
      <c r="ED345" s="260">
        <v>0.1</v>
      </c>
      <c r="EE345">
        <v>0.1</v>
      </c>
      <c r="EF345">
        <v>0.1</v>
      </c>
      <c r="EG345">
        <f t="shared" si="19"/>
        <v>0.2</v>
      </c>
    </row>
    <row r="346" spans="71:137" ht="15.75" thickBot="1" x14ac:dyDescent="0.3">
      <c r="BS346">
        <v>343</v>
      </c>
      <c r="BT346" s="271">
        <v>2.67</v>
      </c>
      <c r="BU346" s="270">
        <v>2.67</v>
      </c>
      <c r="BV346" s="271">
        <v>0.4</v>
      </c>
      <c r="BW346" s="2"/>
      <c r="BX346" s="2"/>
      <c r="BY346" s="258">
        <v>0.1</v>
      </c>
      <c r="BZ346" s="259">
        <v>0.1</v>
      </c>
      <c r="CA346" s="259">
        <v>0.1</v>
      </c>
      <c r="CB346" s="259">
        <v>0.1</v>
      </c>
      <c r="CC346" s="259">
        <v>0.1</v>
      </c>
      <c r="CD346" s="259">
        <v>0.1</v>
      </c>
      <c r="CE346" s="259">
        <v>0.1</v>
      </c>
      <c r="CF346" s="259">
        <v>0.1</v>
      </c>
      <c r="CG346" s="259">
        <v>0.1</v>
      </c>
      <c r="CH346" s="259">
        <v>0.1</v>
      </c>
      <c r="CI346" s="259">
        <v>0.1</v>
      </c>
      <c r="CJ346" s="259">
        <v>0.1</v>
      </c>
      <c r="CK346" s="259">
        <v>0.1</v>
      </c>
      <c r="CL346" s="259">
        <v>0.1</v>
      </c>
      <c r="CM346" s="259">
        <v>0.1</v>
      </c>
      <c r="CN346" s="259">
        <v>0.1</v>
      </c>
      <c r="CO346" s="259">
        <v>0.1</v>
      </c>
      <c r="CP346" s="259">
        <v>0.1</v>
      </c>
      <c r="CQ346" s="259">
        <v>0.1</v>
      </c>
      <c r="CR346" s="259">
        <v>0.1</v>
      </c>
      <c r="CS346" s="259">
        <v>0.1</v>
      </c>
      <c r="CT346" s="259">
        <v>0.1</v>
      </c>
      <c r="CU346" s="259">
        <v>0.1</v>
      </c>
      <c r="CV346" s="259">
        <v>0.1</v>
      </c>
      <c r="CW346" s="259">
        <v>0.1</v>
      </c>
      <c r="CX346" s="259">
        <v>0.1</v>
      </c>
      <c r="CY346" s="260">
        <v>0.1</v>
      </c>
      <c r="CZ346" s="258">
        <v>0.1</v>
      </c>
      <c r="DA346" s="259">
        <v>0.1</v>
      </c>
      <c r="DB346" s="259">
        <v>0.1</v>
      </c>
      <c r="DC346" s="259">
        <v>0.1</v>
      </c>
      <c r="DD346" s="259">
        <v>0.1</v>
      </c>
      <c r="DE346" s="259">
        <v>0.1</v>
      </c>
      <c r="DF346" s="259">
        <v>0.1</v>
      </c>
      <c r="DG346" s="259">
        <v>0.1</v>
      </c>
      <c r="DH346" s="259">
        <v>0.1</v>
      </c>
      <c r="DI346" s="259">
        <v>0.1</v>
      </c>
      <c r="DJ346" s="259">
        <v>0.1</v>
      </c>
      <c r="DK346" s="259">
        <v>0.1</v>
      </c>
      <c r="DL346" s="259">
        <v>0.1</v>
      </c>
      <c r="DM346" s="259">
        <v>0.1</v>
      </c>
      <c r="DN346" s="259">
        <v>0.1</v>
      </c>
      <c r="DO346" s="259">
        <v>0.1</v>
      </c>
      <c r="DP346" s="259">
        <v>0.1</v>
      </c>
      <c r="DQ346" s="259">
        <v>0.1</v>
      </c>
      <c r="DR346" s="259">
        <v>0.1</v>
      </c>
      <c r="DS346" s="259">
        <v>0.1</v>
      </c>
      <c r="DT346" s="259">
        <v>0.1</v>
      </c>
      <c r="DU346" s="259">
        <v>0.1</v>
      </c>
      <c r="DV346" s="259">
        <v>0.1</v>
      </c>
      <c r="DW346" s="259">
        <v>0.1</v>
      </c>
      <c r="DX346" s="259">
        <v>0.1</v>
      </c>
      <c r="DY346" s="259">
        <v>0.1</v>
      </c>
      <c r="DZ346" s="260">
        <v>0.1</v>
      </c>
      <c r="EA346" s="258">
        <v>0.1</v>
      </c>
      <c r="EB346" s="259">
        <v>0.1</v>
      </c>
      <c r="EC346" s="259">
        <v>0.1</v>
      </c>
      <c r="ED346" s="260">
        <v>0.1</v>
      </c>
      <c r="EE346">
        <v>0.1</v>
      </c>
      <c r="EF346">
        <v>0.1</v>
      </c>
      <c r="EG346">
        <f t="shared" si="19"/>
        <v>0.2</v>
      </c>
    </row>
    <row r="347" spans="71:137" ht="15.75" thickBot="1" x14ac:dyDescent="0.3">
      <c r="BS347">
        <v>344</v>
      </c>
      <c r="BT347" s="270">
        <v>2.67</v>
      </c>
      <c r="BU347" s="271">
        <v>2.67</v>
      </c>
      <c r="BV347" s="270">
        <v>0.4</v>
      </c>
      <c r="BW347" s="2"/>
      <c r="BX347" s="2"/>
      <c r="BY347" s="258">
        <v>0.1</v>
      </c>
      <c r="BZ347" s="259">
        <v>0.1</v>
      </c>
      <c r="CA347" s="259">
        <v>0.1</v>
      </c>
      <c r="CB347" s="259">
        <v>0.1</v>
      </c>
      <c r="CC347" s="259">
        <v>0.1</v>
      </c>
      <c r="CD347" s="259">
        <v>0.1</v>
      </c>
      <c r="CE347" s="259">
        <v>0.1</v>
      </c>
      <c r="CF347" s="259">
        <v>0.1</v>
      </c>
      <c r="CG347" s="259">
        <v>0.1</v>
      </c>
      <c r="CH347" s="259">
        <v>0.1</v>
      </c>
      <c r="CI347" s="259">
        <v>0.1</v>
      </c>
      <c r="CJ347" s="259">
        <v>0.1</v>
      </c>
      <c r="CK347" s="259">
        <v>0.1</v>
      </c>
      <c r="CL347" s="259">
        <v>0.1</v>
      </c>
      <c r="CM347" s="259">
        <v>0.1</v>
      </c>
      <c r="CN347" s="259">
        <v>0.1</v>
      </c>
      <c r="CO347" s="259">
        <v>0.1</v>
      </c>
      <c r="CP347" s="259">
        <v>0.1</v>
      </c>
      <c r="CQ347" s="259">
        <v>0.1</v>
      </c>
      <c r="CR347" s="259">
        <v>0.1</v>
      </c>
      <c r="CS347" s="259">
        <v>0.1</v>
      </c>
      <c r="CT347" s="259">
        <v>0.1</v>
      </c>
      <c r="CU347" s="259">
        <v>0.1</v>
      </c>
      <c r="CV347" s="259">
        <v>0.1</v>
      </c>
      <c r="CW347" s="259">
        <v>0.1</v>
      </c>
      <c r="CX347" s="259">
        <v>0.1</v>
      </c>
      <c r="CY347" s="260">
        <v>0.1</v>
      </c>
      <c r="CZ347" s="258">
        <v>0.1</v>
      </c>
      <c r="DA347" s="259">
        <v>0.1</v>
      </c>
      <c r="DB347" s="259">
        <v>0.1</v>
      </c>
      <c r="DC347" s="259">
        <v>0.1</v>
      </c>
      <c r="DD347" s="259">
        <v>0.1</v>
      </c>
      <c r="DE347" s="259">
        <v>0.1</v>
      </c>
      <c r="DF347" s="259">
        <v>0.1</v>
      </c>
      <c r="DG347" s="259">
        <v>0.1</v>
      </c>
      <c r="DH347" s="259">
        <v>0.1</v>
      </c>
      <c r="DI347" s="259">
        <v>0.1</v>
      </c>
      <c r="DJ347" s="259">
        <v>0.1</v>
      </c>
      <c r="DK347" s="259">
        <v>0.1</v>
      </c>
      <c r="DL347" s="259">
        <v>0.1</v>
      </c>
      <c r="DM347" s="259">
        <v>0.1</v>
      </c>
      <c r="DN347" s="259">
        <v>0.1</v>
      </c>
      <c r="DO347" s="259">
        <v>0.1</v>
      </c>
      <c r="DP347" s="259">
        <v>0.1</v>
      </c>
      <c r="DQ347" s="259">
        <v>0.1</v>
      </c>
      <c r="DR347" s="259">
        <v>0.1</v>
      </c>
      <c r="DS347" s="259">
        <v>0.1</v>
      </c>
      <c r="DT347" s="259">
        <v>0.1</v>
      </c>
      <c r="DU347" s="259">
        <v>0.1</v>
      </c>
      <c r="DV347" s="259">
        <v>0.1</v>
      </c>
      <c r="DW347" s="259">
        <v>0.1</v>
      </c>
      <c r="DX347" s="262">
        <v>0.1</v>
      </c>
      <c r="DY347" s="262">
        <v>0.1</v>
      </c>
      <c r="DZ347" s="263">
        <v>0.1</v>
      </c>
      <c r="EA347" s="261">
        <v>0.1</v>
      </c>
      <c r="EB347" s="262">
        <v>0.1</v>
      </c>
      <c r="EC347" s="262">
        <v>0.1</v>
      </c>
      <c r="ED347" s="263">
        <v>0.1</v>
      </c>
      <c r="EE347">
        <v>0.1</v>
      </c>
      <c r="EF347">
        <v>0.1</v>
      </c>
      <c r="EG347">
        <f t="shared" si="19"/>
        <v>0.2</v>
      </c>
    </row>
    <row r="348" spans="71:137" ht="15.75" thickBot="1" x14ac:dyDescent="0.3">
      <c r="BS348">
        <v>345</v>
      </c>
      <c r="BT348" s="270">
        <v>1.72</v>
      </c>
      <c r="BU348" s="270">
        <v>1.62</v>
      </c>
      <c r="BV348" s="271">
        <v>1.7</v>
      </c>
      <c r="BW348" s="271">
        <v>0.84</v>
      </c>
      <c r="BX348" s="2"/>
      <c r="BY348" s="258">
        <v>0.1</v>
      </c>
      <c r="BZ348" s="259">
        <v>0.1</v>
      </c>
      <c r="CA348" s="259">
        <v>0.1</v>
      </c>
      <c r="CB348" s="259">
        <v>0.1</v>
      </c>
      <c r="CC348" s="259">
        <v>0.1</v>
      </c>
      <c r="CD348" s="259">
        <v>0.1</v>
      </c>
      <c r="CE348" s="259">
        <v>0.1</v>
      </c>
      <c r="CF348" s="259">
        <v>0.1</v>
      </c>
      <c r="CG348" s="259">
        <v>0.1</v>
      </c>
      <c r="CH348" s="259">
        <v>0.1</v>
      </c>
      <c r="CI348" s="259">
        <v>0.1</v>
      </c>
      <c r="CJ348" s="259">
        <v>0.1</v>
      </c>
      <c r="CK348" s="259">
        <v>0.1</v>
      </c>
      <c r="CL348" s="259">
        <v>0.1</v>
      </c>
      <c r="CM348" s="259">
        <v>0.1</v>
      </c>
      <c r="CN348" s="259">
        <v>0.1</v>
      </c>
      <c r="CO348" s="260">
        <v>0.1</v>
      </c>
      <c r="CP348" s="258">
        <v>0.1</v>
      </c>
      <c r="CQ348" s="259">
        <v>0.1</v>
      </c>
      <c r="CR348" s="259">
        <v>0.1</v>
      </c>
      <c r="CS348" s="259">
        <v>0.1</v>
      </c>
      <c r="CT348" s="259">
        <v>0.1</v>
      </c>
      <c r="CU348" s="259">
        <v>0.1</v>
      </c>
      <c r="CV348" s="259">
        <v>0.1</v>
      </c>
      <c r="CW348" s="259">
        <v>0.1</v>
      </c>
      <c r="CX348" s="259">
        <v>0.1</v>
      </c>
      <c r="CY348" s="259">
        <v>0.1</v>
      </c>
      <c r="CZ348" s="259">
        <v>0.1</v>
      </c>
      <c r="DA348" s="259">
        <v>0.1</v>
      </c>
      <c r="DB348" s="259">
        <v>0.1</v>
      </c>
      <c r="DC348" s="259">
        <v>0.1</v>
      </c>
      <c r="DD348" s="259">
        <v>0.1</v>
      </c>
      <c r="DE348" s="259">
        <v>0.1</v>
      </c>
      <c r="DF348" s="260">
        <v>0.1</v>
      </c>
      <c r="DG348" s="258">
        <v>0.1</v>
      </c>
      <c r="DH348" s="259">
        <v>0.1</v>
      </c>
      <c r="DI348" s="259">
        <v>0.1</v>
      </c>
      <c r="DJ348" s="259">
        <v>0.1</v>
      </c>
      <c r="DK348" s="259">
        <v>0.1</v>
      </c>
      <c r="DL348" s="259">
        <v>0.1</v>
      </c>
      <c r="DM348" s="259">
        <v>0.1</v>
      </c>
      <c r="DN348" s="259">
        <v>0.1</v>
      </c>
      <c r="DO348" s="259">
        <v>0.1</v>
      </c>
      <c r="DP348" s="259">
        <v>0.1</v>
      </c>
      <c r="DQ348" s="259">
        <v>0.1</v>
      </c>
      <c r="DR348" s="259">
        <v>0.1</v>
      </c>
      <c r="DS348" s="259">
        <v>0.1</v>
      </c>
      <c r="DT348" s="259">
        <v>0.1</v>
      </c>
      <c r="DU348" s="262">
        <v>0.1</v>
      </c>
      <c r="DV348" s="262">
        <v>0.1</v>
      </c>
      <c r="DW348" s="263">
        <v>0.1</v>
      </c>
      <c r="DX348" s="258">
        <v>0.1</v>
      </c>
      <c r="DY348" s="259">
        <v>0.1</v>
      </c>
      <c r="DZ348" s="259">
        <v>0.1</v>
      </c>
      <c r="EA348" s="259">
        <v>0.1</v>
      </c>
      <c r="EB348" s="259">
        <v>0.1</v>
      </c>
      <c r="EC348" s="259">
        <v>0.1</v>
      </c>
      <c r="ED348" s="259">
        <v>0.1</v>
      </c>
      <c r="EE348" s="259">
        <v>0.1</v>
      </c>
      <c r="EF348" s="260">
        <v>0.1</v>
      </c>
    </row>
    <row r="349" spans="71:137" ht="15.75" thickBot="1" x14ac:dyDescent="0.3">
      <c r="BS349">
        <v>346</v>
      </c>
      <c r="BT349" s="271">
        <v>1.72</v>
      </c>
      <c r="BU349" s="271">
        <v>1.62</v>
      </c>
      <c r="BV349" s="270">
        <v>1.31</v>
      </c>
      <c r="BW349" s="270">
        <v>1.04</v>
      </c>
      <c r="BX349" s="2"/>
      <c r="BY349" s="258">
        <v>0.1</v>
      </c>
      <c r="BZ349" s="259">
        <v>0.1</v>
      </c>
      <c r="CA349" s="259">
        <v>0.1</v>
      </c>
      <c r="CB349" s="259">
        <v>0.1</v>
      </c>
      <c r="CC349" s="259">
        <v>0.1</v>
      </c>
      <c r="CD349" s="259">
        <v>0.1</v>
      </c>
      <c r="CE349" s="259">
        <v>0.1</v>
      </c>
      <c r="CF349" s="259">
        <v>0.1</v>
      </c>
      <c r="CG349" s="259">
        <v>0.1</v>
      </c>
      <c r="CH349" s="259">
        <v>0.1</v>
      </c>
      <c r="CI349" s="259">
        <v>0.1</v>
      </c>
      <c r="CJ349" s="259">
        <v>0.1</v>
      </c>
      <c r="CK349" s="259">
        <v>0.1</v>
      </c>
      <c r="CL349" s="259">
        <v>0.1</v>
      </c>
      <c r="CM349" s="259">
        <v>0.1</v>
      </c>
      <c r="CN349" s="259">
        <v>0.1</v>
      </c>
      <c r="CO349" s="260">
        <v>0.1</v>
      </c>
      <c r="CP349" s="258">
        <v>0.1</v>
      </c>
      <c r="CQ349" s="259">
        <v>0.1</v>
      </c>
      <c r="CR349" s="259">
        <v>0.1</v>
      </c>
      <c r="CS349" s="259">
        <v>0.1</v>
      </c>
      <c r="CT349" s="259">
        <v>0.1</v>
      </c>
      <c r="CU349" s="259">
        <v>0.1</v>
      </c>
      <c r="CV349" s="259">
        <v>0.1</v>
      </c>
      <c r="CW349" s="259">
        <v>0.1</v>
      </c>
      <c r="CX349" s="259">
        <v>0.1</v>
      </c>
      <c r="CY349" s="259">
        <v>0.1</v>
      </c>
      <c r="CZ349" s="259">
        <v>0.1</v>
      </c>
      <c r="DA349" s="259">
        <v>0.1</v>
      </c>
      <c r="DB349" s="259">
        <v>0.1</v>
      </c>
      <c r="DC349" s="259">
        <v>0.1</v>
      </c>
      <c r="DD349" s="259">
        <v>0.1</v>
      </c>
      <c r="DE349" s="259">
        <v>0.1</v>
      </c>
      <c r="DF349" s="260">
        <v>0.1</v>
      </c>
      <c r="DG349" s="258">
        <v>0.1</v>
      </c>
      <c r="DH349" s="259">
        <v>0.1</v>
      </c>
      <c r="DI349" s="259">
        <v>0.1</v>
      </c>
      <c r="DJ349" s="259">
        <v>0.1</v>
      </c>
      <c r="DK349" s="259">
        <v>0.1</v>
      </c>
      <c r="DL349" s="259">
        <v>0.1</v>
      </c>
      <c r="DM349" s="259">
        <v>0.1</v>
      </c>
      <c r="DN349" s="259">
        <v>0.1</v>
      </c>
      <c r="DO349" s="259">
        <v>0.1</v>
      </c>
      <c r="DP349" s="259">
        <v>0.1</v>
      </c>
      <c r="DQ349" s="259">
        <v>0.1</v>
      </c>
      <c r="DR349" s="259">
        <v>0.1</v>
      </c>
      <c r="DS349" s="259">
        <v>0.1</v>
      </c>
      <c r="DT349" s="260">
        <v>0.1</v>
      </c>
      <c r="DU349" s="258">
        <v>0.1</v>
      </c>
      <c r="DV349" s="259">
        <v>0.1</v>
      </c>
      <c r="DW349" s="259">
        <v>0.1</v>
      </c>
      <c r="DX349" s="264">
        <v>0.1</v>
      </c>
      <c r="DY349" s="264">
        <v>0.1</v>
      </c>
      <c r="DZ349" s="264">
        <v>0.1</v>
      </c>
      <c r="EA349" s="264">
        <v>0.1</v>
      </c>
      <c r="EB349" s="264">
        <v>0.1</v>
      </c>
      <c r="EC349" s="264">
        <v>0.1</v>
      </c>
      <c r="ED349" s="264">
        <v>0.1</v>
      </c>
      <c r="EE349" s="265">
        <v>0.1</v>
      </c>
      <c r="EF349">
        <v>0.1</v>
      </c>
      <c r="EG349">
        <f>SUM(EF349)</f>
        <v>0.1</v>
      </c>
    </row>
    <row r="350" spans="71:137" ht="15.75" thickBot="1" x14ac:dyDescent="0.3">
      <c r="BS350">
        <v>347</v>
      </c>
      <c r="BT350" s="270">
        <v>1.74</v>
      </c>
      <c r="BU350" s="270">
        <v>1.62</v>
      </c>
      <c r="BV350" s="271">
        <v>1.32</v>
      </c>
      <c r="BW350" s="271">
        <v>1.03</v>
      </c>
      <c r="BX350" s="2"/>
      <c r="BY350" s="258">
        <v>0.1</v>
      </c>
      <c r="BZ350" s="259">
        <v>0.1</v>
      </c>
      <c r="CA350" s="259">
        <v>0.1</v>
      </c>
      <c r="CB350" s="259">
        <v>0.1</v>
      </c>
      <c r="CC350" s="259">
        <v>0.1</v>
      </c>
      <c r="CD350" s="259">
        <v>0.1</v>
      </c>
      <c r="CE350" s="259">
        <v>0.1</v>
      </c>
      <c r="CF350" s="259">
        <v>0.1</v>
      </c>
      <c r="CG350" s="259">
        <v>0.1</v>
      </c>
      <c r="CH350" s="259">
        <v>0.1</v>
      </c>
      <c r="CI350" s="259">
        <v>0.1</v>
      </c>
      <c r="CJ350" s="259">
        <v>0.1</v>
      </c>
      <c r="CK350" s="259">
        <v>0.1</v>
      </c>
      <c r="CL350" s="259">
        <v>0.1</v>
      </c>
      <c r="CM350" s="259">
        <v>0.1</v>
      </c>
      <c r="CN350" s="259">
        <v>0.1</v>
      </c>
      <c r="CO350" s="260">
        <v>0.1</v>
      </c>
      <c r="CP350" s="258">
        <v>0.1</v>
      </c>
      <c r="CQ350" s="259">
        <v>0.1</v>
      </c>
      <c r="CR350" s="259">
        <v>0.1</v>
      </c>
      <c r="CS350" s="259">
        <v>0.1</v>
      </c>
      <c r="CT350" s="259">
        <v>0.1</v>
      </c>
      <c r="CU350" s="259">
        <v>0.1</v>
      </c>
      <c r="CV350" s="259">
        <v>0.1</v>
      </c>
      <c r="CW350" s="259">
        <v>0.1</v>
      </c>
      <c r="CX350" s="259">
        <v>0.1</v>
      </c>
      <c r="CY350" s="259">
        <v>0.1</v>
      </c>
      <c r="CZ350" s="259">
        <v>0.1</v>
      </c>
      <c r="DA350" s="259">
        <v>0.1</v>
      </c>
      <c r="DB350" s="259">
        <v>0.1</v>
      </c>
      <c r="DC350" s="259">
        <v>0.1</v>
      </c>
      <c r="DD350" s="259">
        <v>0.1</v>
      </c>
      <c r="DE350" s="259">
        <v>0.1</v>
      </c>
      <c r="DF350" s="260">
        <v>0.1</v>
      </c>
      <c r="DG350" s="258">
        <v>0.1</v>
      </c>
      <c r="DH350" s="259">
        <v>0.1</v>
      </c>
      <c r="DI350" s="259">
        <v>0.1</v>
      </c>
      <c r="DJ350" s="259">
        <v>0.1</v>
      </c>
      <c r="DK350" s="259">
        <v>0.1</v>
      </c>
      <c r="DL350" s="259">
        <v>0.1</v>
      </c>
      <c r="DM350" s="259">
        <v>0.1</v>
      </c>
      <c r="DN350" s="259">
        <v>0.1</v>
      </c>
      <c r="DO350" s="259">
        <v>0.1</v>
      </c>
      <c r="DP350" s="259">
        <v>0.1</v>
      </c>
      <c r="DQ350" s="259">
        <v>0.1</v>
      </c>
      <c r="DR350" s="259">
        <v>0.1</v>
      </c>
      <c r="DS350" s="259">
        <v>0.1</v>
      </c>
      <c r="DT350" s="260">
        <v>0.1</v>
      </c>
      <c r="DU350" s="258">
        <v>0.1</v>
      </c>
      <c r="DV350" s="259">
        <v>0.1</v>
      </c>
      <c r="DW350" s="259">
        <v>0.1</v>
      </c>
      <c r="DX350" s="259">
        <v>0.1</v>
      </c>
      <c r="DY350" s="259">
        <v>0.1</v>
      </c>
      <c r="DZ350" s="259">
        <v>0.1</v>
      </c>
      <c r="EA350" s="259">
        <v>0.1</v>
      </c>
      <c r="EB350" s="259">
        <v>0.1</v>
      </c>
      <c r="EC350" s="259">
        <v>0.1</v>
      </c>
      <c r="ED350" s="259">
        <v>0.1</v>
      </c>
      <c r="EE350" s="260">
        <v>0.1</v>
      </c>
      <c r="EF350">
        <v>0.1</v>
      </c>
      <c r="EG350">
        <f>SUM(EF350)</f>
        <v>0.1</v>
      </c>
    </row>
    <row r="351" spans="71:137" ht="15.75" thickBot="1" x14ac:dyDescent="0.3">
      <c r="BS351">
        <v>348</v>
      </c>
      <c r="BT351" s="271">
        <v>1.76</v>
      </c>
      <c r="BU351" s="271">
        <v>1.62</v>
      </c>
      <c r="BV351" s="270">
        <v>1.33</v>
      </c>
      <c r="BW351" s="270">
        <v>1.02</v>
      </c>
      <c r="BX351" s="2"/>
      <c r="BY351" s="258">
        <v>0.1</v>
      </c>
      <c r="BZ351" s="259">
        <v>0.1</v>
      </c>
      <c r="CA351" s="259">
        <v>0.1</v>
      </c>
      <c r="CB351" s="259">
        <v>0.1</v>
      </c>
      <c r="CC351" s="259">
        <v>0.1</v>
      </c>
      <c r="CD351" s="259">
        <v>0.1</v>
      </c>
      <c r="CE351" s="259">
        <v>0.1</v>
      </c>
      <c r="CF351" s="259">
        <v>0.1</v>
      </c>
      <c r="CG351" s="259">
        <v>0.1</v>
      </c>
      <c r="CH351" s="259">
        <v>0.1</v>
      </c>
      <c r="CI351" s="259">
        <v>0.1</v>
      </c>
      <c r="CJ351" s="259">
        <v>0.1</v>
      </c>
      <c r="CK351" s="259">
        <v>0.1</v>
      </c>
      <c r="CL351" s="259">
        <v>0.1</v>
      </c>
      <c r="CM351" s="259">
        <v>0.1</v>
      </c>
      <c r="CN351" s="259">
        <v>0.1</v>
      </c>
      <c r="CO351" s="260">
        <v>0.1</v>
      </c>
      <c r="CP351" s="258">
        <v>0.1</v>
      </c>
      <c r="CQ351" s="259">
        <v>0.1</v>
      </c>
      <c r="CR351" s="259">
        <v>0.1</v>
      </c>
      <c r="CS351" s="259">
        <v>0.1</v>
      </c>
      <c r="CT351" s="259">
        <v>0.1</v>
      </c>
      <c r="CU351" s="259">
        <v>0.1</v>
      </c>
      <c r="CV351" s="259">
        <v>0.1</v>
      </c>
      <c r="CW351" s="259">
        <v>0.1</v>
      </c>
      <c r="CX351" s="259">
        <v>0.1</v>
      </c>
      <c r="CY351" s="259">
        <v>0.1</v>
      </c>
      <c r="CZ351" s="259">
        <v>0.1</v>
      </c>
      <c r="DA351" s="259">
        <v>0.1</v>
      </c>
      <c r="DB351" s="259">
        <v>0.1</v>
      </c>
      <c r="DC351" s="259">
        <v>0.1</v>
      </c>
      <c r="DD351" s="259">
        <v>0.1</v>
      </c>
      <c r="DE351" s="259">
        <v>0.1</v>
      </c>
      <c r="DF351" s="260">
        <v>0.1</v>
      </c>
      <c r="DG351" s="258">
        <v>0.1</v>
      </c>
      <c r="DH351" s="259">
        <v>0.1</v>
      </c>
      <c r="DI351" s="259">
        <v>0.1</v>
      </c>
      <c r="DJ351" s="259">
        <v>0.1</v>
      </c>
      <c r="DK351" s="259">
        <v>0.1</v>
      </c>
      <c r="DL351" s="259">
        <v>0.1</v>
      </c>
      <c r="DM351" s="259">
        <v>0.1</v>
      </c>
      <c r="DN351" s="259">
        <v>0.1</v>
      </c>
      <c r="DO351" s="259">
        <v>0.1</v>
      </c>
      <c r="DP351" s="259">
        <v>0.1</v>
      </c>
      <c r="DQ351" s="259">
        <v>0.1</v>
      </c>
      <c r="DR351" s="259">
        <v>0.1</v>
      </c>
      <c r="DS351" s="259">
        <v>0.1</v>
      </c>
      <c r="DT351" s="263">
        <v>0.1</v>
      </c>
      <c r="DU351" s="258">
        <v>0.1</v>
      </c>
      <c r="DV351" s="259">
        <v>0.1</v>
      </c>
      <c r="DW351" s="259">
        <v>0.1</v>
      </c>
      <c r="DX351" s="259">
        <v>0.1</v>
      </c>
      <c r="DY351" s="259">
        <v>0.1</v>
      </c>
      <c r="DZ351" s="259">
        <v>0.1</v>
      </c>
      <c r="EA351" s="259">
        <v>0.1</v>
      </c>
      <c r="EB351" s="259">
        <v>0.1</v>
      </c>
      <c r="EC351" s="259">
        <v>0.1</v>
      </c>
      <c r="ED351" s="259">
        <v>0.1</v>
      </c>
      <c r="EE351" s="260">
        <v>0.1</v>
      </c>
      <c r="EF351">
        <v>0.1</v>
      </c>
      <c r="EG351">
        <f>SUM(EF351)</f>
        <v>0.1</v>
      </c>
    </row>
    <row r="352" spans="71:137" ht="15.75" thickBot="1" x14ac:dyDescent="0.3">
      <c r="BS352">
        <v>349</v>
      </c>
      <c r="BT352" s="270">
        <v>1.77</v>
      </c>
      <c r="BU352" s="270">
        <v>1.63</v>
      </c>
      <c r="BV352" s="271">
        <v>1.22</v>
      </c>
      <c r="BW352" s="271">
        <v>1.3</v>
      </c>
      <c r="BX352" s="2"/>
      <c r="BY352" s="258">
        <v>0.1</v>
      </c>
      <c r="BZ352" s="259">
        <v>0.1</v>
      </c>
      <c r="CA352" s="259">
        <v>0.1</v>
      </c>
      <c r="CB352" s="259">
        <v>0.1</v>
      </c>
      <c r="CC352" s="259">
        <v>0.1</v>
      </c>
      <c r="CD352" s="259">
        <v>0.1</v>
      </c>
      <c r="CE352" s="259">
        <v>0.1</v>
      </c>
      <c r="CF352" s="259">
        <v>0.1</v>
      </c>
      <c r="CG352" s="259">
        <v>0.1</v>
      </c>
      <c r="CH352" s="259">
        <v>0.1</v>
      </c>
      <c r="CI352" s="259">
        <v>0.1</v>
      </c>
      <c r="CJ352" s="259">
        <v>0.1</v>
      </c>
      <c r="CK352" s="259">
        <v>0.1</v>
      </c>
      <c r="CL352" s="259">
        <v>0.1</v>
      </c>
      <c r="CM352" s="259">
        <v>0.1</v>
      </c>
      <c r="CN352" s="259">
        <v>0.1</v>
      </c>
      <c r="CO352" s="260">
        <v>0.1</v>
      </c>
      <c r="CP352" s="258">
        <v>0.1</v>
      </c>
      <c r="CQ352" s="259">
        <v>0.1</v>
      </c>
      <c r="CR352" s="259">
        <v>0.1</v>
      </c>
      <c r="CS352" s="259">
        <v>0.1</v>
      </c>
      <c r="CT352" s="259">
        <v>0.1</v>
      </c>
      <c r="CU352" s="259">
        <v>0.1</v>
      </c>
      <c r="CV352" s="259">
        <v>0.1</v>
      </c>
      <c r="CW352" s="259">
        <v>0.1</v>
      </c>
      <c r="CX352" s="259">
        <v>0.1</v>
      </c>
      <c r="CY352" s="259">
        <v>0.1</v>
      </c>
      <c r="CZ352" s="259">
        <v>0.1</v>
      </c>
      <c r="DA352" s="259">
        <v>0.1</v>
      </c>
      <c r="DB352" s="259">
        <v>0.1</v>
      </c>
      <c r="DC352" s="259">
        <v>0.1</v>
      </c>
      <c r="DD352" s="259">
        <v>0.1</v>
      </c>
      <c r="DE352" s="259">
        <v>0.1</v>
      </c>
      <c r="DF352" s="260">
        <v>0.1</v>
      </c>
      <c r="DG352" s="258">
        <v>0.1</v>
      </c>
      <c r="DH352" s="259">
        <v>0.1</v>
      </c>
      <c r="DI352" s="259">
        <v>0.1</v>
      </c>
      <c r="DJ352" s="259">
        <v>0.1</v>
      </c>
      <c r="DK352" s="259">
        <v>0.1</v>
      </c>
      <c r="DL352" s="259">
        <v>0.1</v>
      </c>
      <c r="DM352" s="259">
        <v>0.1</v>
      </c>
      <c r="DN352" s="259">
        <v>0.1</v>
      </c>
      <c r="DO352" s="259">
        <v>0.1</v>
      </c>
      <c r="DP352" s="259">
        <v>0.1</v>
      </c>
      <c r="DQ352" s="259">
        <v>0.1</v>
      </c>
      <c r="DR352" s="259">
        <v>0.1</v>
      </c>
      <c r="DS352" s="260">
        <v>0.1</v>
      </c>
      <c r="DT352" s="258">
        <v>0.1</v>
      </c>
      <c r="DU352" s="259">
        <v>0.1</v>
      </c>
      <c r="DV352" s="259">
        <v>0.1</v>
      </c>
      <c r="DW352" s="259">
        <v>0.1</v>
      </c>
      <c r="DX352" s="259">
        <v>0.1</v>
      </c>
      <c r="DY352" s="259">
        <v>0.1</v>
      </c>
      <c r="DZ352" s="259">
        <v>0.1</v>
      </c>
      <c r="EA352" s="259">
        <v>0.1</v>
      </c>
      <c r="EB352" s="259">
        <v>0.1</v>
      </c>
      <c r="EC352" s="259">
        <v>0.1</v>
      </c>
      <c r="ED352" s="259">
        <v>0.1</v>
      </c>
      <c r="EE352" s="259">
        <v>0.1</v>
      </c>
      <c r="EF352" s="260">
        <v>0.1</v>
      </c>
    </row>
    <row r="353" spans="71:143" ht="15.75" thickBot="1" x14ac:dyDescent="0.3">
      <c r="BS353">
        <v>350</v>
      </c>
      <c r="BT353" s="271">
        <v>1.77</v>
      </c>
      <c r="BU353" s="271">
        <v>1.63</v>
      </c>
      <c r="BV353" s="270">
        <v>1.23</v>
      </c>
      <c r="BW353" s="270">
        <v>1.3</v>
      </c>
      <c r="BX353" s="2"/>
      <c r="BY353" s="258">
        <v>0.1</v>
      </c>
      <c r="BZ353" s="259">
        <v>0.1</v>
      </c>
      <c r="CA353" s="259">
        <v>0.1</v>
      </c>
      <c r="CB353" s="259">
        <v>0.1</v>
      </c>
      <c r="CC353" s="259">
        <v>0.1</v>
      </c>
      <c r="CD353" s="259">
        <v>0.1</v>
      </c>
      <c r="CE353" s="259">
        <v>0.1</v>
      </c>
      <c r="CF353" s="259">
        <v>0.1</v>
      </c>
      <c r="CG353" s="259">
        <v>0.1</v>
      </c>
      <c r="CH353" s="259">
        <v>0.1</v>
      </c>
      <c r="CI353" s="259">
        <v>0.1</v>
      </c>
      <c r="CJ353" s="259">
        <v>0.1</v>
      </c>
      <c r="CK353" s="259">
        <v>0.1</v>
      </c>
      <c r="CL353" s="259">
        <v>0.1</v>
      </c>
      <c r="CM353" s="259">
        <v>0.1</v>
      </c>
      <c r="CN353" s="259">
        <v>0.1</v>
      </c>
      <c r="CO353" s="260">
        <v>0.1</v>
      </c>
      <c r="CP353" s="258">
        <v>0.1</v>
      </c>
      <c r="CQ353" s="259">
        <v>0.1</v>
      </c>
      <c r="CR353" s="259">
        <v>0.1</v>
      </c>
      <c r="CS353" s="259">
        <v>0.1</v>
      </c>
      <c r="CT353" s="259">
        <v>0.1</v>
      </c>
      <c r="CU353" s="259">
        <v>0.1</v>
      </c>
      <c r="CV353" s="259">
        <v>0.1</v>
      </c>
      <c r="CW353" s="259">
        <v>0.1</v>
      </c>
      <c r="CX353" s="259">
        <v>0.1</v>
      </c>
      <c r="CY353" s="259">
        <v>0.1</v>
      </c>
      <c r="CZ353" s="259">
        <v>0.1</v>
      </c>
      <c r="DA353" s="259">
        <v>0.1</v>
      </c>
      <c r="DB353" s="259">
        <v>0.1</v>
      </c>
      <c r="DC353" s="259">
        <v>0.1</v>
      </c>
      <c r="DD353" s="259">
        <v>0.1</v>
      </c>
      <c r="DE353" s="259">
        <v>0.1</v>
      </c>
      <c r="DF353" s="260">
        <v>0.1</v>
      </c>
      <c r="DG353" s="258">
        <v>0.1</v>
      </c>
      <c r="DH353" s="259">
        <v>0.1</v>
      </c>
      <c r="DI353" s="259">
        <v>0.1</v>
      </c>
      <c r="DJ353" s="259">
        <v>0.1</v>
      </c>
      <c r="DK353" s="259">
        <v>0.1</v>
      </c>
      <c r="DL353" s="259">
        <v>0.1</v>
      </c>
      <c r="DM353" s="259">
        <v>0.1</v>
      </c>
      <c r="DN353" s="259">
        <v>0.1</v>
      </c>
      <c r="DO353" s="259">
        <v>0.1</v>
      </c>
      <c r="DP353" s="259">
        <v>0.1</v>
      </c>
      <c r="DQ353" s="259">
        <v>0.1</v>
      </c>
      <c r="DR353" s="259">
        <v>0.1</v>
      </c>
      <c r="DS353" s="260">
        <v>0.1</v>
      </c>
      <c r="DT353" s="258">
        <v>0.1</v>
      </c>
      <c r="DU353" s="259">
        <v>0.1</v>
      </c>
      <c r="DV353" s="259">
        <v>0.1</v>
      </c>
      <c r="DW353" s="259">
        <v>0.1</v>
      </c>
      <c r="DX353" s="259">
        <v>0.1</v>
      </c>
      <c r="DY353" s="259">
        <v>0.1</v>
      </c>
      <c r="DZ353" s="259">
        <v>0.1</v>
      </c>
      <c r="EA353" s="259">
        <v>0.1</v>
      </c>
      <c r="EB353" s="259">
        <v>0.1</v>
      </c>
      <c r="EC353" s="259">
        <v>0.1</v>
      </c>
      <c r="ED353" s="259">
        <v>0.1</v>
      </c>
      <c r="EE353" s="259">
        <v>0.1</v>
      </c>
      <c r="EF353" s="260">
        <v>0.1</v>
      </c>
    </row>
    <row r="354" spans="71:143" ht="15.75" thickBot="1" x14ac:dyDescent="0.3">
      <c r="BS354">
        <v>351</v>
      </c>
      <c r="BT354" s="270">
        <v>1.77</v>
      </c>
      <c r="BU354" s="270">
        <v>1.64</v>
      </c>
      <c r="BV354" s="271">
        <v>1.23</v>
      </c>
      <c r="BW354" s="270">
        <v>1.1100000000000001</v>
      </c>
      <c r="BX354" s="2"/>
      <c r="BY354" s="258">
        <v>0.1</v>
      </c>
      <c r="BZ354" s="259">
        <v>0.1</v>
      </c>
      <c r="CA354" s="259">
        <v>0.1</v>
      </c>
      <c r="CB354" s="259">
        <v>0.1</v>
      </c>
      <c r="CC354" s="259">
        <v>0.1</v>
      </c>
      <c r="CD354" s="259">
        <v>0.1</v>
      </c>
      <c r="CE354" s="259">
        <v>0.1</v>
      </c>
      <c r="CF354" s="259">
        <v>0.1</v>
      </c>
      <c r="CG354" s="259">
        <v>0.1</v>
      </c>
      <c r="CH354" s="259">
        <v>0.1</v>
      </c>
      <c r="CI354" s="259">
        <v>0.1</v>
      </c>
      <c r="CJ354" s="259">
        <v>0.1</v>
      </c>
      <c r="CK354" s="259">
        <v>0.1</v>
      </c>
      <c r="CL354" s="259">
        <v>0.1</v>
      </c>
      <c r="CM354" s="259">
        <v>0.1</v>
      </c>
      <c r="CN354" s="259">
        <v>0.1</v>
      </c>
      <c r="CO354" s="260">
        <v>0.1</v>
      </c>
      <c r="CP354" s="258">
        <v>0.1</v>
      </c>
      <c r="CQ354" s="259">
        <v>0.1</v>
      </c>
      <c r="CR354" s="259">
        <v>0.1</v>
      </c>
      <c r="CS354" s="259">
        <v>0.1</v>
      </c>
      <c r="CT354" s="259">
        <v>0.1</v>
      </c>
      <c r="CU354" s="259">
        <v>0.1</v>
      </c>
      <c r="CV354" s="259">
        <v>0.1</v>
      </c>
      <c r="CW354" s="259">
        <v>0.1</v>
      </c>
      <c r="CX354" s="259">
        <v>0.1</v>
      </c>
      <c r="CY354" s="259">
        <v>0.1</v>
      </c>
      <c r="CZ354" s="259">
        <v>0.1</v>
      </c>
      <c r="DA354" s="259">
        <v>0.1</v>
      </c>
      <c r="DB354" s="259">
        <v>0.1</v>
      </c>
      <c r="DC354" s="259">
        <v>0.1</v>
      </c>
      <c r="DD354" s="259">
        <v>0.1</v>
      </c>
      <c r="DE354" s="259">
        <v>0.1</v>
      </c>
      <c r="DF354" s="260">
        <v>0.1</v>
      </c>
      <c r="DG354" s="258">
        <v>0.1</v>
      </c>
      <c r="DH354" s="259">
        <v>0.1</v>
      </c>
      <c r="DI354" s="259">
        <v>0.1</v>
      </c>
      <c r="DJ354" s="259">
        <v>0.1</v>
      </c>
      <c r="DK354" s="259">
        <v>0.1</v>
      </c>
      <c r="DL354" s="259">
        <v>0.1</v>
      </c>
      <c r="DM354" s="259">
        <v>0.1</v>
      </c>
      <c r="DN354" s="259">
        <v>0.1</v>
      </c>
      <c r="DO354" s="259">
        <v>0.1</v>
      </c>
      <c r="DP354" s="259">
        <v>0.1</v>
      </c>
      <c r="DQ354" s="259">
        <v>0.1</v>
      </c>
      <c r="DR354" s="259">
        <v>0.1</v>
      </c>
      <c r="DS354" s="260">
        <v>0.1</v>
      </c>
      <c r="DT354" s="258">
        <v>0.1</v>
      </c>
      <c r="DU354" s="259">
        <v>0.1</v>
      </c>
      <c r="DV354" s="259">
        <v>0.1</v>
      </c>
      <c r="DW354" s="259">
        <v>0.1</v>
      </c>
      <c r="DX354" s="259">
        <v>0.1</v>
      </c>
      <c r="DY354" s="259">
        <v>0.1</v>
      </c>
      <c r="DZ354" s="259">
        <v>0.1</v>
      </c>
      <c r="EA354" s="259">
        <v>0.1</v>
      </c>
      <c r="EB354" s="259">
        <v>0.1</v>
      </c>
      <c r="EC354" s="259">
        <v>0.1</v>
      </c>
      <c r="ED354" s="259">
        <v>0.1</v>
      </c>
      <c r="EE354" s="260">
        <v>0.1</v>
      </c>
      <c r="EF354">
        <v>0.1</v>
      </c>
      <c r="EG354">
        <f>SUM(EF354)</f>
        <v>0.1</v>
      </c>
    </row>
    <row r="355" spans="71:143" ht="15.75" thickBot="1" x14ac:dyDescent="0.3">
      <c r="BS355">
        <v>352</v>
      </c>
      <c r="BT355" s="271">
        <v>1.77</v>
      </c>
      <c r="BU355" s="271">
        <v>1.64</v>
      </c>
      <c r="BV355" s="270">
        <v>1.24</v>
      </c>
      <c r="BW355" s="270">
        <v>1.28</v>
      </c>
      <c r="BX355" s="2"/>
      <c r="BY355" s="258">
        <v>0.1</v>
      </c>
      <c r="BZ355" s="259">
        <v>0.1</v>
      </c>
      <c r="CA355" s="259">
        <v>0.1</v>
      </c>
      <c r="CB355" s="259">
        <v>0.1</v>
      </c>
      <c r="CC355" s="259">
        <v>0.1</v>
      </c>
      <c r="CD355" s="259">
        <v>0.1</v>
      </c>
      <c r="CE355" s="259">
        <v>0.1</v>
      </c>
      <c r="CF355" s="259">
        <v>0.1</v>
      </c>
      <c r="CG355" s="259">
        <v>0.1</v>
      </c>
      <c r="CH355" s="259">
        <v>0.1</v>
      </c>
      <c r="CI355" s="259">
        <v>0.1</v>
      </c>
      <c r="CJ355" s="259">
        <v>0.1</v>
      </c>
      <c r="CK355" s="259">
        <v>0.1</v>
      </c>
      <c r="CL355" s="259">
        <v>0.1</v>
      </c>
      <c r="CM355" s="259">
        <v>0.1</v>
      </c>
      <c r="CN355" s="259">
        <v>0.1</v>
      </c>
      <c r="CO355" s="260">
        <v>0.1</v>
      </c>
      <c r="CP355" s="258">
        <v>0.1</v>
      </c>
      <c r="CQ355" s="259">
        <v>0.1</v>
      </c>
      <c r="CR355" s="259">
        <v>0.1</v>
      </c>
      <c r="CS355" s="259">
        <v>0.1</v>
      </c>
      <c r="CT355" s="259">
        <v>0.1</v>
      </c>
      <c r="CU355" s="259">
        <v>0.1</v>
      </c>
      <c r="CV355" s="259">
        <v>0.1</v>
      </c>
      <c r="CW355" s="259">
        <v>0.1</v>
      </c>
      <c r="CX355" s="259">
        <v>0.1</v>
      </c>
      <c r="CY355" s="259">
        <v>0.1</v>
      </c>
      <c r="CZ355" s="259">
        <v>0.1</v>
      </c>
      <c r="DA355" s="259">
        <v>0.1</v>
      </c>
      <c r="DB355" s="259">
        <v>0.1</v>
      </c>
      <c r="DC355" s="259">
        <v>0.1</v>
      </c>
      <c r="DD355" s="259">
        <v>0.1</v>
      </c>
      <c r="DE355" s="259">
        <v>0.1</v>
      </c>
      <c r="DF355" s="260">
        <v>0.1</v>
      </c>
      <c r="DG355" s="258">
        <v>0.1</v>
      </c>
      <c r="DH355" s="259">
        <v>0.1</v>
      </c>
      <c r="DI355" s="259">
        <v>0.1</v>
      </c>
      <c r="DJ355" s="259">
        <v>0.1</v>
      </c>
      <c r="DK355" s="259">
        <v>0.1</v>
      </c>
      <c r="DL355" s="259">
        <v>0.1</v>
      </c>
      <c r="DM355" s="259">
        <v>0.1</v>
      </c>
      <c r="DN355" s="259">
        <v>0.1</v>
      </c>
      <c r="DO355" s="259">
        <v>0.1</v>
      </c>
      <c r="DP355" s="259">
        <v>0.1</v>
      </c>
      <c r="DQ355" s="259">
        <v>0.1</v>
      </c>
      <c r="DR355" s="259">
        <v>0.1</v>
      </c>
      <c r="DS355" s="260">
        <v>0.1</v>
      </c>
      <c r="DT355" s="258">
        <v>0.1</v>
      </c>
      <c r="DU355" s="259">
        <v>0.1</v>
      </c>
      <c r="DV355" s="259">
        <v>0.1</v>
      </c>
      <c r="DW355" s="259">
        <v>0.1</v>
      </c>
      <c r="DX355" s="259">
        <v>0.1</v>
      </c>
      <c r="DY355" s="259">
        <v>0.1</v>
      </c>
      <c r="DZ355" s="259">
        <v>0.1</v>
      </c>
      <c r="EA355" s="259">
        <v>0.1</v>
      </c>
      <c r="EB355" s="259">
        <v>0.1</v>
      </c>
      <c r="EC355" s="259">
        <v>0.1</v>
      </c>
      <c r="ED355" s="259">
        <v>0.1</v>
      </c>
      <c r="EE355" s="259">
        <v>0.1</v>
      </c>
      <c r="EF355" s="260">
        <v>0.1</v>
      </c>
    </row>
    <row r="356" spans="71:143" ht="15.75" thickBot="1" x14ac:dyDescent="0.3">
      <c r="BS356">
        <v>353</v>
      </c>
      <c r="BT356" s="270">
        <v>1.61</v>
      </c>
      <c r="BU356" s="270">
        <v>1.64</v>
      </c>
      <c r="BV356" s="271">
        <v>1.27</v>
      </c>
      <c r="BW356" s="271">
        <v>1.1200000000000001</v>
      </c>
      <c r="BX356" s="2"/>
      <c r="BY356" s="258">
        <v>0.1</v>
      </c>
      <c r="BZ356" s="259">
        <v>0.1</v>
      </c>
      <c r="CA356" s="259">
        <v>0.1</v>
      </c>
      <c r="CB356" s="259">
        <v>0.1</v>
      </c>
      <c r="CC356" s="259">
        <v>0.1</v>
      </c>
      <c r="CD356" s="259">
        <v>0.1</v>
      </c>
      <c r="CE356" s="259">
        <v>0.1</v>
      </c>
      <c r="CF356" s="259">
        <v>0.1</v>
      </c>
      <c r="CG356" s="259">
        <v>0.1</v>
      </c>
      <c r="CH356" s="259">
        <v>0.1</v>
      </c>
      <c r="CI356" s="259">
        <v>0.1</v>
      </c>
      <c r="CJ356" s="259">
        <v>0.1</v>
      </c>
      <c r="CK356" s="259">
        <v>0.1</v>
      </c>
      <c r="CL356" s="259">
        <v>0.1</v>
      </c>
      <c r="CM356" s="259">
        <v>0.1</v>
      </c>
      <c r="CN356" s="259">
        <v>0.1</v>
      </c>
      <c r="CO356" s="260">
        <v>0.1</v>
      </c>
      <c r="CP356" s="258">
        <v>0.1</v>
      </c>
      <c r="CQ356" s="259">
        <v>0.1</v>
      </c>
      <c r="CR356" s="259">
        <v>0.1</v>
      </c>
      <c r="CS356" s="259">
        <v>0.1</v>
      </c>
      <c r="CT356" s="259">
        <v>0.1</v>
      </c>
      <c r="CU356" s="259">
        <v>0.1</v>
      </c>
      <c r="CV356" s="259">
        <v>0.1</v>
      </c>
      <c r="CW356" s="259">
        <v>0.1</v>
      </c>
      <c r="CX356" s="259">
        <v>0.1</v>
      </c>
      <c r="CY356" s="259">
        <v>0.1</v>
      </c>
      <c r="CZ356" s="259">
        <v>0.1</v>
      </c>
      <c r="DA356" s="259">
        <v>0.1</v>
      </c>
      <c r="DB356" s="259">
        <v>0.1</v>
      </c>
      <c r="DC356" s="259">
        <v>0.1</v>
      </c>
      <c r="DD356" s="259">
        <v>0.1</v>
      </c>
      <c r="DE356" s="259">
        <v>0.1</v>
      </c>
      <c r="DF356" s="260">
        <v>0.1</v>
      </c>
      <c r="DG356" s="258">
        <v>0.1</v>
      </c>
      <c r="DH356" s="259">
        <v>0.1</v>
      </c>
      <c r="DI356" s="259">
        <v>0.1</v>
      </c>
      <c r="DJ356" s="259">
        <v>0.1</v>
      </c>
      <c r="DK356" s="259">
        <v>0.1</v>
      </c>
      <c r="DL356" s="259">
        <v>0.1</v>
      </c>
      <c r="DM356" s="259">
        <v>0.1</v>
      </c>
      <c r="DN356" s="259">
        <v>0.1</v>
      </c>
      <c r="DO356" s="259">
        <v>0.1</v>
      </c>
      <c r="DP356" s="259">
        <v>0.1</v>
      </c>
      <c r="DQ356" s="259">
        <v>0.1</v>
      </c>
      <c r="DR356" s="259">
        <v>0.1</v>
      </c>
      <c r="DS356" s="260">
        <v>0.1</v>
      </c>
      <c r="DT356" s="258">
        <v>0.1</v>
      </c>
      <c r="DU356" s="259">
        <v>0.1</v>
      </c>
      <c r="DV356" s="259">
        <v>0.1</v>
      </c>
      <c r="DW356" s="259">
        <v>0.1</v>
      </c>
      <c r="DX356" s="259">
        <v>0.1</v>
      </c>
      <c r="DY356" s="259">
        <v>0.1</v>
      </c>
      <c r="DZ356" s="259">
        <v>0.1</v>
      </c>
      <c r="EA356" s="259">
        <v>0.1</v>
      </c>
      <c r="EB356" s="259">
        <v>0.1</v>
      </c>
      <c r="EC356" s="259">
        <v>0.1</v>
      </c>
      <c r="ED356" s="259">
        <v>0.1</v>
      </c>
      <c r="EE356" s="260">
        <v>0.1</v>
      </c>
      <c r="EF356">
        <v>0.1</v>
      </c>
      <c r="EG356">
        <f>SUM(EF356)</f>
        <v>0.1</v>
      </c>
    </row>
    <row r="357" spans="71:143" ht="15.75" thickBot="1" x14ac:dyDescent="0.3">
      <c r="BS357">
        <v>354</v>
      </c>
      <c r="BT357" s="271">
        <v>1.62</v>
      </c>
      <c r="BU357" s="271">
        <v>1.66</v>
      </c>
      <c r="BV357" s="270">
        <v>1.28</v>
      </c>
      <c r="BW357" s="271">
        <v>1.1200000000000001</v>
      </c>
      <c r="BX357" s="2"/>
      <c r="BY357" s="258">
        <v>0.1</v>
      </c>
      <c r="BZ357" s="259">
        <v>0.1</v>
      </c>
      <c r="CA357" s="259">
        <v>0.1</v>
      </c>
      <c r="CB357" s="259">
        <v>0.1</v>
      </c>
      <c r="CC357" s="259">
        <v>0.1</v>
      </c>
      <c r="CD357" s="259">
        <v>0.1</v>
      </c>
      <c r="CE357" s="259">
        <v>0.1</v>
      </c>
      <c r="CF357" s="259">
        <v>0.1</v>
      </c>
      <c r="CG357" s="259">
        <v>0.1</v>
      </c>
      <c r="CH357" s="259">
        <v>0.1</v>
      </c>
      <c r="CI357" s="259">
        <v>0.1</v>
      </c>
      <c r="CJ357" s="259">
        <v>0.1</v>
      </c>
      <c r="CK357" s="259">
        <v>0.1</v>
      </c>
      <c r="CL357" s="259">
        <v>0.1</v>
      </c>
      <c r="CM357" s="259">
        <v>0.1</v>
      </c>
      <c r="CN357" s="259">
        <v>0.1</v>
      </c>
      <c r="CO357" s="260">
        <v>0.1</v>
      </c>
      <c r="CP357" s="258">
        <v>0.1</v>
      </c>
      <c r="CQ357" s="259">
        <v>0.1</v>
      </c>
      <c r="CR357" s="259">
        <v>0.1</v>
      </c>
      <c r="CS357" s="259">
        <v>0.1</v>
      </c>
      <c r="CT357" s="259">
        <v>0.1</v>
      </c>
      <c r="CU357" s="259">
        <v>0.1</v>
      </c>
      <c r="CV357" s="259">
        <v>0.1</v>
      </c>
      <c r="CW357" s="259">
        <v>0.1</v>
      </c>
      <c r="CX357" s="259">
        <v>0.1</v>
      </c>
      <c r="CY357" s="259">
        <v>0.1</v>
      </c>
      <c r="CZ357" s="259">
        <v>0.1</v>
      </c>
      <c r="DA357" s="259">
        <v>0.1</v>
      </c>
      <c r="DB357" s="259">
        <v>0.1</v>
      </c>
      <c r="DC357" s="259">
        <v>0.1</v>
      </c>
      <c r="DD357" s="259">
        <v>0.1</v>
      </c>
      <c r="DE357" s="259">
        <v>0.1</v>
      </c>
      <c r="DF357" s="260">
        <v>0.1</v>
      </c>
      <c r="DG357" s="258">
        <v>0.1</v>
      </c>
      <c r="DH357" s="259">
        <v>0.1</v>
      </c>
      <c r="DI357" s="259">
        <v>0.1</v>
      </c>
      <c r="DJ357" s="259">
        <v>0.1</v>
      </c>
      <c r="DK357" s="259">
        <v>0.1</v>
      </c>
      <c r="DL357" s="259">
        <v>0.1</v>
      </c>
      <c r="DM357" s="259">
        <v>0.1</v>
      </c>
      <c r="DN357" s="259">
        <v>0.1</v>
      </c>
      <c r="DO357" s="259">
        <v>0.1</v>
      </c>
      <c r="DP357" s="259">
        <v>0.1</v>
      </c>
      <c r="DQ357" s="259">
        <v>0.1</v>
      </c>
      <c r="DR357" s="259">
        <v>0.1</v>
      </c>
      <c r="DS357" s="260">
        <v>0.1</v>
      </c>
      <c r="DT357" s="258">
        <v>0.1</v>
      </c>
      <c r="DU357" s="259">
        <v>0.1</v>
      </c>
      <c r="DV357" s="259">
        <v>0.1</v>
      </c>
      <c r="DW357" s="259">
        <v>0.1</v>
      </c>
      <c r="DX357" s="259">
        <v>0.1</v>
      </c>
      <c r="DY357" s="259">
        <v>0.1</v>
      </c>
      <c r="DZ357" s="259">
        <v>0.1</v>
      </c>
      <c r="EA357" s="259">
        <v>0.1</v>
      </c>
      <c r="EB357" s="259">
        <v>0.1</v>
      </c>
      <c r="EC357" s="259">
        <v>0.1</v>
      </c>
      <c r="ED357" s="259">
        <v>0.1</v>
      </c>
      <c r="EE357" s="260">
        <v>0.1</v>
      </c>
      <c r="EF357">
        <v>0.1</v>
      </c>
      <c r="EG357">
        <f>SUM(EF357)</f>
        <v>0.1</v>
      </c>
    </row>
    <row r="358" spans="71:143" ht="15.75" thickBot="1" x14ac:dyDescent="0.3">
      <c r="BS358">
        <v>355</v>
      </c>
      <c r="BT358" s="270">
        <v>1.1200000000000001</v>
      </c>
      <c r="BU358" s="270">
        <v>1.69</v>
      </c>
      <c r="BV358" s="271">
        <v>1.28</v>
      </c>
      <c r="BW358" s="271">
        <v>1.28</v>
      </c>
      <c r="BX358" s="271">
        <v>0.4</v>
      </c>
      <c r="BY358" s="258">
        <v>0.1</v>
      </c>
      <c r="BZ358" s="259">
        <v>0.1</v>
      </c>
      <c r="CA358" s="259">
        <v>0.1</v>
      </c>
      <c r="CB358" s="259">
        <v>0.1</v>
      </c>
      <c r="CC358" s="259">
        <v>0.1</v>
      </c>
      <c r="CD358" s="259">
        <v>0.1</v>
      </c>
      <c r="CE358" s="259">
        <v>0.1</v>
      </c>
      <c r="CF358" s="259">
        <v>0.1</v>
      </c>
      <c r="CG358" s="259">
        <v>0.1</v>
      </c>
      <c r="CH358" s="259">
        <v>0.1</v>
      </c>
      <c r="CI358" s="259">
        <v>0.1</v>
      </c>
      <c r="CJ358" s="260">
        <v>0.1</v>
      </c>
      <c r="CK358" s="258">
        <v>0.1</v>
      </c>
      <c r="CL358" s="259">
        <v>0.1</v>
      </c>
      <c r="CM358" s="259">
        <v>0.1</v>
      </c>
      <c r="CN358" s="259">
        <v>0.1</v>
      </c>
      <c r="CO358" s="259">
        <v>0.1</v>
      </c>
      <c r="CP358" s="259">
        <v>0.1</v>
      </c>
      <c r="CQ358" s="259">
        <v>0.1</v>
      </c>
      <c r="CR358" s="259">
        <v>0.1</v>
      </c>
      <c r="CS358" s="259">
        <v>0.1</v>
      </c>
      <c r="CT358" s="259">
        <v>0.1</v>
      </c>
      <c r="CU358" s="259">
        <v>0.1</v>
      </c>
      <c r="CV358" s="259">
        <v>0.1</v>
      </c>
      <c r="CW358" s="259">
        <v>0.1</v>
      </c>
      <c r="CX358" s="259">
        <v>0.1</v>
      </c>
      <c r="CY358" s="259">
        <v>0.1</v>
      </c>
      <c r="CZ358" s="259">
        <v>0.1</v>
      </c>
      <c r="DA358" s="260">
        <v>0.1</v>
      </c>
      <c r="DB358" s="258">
        <v>0.1</v>
      </c>
      <c r="DC358" s="259">
        <v>0.1</v>
      </c>
      <c r="DD358" s="259">
        <v>0.1</v>
      </c>
      <c r="DE358" s="259">
        <v>0.1</v>
      </c>
      <c r="DF358" s="259">
        <v>0.1</v>
      </c>
      <c r="DG358" s="259">
        <v>0.1</v>
      </c>
      <c r="DH358" s="259">
        <v>0.1</v>
      </c>
      <c r="DI358" s="259">
        <v>0.1</v>
      </c>
      <c r="DJ358" s="259">
        <v>0.1</v>
      </c>
      <c r="DK358" s="259">
        <v>0.1</v>
      </c>
      <c r="DL358" s="259">
        <v>0.1</v>
      </c>
      <c r="DM358" s="259">
        <v>0.1</v>
      </c>
      <c r="DN358" s="260">
        <v>0.1</v>
      </c>
      <c r="DO358" s="258">
        <v>0.1</v>
      </c>
      <c r="DP358" s="259">
        <v>0.1</v>
      </c>
      <c r="DQ358" s="259">
        <v>0.1</v>
      </c>
      <c r="DR358" s="259">
        <v>0.1</v>
      </c>
      <c r="DS358" s="259">
        <v>0.1</v>
      </c>
      <c r="DT358" s="259">
        <v>0.1</v>
      </c>
      <c r="DU358" s="259">
        <v>0.1</v>
      </c>
      <c r="DV358" s="259">
        <v>0.1</v>
      </c>
      <c r="DW358" s="259">
        <v>0.1</v>
      </c>
      <c r="DX358" s="259">
        <v>0.1</v>
      </c>
      <c r="DY358" s="259">
        <v>0.1</v>
      </c>
      <c r="DZ358" s="259">
        <v>0.1</v>
      </c>
      <c r="EA358" s="263">
        <v>0.1</v>
      </c>
      <c r="EB358" s="261">
        <v>0.1</v>
      </c>
      <c r="EC358" s="262">
        <v>0.1</v>
      </c>
      <c r="ED358" s="262">
        <v>0.1</v>
      </c>
      <c r="EE358" s="263">
        <v>0.1</v>
      </c>
      <c r="EF358">
        <v>0.1</v>
      </c>
      <c r="EG358">
        <f>SUM(EF358)</f>
        <v>0.1</v>
      </c>
    </row>
    <row r="359" spans="71:143" ht="15.75" thickBot="1" x14ac:dyDescent="0.3">
      <c r="BS359">
        <v>356</v>
      </c>
      <c r="BT359" s="271">
        <v>1.1200000000000001</v>
      </c>
      <c r="BU359" s="271">
        <v>1.69</v>
      </c>
      <c r="BV359" s="270">
        <v>1.28</v>
      </c>
      <c r="BW359" s="270">
        <v>1.1200000000000001</v>
      </c>
      <c r="BX359" s="271">
        <v>0.6</v>
      </c>
      <c r="BY359" s="258">
        <v>0.1</v>
      </c>
      <c r="BZ359" s="259">
        <v>0.1</v>
      </c>
      <c r="CA359" s="259">
        <v>0.1</v>
      </c>
      <c r="CB359" s="259">
        <v>0.1</v>
      </c>
      <c r="CC359" s="259">
        <v>0.1</v>
      </c>
      <c r="CD359" s="259">
        <v>0.1</v>
      </c>
      <c r="CE359" s="259">
        <v>0.1</v>
      </c>
      <c r="CF359" s="259">
        <v>0.1</v>
      </c>
      <c r="CG359" s="259">
        <v>0.1</v>
      </c>
      <c r="CH359" s="259">
        <v>0.1</v>
      </c>
      <c r="CI359" s="259">
        <v>0.1</v>
      </c>
      <c r="CJ359" s="260">
        <v>0.1</v>
      </c>
      <c r="CK359" s="258">
        <v>0.1</v>
      </c>
      <c r="CL359" s="259">
        <v>0.1</v>
      </c>
      <c r="CM359" s="259">
        <v>0.1</v>
      </c>
      <c r="CN359" s="259">
        <v>0.1</v>
      </c>
      <c r="CO359" s="259">
        <v>0.1</v>
      </c>
      <c r="CP359" s="259">
        <v>0.1</v>
      </c>
      <c r="CQ359" s="259">
        <v>0.1</v>
      </c>
      <c r="CR359" s="259">
        <v>0.1</v>
      </c>
      <c r="CS359" s="259">
        <v>0.1</v>
      </c>
      <c r="CT359" s="259">
        <v>0.1</v>
      </c>
      <c r="CU359" s="259">
        <v>0.1</v>
      </c>
      <c r="CV359" s="259">
        <v>0.1</v>
      </c>
      <c r="CW359" s="259">
        <v>0.1</v>
      </c>
      <c r="CX359" s="259">
        <v>0.1</v>
      </c>
      <c r="CY359" s="259">
        <v>0.1</v>
      </c>
      <c r="CZ359" s="259">
        <v>0.1</v>
      </c>
      <c r="DA359" s="260">
        <v>0.1</v>
      </c>
      <c r="DB359" s="258">
        <v>0.1</v>
      </c>
      <c r="DC359" s="259">
        <v>0.1</v>
      </c>
      <c r="DD359" s="259">
        <v>0.1</v>
      </c>
      <c r="DE359" s="259">
        <v>0.1</v>
      </c>
      <c r="DF359" s="259">
        <v>0.1</v>
      </c>
      <c r="DG359" s="259">
        <v>0.1</v>
      </c>
      <c r="DH359" s="259">
        <v>0.1</v>
      </c>
      <c r="DI359" s="259">
        <v>0.1</v>
      </c>
      <c r="DJ359" s="259">
        <v>0.1</v>
      </c>
      <c r="DK359" s="259">
        <v>0.1</v>
      </c>
      <c r="DL359" s="259">
        <v>0.1</v>
      </c>
      <c r="DM359" s="259">
        <v>0.1</v>
      </c>
      <c r="DN359" s="260">
        <v>0.1</v>
      </c>
      <c r="DO359" s="258">
        <v>0.1</v>
      </c>
      <c r="DP359" s="259">
        <v>0.1</v>
      </c>
      <c r="DQ359" s="259">
        <v>0.1</v>
      </c>
      <c r="DR359" s="259">
        <v>0.1</v>
      </c>
      <c r="DS359" s="259">
        <v>0.1</v>
      </c>
      <c r="DT359" s="259">
        <v>0.1</v>
      </c>
      <c r="DU359" s="259">
        <v>0.1</v>
      </c>
      <c r="DV359" s="259">
        <v>0.1</v>
      </c>
      <c r="DW359" s="259">
        <v>0.1</v>
      </c>
      <c r="DX359" s="259">
        <v>0.1</v>
      </c>
      <c r="DY359" s="259">
        <v>0.1</v>
      </c>
      <c r="DZ359" s="260">
        <v>0.1</v>
      </c>
      <c r="EA359" s="258">
        <v>0.1</v>
      </c>
      <c r="EB359" s="259">
        <v>0.1</v>
      </c>
      <c r="EC359" s="259">
        <v>0.1</v>
      </c>
      <c r="ED359" s="259">
        <v>0.1</v>
      </c>
      <c r="EE359" s="259">
        <v>0.1</v>
      </c>
      <c r="EF359" s="260">
        <v>0.1</v>
      </c>
    </row>
    <row r="360" spans="71:143" ht="15.75" thickBot="1" x14ac:dyDescent="0.3">
      <c r="BS360">
        <v>357</v>
      </c>
      <c r="BT360" s="270">
        <v>1.1200000000000001</v>
      </c>
      <c r="BU360" s="270">
        <v>1.7</v>
      </c>
      <c r="BV360" s="271">
        <v>1.28</v>
      </c>
      <c r="BW360" s="270">
        <v>1.1200000000000001</v>
      </c>
      <c r="BX360" s="270">
        <v>0.4</v>
      </c>
      <c r="BY360" s="258">
        <v>0.1</v>
      </c>
      <c r="BZ360" s="259">
        <v>0.1</v>
      </c>
      <c r="CA360" s="259">
        <v>0.1</v>
      </c>
      <c r="CB360" s="259">
        <v>0.1</v>
      </c>
      <c r="CC360" s="259">
        <v>0.1</v>
      </c>
      <c r="CD360" s="259">
        <v>0.1</v>
      </c>
      <c r="CE360" s="259">
        <v>0.1</v>
      </c>
      <c r="CF360" s="259">
        <v>0.1</v>
      </c>
      <c r="CG360" s="259">
        <v>0.1</v>
      </c>
      <c r="CH360" s="259">
        <v>0.1</v>
      </c>
      <c r="CI360" s="259">
        <v>0.1</v>
      </c>
      <c r="CJ360" s="260">
        <v>0.1</v>
      </c>
      <c r="CK360" s="258">
        <v>0.1</v>
      </c>
      <c r="CL360" s="259">
        <v>0.1</v>
      </c>
      <c r="CM360" s="259">
        <v>0.1</v>
      </c>
      <c r="CN360" s="259">
        <v>0.1</v>
      </c>
      <c r="CO360" s="259">
        <v>0.1</v>
      </c>
      <c r="CP360" s="259">
        <v>0.1</v>
      </c>
      <c r="CQ360" s="259">
        <v>0.1</v>
      </c>
      <c r="CR360" s="259">
        <v>0.1</v>
      </c>
      <c r="CS360" s="259">
        <v>0.1</v>
      </c>
      <c r="CT360" s="259">
        <v>0.1</v>
      </c>
      <c r="CU360" s="259">
        <v>0.1</v>
      </c>
      <c r="CV360" s="259">
        <v>0.1</v>
      </c>
      <c r="CW360" s="259">
        <v>0.1</v>
      </c>
      <c r="CX360" s="259">
        <v>0.1</v>
      </c>
      <c r="CY360" s="259">
        <v>0.1</v>
      </c>
      <c r="CZ360" s="259">
        <v>0.1</v>
      </c>
      <c r="DA360" s="260">
        <v>0.1</v>
      </c>
      <c r="DB360" s="258">
        <v>0.1</v>
      </c>
      <c r="DC360" s="259">
        <v>0.1</v>
      </c>
      <c r="DD360" s="259">
        <v>0.1</v>
      </c>
      <c r="DE360" s="259">
        <v>0.1</v>
      </c>
      <c r="DF360" s="259">
        <v>0.1</v>
      </c>
      <c r="DG360" s="259">
        <v>0.1</v>
      </c>
      <c r="DH360" s="259">
        <v>0.1</v>
      </c>
      <c r="DI360" s="259">
        <v>0.1</v>
      </c>
      <c r="DJ360" s="259">
        <v>0.1</v>
      </c>
      <c r="DK360" s="259">
        <v>0.1</v>
      </c>
      <c r="DL360" s="259">
        <v>0.1</v>
      </c>
      <c r="DM360" s="259">
        <v>0.1</v>
      </c>
      <c r="DN360" s="260">
        <v>0.1</v>
      </c>
      <c r="DO360" s="258">
        <v>0.1</v>
      </c>
      <c r="DP360" s="259">
        <v>0.1</v>
      </c>
      <c r="DQ360" s="259">
        <v>0.1</v>
      </c>
      <c r="DR360" s="259">
        <v>0.1</v>
      </c>
      <c r="DS360" s="259">
        <v>0.1</v>
      </c>
      <c r="DT360" s="259">
        <v>0.1</v>
      </c>
      <c r="DU360" s="259">
        <v>0.1</v>
      </c>
      <c r="DV360" s="259">
        <v>0.1</v>
      </c>
      <c r="DW360" s="259">
        <v>0.1</v>
      </c>
      <c r="DX360" s="259">
        <v>0.1</v>
      </c>
      <c r="DY360" s="259">
        <v>0.1</v>
      </c>
      <c r="DZ360" s="260">
        <v>0.1</v>
      </c>
      <c r="EA360" s="258">
        <v>0.1</v>
      </c>
      <c r="EB360" s="259">
        <v>0.1</v>
      </c>
      <c r="EC360" s="259">
        <v>0.1</v>
      </c>
      <c r="ED360" s="260">
        <v>0.1</v>
      </c>
      <c r="EE360">
        <v>0.1</v>
      </c>
      <c r="EF360">
        <v>0.1</v>
      </c>
      <c r="EG360">
        <f>SUM(EE360:EF360)</f>
        <v>0.2</v>
      </c>
    </row>
    <row r="361" spans="71:143" ht="15.75" thickBot="1" x14ac:dyDescent="0.3">
      <c r="BS361">
        <v>358</v>
      </c>
      <c r="BT361" s="271">
        <v>1.1200000000000001</v>
      </c>
      <c r="BU361" s="271">
        <v>1.1200000000000001</v>
      </c>
      <c r="BV361" s="270">
        <v>1.28</v>
      </c>
      <c r="BW361" s="270">
        <v>0.84</v>
      </c>
      <c r="BX361" s="271">
        <v>0.79</v>
      </c>
      <c r="BY361" s="258">
        <v>0.1</v>
      </c>
      <c r="BZ361" s="259">
        <v>0.1</v>
      </c>
      <c r="CA361" s="259">
        <v>0.1</v>
      </c>
      <c r="CB361" s="259">
        <v>0.1</v>
      </c>
      <c r="CC361" s="259">
        <v>0.1</v>
      </c>
      <c r="CD361" s="259">
        <v>0.1</v>
      </c>
      <c r="CE361" s="259">
        <v>0.1</v>
      </c>
      <c r="CF361" s="259">
        <v>0.1</v>
      </c>
      <c r="CG361" s="259">
        <v>0.1</v>
      </c>
      <c r="CH361" s="259">
        <v>0.1</v>
      </c>
      <c r="CI361" s="259">
        <v>0.1</v>
      </c>
      <c r="CJ361" s="260">
        <v>0.1</v>
      </c>
      <c r="CK361" s="258">
        <v>0.1</v>
      </c>
      <c r="CL361" s="259">
        <v>0.1</v>
      </c>
      <c r="CM361" s="259">
        <v>0.1</v>
      </c>
      <c r="CN361" s="259">
        <v>0.1</v>
      </c>
      <c r="CO361" s="259">
        <v>0.1</v>
      </c>
      <c r="CP361" s="259">
        <v>0.1</v>
      </c>
      <c r="CQ361" s="259">
        <v>0.1</v>
      </c>
      <c r="CR361" s="259">
        <v>0.1</v>
      </c>
      <c r="CS361" s="259">
        <v>0.1</v>
      </c>
      <c r="CT361" s="259">
        <v>0.1</v>
      </c>
      <c r="CU361" s="259">
        <v>0.1</v>
      </c>
      <c r="CV361" s="260">
        <v>0.1</v>
      </c>
      <c r="CW361" s="258">
        <v>0.1</v>
      </c>
      <c r="CX361" s="259">
        <v>0.1</v>
      </c>
      <c r="CY361" s="259">
        <v>0.1</v>
      </c>
      <c r="CZ361" s="259">
        <v>0.1</v>
      </c>
      <c r="DA361" s="259">
        <v>0.1</v>
      </c>
      <c r="DB361" s="259">
        <v>0.1</v>
      </c>
      <c r="DC361" s="259">
        <v>0.1</v>
      </c>
      <c r="DD361" s="259">
        <v>0.1</v>
      </c>
      <c r="DE361" s="259">
        <v>0.1</v>
      </c>
      <c r="DF361" s="259">
        <v>0.1</v>
      </c>
      <c r="DG361" s="259">
        <v>0.1</v>
      </c>
      <c r="DH361" s="259">
        <v>0.1</v>
      </c>
      <c r="DI361" s="260">
        <v>0.1</v>
      </c>
      <c r="DJ361" s="258">
        <v>0.1</v>
      </c>
      <c r="DK361" s="259">
        <v>0.1</v>
      </c>
      <c r="DL361" s="259">
        <v>0.1</v>
      </c>
      <c r="DM361" s="259">
        <v>0.1</v>
      </c>
      <c r="DN361" s="259">
        <v>0.1</v>
      </c>
      <c r="DO361" s="259">
        <v>0.1</v>
      </c>
      <c r="DP361" s="259">
        <v>0.1</v>
      </c>
      <c r="DQ361" s="259">
        <v>0.1</v>
      </c>
      <c r="DR361" s="260">
        <v>0.1</v>
      </c>
      <c r="DS361" s="258">
        <v>0.1</v>
      </c>
      <c r="DT361" s="259">
        <v>0.1</v>
      </c>
      <c r="DU361" s="259">
        <v>0.1</v>
      </c>
      <c r="DV361" s="259">
        <v>0.1</v>
      </c>
      <c r="DW361" s="259">
        <v>0.1</v>
      </c>
      <c r="DX361" s="259">
        <v>0.1</v>
      </c>
      <c r="DY361" s="259">
        <v>0.1</v>
      </c>
      <c r="DZ361" s="260">
        <v>0.1</v>
      </c>
      <c r="EA361" s="258">
        <v>0.1</v>
      </c>
      <c r="EB361" s="259">
        <v>0.1</v>
      </c>
      <c r="EC361" s="259">
        <v>0.1</v>
      </c>
      <c r="ED361" s="260">
        <v>0.1</v>
      </c>
      <c r="EE361">
        <v>0.1</v>
      </c>
      <c r="EF361">
        <v>0.1</v>
      </c>
      <c r="EG361">
        <f>SUM(EE361:EF361)</f>
        <v>0.2</v>
      </c>
      <c r="EH361" s="271">
        <v>0.4</v>
      </c>
    </row>
    <row r="362" spans="71:143" ht="15.75" thickBot="1" x14ac:dyDescent="0.3">
      <c r="BS362">
        <v>359</v>
      </c>
      <c r="BT362" s="270">
        <v>0.76</v>
      </c>
      <c r="BU362" s="271">
        <v>0.76</v>
      </c>
      <c r="BV362" s="270">
        <v>0.75</v>
      </c>
      <c r="BW362" s="271">
        <v>0.71</v>
      </c>
      <c r="BX362" s="270">
        <v>0.7</v>
      </c>
      <c r="BY362" s="258">
        <v>0.1</v>
      </c>
      <c r="BZ362" s="259">
        <v>0.1</v>
      </c>
      <c r="CA362" s="259">
        <v>0.1</v>
      </c>
      <c r="CB362" s="259">
        <v>0.1</v>
      </c>
      <c r="CC362" s="259">
        <v>0.1</v>
      </c>
      <c r="CD362" s="259">
        <v>0.1</v>
      </c>
      <c r="CE362" s="259">
        <v>0.1</v>
      </c>
      <c r="CF362" s="260">
        <v>0.1</v>
      </c>
      <c r="CG362" s="258">
        <v>0.1</v>
      </c>
      <c r="CH362" s="259">
        <v>0.1</v>
      </c>
      <c r="CI362" s="259">
        <v>0.1</v>
      </c>
      <c r="CJ362" s="259">
        <v>0.1</v>
      </c>
      <c r="CK362" s="259">
        <v>0.1</v>
      </c>
      <c r="CL362" s="259">
        <v>0.1</v>
      </c>
      <c r="CM362" s="259">
        <v>0.1</v>
      </c>
      <c r="CN362" s="260">
        <v>0.1</v>
      </c>
      <c r="CO362" s="258">
        <v>0.1</v>
      </c>
      <c r="CP362" s="259">
        <v>0.1</v>
      </c>
      <c r="CQ362" s="259">
        <v>0.1</v>
      </c>
      <c r="CR362" s="259">
        <v>0.1</v>
      </c>
      <c r="CS362" s="259">
        <v>0.1</v>
      </c>
      <c r="CT362" s="259">
        <v>0.1</v>
      </c>
      <c r="CU362" s="259">
        <v>0.1</v>
      </c>
      <c r="CV362" s="260">
        <v>0.1</v>
      </c>
      <c r="CW362" s="258">
        <v>0.1</v>
      </c>
      <c r="CX362" s="259">
        <v>0.1</v>
      </c>
      <c r="CY362" s="259">
        <v>0.1</v>
      </c>
      <c r="CZ362" s="259">
        <v>0.1</v>
      </c>
      <c r="DA362" s="259">
        <v>0.1</v>
      </c>
      <c r="DB362" s="259">
        <v>0.1</v>
      </c>
      <c r="DC362" s="259">
        <v>0.1</v>
      </c>
      <c r="DD362" s="260">
        <v>0.1</v>
      </c>
      <c r="DE362" s="258">
        <v>0.1</v>
      </c>
      <c r="DF362" s="259">
        <v>0.1</v>
      </c>
      <c r="DG362" s="259">
        <v>0.1</v>
      </c>
      <c r="DH362" s="259">
        <v>0.1</v>
      </c>
      <c r="DI362" s="259">
        <v>0.1</v>
      </c>
      <c r="DJ362" s="259">
        <v>0.1</v>
      </c>
      <c r="DK362" s="260">
        <v>0.1</v>
      </c>
      <c r="DL362" s="258">
        <v>0.1</v>
      </c>
      <c r="DM362" s="259">
        <v>0.1</v>
      </c>
      <c r="DN362" s="259">
        <v>0.1</v>
      </c>
      <c r="DO362" s="259">
        <v>0.1</v>
      </c>
      <c r="DP362" s="259">
        <v>0.1</v>
      </c>
      <c r="DQ362" s="259">
        <v>0.1</v>
      </c>
      <c r="DR362" s="260">
        <v>0.1</v>
      </c>
      <c r="DS362" s="258">
        <v>0.1</v>
      </c>
      <c r="DT362" s="259">
        <v>0.1</v>
      </c>
      <c r="DU362" s="259">
        <v>0.1</v>
      </c>
      <c r="DV362" s="259">
        <v>0.1</v>
      </c>
      <c r="DW362" s="259">
        <v>0.1</v>
      </c>
      <c r="DX362" s="259">
        <v>0.1</v>
      </c>
      <c r="DY362" s="260">
        <v>0.1</v>
      </c>
      <c r="DZ362" s="258">
        <v>0.1</v>
      </c>
      <c r="EA362" s="259">
        <v>0.1</v>
      </c>
      <c r="EB362" s="259">
        <v>0.1</v>
      </c>
      <c r="EC362" s="259">
        <v>0.1</v>
      </c>
      <c r="ED362" s="259">
        <v>0.1</v>
      </c>
      <c r="EE362" s="259">
        <v>0.1</v>
      </c>
      <c r="EF362" s="260">
        <v>0.1</v>
      </c>
      <c r="EH362" s="271">
        <v>0.68</v>
      </c>
      <c r="EI362" s="270">
        <v>0.66</v>
      </c>
      <c r="EJ362">
        <v>0.66</v>
      </c>
    </row>
    <row r="363" spans="71:143" ht="15.75" thickBot="1" x14ac:dyDescent="0.3">
      <c r="BS363">
        <v>360</v>
      </c>
      <c r="BT363" s="271">
        <v>0.65</v>
      </c>
      <c r="BU363" s="270">
        <v>0.65</v>
      </c>
      <c r="BV363" s="271">
        <v>0.65</v>
      </c>
      <c r="BW363" s="270">
        <v>0.62</v>
      </c>
      <c r="BX363" s="271">
        <v>0.62</v>
      </c>
      <c r="BY363" s="258">
        <v>0.1</v>
      </c>
      <c r="BZ363" s="259">
        <v>0.1</v>
      </c>
      <c r="CA363" s="259">
        <v>0.1</v>
      </c>
      <c r="CB363" s="259">
        <v>0.1</v>
      </c>
      <c r="CC363" s="259">
        <v>0.1</v>
      </c>
      <c r="CD363" s="259">
        <v>0.1</v>
      </c>
      <c r="CE363" s="260">
        <v>0.1</v>
      </c>
      <c r="CF363" s="258">
        <v>0.1</v>
      </c>
      <c r="CG363" s="259">
        <v>0.1</v>
      </c>
      <c r="CH363" s="259">
        <v>0.1</v>
      </c>
      <c r="CI363" s="259">
        <v>0.1</v>
      </c>
      <c r="CJ363" s="259">
        <v>0.1</v>
      </c>
      <c r="CK363" s="259">
        <v>0.1</v>
      </c>
      <c r="CL363" s="260">
        <v>0.1</v>
      </c>
      <c r="CM363" s="258">
        <v>0.1</v>
      </c>
      <c r="CN363" s="259">
        <v>0.1</v>
      </c>
      <c r="CO363" s="259">
        <v>0.1</v>
      </c>
      <c r="CP363" s="259">
        <v>0.1</v>
      </c>
      <c r="CQ363" s="259">
        <v>0.1</v>
      </c>
      <c r="CR363" s="259">
        <v>0.1</v>
      </c>
      <c r="CS363" s="260">
        <v>0.1</v>
      </c>
      <c r="CT363" s="258">
        <v>0.1</v>
      </c>
      <c r="CU363" s="259">
        <v>0.1</v>
      </c>
      <c r="CV363" s="259">
        <v>0.1</v>
      </c>
      <c r="CW363" s="259">
        <v>0.1</v>
      </c>
      <c r="CX363" s="259">
        <v>0.1</v>
      </c>
      <c r="CY363" s="259">
        <v>0.1</v>
      </c>
      <c r="CZ363" s="260">
        <v>0.1</v>
      </c>
      <c r="DA363" s="258">
        <v>0.1</v>
      </c>
      <c r="DB363" s="259">
        <v>0.1</v>
      </c>
      <c r="DC363" s="259">
        <v>0.1</v>
      </c>
      <c r="DD363" s="259">
        <v>0.1</v>
      </c>
      <c r="DE363" s="259">
        <v>0.1</v>
      </c>
      <c r="DF363" s="259">
        <v>0.1</v>
      </c>
      <c r="DG363" s="260">
        <v>0.1</v>
      </c>
      <c r="DH363" s="258">
        <v>0.1</v>
      </c>
      <c r="DI363" s="259">
        <v>0.1</v>
      </c>
      <c r="DJ363" s="259">
        <v>0.1</v>
      </c>
      <c r="DK363" s="260">
        <v>0.1</v>
      </c>
      <c r="DL363" s="258">
        <v>0.1</v>
      </c>
      <c r="DM363" s="259">
        <v>0.1</v>
      </c>
      <c r="DN363" s="259">
        <v>0.1</v>
      </c>
      <c r="DO363" s="260">
        <v>0.1</v>
      </c>
      <c r="DP363" s="258">
        <v>0.1</v>
      </c>
      <c r="DQ363" s="259">
        <v>0.1</v>
      </c>
      <c r="DR363" s="259">
        <v>0.1</v>
      </c>
      <c r="DS363" s="260">
        <v>0.1</v>
      </c>
      <c r="DT363" s="258">
        <v>0.1</v>
      </c>
      <c r="DU363" s="259">
        <v>0.1</v>
      </c>
      <c r="DV363" s="259">
        <v>0.1</v>
      </c>
      <c r="DW363" s="260">
        <v>0.1</v>
      </c>
      <c r="DX363" s="258">
        <v>0.1</v>
      </c>
      <c r="DY363" s="259">
        <v>0.1</v>
      </c>
      <c r="DZ363" s="259">
        <v>0.1</v>
      </c>
      <c r="EA363" s="260">
        <v>0.1</v>
      </c>
      <c r="EB363" s="258">
        <v>0.1</v>
      </c>
      <c r="EC363" s="259">
        <v>0.1</v>
      </c>
      <c r="ED363" s="259">
        <v>0.1</v>
      </c>
      <c r="EE363" s="260">
        <v>0.1</v>
      </c>
      <c r="EF363">
        <v>0.1</v>
      </c>
      <c r="EG363">
        <f>SUM(EF363)</f>
        <v>0.1</v>
      </c>
      <c r="EH363" s="271">
        <v>0.4</v>
      </c>
      <c r="EI363" s="270">
        <v>0.4</v>
      </c>
      <c r="EJ363" s="271">
        <v>0.4</v>
      </c>
      <c r="EK363" s="270">
        <v>0.4</v>
      </c>
      <c r="EL363" s="271">
        <v>0.4</v>
      </c>
      <c r="EM363" s="270">
        <v>0.4</v>
      </c>
    </row>
    <row r="364" spans="71:143" ht="15.75" thickBot="1" x14ac:dyDescent="0.3">
      <c r="BS364">
        <v>361</v>
      </c>
      <c r="BT364" s="270">
        <v>1.5</v>
      </c>
      <c r="BU364" s="270">
        <v>1.46</v>
      </c>
      <c r="BV364" s="271">
        <v>1.46</v>
      </c>
      <c r="BW364" s="270">
        <v>1.5</v>
      </c>
      <c r="BX364" s="2"/>
      <c r="BY364" s="258">
        <v>0.1</v>
      </c>
      <c r="BZ364" s="259">
        <v>0.1</v>
      </c>
      <c r="CA364" s="259">
        <v>0.1</v>
      </c>
      <c r="CB364" s="259">
        <v>0.1</v>
      </c>
      <c r="CC364" s="259">
        <v>0.1</v>
      </c>
      <c r="CD364" s="259">
        <v>0.1</v>
      </c>
      <c r="CE364" s="259">
        <v>0.1</v>
      </c>
      <c r="CF364" s="259">
        <v>0.1</v>
      </c>
      <c r="CG364" s="259">
        <v>0.1</v>
      </c>
      <c r="CH364" s="259">
        <v>0.1</v>
      </c>
      <c r="CI364" s="259">
        <v>0.1</v>
      </c>
      <c r="CJ364" s="259">
        <v>0.1</v>
      </c>
      <c r="CK364" s="259">
        <v>0.1</v>
      </c>
      <c r="CL364" s="259">
        <v>0.1</v>
      </c>
      <c r="CM364" s="260">
        <v>0.1</v>
      </c>
      <c r="CN364" s="258">
        <v>0.1</v>
      </c>
      <c r="CO364" s="259">
        <v>0.1</v>
      </c>
      <c r="CP364" s="259">
        <v>0.1</v>
      </c>
      <c r="CQ364" s="259">
        <v>0.1</v>
      </c>
      <c r="CR364" s="259">
        <v>0.1</v>
      </c>
      <c r="CS364" s="259">
        <v>0.1</v>
      </c>
      <c r="CT364" s="259">
        <v>0.1</v>
      </c>
      <c r="CU364" s="259">
        <v>0.1</v>
      </c>
      <c r="CV364" s="259">
        <v>0.1</v>
      </c>
      <c r="CW364" s="259">
        <v>0.1</v>
      </c>
      <c r="CX364" s="259">
        <v>0.1</v>
      </c>
      <c r="CY364" s="259">
        <v>0.1</v>
      </c>
      <c r="CZ364" s="259">
        <v>0.1</v>
      </c>
      <c r="DA364" s="259">
        <v>0.1</v>
      </c>
      <c r="DB364" s="260">
        <v>0.1</v>
      </c>
      <c r="DC364" s="258">
        <v>0.1</v>
      </c>
      <c r="DD364" s="259">
        <v>0.1</v>
      </c>
      <c r="DE364" s="259">
        <v>0.1</v>
      </c>
      <c r="DF364" s="259">
        <v>0.1</v>
      </c>
      <c r="DG364" s="259">
        <v>0.1</v>
      </c>
      <c r="DH364" s="259">
        <v>0.1</v>
      </c>
      <c r="DI364" s="259">
        <v>0.1</v>
      </c>
      <c r="DJ364" s="259">
        <v>0.1</v>
      </c>
      <c r="DK364" s="259">
        <v>0.1</v>
      </c>
      <c r="DL364" s="259">
        <v>0.1</v>
      </c>
      <c r="DM364" s="259">
        <v>0.1</v>
      </c>
      <c r="DN364" s="259">
        <v>0.1</v>
      </c>
      <c r="DO364" s="259">
        <v>0.1</v>
      </c>
      <c r="DP364" s="259">
        <v>0.1</v>
      </c>
      <c r="DQ364" s="260">
        <v>0.1</v>
      </c>
      <c r="DR364" s="258">
        <v>0.1</v>
      </c>
      <c r="DS364" s="259">
        <v>0.1</v>
      </c>
      <c r="DT364" s="259">
        <v>0.1</v>
      </c>
      <c r="DU364" s="259">
        <v>0.1</v>
      </c>
      <c r="DV364" s="259">
        <v>0.1</v>
      </c>
      <c r="DW364" s="259">
        <v>0.1</v>
      </c>
      <c r="DX364" s="259">
        <v>0.1</v>
      </c>
      <c r="DY364" s="259">
        <v>0.1</v>
      </c>
      <c r="DZ364" s="259">
        <v>0.1</v>
      </c>
      <c r="EA364" s="259">
        <v>0.1</v>
      </c>
      <c r="EB364" s="259">
        <v>0.1</v>
      </c>
      <c r="EC364" s="259">
        <v>0.1</v>
      </c>
      <c r="ED364" s="259">
        <v>0.1</v>
      </c>
      <c r="EE364" s="259">
        <v>0.1</v>
      </c>
      <c r="EF364" s="260">
        <v>0.1</v>
      </c>
    </row>
    <row r="365" spans="71:143" ht="15.75" thickBot="1" x14ac:dyDescent="0.3">
      <c r="BS365">
        <v>362</v>
      </c>
      <c r="BT365" s="271">
        <v>1.5</v>
      </c>
      <c r="BU365" s="271">
        <v>1.45</v>
      </c>
      <c r="BV365" s="270">
        <v>1.46</v>
      </c>
      <c r="BW365" s="271">
        <v>1.49</v>
      </c>
      <c r="BX365" s="2"/>
      <c r="BY365" s="258">
        <v>0.1</v>
      </c>
      <c r="BZ365" s="259">
        <v>0.1</v>
      </c>
      <c r="CA365" s="259">
        <v>0.1</v>
      </c>
      <c r="CB365" s="259">
        <v>0.1</v>
      </c>
      <c r="CC365" s="259">
        <v>0.1</v>
      </c>
      <c r="CD365" s="259">
        <v>0.1</v>
      </c>
      <c r="CE365" s="259">
        <v>0.1</v>
      </c>
      <c r="CF365" s="259">
        <v>0.1</v>
      </c>
      <c r="CG365" s="259">
        <v>0.1</v>
      </c>
      <c r="CH365" s="259">
        <v>0.1</v>
      </c>
      <c r="CI365" s="259">
        <v>0.1</v>
      </c>
      <c r="CJ365" s="259">
        <v>0.1</v>
      </c>
      <c r="CK365" s="259">
        <v>0.1</v>
      </c>
      <c r="CL365" s="259">
        <v>0.1</v>
      </c>
      <c r="CM365" s="260">
        <v>0.1</v>
      </c>
      <c r="CN365" s="258">
        <v>0.1</v>
      </c>
      <c r="CO365" s="259">
        <v>0.1</v>
      </c>
      <c r="CP365" s="259">
        <v>0.1</v>
      </c>
      <c r="CQ365" s="259">
        <v>0.1</v>
      </c>
      <c r="CR365" s="259">
        <v>0.1</v>
      </c>
      <c r="CS365" s="259">
        <v>0.1</v>
      </c>
      <c r="CT365" s="259">
        <v>0.1</v>
      </c>
      <c r="CU365" s="259">
        <v>0.1</v>
      </c>
      <c r="CV365" s="259">
        <v>0.1</v>
      </c>
      <c r="CW365" s="259">
        <v>0.1</v>
      </c>
      <c r="CX365" s="259">
        <v>0.1</v>
      </c>
      <c r="CY365" s="259">
        <v>0.1</v>
      </c>
      <c r="CZ365" s="259">
        <v>0.1</v>
      </c>
      <c r="DA365" s="259">
        <v>0.1</v>
      </c>
      <c r="DB365" s="260">
        <v>0.1</v>
      </c>
      <c r="DC365" s="258">
        <v>0.1</v>
      </c>
      <c r="DD365" s="259">
        <v>0.1</v>
      </c>
      <c r="DE365" s="259">
        <v>0.1</v>
      </c>
      <c r="DF365" s="259">
        <v>0.1</v>
      </c>
      <c r="DG365" s="259">
        <v>0.1</v>
      </c>
      <c r="DH365" s="259">
        <v>0.1</v>
      </c>
      <c r="DI365" s="259">
        <v>0.1</v>
      </c>
      <c r="DJ365" s="259">
        <v>0.1</v>
      </c>
      <c r="DK365" s="259">
        <v>0.1</v>
      </c>
      <c r="DL365" s="259">
        <v>0.1</v>
      </c>
      <c r="DM365" s="259">
        <v>0.1</v>
      </c>
      <c r="DN365" s="259">
        <v>0.1</v>
      </c>
      <c r="DO365" s="259">
        <v>0.1</v>
      </c>
      <c r="DP365" s="259">
        <v>0.1</v>
      </c>
      <c r="DQ365" s="260">
        <v>0.1</v>
      </c>
      <c r="DR365" s="258">
        <v>0.1</v>
      </c>
      <c r="DS365" s="259">
        <v>0.1</v>
      </c>
      <c r="DT365" s="259">
        <v>0.1</v>
      </c>
      <c r="DU365" s="259">
        <v>0.1</v>
      </c>
      <c r="DV365" s="259">
        <v>0.1</v>
      </c>
      <c r="DW365" s="259">
        <v>0.1</v>
      </c>
      <c r="DX365" s="259">
        <v>0.1</v>
      </c>
      <c r="DY365" s="259">
        <v>0.1</v>
      </c>
      <c r="DZ365" s="259">
        <v>0.1</v>
      </c>
      <c r="EA365" s="259">
        <v>0.1</v>
      </c>
      <c r="EB365" s="259">
        <v>0.1</v>
      </c>
      <c r="EC365" s="259">
        <v>0.1</v>
      </c>
      <c r="ED365" s="259">
        <v>0.1</v>
      </c>
      <c r="EE365" s="259">
        <v>0.1</v>
      </c>
      <c r="EF365" s="260">
        <v>0.1</v>
      </c>
    </row>
    <row r="366" spans="71:143" ht="15.75" thickBot="1" x14ac:dyDescent="0.3">
      <c r="BS366">
        <v>363</v>
      </c>
      <c r="BT366" s="270">
        <v>1.5</v>
      </c>
      <c r="BU366" s="270">
        <v>1.45</v>
      </c>
      <c r="BV366" s="271">
        <v>1.46</v>
      </c>
      <c r="BW366" s="270">
        <v>1.49</v>
      </c>
      <c r="BX366" s="2"/>
      <c r="BY366" s="258">
        <v>0.1</v>
      </c>
      <c r="BZ366" s="259">
        <v>0.1</v>
      </c>
      <c r="CA366" s="259">
        <v>0.1</v>
      </c>
      <c r="CB366" s="259">
        <v>0.1</v>
      </c>
      <c r="CC366" s="259">
        <v>0.1</v>
      </c>
      <c r="CD366" s="259">
        <v>0.1</v>
      </c>
      <c r="CE366" s="259">
        <v>0.1</v>
      </c>
      <c r="CF366" s="259">
        <v>0.1</v>
      </c>
      <c r="CG366" s="259">
        <v>0.1</v>
      </c>
      <c r="CH366" s="259">
        <v>0.1</v>
      </c>
      <c r="CI366" s="259">
        <v>0.1</v>
      </c>
      <c r="CJ366" s="259">
        <v>0.1</v>
      </c>
      <c r="CK366" s="259">
        <v>0.1</v>
      </c>
      <c r="CL366" s="259">
        <v>0.1</v>
      </c>
      <c r="CM366" s="260">
        <v>0.1</v>
      </c>
      <c r="CN366" s="258">
        <v>0.1</v>
      </c>
      <c r="CO366" s="259">
        <v>0.1</v>
      </c>
      <c r="CP366" s="259">
        <v>0.1</v>
      </c>
      <c r="CQ366" s="259">
        <v>0.1</v>
      </c>
      <c r="CR366" s="259">
        <v>0.1</v>
      </c>
      <c r="CS366" s="259">
        <v>0.1</v>
      </c>
      <c r="CT366" s="259">
        <v>0.1</v>
      </c>
      <c r="CU366" s="259">
        <v>0.1</v>
      </c>
      <c r="CV366" s="259">
        <v>0.1</v>
      </c>
      <c r="CW366" s="259">
        <v>0.1</v>
      </c>
      <c r="CX366" s="259">
        <v>0.1</v>
      </c>
      <c r="CY366" s="259">
        <v>0.1</v>
      </c>
      <c r="CZ366" s="259">
        <v>0.1</v>
      </c>
      <c r="DA366" s="259">
        <v>0.1</v>
      </c>
      <c r="DB366" s="260">
        <v>0.1</v>
      </c>
      <c r="DC366" s="258">
        <v>0.1</v>
      </c>
      <c r="DD366" s="259">
        <v>0.1</v>
      </c>
      <c r="DE366" s="259">
        <v>0.1</v>
      </c>
      <c r="DF366" s="259">
        <v>0.1</v>
      </c>
      <c r="DG366" s="259">
        <v>0.1</v>
      </c>
      <c r="DH366" s="259">
        <v>0.1</v>
      </c>
      <c r="DI366" s="259">
        <v>0.1</v>
      </c>
      <c r="DJ366" s="259">
        <v>0.1</v>
      </c>
      <c r="DK366" s="259">
        <v>0.1</v>
      </c>
      <c r="DL366" s="259">
        <v>0.1</v>
      </c>
      <c r="DM366" s="259">
        <v>0.1</v>
      </c>
      <c r="DN366" s="259">
        <v>0.1</v>
      </c>
      <c r="DO366" s="259">
        <v>0.1</v>
      </c>
      <c r="DP366" s="259">
        <v>0.1</v>
      </c>
      <c r="DQ366" s="260">
        <v>0.1</v>
      </c>
      <c r="DR366" s="258">
        <v>0.1</v>
      </c>
      <c r="DS366" s="259">
        <v>0.1</v>
      </c>
      <c r="DT366" s="259">
        <v>0.1</v>
      </c>
      <c r="DU366" s="259">
        <v>0.1</v>
      </c>
      <c r="DV366" s="259">
        <v>0.1</v>
      </c>
      <c r="DW366" s="259">
        <v>0.1</v>
      </c>
      <c r="DX366" s="259">
        <v>0.1</v>
      </c>
      <c r="DY366" s="259">
        <v>0.1</v>
      </c>
      <c r="DZ366" s="259">
        <v>0.1</v>
      </c>
      <c r="EA366" s="259">
        <v>0.1</v>
      </c>
      <c r="EB366" s="259">
        <v>0.1</v>
      </c>
      <c r="EC366" s="259">
        <v>0.1</v>
      </c>
      <c r="ED366" s="259">
        <v>0.1</v>
      </c>
      <c r="EE366" s="259">
        <v>0.1</v>
      </c>
      <c r="EF366" s="260">
        <v>0.1</v>
      </c>
    </row>
    <row r="367" spans="71:143" ht="15.75" thickBot="1" x14ac:dyDescent="0.3">
      <c r="BS367">
        <v>364</v>
      </c>
      <c r="BT367" s="271">
        <v>1.5</v>
      </c>
      <c r="BU367" s="271">
        <v>1.45</v>
      </c>
      <c r="BV367" s="270">
        <v>1.46</v>
      </c>
      <c r="BW367" s="271">
        <v>1.49</v>
      </c>
      <c r="BX367" s="2"/>
      <c r="BY367" s="258">
        <v>0.1</v>
      </c>
      <c r="BZ367" s="259">
        <v>0.1</v>
      </c>
      <c r="CA367" s="259">
        <v>0.1</v>
      </c>
      <c r="CB367" s="259">
        <v>0.1</v>
      </c>
      <c r="CC367" s="259">
        <v>0.1</v>
      </c>
      <c r="CD367" s="259">
        <v>0.1</v>
      </c>
      <c r="CE367" s="259">
        <v>0.1</v>
      </c>
      <c r="CF367" s="259">
        <v>0.1</v>
      </c>
      <c r="CG367" s="259">
        <v>0.1</v>
      </c>
      <c r="CH367" s="259">
        <v>0.1</v>
      </c>
      <c r="CI367" s="259">
        <v>0.1</v>
      </c>
      <c r="CJ367" s="259">
        <v>0.1</v>
      </c>
      <c r="CK367" s="259">
        <v>0.1</v>
      </c>
      <c r="CL367" s="259">
        <v>0.1</v>
      </c>
      <c r="CM367" s="260">
        <v>0.1</v>
      </c>
      <c r="CN367" s="258">
        <v>0.1</v>
      </c>
      <c r="CO367" s="259">
        <v>0.1</v>
      </c>
      <c r="CP367" s="259">
        <v>0.1</v>
      </c>
      <c r="CQ367" s="259">
        <v>0.1</v>
      </c>
      <c r="CR367" s="259">
        <v>0.1</v>
      </c>
      <c r="CS367" s="259">
        <v>0.1</v>
      </c>
      <c r="CT367" s="259">
        <v>0.1</v>
      </c>
      <c r="CU367" s="259">
        <v>0.1</v>
      </c>
      <c r="CV367" s="259">
        <v>0.1</v>
      </c>
      <c r="CW367" s="259">
        <v>0.1</v>
      </c>
      <c r="CX367" s="259">
        <v>0.1</v>
      </c>
      <c r="CY367" s="259">
        <v>0.1</v>
      </c>
      <c r="CZ367" s="259">
        <v>0.1</v>
      </c>
      <c r="DA367" s="259">
        <v>0.1</v>
      </c>
      <c r="DB367" s="260">
        <v>0.1</v>
      </c>
      <c r="DC367" s="258">
        <v>0.1</v>
      </c>
      <c r="DD367" s="259">
        <v>0.1</v>
      </c>
      <c r="DE367" s="259">
        <v>0.1</v>
      </c>
      <c r="DF367" s="259">
        <v>0.1</v>
      </c>
      <c r="DG367" s="259">
        <v>0.1</v>
      </c>
      <c r="DH367" s="259">
        <v>0.1</v>
      </c>
      <c r="DI367" s="259">
        <v>0.1</v>
      </c>
      <c r="DJ367" s="259">
        <v>0.1</v>
      </c>
      <c r="DK367" s="259">
        <v>0.1</v>
      </c>
      <c r="DL367" s="259">
        <v>0.1</v>
      </c>
      <c r="DM367" s="259">
        <v>0.1</v>
      </c>
      <c r="DN367" s="259">
        <v>0.1</v>
      </c>
      <c r="DO367" s="259">
        <v>0.1</v>
      </c>
      <c r="DP367" s="259">
        <v>0.1</v>
      </c>
      <c r="DQ367" s="260">
        <v>0.1</v>
      </c>
      <c r="DR367" s="258">
        <v>0.1</v>
      </c>
      <c r="DS367" s="259">
        <v>0.1</v>
      </c>
      <c r="DT367" s="259">
        <v>0.1</v>
      </c>
      <c r="DU367" s="259">
        <v>0.1</v>
      </c>
      <c r="DV367" s="259">
        <v>0.1</v>
      </c>
      <c r="DW367" s="259">
        <v>0.1</v>
      </c>
      <c r="DX367" s="259">
        <v>0.1</v>
      </c>
      <c r="DY367" s="259">
        <v>0.1</v>
      </c>
      <c r="DZ367" s="259">
        <v>0.1</v>
      </c>
      <c r="EA367" s="259">
        <v>0.1</v>
      </c>
      <c r="EB367" s="259">
        <v>0.1</v>
      </c>
      <c r="EC367" s="259">
        <v>0.1</v>
      </c>
      <c r="ED367" s="259">
        <v>0.1</v>
      </c>
      <c r="EE367" s="259">
        <v>0.1</v>
      </c>
      <c r="EF367" s="260">
        <v>0.1</v>
      </c>
    </row>
    <row r="368" spans="71:143" ht="15.75" thickBot="1" x14ac:dyDescent="0.3">
      <c r="BS368">
        <v>365</v>
      </c>
      <c r="BT368" s="270">
        <v>1.5</v>
      </c>
      <c r="BU368" s="270">
        <v>1.45</v>
      </c>
      <c r="BV368" s="271">
        <v>1.46</v>
      </c>
      <c r="BW368" s="270">
        <v>1.48</v>
      </c>
      <c r="BX368" s="2"/>
      <c r="BY368" s="258">
        <v>0.1</v>
      </c>
      <c r="BZ368" s="259">
        <v>0.1</v>
      </c>
      <c r="CA368" s="259">
        <v>0.1</v>
      </c>
      <c r="CB368" s="259">
        <v>0.1</v>
      </c>
      <c r="CC368" s="259">
        <v>0.1</v>
      </c>
      <c r="CD368" s="259">
        <v>0.1</v>
      </c>
      <c r="CE368" s="259">
        <v>0.1</v>
      </c>
      <c r="CF368" s="259">
        <v>0.1</v>
      </c>
      <c r="CG368" s="259">
        <v>0.1</v>
      </c>
      <c r="CH368" s="259">
        <v>0.1</v>
      </c>
      <c r="CI368" s="259">
        <v>0.1</v>
      </c>
      <c r="CJ368" s="259">
        <v>0.1</v>
      </c>
      <c r="CK368" s="259">
        <v>0.1</v>
      </c>
      <c r="CL368" s="259">
        <v>0.1</v>
      </c>
      <c r="CM368" s="260">
        <v>0.1</v>
      </c>
      <c r="CN368" s="258">
        <v>0.1</v>
      </c>
      <c r="CO368" s="259">
        <v>0.1</v>
      </c>
      <c r="CP368" s="259">
        <v>0.1</v>
      </c>
      <c r="CQ368" s="259">
        <v>0.1</v>
      </c>
      <c r="CR368" s="259">
        <v>0.1</v>
      </c>
      <c r="CS368" s="259">
        <v>0.1</v>
      </c>
      <c r="CT368" s="259">
        <v>0.1</v>
      </c>
      <c r="CU368" s="259">
        <v>0.1</v>
      </c>
      <c r="CV368" s="259">
        <v>0.1</v>
      </c>
      <c r="CW368" s="259">
        <v>0.1</v>
      </c>
      <c r="CX368" s="259">
        <v>0.1</v>
      </c>
      <c r="CY368" s="259">
        <v>0.1</v>
      </c>
      <c r="CZ368" s="259">
        <v>0.1</v>
      </c>
      <c r="DA368" s="259">
        <v>0.1</v>
      </c>
      <c r="DB368" s="260">
        <v>0.1</v>
      </c>
      <c r="DC368" s="258">
        <v>0.1</v>
      </c>
      <c r="DD368" s="259">
        <v>0.1</v>
      </c>
      <c r="DE368" s="259">
        <v>0.1</v>
      </c>
      <c r="DF368" s="259">
        <v>0.1</v>
      </c>
      <c r="DG368" s="259">
        <v>0.1</v>
      </c>
      <c r="DH368" s="259">
        <v>0.1</v>
      </c>
      <c r="DI368" s="259">
        <v>0.1</v>
      </c>
      <c r="DJ368" s="259">
        <v>0.1</v>
      </c>
      <c r="DK368" s="259">
        <v>0.1</v>
      </c>
      <c r="DL368" s="259">
        <v>0.1</v>
      </c>
      <c r="DM368" s="259">
        <v>0.1</v>
      </c>
      <c r="DN368" s="259">
        <v>0.1</v>
      </c>
      <c r="DO368" s="259">
        <v>0.1</v>
      </c>
      <c r="DP368" s="259">
        <v>0.1</v>
      </c>
      <c r="DQ368" s="260">
        <v>0.1</v>
      </c>
      <c r="DR368" s="258">
        <v>0.1</v>
      </c>
      <c r="DS368" s="259">
        <v>0.1</v>
      </c>
      <c r="DT368" s="259">
        <v>0.1</v>
      </c>
      <c r="DU368" s="259">
        <v>0.1</v>
      </c>
      <c r="DV368" s="259">
        <v>0.1</v>
      </c>
      <c r="DW368" s="259">
        <v>0.1</v>
      </c>
      <c r="DX368" s="259">
        <v>0.1</v>
      </c>
      <c r="DY368" s="259">
        <v>0.1</v>
      </c>
      <c r="DZ368" s="259">
        <v>0.1</v>
      </c>
      <c r="EA368" s="259">
        <v>0.1</v>
      </c>
      <c r="EB368" s="259">
        <v>0.1</v>
      </c>
      <c r="EC368" s="259">
        <v>0.1</v>
      </c>
      <c r="ED368" s="259">
        <v>0.1</v>
      </c>
      <c r="EE368" s="259">
        <v>0.1</v>
      </c>
      <c r="EF368" s="260">
        <v>0.1</v>
      </c>
    </row>
    <row r="369" spans="71:137" ht="15.75" thickBot="1" x14ac:dyDescent="0.3">
      <c r="BS369">
        <v>366</v>
      </c>
      <c r="BT369" s="271">
        <v>1.5</v>
      </c>
      <c r="BU369" s="271">
        <v>1.45</v>
      </c>
      <c r="BV369" s="270">
        <v>1.46</v>
      </c>
      <c r="BW369" s="271">
        <v>1.48</v>
      </c>
      <c r="BX369" s="2"/>
      <c r="BY369" s="258">
        <v>0.1</v>
      </c>
      <c r="BZ369" s="259">
        <v>0.1</v>
      </c>
      <c r="CA369" s="259">
        <v>0.1</v>
      </c>
      <c r="CB369" s="259">
        <v>0.1</v>
      </c>
      <c r="CC369" s="259">
        <v>0.1</v>
      </c>
      <c r="CD369" s="259">
        <v>0.1</v>
      </c>
      <c r="CE369" s="259">
        <v>0.1</v>
      </c>
      <c r="CF369" s="259">
        <v>0.1</v>
      </c>
      <c r="CG369" s="259">
        <v>0.1</v>
      </c>
      <c r="CH369" s="259">
        <v>0.1</v>
      </c>
      <c r="CI369" s="259">
        <v>0.1</v>
      </c>
      <c r="CJ369" s="259">
        <v>0.1</v>
      </c>
      <c r="CK369" s="259">
        <v>0.1</v>
      </c>
      <c r="CL369" s="259">
        <v>0.1</v>
      </c>
      <c r="CM369" s="260">
        <v>0.1</v>
      </c>
      <c r="CN369" s="258">
        <v>0.1</v>
      </c>
      <c r="CO369" s="259">
        <v>0.1</v>
      </c>
      <c r="CP369" s="259">
        <v>0.1</v>
      </c>
      <c r="CQ369" s="259">
        <v>0.1</v>
      </c>
      <c r="CR369" s="259">
        <v>0.1</v>
      </c>
      <c r="CS369" s="259">
        <v>0.1</v>
      </c>
      <c r="CT369" s="259">
        <v>0.1</v>
      </c>
      <c r="CU369" s="259">
        <v>0.1</v>
      </c>
      <c r="CV369" s="259">
        <v>0.1</v>
      </c>
      <c r="CW369" s="259">
        <v>0.1</v>
      </c>
      <c r="CX369" s="259">
        <v>0.1</v>
      </c>
      <c r="CY369" s="259">
        <v>0.1</v>
      </c>
      <c r="CZ369" s="259">
        <v>0.1</v>
      </c>
      <c r="DA369" s="259">
        <v>0.1</v>
      </c>
      <c r="DB369" s="260">
        <v>0.1</v>
      </c>
      <c r="DC369" s="258">
        <v>0.1</v>
      </c>
      <c r="DD369" s="259">
        <v>0.1</v>
      </c>
      <c r="DE369" s="259">
        <v>0.1</v>
      </c>
      <c r="DF369" s="259">
        <v>0.1</v>
      </c>
      <c r="DG369" s="259">
        <v>0.1</v>
      </c>
      <c r="DH369" s="259">
        <v>0.1</v>
      </c>
      <c r="DI369" s="259">
        <v>0.1</v>
      </c>
      <c r="DJ369" s="259">
        <v>0.1</v>
      </c>
      <c r="DK369" s="259">
        <v>0.1</v>
      </c>
      <c r="DL369" s="259">
        <v>0.1</v>
      </c>
      <c r="DM369" s="259">
        <v>0.1</v>
      </c>
      <c r="DN369" s="259">
        <v>0.1</v>
      </c>
      <c r="DO369" s="259">
        <v>0.1</v>
      </c>
      <c r="DP369" s="259">
        <v>0.1</v>
      </c>
      <c r="DQ369" s="260">
        <v>0.1</v>
      </c>
      <c r="DR369" s="258">
        <v>0.1</v>
      </c>
      <c r="DS369" s="259">
        <v>0.1</v>
      </c>
      <c r="DT369" s="259">
        <v>0.1</v>
      </c>
      <c r="DU369" s="259">
        <v>0.1</v>
      </c>
      <c r="DV369" s="259">
        <v>0.1</v>
      </c>
      <c r="DW369" s="259">
        <v>0.1</v>
      </c>
      <c r="DX369" s="259">
        <v>0.1</v>
      </c>
      <c r="DY369" s="259">
        <v>0.1</v>
      </c>
      <c r="DZ369" s="259">
        <v>0.1</v>
      </c>
      <c r="EA369" s="259">
        <v>0.1</v>
      </c>
      <c r="EB369" s="259">
        <v>0.1</v>
      </c>
      <c r="EC369" s="259">
        <v>0.1</v>
      </c>
      <c r="ED369" s="259">
        <v>0.1</v>
      </c>
      <c r="EE369" s="259">
        <v>0.1</v>
      </c>
      <c r="EF369" s="260">
        <v>0.1</v>
      </c>
    </row>
    <row r="370" spans="71:137" ht="15.75" thickBot="1" x14ac:dyDescent="0.3">
      <c r="BS370">
        <v>367</v>
      </c>
      <c r="BT370" s="270">
        <v>1.5</v>
      </c>
      <c r="BU370" s="270">
        <v>1.44</v>
      </c>
      <c r="BV370" s="271">
        <v>1.46</v>
      </c>
      <c r="BW370" s="270">
        <v>1.46</v>
      </c>
      <c r="BX370" s="2"/>
      <c r="BY370" s="258">
        <v>0.1</v>
      </c>
      <c r="BZ370" s="259">
        <v>0.1</v>
      </c>
      <c r="CA370" s="259">
        <v>0.1</v>
      </c>
      <c r="CB370" s="259">
        <v>0.1</v>
      </c>
      <c r="CC370" s="259">
        <v>0.1</v>
      </c>
      <c r="CD370" s="259">
        <v>0.1</v>
      </c>
      <c r="CE370" s="259">
        <v>0.1</v>
      </c>
      <c r="CF370" s="259">
        <v>0.1</v>
      </c>
      <c r="CG370" s="259">
        <v>0.1</v>
      </c>
      <c r="CH370" s="259">
        <v>0.1</v>
      </c>
      <c r="CI370" s="259">
        <v>0.1</v>
      </c>
      <c r="CJ370" s="259">
        <v>0.1</v>
      </c>
      <c r="CK370" s="259">
        <v>0.1</v>
      </c>
      <c r="CL370" s="259">
        <v>0.1</v>
      </c>
      <c r="CM370" s="260">
        <v>0.1</v>
      </c>
      <c r="CN370" s="258">
        <v>0.1</v>
      </c>
      <c r="CO370" s="259">
        <v>0.1</v>
      </c>
      <c r="CP370" s="259">
        <v>0.1</v>
      </c>
      <c r="CQ370" s="259">
        <v>0.1</v>
      </c>
      <c r="CR370" s="259">
        <v>0.1</v>
      </c>
      <c r="CS370" s="259">
        <v>0.1</v>
      </c>
      <c r="CT370" s="259">
        <v>0.1</v>
      </c>
      <c r="CU370" s="259">
        <v>0.1</v>
      </c>
      <c r="CV370" s="259">
        <v>0.1</v>
      </c>
      <c r="CW370" s="259">
        <v>0.1</v>
      </c>
      <c r="CX370" s="259">
        <v>0.1</v>
      </c>
      <c r="CY370" s="259">
        <v>0.1</v>
      </c>
      <c r="CZ370" s="259">
        <v>0.1</v>
      </c>
      <c r="DA370" s="259">
        <v>0.1</v>
      </c>
      <c r="DB370" s="260">
        <v>0.1</v>
      </c>
      <c r="DC370" s="258">
        <v>0.1</v>
      </c>
      <c r="DD370" s="259">
        <v>0.1</v>
      </c>
      <c r="DE370" s="259">
        <v>0.1</v>
      </c>
      <c r="DF370" s="259">
        <v>0.1</v>
      </c>
      <c r="DG370" s="259">
        <v>0.1</v>
      </c>
      <c r="DH370" s="259">
        <v>0.1</v>
      </c>
      <c r="DI370" s="259">
        <v>0.1</v>
      </c>
      <c r="DJ370" s="259">
        <v>0.1</v>
      </c>
      <c r="DK370" s="259">
        <v>0.1</v>
      </c>
      <c r="DL370" s="259">
        <v>0.1</v>
      </c>
      <c r="DM370" s="259">
        <v>0.1</v>
      </c>
      <c r="DN370" s="259">
        <v>0.1</v>
      </c>
      <c r="DO370" s="259">
        <v>0.1</v>
      </c>
      <c r="DP370" s="259">
        <v>0.1</v>
      </c>
      <c r="DQ370" s="260">
        <v>0.1</v>
      </c>
      <c r="DR370" s="258">
        <v>0.1</v>
      </c>
      <c r="DS370" s="259">
        <v>0.1</v>
      </c>
      <c r="DT370" s="259">
        <v>0.1</v>
      </c>
      <c r="DU370" s="259">
        <v>0.1</v>
      </c>
      <c r="DV370" s="259">
        <v>0.1</v>
      </c>
      <c r="DW370" s="259">
        <v>0.1</v>
      </c>
      <c r="DX370" s="259">
        <v>0.1</v>
      </c>
      <c r="DY370" s="259">
        <v>0.1</v>
      </c>
      <c r="DZ370" s="259">
        <v>0.1</v>
      </c>
      <c r="EA370" s="259">
        <v>0.1</v>
      </c>
      <c r="EB370" s="259">
        <v>0.1</v>
      </c>
      <c r="EC370" s="259">
        <v>0.1</v>
      </c>
      <c r="ED370" s="259">
        <v>0.1</v>
      </c>
      <c r="EE370" s="259">
        <v>0.1</v>
      </c>
      <c r="EF370" s="260">
        <v>0.1</v>
      </c>
    </row>
    <row r="371" spans="71:137" ht="15.75" thickBot="1" x14ac:dyDescent="0.3">
      <c r="BS371">
        <v>368</v>
      </c>
      <c r="BT371" s="271">
        <v>1.5</v>
      </c>
      <c r="BU371" s="271">
        <v>1.44</v>
      </c>
      <c r="BV371" s="270">
        <v>1.46</v>
      </c>
      <c r="BW371" s="271">
        <v>1.46</v>
      </c>
      <c r="BX371" s="2"/>
      <c r="BY371" s="258">
        <v>0.1</v>
      </c>
      <c r="BZ371" s="259">
        <v>0.1</v>
      </c>
      <c r="CA371" s="259">
        <v>0.1</v>
      </c>
      <c r="CB371" s="259">
        <v>0.1</v>
      </c>
      <c r="CC371" s="259">
        <v>0.1</v>
      </c>
      <c r="CD371" s="259">
        <v>0.1</v>
      </c>
      <c r="CE371" s="259">
        <v>0.1</v>
      </c>
      <c r="CF371" s="259">
        <v>0.1</v>
      </c>
      <c r="CG371" s="259">
        <v>0.1</v>
      </c>
      <c r="CH371" s="259">
        <v>0.1</v>
      </c>
      <c r="CI371" s="259">
        <v>0.1</v>
      </c>
      <c r="CJ371" s="259">
        <v>0.1</v>
      </c>
      <c r="CK371" s="259">
        <v>0.1</v>
      </c>
      <c r="CL371" s="259">
        <v>0.1</v>
      </c>
      <c r="CM371" s="260">
        <v>0.1</v>
      </c>
      <c r="CN371" s="258">
        <v>0.1</v>
      </c>
      <c r="CO371" s="259">
        <v>0.1</v>
      </c>
      <c r="CP371" s="259">
        <v>0.1</v>
      </c>
      <c r="CQ371" s="259">
        <v>0.1</v>
      </c>
      <c r="CR371" s="259">
        <v>0.1</v>
      </c>
      <c r="CS371" s="259">
        <v>0.1</v>
      </c>
      <c r="CT371" s="259">
        <v>0.1</v>
      </c>
      <c r="CU371" s="259">
        <v>0.1</v>
      </c>
      <c r="CV371" s="259">
        <v>0.1</v>
      </c>
      <c r="CW371" s="259">
        <v>0.1</v>
      </c>
      <c r="CX371" s="259">
        <v>0.1</v>
      </c>
      <c r="CY371" s="259">
        <v>0.1</v>
      </c>
      <c r="CZ371" s="259">
        <v>0.1</v>
      </c>
      <c r="DA371" s="259">
        <v>0.1</v>
      </c>
      <c r="DB371" s="260">
        <v>0.1</v>
      </c>
      <c r="DC371" s="258">
        <v>0.1</v>
      </c>
      <c r="DD371" s="259">
        <v>0.1</v>
      </c>
      <c r="DE371" s="259">
        <v>0.1</v>
      </c>
      <c r="DF371" s="259">
        <v>0.1</v>
      </c>
      <c r="DG371" s="259">
        <v>0.1</v>
      </c>
      <c r="DH371" s="259">
        <v>0.1</v>
      </c>
      <c r="DI371" s="259">
        <v>0.1</v>
      </c>
      <c r="DJ371" s="259">
        <v>0.1</v>
      </c>
      <c r="DK371" s="259">
        <v>0.1</v>
      </c>
      <c r="DL371" s="259">
        <v>0.1</v>
      </c>
      <c r="DM371" s="259">
        <v>0.1</v>
      </c>
      <c r="DN371" s="259">
        <v>0.1</v>
      </c>
      <c r="DO371" s="259">
        <v>0.1</v>
      </c>
      <c r="DP371" s="259">
        <v>0.1</v>
      </c>
      <c r="DQ371" s="260">
        <v>0.1</v>
      </c>
      <c r="DR371" s="258">
        <v>0.1</v>
      </c>
      <c r="DS371" s="259">
        <v>0.1</v>
      </c>
      <c r="DT371" s="259">
        <v>0.1</v>
      </c>
      <c r="DU371" s="259">
        <v>0.1</v>
      </c>
      <c r="DV371" s="259">
        <v>0.1</v>
      </c>
      <c r="DW371" s="259">
        <v>0.1</v>
      </c>
      <c r="DX371" s="259">
        <v>0.1</v>
      </c>
      <c r="DY371" s="259">
        <v>0.1</v>
      </c>
      <c r="DZ371" s="259">
        <v>0.1</v>
      </c>
      <c r="EA371" s="259">
        <v>0.1</v>
      </c>
      <c r="EB371" s="259">
        <v>0.1</v>
      </c>
      <c r="EC371" s="259">
        <v>0.1</v>
      </c>
      <c r="ED371" s="259">
        <v>0.1</v>
      </c>
      <c r="EE371" s="259">
        <v>0.1</v>
      </c>
      <c r="EF371" s="260">
        <v>0.1</v>
      </c>
    </row>
    <row r="372" spans="71:137" ht="15.75" thickBot="1" x14ac:dyDescent="0.3">
      <c r="BS372">
        <v>369</v>
      </c>
      <c r="BT372" s="270">
        <v>1.5</v>
      </c>
      <c r="BU372" s="270">
        <v>1.43</v>
      </c>
      <c r="BV372" s="271">
        <v>1.46</v>
      </c>
      <c r="BW372" s="270">
        <v>1.46</v>
      </c>
      <c r="BX372" s="2"/>
      <c r="BY372" s="258">
        <v>0.1</v>
      </c>
      <c r="BZ372" s="259">
        <v>0.1</v>
      </c>
      <c r="CA372" s="259">
        <v>0.1</v>
      </c>
      <c r="CB372" s="259">
        <v>0.1</v>
      </c>
      <c r="CC372" s="259">
        <v>0.1</v>
      </c>
      <c r="CD372" s="259">
        <v>0.1</v>
      </c>
      <c r="CE372" s="259">
        <v>0.1</v>
      </c>
      <c r="CF372" s="259">
        <v>0.1</v>
      </c>
      <c r="CG372" s="259">
        <v>0.1</v>
      </c>
      <c r="CH372" s="259">
        <v>0.1</v>
      </c>
      <c r="CI372" s="259">
        <v>0.1</v>
      </c>
      <c r="CJ372" s="259">
        <v>0.1</v>
      </c>
      <c r="CK372" s="259">
        <v>0.1</v>
      </c>
      <c r="CL372" s="259">
        <v>0.1</v>
      </c>
      <c r="CM372" s="260">
        <v>0.1</v>
      </c>
      <c r="CN372" s="258">
        <v>0.1</v>
      </c>
      <c r="CO372" s="259">
        <v>0.1</v>
      </c>
      <c r="CP372" s="259">
        <v>0.1</v>
      </c>
      <c r="CQ372" s="259">
        <v>0.1</v>
      </c>
      <c r="CR372" s="259">
        <v>0.1</v>
      </c>
      <c r="CS372" s="259">
        <v>0.1</v>
      </c>
      <c r="CT372" s="259">
        <v>0.1</v>
      </c>
      <c r="CU372" s="259">
        <v>0.1</v>
      </c>
      <c r="CV372" s="259">
        <v>0.1</v>
      </c>
      <c r="CW372" s="259">
        <v>0.1</v>
      </c>
      <c r="CX372" s="259">
        <v>0.1</v>
      </c>
      <c r="CY372" s="259">
        <v>0.1</v>
      </c>
      <c r="CZ372" s="259">
        <v>0.1</v>
      </c>
      <c r="DA372" s="259">
        <v>0.1</v>
      </c>
      <c r="DB372" s="260">
        <v>0.1</v>
      </c>
      <c r="DC372" s="258">
        <v>0.1</v>
      </c>
      <c r="DD372" s="259">
        <v>0.1</v>
      </c>
      <c r="DE372" s="259">
        <v>0.1</v>
      </c>
      <c r="DF372" s="259">
        <v>0.1</v>
      </c>
      <c r="DG372" s="259">
        <v>0.1</v>
      </c>
      <c r="DH372" s="259">
        <v>0.1</v>
      </c>
      <c r="DI372" s="259">
        <v>0.1</v>
      </c>
      <c r="DJ372" s="259">
        <v>0.1</v>
      </c>
      <c r="DK372" s="259">
        <v>0.1</v>
      </c>
      <c r="DL372" s="259">
        <v>0.1</v>
      </c>
      <c r="DM372" s="259">
        <v>0.1</v>
      </c>
      <c r="DN372" s="259">
        <v>0.1</v>
      </c>
      <c r="DO372" s="259">
        <v>0.1</v>
      </c>
      <c r="DP372" s="259">
        <v>0.1</v>
      </c>
      <c r="DQ372" s="260">
        <v>0.1</v>
      </c>
      <c r="DR372" s="258">
        <v>0.1</v>
      </c>
      <c r="DS372" s="259">
        <v>0.1</v>
      </c>
      <c r="DT372" s="259">
        <v>0.1</v>
      </c>
      <c r="DU372" s="259">
        <v>0.1</v>
      </c>
      <c r="DV372" s="259">
        <v>0.1</v>
      </c>
      <c r="DW372" s="259">
        <v>0.1</v>
      </c>
      <c r="DX372" s="259">
        <v>0.1</v>
      </c>
      <c r="DY372" s="259">
        <v>0.1</v>
      </c>
      <c r="DZ372" s="259">
        <v>0.1</v>
      </c>
      <c r="EA372" s="259">
        <v>0.1</v>
      </c>
      <c r="EB372" s="259">
        <v>0.1</v>
      </c>
      <c r="EC372" s="259">
        <v>0.1</v>
      </c>
      <c r="ED372" s="259">
        <v>0.1</v>
      </c>
      <c r="EE372" s="259">
        <v>0.1</v>
      </c>
      <c r="EF372" s="260">
        <v>0.1</v>
      </c>
    </row>
    <row r="373" spans="71:137" ht="15.75" thickBot="1" x14ac:dyDescent="0.3">
      <c r="BS373">
        <v>370</v>
      </c>
      <c r="BT373" s="271">
        <v>1.5</v>
      </c>
      <c r="BU373" s="271">
        <v>1.43</v>
      </c>
      <c r="BV373" s="270">
        <v>1.46</v>
      </c>
      <c r="BW373" s="271">
        <v>1.46</v>
      </c>
      <c r="BX373" s="2"/>
      <c r="BY373" s="258">
        <v>0.1</v>
      </c>
      <c r="BZ373" s="259">
        <v>0.1</v>
      </c>
      <c r="CA373" s="259">
        <v>0.1</v>
      </c>
      <c r="CB373" s="259">
        <v>0.1</v>
      </c>
      <c r="CC373" s="259">
        <v>0.1</v>
      </c>
      <c r="CD373" s="259">
        <v>0.1</v>
      </c>
      <c r="CE373" s="259">
        <v>0.1</v>
      </c>
      <c r="CF373" s="259">
        <v>0.1</v>
      </c>
      <c r="CG373" s="259">
        <v>0.1</v>
      </c>
      <c r="CH373" s="259">
        <v>0.1</v>
      </c>
      <c r="CI373" s="259">
        <v>0.1</v>
      </c>
      <c r="CJ373" s="259">
        <v>0.1</v>
      </c>
      <c r="CK373" s="259">
        <v>0.1</v>
      </c>
      <c r="CL373" s="259">
        <v>0.1</v>
      </c>
      <c r="CM373" s="260">
        <v>0.1</v>
      </c>
      <c r="CN373" s="258">
        <v>0.1</v>
      </c>
      <c r="CO373" s="259">
        <v>0.1</v>
      </c>
      <c r="CP373" s="259">
        <v>0.1</v>
      </c>
      <c r="CQ373" s="259">
        <v>0.1</v>
      </c>
      <c r="CR373" s="259">
        <v>0.1</v>
      </c>
      <c r="CS373" s="259">
        <v>0.1</v>
      </c>
      <c r="CT373" s="259">
        <v>0.1</v>
      </c>
      <c r="CU373" s="259">
        <v>0.1</v>
      </c>
      <c r="CV373" s="259">
        <v>0.1</v>
      </c>
      <c r="CW373" s="259">
        <v>0.1</v>
      </c>
      <c r="CX373" s="259">
        <v>0.1</v>
      </c>
      <c r="CY373" s="259">
        <v>0.1</v>
      </c>
      <c r="CZ373" s="259">
        <v>0.1</v>
      </c>
      <c r="DA373" s="259">
        <v>0.1</v>
      </c>
      <c r="DB373" s="260">
        <v>0.1</v>
      </c>
      <c r="DC373" s="258">
        <v>0.1</v>
      </c>
      <c r="DD373" s="259">
        <v>0.1</v>
      </c>
      <c r="DE373" s="259">
        <v>0.1</v>
      </c>
      <c r="DF373" s="259">
        <v>0.1</v>
      </c>
      <c r="DG373" s="259">
        <v>0.1</v>
      </c>
      <c r="DH373" s="259">
        <v>0.1</v>
      </c>
      <c r="DI373" s="259">
        <v>0.1</v>
      </c>
      <c r="DJ373" s="259">
        <v>0.1</v>
      </c>
      <c r="DK373" s="259">
        <v>0.1</v>
      </c>
      <c r="DL373" s="259">
        <v>0.1</v>
      </c>
      <c r="DM373" s="259">
        <v>0.1</v>
      </c>
      <c r="DN373" s="259">
        <v>0.1</v>
      </c>
      <c r="DO373" s="259">
        <v>0.1</v>
      </c>
      <c r="DP373" s="259">
        <v>0.1</v>
      </c>
      <c r="DQ373" s="260">
        <v>0.1</v>
      </c>
      <c r="DR373" s="258">
        <v>0.1</v>
      </c>
      <c r="DS373" s="259">
        <v>0.1</v>
      </c>
      <c r="DT373" s="259">
        <v>0.1</v>
      </c>
      <c r="DU373" s="259">
        <v>0.1</v>
      </c>
      <c r="DV373" s="259">
        <v>0.1</v>
      </c>
      <c r="DW373" s="259">
        <v>0.1</v>
      </c>
      <c r="DX373" s="259">
        <v>0.1</v>
      </c>
      <c r="DY373" s="259">
        <v>0.1</v>
      </c>
      <c r="DZ373" s="259">
        <v>0.1</v>
      </c>
      <c r="EA373" s="259">
        <v>0.1</v>
      </c>
      <c r="EB373" s="259">
        <v>0.1</v>
      </c>
      <c r="EC373" s="259">
        <v>0.1</v>
      </c>
      <c r="ED373" s="259">
        <v>0.1</v>
      </c>
      <c r="EE373" s="259">
        <v>0.1</v>
      </c>
      <c r="EF373" s="260">
        <v>0.1</v>
      </c>
    </row>
    <row r="374" spans="71:137" ht="15.75" thickBot="1" x14ac:dyDescent="0.3">
      <c r="BS374">
        <v>371</v>
      </c>
      <c r="BT374" s="270">
        <v>1.5</v>
      </c>
      <c r="BU374" s="270">
        <v>1.42</v>
      </c>
      <c r="BV374" s="271">
        <v>1.46</v>
      </c>
      <c r="BW374" s="270">
        <v>1.46</v>
      </c>
      <c r="BX374" s="2"/>
      <c r="BY374" s="258">
        <v>0.1</v>
      </c>
      <c r="BZ374" s="259">
        <v>0.1</v>
      </c>
      <c r="CA374" s="259">
        <v>0.1</v>
      </c>
      <c r="CB374" s="259">
        <v>0.1</v>
      </c>
      <c r="CC374" s="259">
        <v>0.1</v>
      </c>
      <c r="CD374" s="259">
        <v>0.1</v>
      </c>
      <c r="CE374" s="259">
        <v>0.1</v>
      </c>
      <c r="CF374" s="259">
        <v>0.1</v>
      </c>
      <c r="CG374" s="259">
        <v>0.1</v>
      </c>
      <c r="CH374" s="259">
        <v>0.1</v>
      </c>
      <c r="CI374" s="259">
        <v>0.1</v>
      </c>
      <c r="CJ374" s="259">
        <v>0.1</v>
      </c>
      <c r="CK374" s="259">
        <v>0.1</v>
      </c>
      <c r="CL374" s="259">
        <v>0.1</v>
      </c>
      <c r="CM374" s="260">
        <v>0.1</v>
      </c>
      <c r="CN374" s="258">
        <v>0.1</v>
      </c>
      <c r="CO374" s="259">
        <v>0.1</v>
      </c>
      <c r="CP374" s="259">
        <v>0.1</v>
      </c>
      <c r="CQ374" s="259">
        <v>0.1</v>
      </c>
      <c r="CR374" s="259">
        <v>0.1</v>
      </c>
      <c r="CS374" s="259">
        <v>0.1</v>
      </c>
      <c r="CT374" s="259">
        <v>0.1</v>
      </c>
      <c r="CU374" s="259">
        <v>0.1</v>
      </c>
      <c r="CV374" s="259">
        <v>0.1</v>
      </c>
      <c r="CW374" s="259">
        <v>0.1</v>
      </c>
      <c r="CX374" s="259">
        <v>0.1</v>
      </c>
      <c r="CY374" s="259">
        <v>0.1</v>
      </c>
      <c r="CZ374" s="259">
        <v>0.1</v>
      </c>
      <c r="DA374" s="259">
        <v>0.1</v>
      </c>
      <c r="DB374" s="260">
        <v>0.1</v>
      </c>
      <c r="DC374" s="258">
        <v>0.1</v>
      </c>
      <c r="DD374" s="259">
        <v>0.1</v>
      </c>
      <c r="DE374" s="259">
        <v>0.1</v>
      </c>
      <c r="DF374" s="259">
        <v>0.1</v>
      </c>
      <c r="DG374" s="259">
        <v>0.1</v>
      </c>
      <c r="DH374" s="259">
        <v>0.1</v>
      </c>
      <c r="DI374" s="259">
        <v>0.1</v>
      </c>
      <c r="DJ374" s="259">
        <v>0.1</v>
      </c>
      <c r="DK374" s="259">
        <v>0.1</v>
      </c>
      <c r="DL374" s="259">
        <v>0.1</v>
      </c>
      <c r="DM374" s="259">
        <v>0.1</v>
      </c>
      <c r="DN374" s="259">
        <v>0.1</v>
      </c>
      <c r="DO374" s="259">
        <v>0.1</v>
      </c>
      <c r="DP374" s="259">
        <v>0.1</v>
      </c>
      <c r="DQ374" s="260">
        <v>0.1</v>
      </c>
      <c r="DR374" s="258">
        <v>0.1</v>
      </c>
      <c r="DS374" s="259">
        <v>0.1</v>
      </c>
      <c r="DT374" s="259">
        <v>0.1</v>
      </c>
      <c r="DU374" s="259">
        <v>0.1</v>
      </c>
      <c r="DV374" s="259">
        <v>0.1</v>
      </c>
      <c r="DW374" s="259">
        <v>0.1</v>
      </c>
      <c r="DX374" s="259">
        <v>0.1</v>
      </c>
      <c r="DY374" s="259">
        <v>0.1</v>
      </c>
      <c r="DZ374" s="259">
        <v>0.1</v>
      </c>
      <c r="EA374" s="259">
        <v>0.1</v>
      </c>
      <c r="EB374" s="259">
        <v>0.1</v>
      </c>
      <c r="EC374" s="259">
        <v>0.1</v>
      </c>
      <c r="ED374" s="259">
        <v>0.1</v>
      </c>
      <c r="EE374" s="259">
        <v>0.1</v>
      </c>
      <c r="EF374" s="260">
        <v>0.1</v>
      </c>
    </row>
    <row r="375" spans="71:137" ht="15.75" thickBot="1" x14ac:dyDescent="0.3">
      <c r="BS375">
        <v>372</v>
      </c>
      <c r="BT375" s="271">
        <v>1.5</v>
      </c>
      <c r="BU375" s="271">
        <v>1.42</v>
      </c>
      <c r="BV375" s="270">
        <v>1.46</v>
      </c>
      <c r="BW375" s="271">
        <v>1.46</v>
      </c>
      <c r="BX375" s="2"/>
      <c r="BY375" s="258">
        <v>0.1</v>
      </c>
      <c r="BZ375" s="259">
        <v>0.1</v>
      </c>
      <c r="CA375" s="259">
        <v>0.1</v>
      </c>
      <c r="CB375" s="259">
        <v>0.1</v>
      </c>
      <c r="CC375" s="259">
        <v>0.1</v>
      </c>
      <c r="CD375" s="259">
        <v>0.1</v>
      </c>
      <c r="CE375" s="259">
        <v>0.1</v>
      </c>
      <c r="CF375" s="259">
        <v>0.1</v>
      </c>
      <c r="CG375" s="259">
        <v>0.1</v>
      </c>
      <c r="CH375" s="259">
        <v>0.1</v>
      </c>
      <c r="CI375" s="259">
        <v>0.1</v>
      </c>
      <c r="CJ375" s="259">
        <v>0.1</v>
      </c>
      <c r="CK375" s="259">
        <v>0.1</v>
      </c>
      <c r="CL375" s="259">
        <v>0.1</v>
      </c>
      <c r="CM375" s="260">
        <v>0.1</v>
      </c>
      <c r="CN375" s="258">
        <v>0.1</v>
      </c>
      <c r="CO375" s="259">
        <v>0.1</v>
      </c>
      <c r="CP375" s="259">
        <v>0.1</v>
      </c>
      <c r="CQ375" s="259">
        <v>0.1</v>
      </c>
      <c r="CR375" s="259">
        <v>0.1</v>
      </c>
      <c r="CS375" s="259">
        <v>0.1</v>
      </c>
      <c r="CT375" s="259">
        <v>0.1</v>
      </c>
      <c r="CU375" s="259">
        <v>0.1</v>
      </c>
      <c r="CV375" s="259">
        <v>0.1</v>
      </c>
      <c r="CW375" s="259">
        <v>0.1</v>
      </c>
      <c r="CX375" s="259">
        <v>0.1</v>
      </c>
      <c r="CY375" s="259">
        <v>0.1</v>
      </c>
      <c r="CZ375" s="259">
        <v>0.1</v>
      </c>
      <c r="DA375" s="259">
        <v>0.1</v>
      </c>
      <c r="DB375" s="260">
        <v>0.1</v>
      </c>
      <c r="DC375" s="258">
        <v>0.1</v>
      </c>
      <c r="DD375" s="259">
        <v>0.1</v>
      </c>
      <c r="DE375" s="259">
        <v>0.1</v>
      </c>
      <c r="DF375" s="259">
        <v>0.1</v>
      </c>
      <c r="DG375" s="259">
        <v>0.1</v>
      </c>
      <c r="DH375" s="259">
        <v>0.1</v>
      </c>
      <c r="DI375" s="259">
        <v>0.1</v>
      </c>
      <c r="DJ375" s="259">
        <v>0.1</v>
      </c>
      <c r="DK375" s="259">
        <v>0.1</v>
      </c>
      <c r="DL375" s="259">
        <v>0.1</v>
      </c>
      <c r="DM375" s="259">
        <v>0.1</v>
      </c>
      <c r="DN375" s="259">
        <v>0.1</v>
      </c>
      <c r="DO375" s="259">
        <v>0.1</v>
      </c>
      <c r="DP375" s="259">
        <v>0.1</v>
      </c>
      <c r="DQ375" s="260">
        <v>0.1</v>
      </c>
      <c r="DR375" s="258">
        <v>0.1</v>
      </c>
      <c r="DS375" s="259">
        <v>0.1</v>
      </c>
      <c r="DT375" s="259">
        <v>0.1</v>
      </c>
      <c r="DU375" s="259">
        <v>0.1</v>
      </c>
      <c r="DV375" s="259">
        <v>0.1</v>
      </c>
      <c r="DW375" s="259">
        <v>0.1</v>
      </c>
      <c r="DX375" s="259">
        <v>0.1</v>
      </c>
      <c r="DY375" s="259">
        <v>0.1</v>
      </c>
      <c r="DZ375" s="259">
        <v>0.1</v>
      </c>
      <c r="EA375" s="259">
        <v>0.1</v>
      </c>
      <c r="EB375" s="259">
        <v>0.1</v>
      </c>
      <c r="EC375" s="259">
        <v>0.1</v>
      </c>
      <c r="ED375" s="259">
        <v>0.1</v>
      </c>
      <c r="EE375" s="259">
        <v>0.1</v>
      </c>
      <c r="EF375" s="260">
        <v>0.1</v>
      </c>
    </row>
    <row r="376" spans="71:137" ht="15.75" thickBot="1" x14ac:dyDescent="0.3">
      <c r="BS376">
        <v>373</v>
      </c>
      <c r="BT376" s="270">
        <v>1.5</v>
      </c>
      <c r="BU376" s="270">
        <v>1.41</v>
      </c>
      <c r="BV376" s="271">
        <v>1.46</v>
      </c>
      <c r="BW376" s="270">
        <v>1.46</v>
      </c>
      <c r="BX376" s="2"/>
      <c r="BY376" s="258">
        <v>0.1</v>
      </c>
      <c r="BZ376" s="259">
        <v>0.1</v>
      </c>
      <c r="CA376" s="259">
        <v>0.1</v>
      </c>
      <c r="CB376" s="259">
        <v>0.1</v>
      </c>
      <c r="CC376" s="259">
        <v>0.1</v>
      </c>
      <c r="CD376" s="259">
        <v>0.1</v>
      </c>
      <c r="CE376" s="259">
        <v>0.1</v>
      </c>
      <c r="CF376" s="259">
        <v>0.1</v>
      </c>
      <c r="CG376" s="259">
        <v>0.1</v>
      </c>
      <c r="CH376" s="259">
        <v>0.1</v>
      </c>
      <c r="CI376" s="259">
        <v>0.1</v>
      </c>
      <c r="CJ376" s="259">
        <v>0.1</v>
      </c>
      <c r="CK376" s="259">
        <v>0.1</v>
      </c>
      <c r="CL376" s="259">
        <v>0.1</v>
      </c>
      <c r="CM376" s="260">
        <v>0.1</v>
      </c>
      <c r="CN376" s="258">
        <v>0.1</v>
      </c>
      <c r="CO376" s="259">
        <v>0.1</v>
      </c>
      <c r="CP376" s="259">
        <v>0.1</v>
      </c>
      <c r="CQ376" s="259">
        <v>0.1</v>
      </c>
      <c r="CR376" s="259">
        <v>0.1</v>
      </c>
      <c r="CS376" s="259">
        <v>0.1</v>
      </c>
      <c r="CT376" s="259">
        <v>0.1</v>
      </c>
      <c r="CU376" s="259">
        <v>0.1</v>
      </c>
      <c r="CV376" s="259">
        <v>0.1</v>
      </c>
      <c r="CW376" s="259">
        <v>0.1</v>
      </c>
      <c r="CX376" s="259">
        <v>0.1</v>
      </c>
      <c r="CY376" s="259">
        <v>0.1</v>
      </c>
      <c r="CZ376" s="259">
        <v>0.1</v>
      </c>
      <c r="DA376" s="259">
        <v>0.1</v>
      </c>
      <c r="DB376" s="260">
        <v>0.1</v>
      </c>
      <c r="DC376" s="258">
        <v>0.1</v>
      </c>
      <c r="DD376" s="259">
        <v>0.1</v>
      </c>
      <c r="DE376" s="259">
        <v>0.1</v>
      </c>
      <c r="DF376" s="259">
        <v>0.1</v>
      </c>
      <c r="DG376" s="259">
        <v>0.1</v>
      </c>
      <c r="DH376" s="259">
        <v>0.1</v>
      </c>
      <c r="DI376" s="259">
        <v>0.1</v>
      </c>
      <c r="DJ376" s="259">
        <v>0.1</v>
      </c>
      <c r="DK376" s="259">
        <v>0.1</v>
      </c>
      <c r="DL376" s="259">
        <v>0.1</v>
      </c>
      <c r="DM376" s="259">
        <v>0.1</v>
      </c>
      <c r="DN376" s="259">
        <v>0.1</v>
      </c>
      <c r="DO376" s="259">
        <v>0.1</v>
      </c>
      <c r="DP376" s="259">
        <v>0.1</v>
      </c>
      <c r="DQ376" s="260">
        <v>0.1</v>
      </c>
      <c r="DR376" s="258">
        <v>0.1</v>
      </c>
      <c r="DS376" s="259">
        <v>0.1</v>
      </c>
      <c r="DT376" s="259">
        <v>0.1</v>
      </c>
      <c r="DU376" s="259">
        <v>0.1</v>
      </c>
      <c r="DV376" s="259">
        <v>0.1</v>
      </c>
      <c r="DW376" s="259">
        <v>0.1</v>
      </c>
      <c r="DX376" s="259">
        <v>0.1</v>
      </c>
      <c r="DY376" s="259">
        <v>0.1</v>
      </c>
      <c r="DZ376" s="259">
        <v>0.1</v>
      </c>
      <c r="EA376" s="259">
        <v>0.1</v>
      </c>
      <c r="EB376" s="259">
        <v>0.1</v>
      </c>
      <c r="EC376" s="259">
        <v>0.1</v>
      </c>
      <c r="ED376" s="259">
        <v>0.1</v>
      </c>
      <c r="EE376" s="259">
        <v>0.1</v>
      </c>
      <c r="EF376" s="260">
        <v>0.1</v>
      </c>
    </row>
    <row r="377" spans="71:137" ht="15.75" thickBot="1" x14ac:dyDescent="0.3">
      <c r="BS377">
        <v>374</v>
      </c>
      <c r="BT377" s="271">
        <v>1.5</v>
      </c>
      <c r="BU377" s="271">
        <v>1.41</v>
      </c>
      <c r="BV377" s="270">
        <v>1.46</v>
      </c>
      <c r="BW377" s="271">
        <v>1.46</v>
      </c>
      <c r="BX377" s="2"/>
      <c r="BY377" s="258">
        <v>0.1</v>
      </c>
      <c r="BZ377" s="259">
        <v>0.1</v>
      </c>
      <c r="CA377" s="259">
        <v>0.1</v>
      </c>
      <c r="CB377" s="259">
        <v>0.1</v>
      </c>
      <c r="CC377" s="259">
        <v>0.1</v>
      </c>
      <c r="CD377" s="259">
        <v>0.1</v>
      </c>
      <c r="CE377" s="259">
        <v>0.1</v>
      </c>
      <c r="CF377" s="259">
        <v>0.1</v>
      </c>
      <c r="CG377" s="259">
        <v>0.1</v>
      </c>
      <c r="CH377" s="259">
        <v>0.1</v>
      </c>
      <c r="CI377" s="259">
        <v>0.1</v>
      </c>
      <c r="CJ377" s="259">
        <v>0.1</v>
      </c>
      <c r="CK377" s="259">
        <v>0.1</v>
      </c>
      <c r="CL377" s="259">
        <v>0.1</v>
      </c>
      <c r="CM377" s="260">
        <v>0.1</v>
      </c>
      <c r="CN377" s="258">
        <v>0.1</v>
      </c>
      <c r="CO377" s="259">
        <v>0.1</v>
      </c>
      <c r="CP377" s="259">
        <v>0.1</v>
      </c>
      <c r="CQ377" s="259">
        <v>0.1</v>
      </c>
      <c r="CR377" s="259">
        <v>0.1</v>
      </c>
      <c r="CS377" s="259">
        <v>0.1</v>
      </c>
      <c r="CT377" s="259">
        <v>0.1</v>
      </c>
      <c r="CU377" s="259">
        <v>0.1</v>
      </c>
      <c r="CV377" s="259">
        <v>0.1</v>
      </c>
      <c r="CW377" s="259">
        <v>0.1</v>
      </c>
      <c r="CX377" s="259">
        <v>0.1</v>
      </c>
      <c r="CY377" s="259">
        <v>0.1</v>
      </c>
      <c r="CZ377" s="259">
        <v>0.1</v>
      </c>
      <c r="DA377" s="259">
        <v>0.1</v>
      </c>
      <c r="DB377" s="260">
        <v>0.1</v>
      </c>
      <c r="DC377" s="258">
        <v>0.1</v>
      </c>
      <c r="DD377" s="259">
        <v>0.1</v>
      </c>
      <c r="DE377" s="259">
        <v>0.1</v>
      </c>
      <c r="DF377" s="259">
        <v>0.1</v>
      </c>
      <c r="DG377" s="259">
        <v>0.1</v>
      </c>
      <c r="DH377" s="259">
        <v>0.1</v>
      </c>
      <c r="DI377" s="259">
        <v>0.1</v>
      </c>
      <c r="DJ377" s="259">
        <v>0.1</v>
      </c>
      <c r="DK377" s="259">
        <v>0.1</v>
      </c>
      <c r="DL377" s="259">
        <v>0.1</v>
      </c>
      <c r="DM377" s="259">
        <v>0.1</v>
      </c>
      <c r="DN377" s="259">
        <v>0.1</v>
      </c>
      <c r="DO377" s="259">
        <v>0.1</v>
      </c>
      <c r="DP377" s="259">
        <v>0.1</v>
      </c>
      <c r="DQ377" s="260">
        <v>0.1</v>
      </c>
      <c r="DR377" s="258">
        <v>0.1</v>
      </c>
      <c r="DS377" s="259">
        <v>0.1</v>
      </c>
      <c r="DT377" s="259">
        <v>0.1</v>
      </c>
      <c r="DU377" s="259">
        <v>0.1</v>
      </c>
      <c r="DV377" s="259">
        <v>0.1</v>
      </c>
      <c r="DW377" s="259">
        <v>0.1</v>
      </c>
      <c r="DX377" s="259">
        <v>0.1</v>
      </c>
      <c r="DY377" s="259">
        <v>0.1</v>
      </c>
      <c r="DZ377" s="259">
        <v>0.1</v>
      </c>
      <c r="EA377" s="259">
        <v>0.1</v>
      </c>
      <c r="EB377" s="259">
        <v>0.1</v>
      </c>
      <c r="EC377" s="259">
        <v>0.1</v>
      </c>
      <c r="ED377" s="259">
        <v>0.1</v>
      </c>
      <c r="EE377" s="259">
        <v>0.1</v>
      </c>
      <c r="EF377" s="260">
        <v>0.1</v>
      </c>
    </row>
    <row r="378" spans="71:137" ht="15.75" thickBot="1" x14ac:dyDescent="0.3">
      <c r="BS378">
        <v>375</v>
      </c>
      <c r="BT378" s="270">
        <v>1.5</v>
      </c>
      <c r="BU378" s="270">
        <v>1.41</v>
      </c>
      <c r="BV378" s="271">
        <v>1.46</v>
      </c>
      <c r="BW378" s="270">
        <v>1.46</v>
      </c>
      <c r="BX378" s="2"/>
      <c r="BY378" s="258">
        <v>0.1</v>
      </c>
      <c r="BZ378" s="259">
        <v>0.1</v>
      </c>
      <c r="CA378" s="259">
        <v>0.1</v>
      </c>
      <c r="CB378" s="259">
        <v>0.1</v>
      </c>
      <c r="CC378" s="259">
        <v>0.1</v>
      </c>
      <c r="CD378" s="259">
        <v>0.1</v>
      </c>
      <c r="CE378" s="259">
        <v>0.1</v>
      </c>
      <c r="CF378" s="259">
        <v>0.1</v>
      </c>
      <c r="CG378" s="259">
        <v>0.1</v>
      </c>
      <c r="CH378" s="259">
        <v>0.1</v>
      </c>
      <c r="CI378" s="259">
        <v>0.1</v>
      </c>
      <c r="CJ378" s="259">
        <v>0.1</v>
      </c>
      <c r="CK378" s="259">
        <v>0.1</v>
      </c>
      <c r="CL378" s="259">
        <v>0.1</v>
      </c>
      <c r="CM378" s="260">
        <v>0.1</v>
      </c>
      <c r="CN378" s="258">
        <v>0.1</v>
      </c>
      <c r="CO378" s="259">
        <v>0.1</v>
      </c>
      <c r="CP378" s="259">
        <v>0.1</v>
      </c>
      <c r="CQ378" s="259">
        <v>0.1</v>
      </c>
      <c r="CR378" s="259">
        <v>0.1</v>
      </c>
      <c r="CS378" s="259">
        <v>0.1</v>
      </c>
      <c r="CT378" s="259">
        <v>0.1</v>
      </c>
      <c r="CU378" s="259">
        <v>0.1</v>
      </c>
      <c r="CV378" s="259">
        <v>0.1</v>
      </c>
      <c r="CW378" s="259">
        <v>0.1</v>
      </c>
      <c r="CX378" s="259">
        <v>0.1</v>
      </c>
      <c r="CY378" s="259">
        <v>0.1</v>
      </c>
      <c r="CZ378" s="259">
        <v>0.1</v>
      </c>
      <c r="DA378" s="259">
        <v>0.1</v>
      </c>
      <c r="DB378" s="260">
        <v>0.1</v>
      </c>
      <c r="DC378" s="258">
        <v>0.1</v>
      </c>
      <c r="DD378" s="259">
        <v>0.1</v>
      </c>
      <c r="DE378" s="259">
        <v>0.1</v>
      </c>
      <c r="DF378" s="259">
        <v>0.1</v>
      </c>
      <c r="DG378" s="259">
        <v>0.1</v>
      </c>
      <c r="DH378" s="259">
        <v>0.1</v>
      </c>
      <c r="DI378" s="259">
        <v>0.1</v>
      </c>
      <c r="DJ378" s="259">
        <v>0.1</v>
      </c>
      <c r="DK378" s="259">
        <v>0.1</v>
      </c>
      <c r="DL378" s="259">
        <v>0.1</v>
      </c>
      <c r="DM378" s="259">
        <v>0.1</v>
      </c>
      <c r="DN378" s="259">
        <v>0.1</v>
      </c>
      <c r="DO378" s="259">
        <v>0.1</v>
      </c>
      <c r="DP378" s="259">
        <v>0.1</v>
      </c>
      <c r="DQ378" s="260">
        <v>0.1</v>
      </c>
      <c r="DR378" s="258">
        <v>0.1</v>
      </c>
      <c r="DS378" s="259">
        <v>0.1</v>
      </c>
      <c r="DT378" s="259">
        <v>0.1</v>
      </c>
      <c r="DU378" s="259">
        <v>0.1</v>
      </c>
      <c r="DV378" s="259">
        <v>0.1</v>
      </c>
      <c r="DW378" s="259">
        <v>0.1</v>
      </c>
      <c r="DX378" s="259">
        <v>0.1</v>
      </c>
      <c r="DY378" s="259">
        <v>0.1</v>
      </c>
      <c r="DZ378" s="259">
        <v>0.1</v>
      </c>
      <c r="EA378" s="259">
        <v>0.1</v>
      </c>
      <c r="EB378" s="259">
        <v>0.1</v>
      </c>
      <c r="EC378" s="259">
        <v>0.1</v>
      </c>
      <c r="ED378" s="259">
        <v>0.1</v>
      </c>
      <c r="EE378" s="259">
        <v>0.1</v>
      </c>
      <c r="EF378" s="260">
        <v>0.1</v>
      </c>
    </row>
    <row r="379" spans="71:137" ht="15.75" thickBot="1" x14ac:dyDescent="0.3">
      <c r="BS379">
        <v>376</v>
      </c>
      <c r="BT379" s="271">
        <v>1.5</v>
      </c>
      <c r="BU379" s="271">
        <v>1.41</v>
      </c>
      <c r="BW379" s="2"/>
      <c r="BX379" s="2"/>
      <c r="BY379" s="258">
        <v>0.1</v>
      </c>
      <c r="BZ379" s="259">
        <v>0.1</v>
      </c>
      <c r="CA379" s="259">
        <v>0.1</v>
      </c>
      <c r="CB379" s="259">
        <v>0.1</v>
      </c>
      <c r="CC379" s="259">
        <v>0.1</v>
      </c>
      <c r="CD379" s="259">
        <v>0.1</v>
      </c>
      <c r="CE379" s="259">
        <v>0.1</v>
      </c>
      <c r="CF379" s="259">
        <v>0.1</v>
      </c>
      <c r="CG379" s="259">
        <v>0.1</v>
      </c>
      <c r="CH379" s="259">
        <v>0.1</v>
      </c>
      <c r="CI379" s="259">
        <v>0.1</v>
      </c>
      <c r="CJ379" s="259">
        <v>0.1</v>
      </c>
      <c r="CK379" s="259">
        <v>0.1</v>
      </c>
      <c r="CL379" s="259">
        <v>0.1</v>
      </c>
      <c r="CM379" s="260">
        <v>0.1</v>
      </c>
      <c r="CN379" s="258">
        <v>0.1</v>
      </c>
      <c r="CO379" s="259">
        <v>0.1</v>
      </c>
      <c r="CP379" s="259">
        <v>0.1</v>
      </c>
      <c r="CQ379" s="259">
        <v>0.1</v>
      </c>
      <c r="CR379" s="259">
        <v>0.1</v>
      </c>
      <c r="CS379" s="259">
        <v>0.1</v>
      </c>
      <c r="CT379" s="259">
        <v>0.1</v>
      </c>
      <c r="CU379" s="259">
        <v>0.1</v>
      </c>
      <c r="CV379" s="259">
        <v>0.1</v>
      </c>
      <c r="CW379" s="259">
        <v>0.1</v>
      </c>
      <c r="CX379" s="259">
        <v>0.1</v>
      </c>
      <c r="CY379" s="259">
        <v>0.1</v>
      </c>
      <c r="CZ379" s="259">
        <v>0.1</v>
      </c>
      <c r="DA379" s="259">
        <v>0.1</v>
      </c>
      <c r="DB379" s="260">
        <v>0.1</v>
      </c>
      <c r="DC379">
        <v>0.1</v>
      </c>
      <c r="DD379">
        <v>0.1</v>
      </c>
      <c r="DE379">
        <v>0.1</v>
      </c>
      <c r="DF379">
        <v>0.1</v>
      </c>
      <c r="DG379">
        <v>0.1</v>
      </c>
      <c r="DH379">
        <v>0.1</v>
      </c>
      <c r="DI379">
        <v>0.1</v>
      </c>
      <c r="DJ379">
        <v>0.1</v>
      </c>
      <c r="DK379">
        <v>0.1</v>
      </c>
      <c r="DL379">
        <v>0.1</v>
      </c>
      <c r="DM379">
        <v>0.1</v>
      </c>
      <c r="DN379">
        <v>0.1</v>
      </c>
      <c r="DO379">
        <v>0.1</v>
      </c>
      <c r="DP379">
        <v>0.1</v>
      </c>
      <c r="DQ379">
        <v>0.1</v>
      </c>
      <c r="DR379">
        <v>0.1</v>
      </c>
      <c r="DS379">
        <v>0.1</v>
      </c>
      <c r="DT379">
        <v>0.1</v>
      </c>
      <c r="DU379">
        <v>0.1</v>
      </c>
      <c r="DV379">
        <v>0.1</v>
      </c>
      <c r="DW379">
        <v>0.1</v>
      </c>
      <c r="DX379">
        <v>0.1</v>
      </c>
      <c r="DY379">
        <v>0.1</v>
      </c>
      <c r="DZ379">
        <v>0.1</v>
      </c>
      <c r="EA379">
        <v>0.1</v>
      </c>
      <c r="EB379">
        <v>0.1</v>
      </c>
      <c r="EC379">
        <v>0.1</v>
      </c>
      <c r="ED379">
        <v>0.1</v>
      </c>
      <c r="EE379">
        <v>0.1</v>
      </c>
      <c r="EF379">
        <v>0.1</v>
      </c>
      <c r="EG379">
        <f>SUM(DC379:EF379)</f>
        <v>3.0000000000000013</v>
      </c>
    </row>
    <row r="380" spans="71:137" x14ac:dyDescent="0.25">
      <c r="BS380">
        <v>377</v>
      </c>
      <c r="BU380" s="2"/>
      <c r="BW380" s="2"/>
      <c r="BX380" s="2"/>
      <c r="BY380">
        <v>0.1</v>
      </c>
      <c r="BZ380">
        <v>0.1</v>
      </c>
      <c r="CA380">
        <v>0.1</v>
      </c>
      <c r="CB380">
        <v>0.1</v>
      </c>
      <c r="CC380">
        <v>0.1</v>
      </c>
      <c r="CD380">
        <v>0.1</v>
      </c>
      <c r="CE380">
        <v>0.1</v>
      </c>
      <c r="CF380">
        <v>0.1</v>
      </c>
      <c r="CG380">
        <v>0.1</v>
      </c>
      <c r="CH380">
        <v>0.1</v>
      </c>
      <c r="CI380">
        <v>0.1</v>
      </c>
      <c r="CJ380">
        <v>0.1</v>
      </c>
      <c r="CK380">
        <v>0.1</v>
      </c>
      <c r="CL380">
        <v>0.1</v>
      </c>
      <c r="CM380">
        <v>0.1</v>
      </c>
      <c r="CN380">
        <v>0.1</v>
      </c>
      <c r="CO380">
        <v>0.1</v>
      </c>
      <c r="CP380">
        <v>0.1</v>
      </c>
      <c r="CQ380">
        <v>0.1</v>
      </c>
      <c r="CR380">
        <v>0.1</v>
      </c>
      <c r="CS380">
        <v>0.1</v>
      </c>
      <c r="CT380">
        <v>0.1</v>
      </c>
      <c r="CU380">
        <v>0.1</v>
      </c>
      <c r="CV380">
        <v>0.1</v>
      </c>
      <c r="CW380">
        <v>0.1</v>
      </c>
      <c r="CX380">
        <v>0.1</v>
      </c>
      <c r="CY380">
        <v>0.1</v>
      </c>
      <c r="CZ380">
        <v>0.1</v>
      </c>
      <c r="DA380">
        <v>0.1</v>
      </c>
      <c r="DB380">
        <v>0.1</v>
      </c>
      <c r="DC380">
        <v>0.1</v>
      </c>
      <c r="DD380">
        <v>0.1</v>
      </c>
      <c r="DE380">
        <v>0.1</v>
      </c>
      <c r="DF380">
        <v>0.1</v>
      </c>
      <c r="DG380">
        <v>0.1</v>
      </c>
      <c r="DH380">
        <v>0.1</v>
      </c>
      <c r="DI380">
        <v>0.1</v>
      </c>
      <c r="DJ380">
        <v>0.1</v>
      </c>
      <c r="DK380">
        <v>0.1</v>
      </c>
      <c r="DL380">
        <v>0.1</v>
      </c>
      <c r="DM380">
        <v>0.1</v>
      </c>
      <c r="DN380">
        <v>0.1</v>
      </c>
      <c r="DO380">
        <v>0.1</v>
      </c>
      <c r="DP380">
        <v>0.1</v>
      </c>
      <c r="DQ380">
        <v>0.1</v>
      </c>
      <c r="DR380">
        <v>0.1</v>
      </c>
      <c r="DS380">
        <v>0.1</v>
      </c>
      <c r="DT380">
        <v>0.1</v>
      </c>
      <c r="DU380">
        <v>0.1</v>
      </c>
      <c r="DV380">
        <v>0.1</v>
      </c>
      <c r="DW380">
        <v>0.1</v>
      </c>
      <c r="DX380">
        <v>0.1</v>
      </c>
      <c r="DY380">
        <v>0.1</v>
      </c>
      <c r="DZ380">
        <v>0.1</v>
      </c>
      <c r="EA380">
        <v>0.1</v>
      </c>
      <c r="EB380">
        <v>0.1</v>
      </c>
      <c r="EC380">
        <v>0.1</v>
      </c>
      <c r="ED380">
        <v>0.1</v>
      </c>
      <c r="EE380">
        <v>0.1</v>
      </c>
      <c r="EF380">
        <v>0.1</v>
      </c>
    </row>
    <row r="381" spans="71:137" x14ac:dyDescent="0.25">
      <c r="BS381">
        <v>378</v>
      </c>
      <c r="BU381" s="2"/>
      <c r="BV381" s="2"/>
      <c r="BW381" s="2"/>
      <c r="BX381" s="2"/>
      <c r="BY381">
        <v>0.1</v>
      </c>
      <c r="BZ381">
        <v>0.1</v>
      </c>
      <c r="CA381">
        <v>0.1</v>
      </c>
      <c r="CB381">
        <v>0.1</v>
      </c>
      <c r="CC381">
        <v>0.1</v>
      </c>
      <c r="CD381">
        <v>0.1</v>
      </c>
      <c r="CE381">
        <v>0.1</v>
      </c>
      <c r="CF381">
        <v>0.1</v>
      </c>
      <c r="CG381">
        <v>0.1</v>
      </c>
      <c r="CH381">
        <v>0.1</v>
      </c>
      <c r="CI381">
        <v>0.1</v>
      </c>
      <c r="CJ381">
        <v>0.1</v>
      </c>
      <c r="CK381">
        <v>0.1</v>
      </c>
      <c r="CL381">
        <v>0.1</v>
      </c>
      <c r="CM381">
        <v>0.1</v>
      </c>
      <c r="CN381">
        <v>0.1</v>
      </c>
      <c r="CO381">
        <v>0.1</v>
      </c>
      <c r="CP381">
        <v>0.1</v>
      </c>
      <c r="CQ381">
        <v>0.1</v>
      </c>
      <c r="CR381">
        <v>0.1</v>
      </c>
      <c r="CS381">
        <v>0.1</v>
      </c>
      <c r="CT381">
        <v>0.1</v>
      </c>
      <c r="CU381">
        <v>0.1</v>
      </c>
      <c r="CV381">
        <v>0.1</v>
      </c>
      <c r="CW381">
        <v>0.1</v>
      </c>
      <c r="CX381">
        <v>0.1</v>
      </c>
      <c r="CY381">
        <v>0.1</v>
      </c>
      <c r="CZ381">
        <v>0.1</v>
      </c>
      <c r="DA381">
        <v>0.1</v>
      </c>
      <c r="DB381">
        <v>0.1</v>
      </c>
      <c r="DC381">
        <v>0.1</v>
      </c>
      <c r="DD381">
        <v>0.1</v>
      </c>
      <c r="DE381">
        <v>0.1</v>
      </c>
      <c r="DF381">
        <v>0.1</v>
      </c>
      <c r="DG381">
        <v>0.1</v>
      </c>
      <c r="DH381">
        <v>0.1</v>
      </c>
      <c r="DI381">
        <v>0.1</v>
      </c>
      <c r="DJ381">
        <v>0.1</v>
      </c>
      <c r="DK381">
        <v>0.1</v>
      </c>
      <c r="DL381">
        <v>0.1</v>
      </c>
      <c r="DM381">
        <v>0.1</v>
      </c>
      <c r="DN381">
        <v>0.1</v>
      </c>
      <c r="DO381">
        <v>0.1</v>
      </c>
      <c r="DP381">
        <v>0.1</v>
      </c>
      <c r="DQ381">
        <v>0.1</v>
      </c>
      <c r="DR381">
        <v>0.1</v>
      </c>
      <c r="DS381">
        <v>0.1</v>
      </c>
      <c r="DT381">
        <v>0.1</v>
      </c>
      <c r="DU381">
        <v>0.1</v>
      </c>
      <c r="DV381">
        <v>0.1</v>
      </c>
      <c r="DW381">
        <v>0.1</v>
      </c>
      <c r="DX381">
        <v>0.1</v>
      </c>
      <c r="DY381">
        <v>0.1</v>
      </c>
      <c r="DZ381">
        <v>0.1</v>
      </c>
      <c r="EA381">
        <v>0.1</v>
      </c>
      <c r="EB381">
        <v>0.1</v>
      </c>
      <c r="EC381">
        <v>0.1</v>
      </c>
      <c r="ED381">
        <v>0.1</v>
      </c>
      <c r="EE381">
        <v>0.1</v>
      </c>
      <c r="EF381">
        <v>0.1</v>
      </c>
    </row>
    <row r="382" spans="71:137" x14ac:dyDescent="0.25">
      <c r="BS382">
        <v>379</v>
      </c>
      <c r="BU382" s="2"/>
      <c r="BV382" s="2"/>
      <c r="BW382" s="2"/>
      <c r="BX382" s="2"/>
      <c r="BY382">
        <v>0.1</v>
      </c>
      <c r="BZ382">
        <v>0.1</v>
      </c>
      <c r="CA382">
        <v>0.1</v>
      </c>
      <c r="CB382">
        <v>0.1</v>
      </c>
      <c r="CC382">
        <v>0.1</v>
      </c>
      <c r="CD382">
        <v>0.1</v>
      </c>
      <c r="CE382">
        <v>0.1</v>
      </c>
      <c r="CF382">
        <v>0.1</v>
      </c>
      <c r="CG382">
        <v>0.1</v>
      </c>
      <c r="CH382">
        <v>0.1</v>
      </c>
      <c r="CI382">
        <v>0.1</v>
      </c>
      <c r="CJ382">
        <v>0.1</v>
      </c>
      <c r="CK382">
        <v>0.1</v>
      </c>
      <c r="CL382">
        <v>0.1</v>
      </c>
      <c r="CM382">
        <v>0.1</v>
      </c>
      <c r="CN382">
        <v>0.1</v>
      </c>
      <c r="CO382">
        <v>0.1</v>
      </c>
      <c r="CP382">
        <v>0.1</v>
      </c>
      <c r="CQ382">
        <v>0.1</v>
      </c>
      <c r="CR382">
        <v>0.1</v>
      </c>
      <c r="CS382">
        <v>0.1</v>
      </c>
      <c r="CT382">
        <v>0.1</v>
      </c>
      <c r="CU382">
        <v>0.1</v>
      </c>
      <c r="CV382">
        <v>0.1</v>
      </c>
      <c r="CW382">
        <v>0.1</v>
      </c>
      <c r="CX382">
        <v>0.1</v>
      </c>
      <c r="CY382">
        <v>0.1</v>
      </c>
      <c r="CZ382">
        <v>0.1</v>
      </c>
      <c r="DA382">
        <v>0.1</v>
      </c>
      <c r="DB382">
        <v>0.1</v>
      </c>
      <c r="DC382">
        <v>0.1</v>
      </c>
      <c r="DD382">
        <v>0.1</v>
      </c>
      <c r="DE382">
        <v>0.1</v>
      </c>
      <c r="DF382">
        <v>0.1</v>
      </c>
      <c r="DG382">
        <v>0.1</v>
      </c>
      <c r="DH382">
        <v>0.1</v>
      </c>
      <c r="DI382">
        <v>0.1</v>
      </c>
      <c r="DJ382">
        <v>0.1</v>
      </c>
      <c r="DK382">
        <v>0.1</v>
      </c>
      <c r="DL382">
        <v>0.1</v>
      </c>
      <c r="DM382">
        <v>0.1</v>
      </c>
      <c r="DN382">
        <v>0.1</v>
      </c>
      <c r="DO382">
        <v>0.1</v>
      </c>
      <c r="DP382">
        <v>0.1</v>
      </c>
      <c r="DQ382">
        <v>0.1</v>
      </c>
      <c r="DR382">
        <v>0.1</v>
      </c>
      <c r="DS382">
        <v>0.1</v>
      </c>
      <c r="DT382">
        <v>0.1</v>
      </c>
      <c r="DU382">
        <v>0.1</v>
      </c>
      <c r="DV382">
        <v>0.1</v>
      </c>
      <c r="DW382">
        <v>0.1</v>
      </c>
      <c r="DX382">
        <v>0.1</v>
      </c>
      <c r="DY382">
        <v>0.1</v>
      </c>
      <c r="DZ382">
        <v>0.1</v>
      </c>
      <c r="EA382">
        <v>0.1</v>
      </c>
      <c r="EB382">
        <v>0.1</v>
      </c>
      <c r="EC382">
        <v>0.1</v>
      </c>
      <c r="ED382">
        <v>0.1</v>
      </c>
      <c r="EE382">
        <v>0.1</v>
      </c>
      <c r="EF382">
        <v>0.1</v>
      </c>
    </row>
    <row r="383" spans="71:137" x14ac:dyDescent="0.25">
      <c r="BS383">
        <v>380</v>
      </c>
      <c r="BU383" s="2"/>
      <c r="BV383" s="2"/>
      <c r="BW383" s="2"/>
      <c r="BX383" s="2"/>
      <c r="BY383">
        <v>0.1</v>
      </c>
      <c r="BZ383">
        <v>0.1</v>
      </c>
      <c r="CA383">
        <v>0.1</v>
      </c>
      <c r="CB383">
        <v>0.1</v>
      </c>
      <c r="CC383">
        <v>0.1</v>
      </c>
      <c r="CD383">
        <v>0.1</v>
      </c>
      <c r="CE383">
        <v>0.1</v>
      </c>
      <c r="CF383">
        <v>0.1</v>
      </c>
      <c r="CG383">
        <v>0.1</v>
      </c>
      <c r="CH383">
        <v>0.1</v>
      </c>
      <c r="CI383">
        <v>0.1</v>
      </c>
      <c r="CJ383">
        <v>0.1</v>
      </c>
      <c r="CK383">
        <v>0.1</v>
      </c>
      <c r="CL383">
        <v>0.1</v>
      </c>
      <c r="CM383">
        <v>0.1</v>
      </c>
      <c r="CN383">
        <v>0.1</v>
      </c>
      <c r="CO383">
        <v>0.1</v>
      </c>
      <c r="CP383">
        <v>0.1</v>
      </c>
      <c r="CQ383">
        <v>0.1</v>
      </c>
      <c r="CR383">
        <v>0.1</v>
      </c>
      <c r="CS383">
        <v>0.1</v>
      </c>
      <c r="CT383">
        <v>0.1</v>
      </c>
      <c r="CU383">
        <v>0.1</v>
      </c>
      <c r="CV383">
        <v>0.1</v>
      </c>
      <c r="CW383">
        <v>0.1</v>
      </c>
      <c r="CX383">
        <v>0.1</v>
      </c>
      <c r="CY383">
        <v>0.1</v>
      </c>
      <c r="CZ383">
        <v>0.1</v>
      </c>
      <c r="DA383">
        <v>0.1</v>
      </c>
      <c r="DB383">
        <v>0.1</v>
      </c>
      <c r="DC383">
        <v>0.1</v>
      </c>
      <c r="DD383">
        <v>0.1</v>
      </c>
      <c r="DE383">
        <v>0.1</v>
      </c>
      <c r="DF383">
        <v>0.1</v>
      </c>
      <c r="DG383">
        <v>0.1</v>
      </c>
      <c r="DH383">
        <v>0.1</v>
      </c>
      <c r="DI383">
        <v>0.1</v>
      </c>
      <c r="DJ383">
        <v>0.1</v>
      </c>
      <c r="DK383">
        <v>0.1</v>
      </c>
      <c r="DL383">
        <v>0.1</v>
      </c>
      <c r="DM383">
        <v>0.1</v>
      </c>
      <c r="DN383">
        <v>0.1</v>
      </c>
      <c r="DO383">
        <v>0.1</v>
      </c>
      <c r="DP383">
        <v>0.1</v>
      </c>
      <c r="DQ383">
        <v>0.1</v>
      </c>
      <c r="DR383">
        <v>0.1</v>
      </c>
      <c r="DS383">
        <v>0.1</v>
      </c>
      <c r="DT383">
        <v>0.1</v>
      </c>
      <c r="DU383">
        <v>0.1</v>
      </c>
      <c r="DV383">
        <v>0.1</v>
      </c>
      <c r="DW383">
        <v>0.1</v>
      </c>
      <c r="DX383">
        <v>0.1</v>
      </c>
      <c r="DY383">
        <v>0.1</v>
      </c>
      <c r="DZ383">
        <v>0.1</v>
      </c>
      <c r="EA383">
        <v>0.1</v>
      </c>
      <c r="EB383">
        <v>0.1</v>
      </c>
      <c r="EC383">
        <v>0.1</v>
      </c>
      <c r="ED383">
        <v>0.1</v>
      </c>
      <c r="EE383">
        <v>0.1</v>
      </c>
      <c r="EF383">
        <v>0.1</v>
      </c>
    </row>
    <row r="384" spans="71:137" x14ac:dyDescent="0.25">
      <c r="BS384">
        <v>381</v>
      </c>
      <c r="BU384" s="2"/>
      <c r="BV384" s="2"/>
      <c r="BW384" s="2"/>
      <c r="BX384" s="2"/>
      <c r="BY384">
        <v>0.1</v>
      </c>
      <c r="BZ384">
        <v>0.1</v>
      </c>
      <c r="CA384">
        <v>0.1</v>
      </c>
      <c r="CB384">
        <v>0.1</v>
      </c>
      <c r="CC384">
        <v>0.1</v>
      </c>
      <c r="CD384">
        <v>0.1</v>
      </c>
      <c r="CE384">
        <v>0.1</v>
      </c>
      <c r="CF384">
        <v>0.1</v>
      </c>
      <c r="CG384">
        <v>0.1</v>
      </c>
      <c r="CH384">
        <v>0.1</v>
      </c>
      <c r="CI384">
        <v>0.1</v>
      </c>
      <c r="CJ384">
        <v>0.1</v>
      </c>
      <c r="CK384">
        <v>0.1</v>
      </c>
      <c r="CL384">
        <v>0.1</v>
      </c>
      <c r="CM384">
        <v>0.1</v>
      </c>
      <c r="CN384">
        <v>0.1</v>
      </c>
      <c r="CO384">
        <v>0.1</v>
      </c>
      <c r="CP384">
        <v>0.1</v>
      </c>
      <c r="CQ384">
        <v>0.1</v>
      </c>
      <c r="CR384">
        <v>0.1</v>
      </c>
      <c r="CS384">
        <v>0.1</v>
      </c>
      <c r="CT384">
        <v>0.1</v>
      </c>
      <c r="CU384">
        <v>0.1</v>
      </c>
      <c r="CV384">
        <v>0.1</v>
      </c>
      <c r="CW384">
        <v>0.1</v>
      </c>
      <c r="CX384">
        <v>0.1</v>
      </c>
      <c r="CY384">
        <v>0.1</v>
      </c>
      <c r="CZ384">
        <v>0.1</v>
      </c>
      <c r="DA384">
        <v>0.1</v>
      </c>
      <c r="DB384">
        <v>0.1</v>
      </c>
      <c r="DC384">
        <v>0.1</v>
      </c>
      <c r="DD384">
        <v>0.1</v>
      </c>
      <c r="DE384">
        <v>0.1</v>
      </c>
      <c r="DF384">
        <v>0.1</v>
      </c>
      <c r="DG384">
        <v>0.1</v>
      </c>
      <c r="DH384">
        <v>0.1</v>
      </c>
      <c r="DI384">
        <v>0.1</v>
      </c>
      <c r="DJ384">
        <v>0.1</v>
      </c>
      <c r="DK384">
        <v>0.1</v>
      </c>
      <c r="DL384">
        <v>0.1</v>
      </c>
      <c r="DM384">
        <v>0.1</v>
      </c>
      <c r="DN384">
        <v>0.1</v>
      </c>
      <c r="DO384">
        <v>0.1</v>
      </c>
      <c r="DP384">
        <v>0.1</v>
      </c>
      <c r="DQ384">
        <v>0.1</v>
      </c>
      <c r="DR384">
        <v>0.1</v>
      </c>
      <c r="DS384">
        <v>0.1</v>
      </c>
      <c r="DT384">
        <v>0.1</v>
      </c>
      <c r="DU384">
        <v>0.1</v>
      </c>
      <c r="DV384">
        <v>0.1</v>
      </c>
      <c r="DW384">
        <v>0.1</v>
      </c>
      <c r="DX384">
        <v>0.1</v>
      </c>
      <c r="DY384">
        <v>0.1</v>
      </c>
      <c r="DZ384">
        <v>0.1</v>
      </c>
      <c r="EA384">
        <v>0.1</v>
      </c>
      <c r="EB384">
        <v>0.1</v>
      </c>
      <c r="EC384">
        <v>0.1</v>
      </c>
      <c r="ED384">
        <v>0.1</v>
      </c>
      <c r="EE384">
        <v>0.1</v>
      </c>
      <c r="EF384">
        <v>0.1</v>
      </c>
    </row>
    <row r="385" spans="71:136" x14ac:dyDescent="0.25">
      <c r="BS385">
        <v>382</v>
      </c>
      <c r="BU385" s="2"/>
      <c r="BV385" s="2"/>
      <c r="BW385" s="2"/>
      <c r="BX385" s="2"/>
      <c r="BY385">
        <v>0.1</v>
      </c>
      <c r="BZ385">
        <v>0.1</v>
      </c>
      <c r="CA385">
        <v>0.1</v>
      </c>
      <c r="CB385">
        <v>0.1</v>
      </c>
      <c r="CC385">
        <v>0.1</v>
      </c>
      <c r="CD385">
        <v>0.1</v>
      </c>
      <c r="CE385">
        <v>0.1</v>
      </c>
      <c r="CF385">
        <v>0.1</v>
      </c>
      <c r="CG385">
        <v>0.1</v>
      </c>
      <c r="CH385">
        <v>0.1</v>
      </c>
      <c r="CI385">
        <v>0.1</v>
      </c>
      <c r="CJ385">
        <v>0.1</v>
      </c>
      <c r="CK385">
        <v>0.1</v>
      </c>
      <c r="CL385">
        <v>0.1</v>
      </c>
      <c r="CM385">
        <v>0.1</v>
      </c>
      <c r="CN385">
        <v>0.1</v>
      </c>
      <c r="CO385">
        <v>0.1</v>
      </c>
      <c r="CP385">
        <v>0.1</v>
      </c>
      <c r="CQ385">
        <v>0.1</v>
      </c>
      <c r="CR385">
        <v>0.1</v>
      </c>
      <c r="CS385">
        <v>0.1</v>
      </c>
      <c r="CT385">
        <v>0.1</v>
      </c>
      <c r="CU385">
        <v>0.1</v>
      </c>
      <c r="CV385">
        <v>0.1</v>
      </c>
      <c r="CW385">
        <v>0.1</v>
      </c>
      <c r="CX385">
        <v>0.1</v>
      </c>
      <c r="CY385">
        <v>0.1</v>
      </c>
      <c r="CZ385">
        <v>0.1</v>
      </c>
      <c r="DA385">
        <v>0.1</v>
      </c>
      <c r="DB385">
        <v>0.1</v>
      </c>
      <c r="DC385">
        <v>0.1</v>
      </c>
      <c r="DD385">
        <v>0.1</v>
      </c>
      <c r="DE385">
        <v>0.1</v>
      </c>
      <c r="DF385">
        <v>0.1</v>
      </c>
      <c r="DG385">
        <v>0.1</v>
      </c>
      <c r="DH385">
        <v>0.1</v>
      </c>
      <c r="DI385">
        <v>0.1</v>
      </c>
      <c r="DJ385">
        <v>0.1</v>
      </c>
      <c r="DK385">
        <v>0.1</v>
      </c>
      <c r="DL385">
        <v>0.1</v>
      </c>
      <c r="DM385">
        <v>0.1</v>
      </c>
      <c r="DN385">
        <v>0.1</v>
      </c>
      <c r="DO385">
        <v>0.1</v>
      </c>
      <c r="DP385">
        <v>0.1</v>
      </c>
      <c r="DQ385">
        <v>0.1</v>
      </c>
      <c r="DR385">
        <v>0.1</v>
      </c>
      <c r="DS385">
        <v>0.1</v>
      </c>
      <c r="DT385">
        <v>0.1</v>
      </c>
      <c r="DU385">
        <v>0.1</v>
      </c>
      <c r="DV385">
        <v>0.1</v>
      </c>
      <c r="DW385">
        <v>0.1</v>
      </c>
      <c r="DX385">
        <v>0.1</v>
      </c>
      <c r="DY385">
        <v>0.1</v>
      </c>
      <c r="DZ385">
        <v>0.1</v>
      </c>
      <c r="EA385">
        <v>0.1</v>
      </c>
      <c r="EB385">
        <v>0.1</v>
      </c>
      <c r="EC385">
        <v>0.1</v>
      </c>
      <c r="ED385">
        <v>0.1</v>
      </c>
      <c r="EE385">
        <v>0.1</v>
      </c>
      <c r="EF385">
        <v>0.1</v>
      </c>
    </row>
    <row r="386" spans="71:136" x14ac:dyDescent="0.25">
      <c r="BS386">
        <v>383</v>
      </c>
      <c r="BU386" s="2"/>
      <c r="BV386" s="2"/>
      <c r="BW386" s="2"/>
      <c r="BX386" s="2"/>
      <c r="BY386">
        <v>0.1</v>
      </c>
      <c r="BZ386">
        <v>0.1</v>
      </c>
      <c r="CA386">
        <v>0.1</v>
      </c>
      <c r="CB386">
        <v>0.1</v>
      </c>
      <c r="CC386">
        <v>0.1</v>
      </c>
      <c r="CD386">
        <v>0.1</v>
      </c>
      <c r="CE386">
        <v>0.1</v>
      </c>
      <c r="CF386">
        <v>0.1</v>
      </c>
      <c r="CG386">
        <v>0.1</v>
      </c>
      <c r="CH386">
        <v>0.1</v>
      </c>
      <c r="CI386">
        <v>0.1</v>
      </c>
      <c r="CJ386">
        <v>0.1</v>
      </c>
      <c r="CK386">
        <v>0.1</v>
      </c>
      <c r="CL386">
        <v>0.1</v>
      </c>
      <c r="CM386">
        <v>0.1</v>
      </c>
      <c r="CN386">
        <v>0.1</v>
      </c>
      <c r="CO386">
        <v>0.1</v>
      </c>
      <c r="CP386">
        <v>0.1</v>
      </c>
      <c r="CQ386">
        <v>0.1</v>
      </c>
      <c r="CR386">
        <v>0.1</v>
      </c>
      <c r="CS386">
        <v>0.1</v>
      </c>
      <c r="CT386">
        <v>0.1</v>
      </c>
      <c r="CU386">
        <v>0.1</v>
      </c>
      <c r="CV386">
        <v>0.1</v>
      </c>
      <c r="CW386">
        <v>0.1</v>
      </c>
      <c r="CX386">
        <v>0.1</v>
      </c>
      <c r="CY386">
        <v>0.1</v>
      </c>
      <c r="CZ386">
        <v>0.1</v>
      </c>
      <c r="DA386">
        <v>0.1</v>
      </c>
      <c r="DB386">
        <v>0.1</v>
      </c>
      <c r="DC386">
        <v>0.1</v>
      </c>
      <c r="DD386">
        <v>0.1</v>
      </c>
      <c r="DE386">
        <v>0.1</v>
      </c>
      <c r="DF386">
        <v>0.1</v>
      </c>
      <c r="DG386">
        <v>0.1</v>
      </c>
      <c r="DH386">
        <v>0.1</v>
      </c>
      <c r="DI386">
        <v>0.1</v>
      </c>
      <c r="DJ386">
        <v>0.1</v>
      </c>
      <c r="DK386">
        <v>0.1</v>
      </c>
      <c r="DL386">
        <v>0.1</v>
      </c>
      <c r="DM386">
        <v>0.1</v>
      </c>
      <c r="DN386">
        <v>0.1</v>
      </c>
      <c r="DO386">
        <v>0.1</v>
      </c>
      <c r="DP386">
        <v>0.1</v>
      </c>
      <c r="DQ386">
        <v>0.1</v>
      </c>
      <c r="DR386">
        <v>0.1</v>
      </c>
      <c r="DS386">
        <v>0.1</v>
      </c>
      <c r="DT386">
        <v>0.1</v>
      </c>
      <c r="DU386">
        <v>0.1</v>
      </c>
      <c r="DV386">
        <v>0.1</v>
      </c>
      <c r="DW386">
        <v>0.1</v>
      </c>
      <c r="DX386">
        <v>0.1</v>
      </c>
      <c r="DY386">
        <v>0.1</v>
      </c>
      <c r="DZ386">
        <v>0.1</v>
      </c>
      <c r="EA386">
        <v>0.1</v>
      </c>
      <c r="EB386">
        <v>0.1</v>
      </c>
      <c r="EC386">
        <v>0.1</v>
      </c>
      <c r="ED386">
        <v>0.1</v>
      </c>
      <c r="EE386">
        <v>0.1</v>
      </c>
      <c r="EF386">
        <v>0.1</v>
      </c>
    </row>
    <row r="387" spans="71:136" x14ac:dyDescent="0.25">
      <c r="BS387">
        <v>384</v>
      </c>
      <c r="BU387" s="2"/>
      <c r="BV387" s="2"/>
      <c r="BW387" s="2"/>
      <c r="BX387" s="2"/>
      <c r="BY387">
        <v>0.1</v>
      </c>
      <c r="BZ387">
        <v>0.1</v>
      </c>
      <c r="CA387">
        <v>0.1</v>
      </c>
      <c r="CB387">
        <v>0.1</v>
      </c>
      <c r="CC387">
        <v>0.1</v>
      </c>
      <c r="CD387">
        <v>0.1</v>
      </c>
      <c r="CE387">
        <v>0.1</v>
      </c>
      <c r="CF387">
        <v>0.1</v>
      </c>
      <c r="CG387">
        <v>0.1</v>
      </c>
      <c r="CH387">
        <v>0.1</v>
      </c>
      <c r="CI387">
        <v>0.1</v>
      </c>
      <c r="CJ387">
        <v>0.1</v>
      </c>
      <c r="CK387">
        <v>0.1</v>
      </c>
      <c r="CL387">
        <v>0.1</v>
      </c>
      <c r="CM387">
        <v>0.1</v>
      </c>
      <c r="CN387">
        <v>0.1</v>
      </c>
      <c r="CO387">
        <v>0.1</v>
      </c>
      <c r="CP387">
        <v>0.1</v>
      </c>
      <c r="CQ387">
        <v>0.1</v>
      </c>
      <c r="CR387">
        <v>0.1</v>
      </c>
      <c r="CS387">
        <v>0.1</v>
      </c>
      <c r="CT387">
        <v>0.1</v>
      </c>
      <c r="CU387">
        <v>0.1</v>
      </c>
      <c r="CV387">
        <v>0.1</v>
      </c>
      <c r="CW387">
        <v>0.1</v>
      </c>
      <c r="CX387">
        <v>0.1</v>
      </c>
      <c r="CY387">
        <v>0.1</v>
      </c>
      <c r="CZ387">
        <v>0.1</v>
      </c>
      <c r="DA387">
        <v>0.1</v>
      </c>
      <c r="DB387">
        <v>0.1</v>
      </c>
      <c r="DC387">
        <v>0.1</v>
      </c>
      <c r="DD387">
        <v>0.1</v>
      </c>
      <c r="DE387">
        <v>0.1</v>
      </c>
      <c r="DF387">
        <v>0.1</v>
      </c>
      <c r="DG387">
        <v>0.1</v>
      </c>
      <c r="DH387">
        <v>0.1</v>
      </c>
      <c r="DI387">
        <v>0.1</v>
      </c>
      <c r="DJ387">
        <v>0.1</v>
      </c>
      <c r="DK387">
        <v>0.1</v>
      </c>
      <c r="DL387">
        <v>0.1</v>
      </c>
      <c r="DM387">
        <v>0.1</v>
      </c>
      <c r="DN387">
        <v>0.1</v>
      </c>
      <c r="DO387">
        <v>0.1</v>
      </c>
      <c r="DP387">
        <v>0.1</v>
      </c>
      <c r="DQ387">
        <v>0.1</v>
      </c>
      <c r="DR387">
        <v>0.1</v>
      </c>
      <c r="DS387">
        <v>0.1</v>
      </c>
      <c r="DT387">
        <v>0.1</v>
      </c>
      <c r="DU387">
        <v>0.1</v>
      </c>
      <c r="DV387">
        <v>0.1</v>
      </c>
      <c r="DW387">
        <v>0.1</v>
      </c>
      <c r="DX387">
        <v>0.1</v>
      </c>
      <c r="DY387">
        <v>0.1</v>
      </c>
      <c r="DZ387">
        <v>0.1</v>
      </c>
      <c r="EA387">
        <v>0.1</v>
      </c>
      <c r="EB387">
        <v>0.1</v>
      </c>
      <c r="EC387">
        <v>0.1</v>
      </c>
      <c r="ED387">
        <v>0.1</v>
      </c>
      <c r="EE387">
        <v>0.1</v>
      </c>
      <c r="EF387">
        <v>0.1</v>
      </c>
    </row>
    <row r="388" spans="71:136" x14ac:dyDescent="0.25">
      <c r="BS388">
        <v>385</v>
      </c>
      <c r="BU388" s="2"/>
      <c r="BV388" s="2"/>
      <c r="BW388" s="2"/>
      <c r="BX388" s="2"/>
      <c r="BY388">
        <v>0.1</v>
      </c>
      <c r="BZ388">
        <v>0.1</v>
      </c>
      <c r="CA388">
        <v>0.1</v>
      </c>
      <c r="CB388">
        <v>0.1</v>
      </c>
      <c r="CC388">
        <v>0.1</v>
      </c>
      <c r="CD388">
        <v>0.1</v>
      </c>
      <c r="CE388">
        <v>0.1</v>
      </c>
      <c r="CF388">
        <v>0.1</v>
      </c>
      <c r="CG388">
        <v>0.1</v>
      </c>
      <c r="CH388">
        <v>0.1</v>
      </c>
      <c r="CI388">
        <v>0.1</v>
      </c>
      <c r="CJ388">
        <v>0.1</v>
      </c>
      <c r="CK388">
        <v>0.1</v>
      </c>
      <c r="CL388">
        <v>0.1</v>
      </c>
      <c r="CM388">
        <v>0.1</v>
      </c>
      <c r="CN388">
        <v>0.1</v>
      </c>
      <c r="CO388">
        <v>0.1</v>
      </c>
      <c r="CP388">
        <v>0.1</v>
      </c>
      <c r="CQ388">
        <v>0.1</v>
      </c>
      <c r="CR388">
        <v>0.1</v>
      </c>
      <c r="CS388">
        <v>0.1</v>
      </c>
      <c r="CT388">
        <v>0.1</v>
      </c>
      <c r="CU388">
        <v>0.1</v>
      </c>
      <c r="CV388">
        <v>0.1</v>
      </c>
      <c r="CW388">
        <v>0.1</v>
      </c>
      <c r="CX388">
        <v>0.1</v>
      </c>
      <c r="CY388">
        <v>0.1</v>
      </c>
      <c r="CZ388">
        <v>0.1</v>
      </c>
      <c r="DA388">
        <v>0.1</v>
      </c>
      <c r="DB388">
        <v>0.1</v>
      </c>
      <c r="DC388">
        <v>0.1</v>
      </c>
      <c r="DD388">
        <v>0.1</v>
      </c>
      <c r="DE388">
        <v>0.1</v>
      </c>
      <c r="DF388">
        <v>0.1</v>
      </c>
      <c r="DG388">
        <v>0.1</v>
      </c>
      <c r="DH388">
        <v>0.1</v>
      </c>
      <c r="DI388">
        <v>0.1</v>
      </c>
      <c r="DJ388">
        <v>0.1</v>
      </c>
      <c r="DK388">
        <v>0.1</v>
      </c>
      <c r="DL388">
        <v>0.1</v>
      </c>
      <c r="DM388">
        <v>0.1</v>
      </c>
      <c r="DN388">
        <v>0.1</v>
      </c>
      <c r="DO388">
        <v>0.1</v>
      </c>
      <c r="DP388">
        <v>0.1</v>
      </c>
      <c r="DQ388">
        <v>0.1</v>
      </c>
      <c r="DR388">
        <v>0.1</v>
      </c>
      <c r="DS388">
        <v>0.1</v>
      </c>
      <c r="DT388">
        <v>0.1</v>
      </c>
      <c r="DU388">
        <v>0.1</v>
      </c>
      <c r="DV388">
        <v>0.1</v>
      </c>
      <c r="DW388">
        <v>0.1</v>
      </c>
      <c r="DX388">
        <v>0.1</v>
      </c>
      <c r="DY388">
        <v>0.1</v>
      </c>
      <c r="DZ388">
        <v>0.1</v>
      </c>
      <c r="EA388">
        <v>0.1</v>
      </c>
      <c r="EB388">
        <v>0.1</v>
      </c>
      <c r="EC388">
        <v>0.1</v>
      </c>
      <c r="ED388">
        <v>0.1</v>
      </c>
      <c r="EE388">
        <v>0.1</v>
      </c>
      <c r="EF388">
        <v>0.1</v>
      </c>
    </row>
    <row r="389" spans="71:136" x14ac:dyDescent="0.25">
      <c r="BS389">
        <v>386</v>
      </c>
      <c r="BU389" s="2"/>
      <c r="BV389" s="2"/>
      <c r="BW389" s="2"/>
      <c r="BX389" s="2"/>
      <c r="BY389">
        <v>0.1</v>
      </c>
      <c r="BZ389">
        <v>0.1</v>
      </c>
      <c r="CA389">
        <v>0.1</v>
      </c>
      <c r="CB389">
        <v>0.1</v>
      </c>
      <c r="CC389">
        <v>0.1</v>
      </c>
      <c r="CD389">
        <v>0.1</v>
      </c>
      <c r="CE389">
        <v>0.1</v>
      </c>
      <c r="CF389">
        <v>0.1</v>
      </c>
      <c r="CG389">
        <v>0.1</v>
      </c>
      <c r="CH389">
        <v>0.1</v>
      </c>
      <c r="CI389">
        <v>0.1</v>
      </c>
      <c r="CJ389">
        <v>0.1</v>
      </c>
      <c r="CK389">
        <v>0.1</v>
      </c>
      <c r="CL389">
        <v>0.1</v>
      </c>
      <c r="CM389">
        <v>0.1</v>
      </c>
      <c r="CN389">
        <v>0.1</v>
      </c>
      <c r="CO389">
        <v>0.1</v>
      </c>
      <c r="CP389">
        <v>0.1</v>
      </c>
      <c r="CQ389">
        <v>0.1</v>
      </c>
      <c r="CR389">
        <v>0.1</v>
      </c>
      <c r="CS389">
        <v>0.1</v>
      </c>
      <c r="CT389">
        <v>0.1</v>
      </c>
      <c r="CU389">
        <v>0.1</v>
      </c>
      <c r="CV389">
        <v>0.1</v>
      </c>
      <c r="CW389">
        <v>0.1</v>
      </c>
      <c r="CX389">
        <v>0.1</v>
      </c>
      <c r="CY389">
        <v>0.1</v>
      </c>
      <c r="CZ389">
        <v>0.1</v>
      </c>
      <c r="DA389">
        <v>0.1</v>
      </c>
      <c r="DB389">
        <v>0.1</v>
      </c>
      <c r="DC389">
        <v>0.1</v>
      </c>
      <c r="DD389">
        <v>0.1</v>
      </c>
      <c r="DE389">
        <v>0.1</v>
      </c>
      <c r="DF389">
        <v>0.1</v>
      </c>
      <c r="DG389">
        <v>0.1</v>
      </c>
      <c r="DH389">
        <v>0.1</v>
      </c>
      <c r="DI389">
        <v>0.1</v>
      </c>
      <c r="DJ389">
        <v>0.1</v>
      </c>
      <c r="DK389">
        <v>0.1</v>
      </c>
      <c r="DL389">
        <v>0.1</v>
      </c>
      <c r="DM389">
        <v>0.1</v>
      </c>
      <c r="DN389">
        <v>0.1</v>
      </c>
      <c r="DO389">
        <v>0.1</v>
      </c>
      <c r="DP389">
        <v>0.1</v>
      </c>
      <c r="DQ389">
        <v>0.1</v>
      </c>
      <c r="DR389">
        <v>0.1</v>
      </c>
      <c r="DS389">
        <v>0.1</v>
      </c>
      <c r="DT389">
        <v>0.1</v>
      </c>
      <c r="DU389">
        <v>0.1</v>
      </c>
      <c r="DV389">
        <v>0.1</v>
      </c>
      <c r="DW389">
        <v>0.1</v>
      </c>
      <c r="DX389">
        <v>0.1</v>
      </c>
      <c r="DY389">
        <v>0.1</v>
      </c>
      <c r="DZ389">
        <v>0.1</v>
      </c>
      <c r="EA389">
        <v>0.1</v>
      </c>
      <c r="EB389">
        <v>0.1</v>
      </c>
      <c r="EC389">
        <v>0.1</v>
      </c>
      <c r="ED389">
        <v>0.1</v>
      </c>
      <c r="EE389">
        <v>0.1</v>
      </c>
      <c r="EF389">
        <v>0.1</v>
      </c>
    </row>
    <row r="390" spans="71:136" x14ac:dyDescent="0.25">
      <c r="BS390">
        <v>387</v>
      </c>
      <c r="BU390" s="2"/>
      <c r="BV390" s="2"/>
      <c r="BW390" s="2"/>
      <c r="BX390" s="2"/>
      <c r="BY390">
        <v>0.1</v>
      </c>
      <c r="BZ390">
        <v>0.1</v>
      </c>
      <c r="CA390">
        <v>0.1</v>
      </c>
      <c r="CB390">
        <v>0.1</v>
      </c>
      <c r="CC390">
        <v>0.1</v>
      </c>
      <c r="CD390">
        <v>0.1</v>
      </c>
      <c r="CE390">
        <v>0.1</v>
      </c>
      <c r="CF390">
        <v>0.1</v>
      </c>
      <c r="CG390">
        <v>0.1</v>
      </c>
      <c r="CH390">
        <v>0.1</v>
      </c>
      <c r="CI390">
        <v>0.1</v>
      </c>
      <c r="CJ390">
        <v>0.1</v>
      </c>
      <c r="CK390">
        <v>0.1</v>
      </c>
      <c r="CL390">
        <v>0.1</v>
      </c>
      <c r="CM390">
        <v>0.1</v>
      </c>
      <c r="CN390">
        <v>0.1</v>
      </c>
      <c r="CO390">
        <v>0.1</v>
      </c>
      <c r="CP390">
        <v>0.1</v>
      </c>
      <c r="CQ390">
        <v>0.1</v>
      </c>
      <c r="CR390">
        <v>0.1</v>
      </c>
      <c r="CS390">
        <v>0.1</v>
      </c>
      <c r="CT390">
        <v>0.1</v>
      </c>
      <c r="CU390">
        <v>0.1</v>
      </c>
      <c r="CV390">
        <v>0.1</v>
      </c>
      <c r="CW390">
        <v>0.1</v>
      </c>
      <c r="CX390">
        <v>0.1</v>
      </c>
      <c r="CY390">
        <v>0.1</v>
      </c>
      <c r="CZ390">
        <v>0.1</v>
      </c>
      <c r="DA390">
        <v>0.1</v>
      </c>
      <c r="DB390">
        <v>0.1</v>
      </c>
      <c r="DC390">
        <v>0.1</v>
      </c>
      <c r="DD390">
        <v>0.1</v>
      </c>
      <c r="DE390">
        <v>0.1</v>
      </c>
      <c r="DF390">
        <v>0.1</v>
      </c>
      <c r="DG390">
        <v>0.1</v>
      </c>
      <c r="DH390">
        <v>0.1</v>
      </c>
      <c r="DI390">
        <v>0.1</v>
      </c>
      <c r="DJ390">
        <v>0.1</v>
      </c>
      <c r="DK390">
        <v>0.1</v>
      </c>
      <c r="DL390">
        <v>0.1</v>
      </c>
      <c r="DM390">
        <v>0.1</v>
      </c>
      <c r="DN390">
        <v>0.1</v>
      </c>
      <c r="DO390">
        <v>0.1</v>
      </c>
      <c r="DP390">
        <v>0.1</v>
      </c>
      <c r="DQ390">
        <v>0.1</v>
      </c>
      <c r="DR390">
        <v>0.1</v>
      </c>
      <c r="DS390">
        <v>0.1</v>
      </c>
      <c r="DT390">
        <v>0.1</v>
      </c>
      <c r="DU390">
        <v>0.1</v>
      </c>
      <c r="DV390">
        <v>0.1</v>
      </c>
      <c r="DW390">
        <v>0.1</v>
      </c>
      <c r="DX390">
        <v>0.1</v>
      </c>
      <c r="DY390">
        <v>0.1</v>
      </c>
      <c r="DZ390">
        <v>0.1</v>
      </c>
      <c r="EA390">
        <v>0.1</v>
      </c>
      <c r="EB390">
        <v>0.1</v>
      </c>
      <c r="EC390">
        <v>0.1</v>
      </c>
      <c r="ED390">
        <v>0.1</v>
      </c>
      <c r="EE390">
        <v>0.1</v>
      </c>
      <c r="EF390">
        <v>0.1</v>
      </c>
    </row>
    <row r="391" spans="71:136" x14ac:dyDescent="0.25">
      <c r="BS391">
        <v>388</v>
      </c>
      <c r="BU391" s="2"/>
      <c r="BV391" s="2"/>
      <c r="BW391" s="2"/>
      <c r="BX391" s="2"/>
      <c r="BY391">
        <v>0.1</v>
      </c>
      <c r="BZ391">
        <v>0.1</v>
      </c>
      <c r="CA391">
        <v>0.1</v>
      </c>
      <c r="CB391">
        <v>0.1</v>
      </c>
      <c r="CC391">
        <v>0.1</v>
      </c>
      <c r="CD391">
        <v>0.1</v>
      </c>
      <c r="CE391">
        <v>0.1</v>
      </c>
      <c r="CF391">
        <v>0.1</v>
      </c>
      <c r="CG391">
        <v>0.1</v>
      </c>
      <c r="CH391">
        <v>0.1</v>
      </c>
      <c r="CI391">
        <v>0.1</v>
      </c>
      <c r="CJ391">
        <v>0.1</v>
      </c>
      <c r="CK391">
        <v>0.1</v>
      </c>
      <c r="CL391">
        <v>0.1</v>
      </c>
      <c r="CM391">
        <v>0.1</v>
      </c>
      <c r="CN391">
        <v>0.1</v>
      </c>
      <c r="CO391">
        <v>0.1</v>
      </c>
      <c r="CP391">
        <v>0.1</v>
      </c>
      <c r="CQ391">
        <v>0.1</v>
      </c>
      <c r="CR391">
        <v>0.1</v>
      </c>
      <c r="CS391">
        <v>0.1</v>
      </c>
      <c r="CT391">
        <v>0.1</v>
      </c>
      <c r="CU391">
        <v>0.1</v>
      </c>
      <c r="CV391">
        <v>0.1</v>
      </c>
      <c r="CW391">
        <v>0.1</v>
      </c>
      <c r="CX391">
        <v>0.1</v>
      </c>
      <c r="CY391">
        <v>0.1</v>
      </c>
      <c r="CZ391">
        <v>0.1</v>
      </c>
      <c r="DA391">
        <v>0.1</v>
      </c>
      <c r="DB391">
        <v>0.1</v>
      </c>
      <c r="DC391">
        <v>0.1</v>
      </c>
      <c r="DD391">
        <v>0.1</v>
      </c>
      <c r="DE391">
        <v>0.1</v>
      </c>
      <c r="DF391">
        <v>0.1</v>
      </c>
      <c r="DG391">
        <v>0.1</v>
      </c>
      <c r="DH391">
        <v>0.1</v>
      </c>
      <c r="DI391">
        <v>0.1</v>
      </c>
      <c r="DJ391">
        <v>0.1</v>
      </c>
      <c r="DK391">
        <v>0.1</v>
      </c>
      <c r="DL391">
        <v>0.1</v>
      </c>
      <c r="DM391">
        <v>0.1</v>
      </c>
      <c r="DN391">
        <v>0.1</v>
      </c>
      <c r="DO391">
        <v>0.1</v>
      </c>
      <c r="DP391">
        <v>0.1</v>
      </c>
      <c r="DQ391">
        <v>0.1</v>
      </c>
      <c r="DR391">
        <v>0.1</v>
      </c>
      <c r="DS391">
        <v>0.1</v>
      </c>
      <c r="DT391">
        <v>0.1</v>
      </c>
      <c r="DU391">
        <v>0.1</v>
      </c>
      <c r="DV391">
        <v>0.1</v>
      </c>
      <c r="DW391">
        <v>0.1</v>
      </c>
      <c r="DX391">
        <v>0.1</v>
      </c>
      <c r="DY391">
        <v>0.1</v>
      </c>
      <c r="DZ391">
        <v>0.1</v>
      </c>
      <c r="EA391">
        <v>0.1</v>
      </c>
      <c r="EB391">
        <v>0.1</v>
      </c>
      <c r="EC391">
        <v>0.1</v>
      </c>
      <c r="ED391">
        <v>0.1</v>
      </c>
      <c r="EE391">
        <v>0.1</v>
      </c>
      <c r="EF391">
        <v>0.1</v>
      </c>
    </row>
    <row r="392" spans="71:136" x14ac:dyDescent="0.25">
      <c r="BS392">
        <v>389</v>
      </c>
      <c r="BU392" s="2"/>
      <c r="BV392" s="2"/>
      <c r="BW392" s="2"/>
      <c r="BX392" s="2"/>
      <c r="BY392">
        <v>0.1</v>
      </c>
      <c r="BZ392">
        <v>0.1</v>
      </c>
      <c r="CA392">
        <v>0.1</v>
      </c>
      <c r="CB392">
        <v>0.1</v>
      </c>
      <c r="CC392">
        <v>0.1</v>
      </c>
      <c r="CD392">
        <v>0.1</v>
      </c>
      <c r="CE392">
        <v>0.1</v>
      </c>
      <c r="CF392">
        <v>0.1</v>
      </c>
      <c r="CG392">
        <v>0.1</v>
      </c>
      <c r="CH392">
        <v>0.1</v>
      </c>
      <c r="CI392">
        <v>0.1</v>
      </c>
      <c r="CJ392">
        <v>0.1</v>
      </c>
      <c r="CK392">
        <v>0.1</v>
      </c>
      <c r="CL392">
        <v>0.1</v>
      </c>
      <c r="CM392">
        <v>0.1</v>
      </c>
      <c r="CN392">
        <v>0.1</v>
      </c>
      <c r="CO392">
        <v>0.1</v>
      </c>
      <c r="CP392">
        <v>0.1</v>
      </c>
      <c r="CQ392">
        <v>0.1</v>
      </c>
      <c r="CR392">
        <v>0.1</v>
      </c>
      <c r="CS392">
        <v>0.1</v>
      </c>
      <c r="CT392">
        <v>0.1</v>
      </c>
      <c r="CU392">
        <v>0.1</v>
      </c>
      <c r="CV392">
        <v>0.1</v>
      </c>
      <c r="CW392">
        <v>0.1</v>
      </c>
      <c r="CX392">
        <v>0.1</v>
      </c>
      <c r="CY392">
        <v>0.1</v>
      </c>
      <c r="CZ392">
        <v>0.1</v>
      </c>
      <c r="DA392">
        <v>0.1</v>
      </c>
      <c r="DB392">
        <v>0.1</v>
      </c>
      <c r="DC392">
        <v>0.1</v>
      </c>
      <c r="DD392">
        <v>0.1</v>
      </c>
      <c r="DE392">
        <v>0.1</v>
      </c>
      <c r="DF392">
        <v>0.1</v>
      </c>
      <c r="DG392">
        <v>0.1</v>
      </c>
      <c r="DH392">
        <v>0.1</v>
      </c>
      <c r="DI392">
        <v>0.1</v>
      </c>
      <c r="DJ392">
        <v>0.1</v>
      </c>
      <c r="DK392">
        <v>0.1</v>
      </c>
      <c r="DL392">
        <v>0.1</v>
      </c>
      <c r="DM392">
        <v>0.1</v>
      </c>
      <c r="DN392">
        <v>0.1</v>
      </c>
      <c r="DO392">
        <v>0.1</v>
      </c>
      <c r="DP392">
        <v>0.1</v>
      </c>
      <c r="DQ392">
        <v>0.1</v>
      </c>
      <c r="DR392">
        <v>0.1</v>
      </c>
      <c r="DS392">
        <v>0.1</v>
      </c>
      <c r="DT392">
        <v>0.1</v>
      </c>
      <c r="DU392">
        <v>0.1</v>
      </c>
      <c r="DV392">
        <v>0.1</v>
      </c>
      <c r="DW392">
        <v>0.1</v>
      </c>
      <c r="DX392">
        <v>0.1</v>
      </c>
      <c r="DY392">
        <v>0.1</v>
      </c>
      <c r="DZ392">
        <v>0.1</v>
      </c>
      <c r="EA392">
        <v>0.1</v>
      </c>
      <c r="EB392">
        <v>0.1</v>
      </c>
      <c r="EC392">
        <v>0.1</v>
      </c>
      <c r="ED392">
        <v>0.1</v>
      </c>
      <c r="EE392">
        <v>0.1</v>
      </c>
      <c r="EF392">
        <v>0.1</v>
      </c>
    </row>
    <row r="393" spans="71:136" x14ac:dyDescent="0.25">
      <c r="BS393">
        <v>390</v>
      </c>
      <c r="BU393" s="2"/>
      <c r="BV393" s="2"/>
      <c r="BW393" s="2"/>
      <c r="BX393" s="2"/>
      <c r="BY393">
        <v>0.1</v>
      </c>
      <c r="BZ393">
        <v>0.1</v>
      </c>
      <c r="CA393">
        <v>0.1</v>
      </c>
      <c r="CB393">
        <v>0.1</v>
      </c>
      <c r="CC393">
        <v>0.1</v>
      </c>
      <c r="CD393">
        <v>0.1</v>
      </c>
      <c r="CE393">
        <v>0.1</v>
      </c>
      <c r="CF393">
        <v>0.1</v>
      </c>
      <c r="CG393">
        <v>0.1</v>
      </c>
      <c r="CH393">
        <v>0.1</v>
      </c>
      <c r="CI393">
        <v>0.1</v>
      </c>
      <c r="CJ393">
        <v>0.1</v>
      </c>
      <c r="CK393">
        <v>0.1</v>
      </c>
      <c r="CL393">
        <v>0.1</v>
      </c>
      <c r="CM393">
        <v>0.1</v>
      </c>
      <c r="CN393">
        <v>0.1</v>
      </c>
      <c r="CO393">
        <v>0.1</v>
      </c>
      <c r="CP393">
        <v>0.1</v>
      </c>
      <c r="CQ393">
        <v>0.1</v>
      </c>
      <c r="CR393">
        <v>0.1</v>
      </c>
      <c r="CS393">
        <v>0.1</v>
      </c>
      <c r="CT393">
        <v>0.1</v>
      </c>
      <c r="CU393">
        <v>0.1</v>
      </c>
      <c r="CV393">
        <v>0.1</v>
      </c>
      <c r="CW393">
        <v>0.1</v>
      </c>
      <c r="CX393">
        <v>0.1</v>
      </c>
      <c r="CY393">
        <v>0.1</v>
      </c>
      <c r="CZ393">
        <v>0.1</v>
      </c>
      <c r="DA393">
        <v>0.1</v>
      </c>
      <c r="DB393">
        <v>0.1</v>
      </c>
      <c r="DC393">
        <v>0.1</v>
      </c>
      <c r="DD393">
        <v>0.1</v>
      </c>
      <c r="DE393">
        <v>0.1</v>
      </c>
      <c r="DF393">
        <v>0.1</v>
      </c>
      <c r="DG393">
        <v>0.1</v>
      </c>
      <c r="DH393">
        <v>0.1</v>
      </c>
      <c r="DI393">
        <v>0.1</v>
      </c>
      <c r="DJ393">
        <v>0.1</v>
      </c>
      <c r="DK393">
        <v>0.1</v>
      </c>
      <c r="DL393">
        <v>0.1</v>
      </c>
      <c r="DM393">
        <v>0.1</v>
      </c>
      <c r="DN393">
        <v>0.1</v>
      </c>
      <c r="DO393">
        <v>0.1</v>
      </c>
      <c r="DP393">
        <v>0.1</v>
      </c>
      <c r="DQ393">
        <v>0.1</v>
      </c>
      <c r="DR393">
        <v>0.1</v>
      </c>
      <c r="DS393">
        <v>0.1</v>
      </c>
      <c r="DT393">
        <v>0.1</v>
      </c>
      <c r="DU393">
        <v>0.1</v>
      </c>
      <c r="DV393">
        <v>0.1</v>
      </c>
      <c r="DW393">
        <v>0.1</v>
      </c>
      <c r="DX393">
        <v>0.1</v>
      </c>
      <c r="DY393">
        <v>0.1</v>
      </c>
      <c r="DZ393">
        <v>0.1</v>
      </c>
      <c r="EA393">
        <v>0.1</v>
      </c>
      <c r="EB393">
        <v>0.1</v>
      </c>
      <c r="EC393">
        <v>0.1</v>
      </c>
      <c r="ED393">
        <v>0.1</v>
      </c>
      <c r="EE393">
        <v>0.1</v>
      </c>
      <c r="EF393">
        <v>0.1</v>
      </c>
    </row>
    <row r="394" spans="71:136" x14ac:dyDescent="0.25">
      <c r="BS394">
        <v>391</v>
      </c>
      <c r="BU394" s="2"/>
      <c r="BV394" s="2"/>
      <c r="BW394" s="2"/>
      <c r="BX394" s="2"/>
      <c r="BY394">
        <v>0.1</v>
      </c>
      <c r="BZ394">
        <v>0.1</v>
      </c>
      <c r="CA394">
        <v>0.1</v>
      </c>
      <c r="CB394">
        <v>0.1</v>
      </c>
      <c r="CC394">
        <v>0.1</v>
      </c>
      <c r="CD394">
        <v>0.1</v>
      </c>
      <c r="CE394">
        <v>0.1</v>
      </c>
      <c r="CF394">
        <v>0.1</v>
      </c>
      <c r="CG394">
        <v>0.1</v>
      </c>
      <c r="CH394">
        <v>0.1</v>
      </c>
      <c r="CI394">
        <v>0.1</v>
      </c>
      <c r="CJ394">
        <v>0.1</v>
      </c>
      <c r="CK394">
        <v>0.1</v>
      </c>
      <c r="CL394">
        <v>0.1</v>
      </c>
      <c r="CM394">
        <v>0.1</v>
      </c>
      <c r="CN394">
        <v>0.1</v>
      </c>
      <c r="CO394">
        <v>0.1</v>
      </c>
      <c r="CP394">
        <v>0.1</v>
      </c>
      <c r="CQ394">
        <v>0.1</v>
      </c>
      <c r="CR394">
        <v>0.1</v>
      </c>
      <c r="CS394">
        <v>0.1</v>
      </c>
      <c r="CT394">
        <v>0.1</v>
      </c>
      <c r="CU394">
        <v>0.1</v>
      </c>
      <c r="CV394">
        <v>0.1</v>
      </c>
      <c r="CW394">
        <v>0.1</v>
      </c>
      <c r="CX394">
        <v>0.1</v>
      </c>
      <c r="CY394">
        <v>0.1</v>
      </c>
      <c r="CZ394">
        <v>0.1</v>
      </c>
      <c r="DA394">
        <v>0.1</v>
      </c>
      <c r="DB394">
        <v>0.1</v>
      </c>
      <c r="DC394">
        <v>0.1</v>
      </c>
      <c r="DD394">
        <v>0.1</v>
      </c>
      <c r="DE394">
        <v>0.1</v>
      </c>
      <c r="DF394">
        <v>0.1</v>
      </c>
      <c r="DG394">
        <v>0.1</v>
      </c>
      <c r="DH394">
        <v>0.1</v>
      </c>
      <c r="DI394">
        <v>0.1</v>
      </c>
      <c r="DJ394">
        <v>0.1</v>
      </c>
      <c r="DK394">
        <v>0.1</v>
      </c>
      <c r="DL394">
        <v>0.1</v>
      </c>
      <c r="DM394">
        <v>0.1</v>
      </c>
      <c r="DN394">
        <v>0.1</v>
      </c>
      <c r="DO394">
        <v>0.1</v>
      </c>
      <c r="DP394">
        <v>0.1</v>
      </c>
      <c r="DQ394">
        <v>0.1</v>
      </c>
      <c r="DR394">
        <v>0.1</v>
      </c>
      <c r="DS394">
        <v>0.1</v>
      </c>
      <c r="DT394">
        <v>0.1</v>
      </c>
      <c r="DU394">
        <v>0.1</v>
      </c>
      <c r="DV394">
        <v>0.1</v>
      </c>
      <c r="DW394">
        <v>0.1</v>
      </c>
      <c r="DX394">
        <v>0.1</v>
      </c>
      <c r="DY394">
        <v>0.1</v>
      </c>
      <c r="DZ394">
        <v>0.1</v>
      </c>
      <c r="EA394">
        <v>0.1</v>
      </c>
      <c r="EB394">
        <v>0.1</v>
      </c>
      <c r="EC394">
        <v>0.1</v>
      </c>
      <c r="ED394">
        <v>0.1</v>
      </c>
      <c r="EE394">
        <v>0.1</v>
      </c>
      <c r="EF394">
        <v>0.1</v>
      </c>
    </row>
    <row r="395" spans="71:136" x14ac:dyDescent="0.25">
      <c r="BS395">
        <v>392</v>
      </c>
      <c r="BU395" s="2"/>
      <c r="BV395" s="2"/>
      <c r="BW395" s="2"/>
      <c r="BX395" s="2"/>
      <c r="BY395">
        <v>0.1</v>
      </c>
      <c r="BZ395">
        <v>0.1</v>
      </c>
      <c r="CA395">
        <v>0.1</v>
      </c>
      <c r="CB395">
        <v>0.1</v>
      </c>
      <c r="CC395">
        <v>0.1</v>
      </c>
      <c r="CD395">
        <v>0.1</v>
      </c>
      <c r="CE395">
        <v>0.1</v>
      </c>
      <c r="CF395">
        <v>0.1</v>
      </c>
      <c r="CG395">
        <v>0.1</v>
      </c>
      <c r="CH395">
        <v>0.1</v>
      </c>
      <c r="CI395">
        <v>0.1</v>
      </c>
      <c r="CJ395">
        <v>0.1</v>
      </c>
      <c r="CK395">
        <v>0.1</v>
      </c>
      <c r="CL395">
        <v>0.1</v>
      </c>
      <c r="CM395">
        <v>0.1</v>
      </c>
      <c r="CN395">
        <v>0.1</v>
      </c>
      <c r="CO395">
        <v>0.1</v>
      </c>
      <c r="CP395">
        <v>0.1</v>
      </c>
      <c r="CQ395">
        <v>0.1</v>
      </c>
      <c r="CR395">
        <v>0.1</v>
      </c>
      <c r="CS395">
        <v>0.1</v>
      </c>
      <c r="CT395">
        <v>0.1</v>
      </c>
      <c r="CU395">
        <v>0.1</v>
      </c>
      <c r="CV395">
        <v>0.1</v>
      </c>
      <c r="CW395">
        <v>0.1</v>
      </c>
      <c r="CX395">
        <v>0.1</v>
      </c>
      <c r="CY395">
        <v>0.1</v>
      </c>
      <c r="CZ395">
        <v>0.1</v>
      </c>
      <c r="DA395">
        <v>0.1</v>
      </c>
      <c r="DB395">
        <v>0.1</v>
      </c>
      <c r="DC395">
        <v>0.1</v>
      </c>
      <c r="DD395">
        <v>0.1</v>
      </c>
      <c r="DE395">
        <v>0.1</v>
      </c>
      <c r="DF395">
        <v>0.1</v>
      </c>
      <c r="DG395">
        <v>0.1</v>
      </c>
      <c r="DH395">
        <v>0.1</v>
      </c>
      <c r="DI395">
        <v>0.1</v>
      </c>
      <c r="DJ395">
        <v>0.1</v>
      </c>
      <c r="DK395">
        <v>0.1</v>
      </c>
      <c r="DL395">
        <v>0.1</v>
      </c>
      <c r="DM395">
        <v>0.1</v>
      </c>
      <c r="DN395">
        <v>0.1</v>
      </c>
      <c r="DO395">
        <v>0.1</v>
      </c>
      <c r="DP395">
        <v>0.1</v>
      </c>
      <c r="DQ395">
        <v>0.1</v>
      </c>
      <c r="DR395">
        <v>0.1</v>
      </c>
      <c r="DS395">
        <v>0.1</v>
      </c>
      <c r="DT395">
        <v>0.1</v>
      </c>
      <c r="DU395">
        <v>0.1</v>
      </c>
      <c r="DV395">
        <v>0.1</v>
      </c>
      <c r="DW395">
        <v>0.1</v>
      </c>
      <c r="DX395">
        <v>0.1</v>
      </c>
      <c r="DY395">
        <v>0.1</v>
      </c>
      <c r="DZ395">
        <v>0.1</v>
      </c>
      <c r="EA395">
        <v>0.1</v>
      </c>
      <c r="EB395">
        <v>0.1</v>
      </c>
      <c r="EC395">
        <v>0.1</v>
      </c>
      <c r="ED395">
        <v>0.1</v>
      </c>
      <c r="EE395">
        <v>0.1</v>
      </c>
      <c r="EF395">
        <v>0.1</v>
      </c>
    </row>
    <row r="396" spans="71:136" x14ac:dyDescent="0.25">
      <c r="BS396">
        <v>393</v>
      </c>
      <c r="BU396" s="2"/>
      <c r="BV396" s="2"/>
      <c r="BW396" s="2"/>
      <c r="BX396" s="2"/>
      <c r="BY396">
        <v>0.1</v>
      </c>
      <c r="BZ396">
        <v>0.1</v>
      </c>
      <c r="CA396">
        <v>0.1</v>
      </c>
      <c r="CB396">
        <v>0.1</v>
      </c>
      <c r="CC396">
        <v>0.1</v>
      </c>
      <c r="CD396">
        <v>0.1</v>
      </c>
      <c r="CE396">
        <v>0.1</v>
      </c>
      <c r="CF396">
        <v>0.1</v>
      </c>
      <c r="CG396">
        <v>0.1</v>
      </c>
      <c r="CH396">
        <v>0.1</v>
      </c>
      <c r="CI396">
        <v>0.1</v>
      </c>
      <c r="CJ396">
        <v>0.1</v>
      </c>
      <c r="CK396">
        <v>0.1</v>
      </c>
      <c r="CL396">
        <v>0.1</v>
      </c>
      <c r="CM396">
        <v>0.1</v>
      </c>
      <c r="CN396">
        <v>0.1</v>
      </c>
      <c r="CO396">
        <v>0.1</v>
      </c>
      <c r="CP396">
        <v>0.1</v>
      </c>
      <c r="CQ396">
        <v>0.1</v>
      </c>
      <c r="CR396">
        <v>0.1</v>
      </c>
      <c r="CS396">
        <v>0.1</v>
      </c>
      <c r="CT396">
        <v>0.1</v>
      </c>
      <c r="CU396">
        <v>0.1</v>
      </c>
      <c r="CV396">
        <v>0.1</v>
      </c>
      <c r="CW396">
        <v>0.1</v>
      </c>
      <c r="CX396">
        <v>0.1</v>
      </c>
      <c r="CY396">
        <v>0.1</v>
      </c>
      <c r="CZ396">
        <v>0.1</v>
      </c>
      <c r="DA396">
        <v>0.1</v>
      </c>
      <c r="DB396">
        <v>0.1</v>
      </c>
      <c r="DC396">
        <v>0.1</v>
      </c>
      <c r="DD396">
        <v>0.1</v>
      </c>
      <c r="DE396">
        <v>0.1</v>
      </c>
      <c r="DF396">
        <v>0.1</v>
      </c>
      <c r="DG396">
        <v>0.1</v>
      </c>
      <c r="DH396">
        <v>0.1</v>
      </c>
      <c r="DI396">
        <v>0.1</v>
      </c>
      <c r="DJ396">
        <v>0.1</v>
      </c>
      <c r="DK396">
        <v>0.1</v>
      </c>
      <c r="DL396">
        <v>0.1</v>
      </c>
      <c r="DM396">
        <v>0.1</v>
      </c>
      <c r="DN396">
        <v>0.1</v>
      </c>
      <c r="DO396">
        <v>0.1</v>
      </c>
      <c r="DP396">
        <v>0.1</v>
      </c>
      <c r="DQ396">
        <v>0.1</v>
      </c>
      <c r="DR396">
        <v>0.1</v>
      </c>
      <c r="DS396">
        <v>0.1</v>
      </c>
      <c r="DT396">
        <v>0.1</v>
      </c>
      <c r="DU396">
        <v>0.1</v>
      </c>
      <c r="DV396">
        <v>0.1</v>
      </c>
      <c r="DW396">
        <v>0.1</v>
      </c>
      <c r="DX396">
        <v>0.1</v>
      </c>
      <c r="DY396">
        <v>0.1</v>
      </c>
      <c r="DZ396">
        <v>0.1</v>
      </c>
      <c r="EA396">
        <v>0.1</v>
      </c>
      <c r="EB396">
        <v>0.1</v>
      </c>
      <c r="EC396">
        <v>0.1</v>
      </c>
      <c r="ED396">
        <v>0.1</v>
      </c>
      <c r="EE396">
        <v>0.1</v>
      </c>
      <c r="EF396">
        <v>0.1</v>
      </c>
    </row>
    <row r="397" spans="71:136" x14ac:dyDescent="0.25">
      <c r="BS397">
        <v>394</v>
      </c>
      <c r="BU397" s="2"/>
      <c r="BV397" s="2"/>
      <c r="BW397" s="2"/>
      <c r="BX397" s="2"/>
      <c r="BY397">
        <v>0.1</v>
      </c>
      <c r="BZ397">
        <v>0.1</v>
      </c>
      <c r="CA397">
        <v>0.1</v>
      </c>
      <c r="CB397">
        <v>0.1</v>
      </c>
      <c r="CC397">
        <v>0.1</v>
      </c>
      <c r="CD397">
        <v>0.1</v>
      </c>
      <c r="CE397">
        <v>0.1</v>
      </c>
      <c r="CF397">
        <v>0.1</v>
      </c>
      <c r="CG397">
        <v>0.1</v>
      </c>
      <c r="CH397">
        <v>0.1</v>
      </c>
      <c r="CI397">
        <v>0.1</v>
      </c>
      <c r="CJ397">
        <v>0.1</v>
      </c>
      <c r="CK397">
        <v>0.1</v>
      </c>
      <c r="CL397">
        <v>0.1</v>
      </c>
      <c r="CM397">
        <v>0.1</v>
      </c>
      <c r="CN397">
        <v>0.1</v>
      </c>
      <c r="CO397">
        <v>0.1</v>
      </c>
      <c r="CP397">
        <v>0.1</v>
      </c>
      <c r="CQ397">
        <v>0.1</v>
      </c>
      <c r="CR397">
        <v>0.1</v>
      </c>
      <c r="CS397">
        <v>0.1</v>
      </c>
      <c r="CT397">
        <v>0.1</v>
      </c>
      <c r="CU397">
        <v>0.1</v>
      </c>
      <c r="CV397">
        <v>0.1</v>
      </c>
      <c r="CW397">
        <v>0.1</v>
      </c>
      <c r="CX397">
        <v>0.1</v>
      </c>
      <c r="CY397">
        <v>0.1</v>
      </c>
      <c r="CZ397">
        <v>0.1</v>
      </c>
      <c r="DA397">
        <v>0.1</v>
      </c>
      <c r="DB397">
        <v>0.1</v>
      </c>
      <c r="DC397">
        <v>0.1</v>
      </c>
      <c r="DD397">
        <v>0.1</v>
      </c>
      <c r="DE397">
        <v>0.1</v>
      </c>
      <c r="DF397">
        <v>0.1</v>
      </c>
      <c r="DG397">
        <v>0.1</v>
      </c>
      <c r="DH397">
        <v>0.1</v>
      </c>
      <c r="DI397">
        <v>0.1</v>
      </c>
      <c r="DJ397">
        <v>0.1</v>
      </c>
      <c r="DK397">
        <v>0.1</v>
      </c>
      <c r="DL397">
        <v>0.1</v>
      </c>
      <c r="DM397">
        <v>0.1</v>
      </c>
      <c r="DN397">
        <v>0.1</v>
      </c>
      <c r="DO397">
        <v>0.1</v>
      </c>
      <c r="DP397">
        <v>0.1</v>
      </c>
      <c r="DQ397">
        <v>0.1</v>
      </c>
      <c r="DR397">
        <v>0.1</v>
      </c>
      <c r="DS397">
        <v>0.1</v>
      </c>
      <c r="DT397">
        <v>0.1</v>
      </c>
      <c r="DU397">
        <v>0.1</v>
      </c>
      <c r="DV397">
        <v>0.1</v>
      </c>
      <c r="DW397">
        <v>0.1</v>
      </c>
      <c r="DX397">
        <v>0.1</v>
      </c>
      <c r="DY397">
        <v>0.1</v>
      </c>
      <c r="DZ397">
        <v>0.1</v>
      </c>
      <c r="EA397">
        <v>0.1</v>
      </c>
      <c r="EB397">
        <v>0.1</v>
      </c>
      <c r="EC397">
        <v>0.1</v>
      </c>
      <c r="ED397">
        <v>0.1</v>
      </c>
      <c r="EE397">
        <v>0.1</v>
      </c>
      <c r="EF397">
        <v>0.1</v>
      </c>
    </row>
    <row r="398" spans="71:136" x14ac:dyDescent="0.25">
      <c r="BS398">
        <v>395</v>
      </c>
      <c r="BU398" s="2"/>
      <c r="BV398" s="2"/>
      <c r="BW398" s="2"/>
      <c r="BX398" s="2"/>
      <c r="BY398">
        <v>0.1</v>
      </c>
      <c r="BZ398">
        <v>0.1</v>
      </c>
      <c r="CA398">
        <v>0.1</v>
      </c>
      <c r="CB398">
        <v>0.1</v>
      </c>
      <c r="CC398">
        <v>0.1</v>
      </c>
      <c r="CD398">
        <v>0.1</v>
      </c>
      <c r="CE398">
        <v>0.1</v>
      </c>
      <c r="CF398">
        <v>0.1</v>
      </c>
      <c r="CG398">
        <v>0.1</v>
      </c>
      <c r="CH398">
        <v>0.1</v>
      </c>
      <c r="CI398">
        <v>0.1</v>
      </c>
      <c r="CJ398">
        <v>0.1</v>
      </c>
      <c r="CK398">
        <v>0.1</v>
      </c>
      <c r="CL398">
        <v>0.1</v>
      </c>
      <c r="CM398">
        <v>0.1</v>
      </c>
      <c r="CN398">
        <v>0.1</v>
      </c>
      <c r="CO398">
        <v>0.1</v>
      </c>
      <c r="CP398">
        <v>0.1</v>
      </c>
      <c r="CQ398">
        <v>0.1</v>
      </c>
      <c r="CR398">
        <v>0.1</v>
      </c>
      <c r="CS398">
        <v>0.1</v>
      </c>
      <c r="CT398">
        <v>0.1</v>
      </c>
      <c r="CU398">
        <v>0.1</v>
      </c>
      <c r="CV398">
        <v>0.1</v>
      </c>
      <c r="CW398">
        <v>0.1</v>
      </c>
      <c r="CX398">
        <v>0.1</v>
      </c>
      <c r="CY398">
        <v>0.1</v>
      </c>
      <c r="CZ398">
        <v>0.1</v>
      </c>
      <c r="DA398">
        <v>0.1</v>
      </c>
      <c r="DB398">
        <v>0.1</v>
      </c>
      <c r="DC398">
        <v>0.1</v>
      </c>
      <c r="DD398">
        <v>0.1</v>
      </c>
      <c r="DE398">
        <v>0.1</v>
      </c>
      <c r="DF398">
        <v>0.1</v>
      </c>
      <c r="DG398">
        <v>0.1</v>
      </c>
      <c r="DH398">
        <v>0.1</v>
      </c>
      <c r="DI398">
        <v>0.1</v>
      </c>
      <c r="DJ398">
        <v>0.1</v>
      </c>
      <c r="DK398">
        <v>0.1</v>
      </c>
      <c r="DL398">
        <v>0.1</v>
      </c>
      <c r="DM398">
        <v>0.1</v>
      </c>
      <c r="DN398">
        <v>0.1</v>
      </c>
      <c r="DO398">
        <v>0.1</v>
      </c>
      <c r="DP398">
        <v>0.1</v>
      </c>
      <c r="DQ398">
        <v>0.1</v>
      </c>
      <c r="DR398">
        <v>0.1</v>
      </c>
      <c r="DS398">
        <v>0.1</v>
      </c>
      <c r="DT398">
        <v>0.1</v>
      </c>
      <c r="DU398">
        <v>0.1</v>
      </c>
      <c r="DV398">
        <v>0.1</v>
      </c>
      <c r="DW398">
        <v>0.1</v>
      </c>
      <c r="DX398">
        <v>0.1</v>
      </c>
      <c r="DY398">
        <v>0.1</v>
      </c>
      <c r="DZ398">
        <v>0.1</v>
      </c>
      <c r="EA398">
        <v>0.1</v>
      </c>
      <c r="EB398">
        <v>0.1</v>
      </c>
      <c r="EC398">
        <v>0.1</v>
      </c>
      <c r="ED398">
        <v>0.1</v>
      </c>
      <c r="EE398">
        <v>0.1</v>
      </c>
      <c r="EF398">
        <v>0.1</v>
      </c>
    </row>
    <row r="399" spans="71:136" x14ac:dyDescent="0.25">
      <c r="BS399">
        <v>396</v>
      </c>
      <c r="BU399" s="2"/>
      <c r="BV399" s="2"/>
      <c r="BW399" s="2"/>
      <c r="BX399" s="2"/>
      <c r="BY399">
        <v>0.1</v>
      </c>
      <c r="BZ399">
        <v>0.1</v>
      </c>
      <c r="CA399">
        <v>0.1</v>
      </c>
      <c r="CB399">
        <v>0.1</v>
      </c>
      <c r="CC399">
        <v>0.1</v>
      </c>
      <c r="CD399">
        <v>0.1</v>
      </c>
      <c r="CE399">
        <v>0.1</v>
      </c>
      <c r="CF399">
        <v>0.1</v>
      </c>
      <c r="CG399">
        <v>0.1</v>
      </c>
      <c r="CH399">
        <v>0.1</v>
      </c>
      <c r="CI399">
        <v>0.1</v>
      </c>
      <c r="CJ399">
        <v>0.1</v>
      </c>
      <c r="CK399">
        <v>0.1</v>
      </c>
      <c r="CL399">
        <v>0.1</v>
      </c>
      <c r="CM399">
        <v>0.1</v>
      </c>
      <c r="CN399">
        <v>0.1</v>
      </c>
      <c r="CO399">
        <v>0.1</v>
      </c>
      <c r="CP399">
        <v>0.1</v>
      </c>
      <c r="CQ399">
        <v>0.1</v>
      </c>
      <c r="CR399">
        <v>0.1</v>
      </c>
      <c r="CS399">
        <v>0.1</v>
      </c>
      <c r="CT399">
        <v>0.1</v>
      </c>
      <c r="CU399">
        <v>0.1</v>
      </c>
      <c r="CV399">
        <v>0.1</v>
      </c>
      <c r="CW399">
        <v>0.1</v>
      </c>
      <c r="CX399">
        <v>0.1</v>
      </c>
      <c r="CY399">
        <v>0.1</v>
      </c>
      <c r="CZ399">
        <v>0.1</v>
      </c>
      <c r="DA399">
        <v>0.1</v>
      </c>
      <c r="DB399">
        <v>0.1</v>
      </c>
      <c r="DC399">
        <v>0.1</v>
      </c>
      <c r="DD399">
        <v>0.1</v>
      </c>
      <c r="DE399">
        <v>0.1</v>
      </c>
      <c r="DF399">
        <v>0.1</v>
      </c>
      <c r="DG399">
        <v>0.1</v>
      </c>
      <c r="DH399">
        <v>0.1</v>
      </c>
      <c r="DI399">
        <v>0.1</v>
      </c>
      <c r="DJ399">
        <v>0.1</v>
      </c>
      <c r="DK399">
        <v>0.1</v>
      </c>
      <c r="DL399">
        <v>0.1</v>
      </c>
      <c r="DM399">
        <v>0.1</v>
      </c>
      <c r="DN399">
        <v>0.1</v>
      </c>
      <c r="DO399">
        <v>0.1</v>
      </c>
      <c r="DP399">
        <v>0.1</v>
      </c>
      <c r="DQ399">
        <v>0.1</v>
      </c>
      <c r="DR399">
        <v>0.1</v>
      </c>
      <c r="DS399">
        <v>0.1</v>
      </c>
      <c r="DT399">
        <v>0.1</v>
      </c>
      <c r="DU399">
        <v>0.1</v>
      </c>
      <c r="DV399">
        <v>0.1</v>
      </c>
      <c r="DW399">
        <v>0.1</v>
      </c>
      <c r="DX399">
        <v>0.1</v>
      </c>
      <c r="DY399">
        <v>0.1</v>
      </c>
      <c r="DZ399">
        <v>0.1</v>
      </c>
      <c r="EA399">
        <v>0.1</v>
      </c>
      <c r="EB399">
        <v>0.1</v>
      </c>
      <c r="EC399">
        <v>0.1</v>
      </c>
      <c r="ED399">
        <v>0.1</v>
      </c>
      <c r="EE399">
        <v>0.1</v>
      </c>
      <c r="EF399">
        <v>0.1</v>
      </c>
    </row>
    <row r="400" spans="71:136" x14ac:dyDescent="0.25">
      <c r="BS400">
        <v>397</v>
      </c>
      <c r="BU400" s="2"/>
      <c r="BV400" s="2"/>
      <c r="BW400" s="2"/>
      <c r="BX400" s="2"/>
      <c r="BY400">
        <v>0.1</v>
      </c>
      <c r="BZ400">
        <v>0.1</v>
      </c>
      <c r="CA400">
        <v>0.1</v>
      </c>
      <c r="CB400">
        <v>0.1</v>
      </c>
      <c r="CC400">
        <v>0.1</v>
      </c>
      <c r="CD400">
        <v>0.1</v>
      </c>
      <c r="CE400">
        <v>0.1</v>
      </c>
      <c r="CF400">
        <v>0.1</v>
      </c>
      <c r="CG400">
        <v>0.1</v>
      </c>
      <c r="CH400">
        <v>0.1</v>
      </c>
      <c r="CI400">
        <v>0.1</v>
      </c>
      <c r="CJ400">
        <v>0.1</v>
      </c>
      <c r="CK400">
        <v>0.1</v>
      </c>
      <c r="CL400">
        <v>0.1</v>
      </c>
      <c r="CM400">
        <v>0.1</v>
      </c>
      <c r="CN400">
        <v>0.1</v>
      </c>
      <c r="CO400">
        <v>0.1</v>
      </c>
      <c r="CP400">
        <v>0.1</v>
      </c>
      <c r="CQ400">
        <v>0.1</v>
      </c>
      <c r="CR400">
        <v>0.1</v>
      </c>
      <c r="CS400">
        <v>0.1</v>
      </c>
      <c r="CT400">
        <v>0.1</v>
      </c>
      <c r="CU400">
        <v>0.1</v>
      </c>
      <c r="CV400">
        <v>0.1</v>
      </c>
      <c r="CW400">
        <v>0.1</v>
      </c>
      <c r="CX400">
        <v>0.1</v>
      </c>
      <c r="CY400">
        <v>0.1</v>
      </c>
      <c r="CZ400">
        <v>0.1</v>
      </c>
      <c r="DA400">
        <v>0.1</v>
      </c>
      <c r="DB400">
        <v>0.1</v>
      </c>
      <c r="DC400">
        <v>0.1</v>
      </c>
      <c r="DD400">
        <v>0.1</v>
      </c>
      <c r="DE400">
        <v>0.1</v>
      </c>
      <c r="DF400">
        <v>0.1</v>
      </c>
      <c r="DG400">
        <v>0.1</v>
      </c>
      <c r="DH400">
        <v>0.1</v>
      </c>
      <c r="DI400">
        <v>0.1</v>
      </c>
      <c r="DJ400">
        <v>0.1</v>
      </c>
      <c r="DK400">
        <v>0.1</v>
      </c>
      <c r="DL400">
        <v>0.1</v>
      </c>
      <c r="DM400">
        <v>0.1</v>
      </c>
      <c r="DN400">
        <v>0.1</v>
      </c>
      <c r="DO400">
        <v>0.1</v>
      </c>
      <c r="DP400">
        <v>0.1</v>
      </c>
      <c r="DQ400">
        <v>0.1</v>
      </c>
      <c r="DR400">
        <v>0.1</v>
      </c>
      <c r="DS400">
        <v>0.1</v>
      </c>
      <c r="DT400">
        <v>0.1</v>
      </c>
      <c r="DU400">
        <v>0.1</v>
      </c>
      <c r="DV400">
        <v>0.1</v>
      </c>
      <c r="DW400">
        <v>0.1</v>
      </c>
      <c r="DX400">
        <v>0.1</v>
      </c>
      <c r="DY400">
        <v>0.1</v>
      </c>
      <c r="DZ400">
        <v>0.1</v>
      </c>
      <c r="EA400">
        <v>0.1</v>
      </c>
      <c r="EB400">
        <v>0.1</v>
      </c>
      <c r="EC400">
        <v>0.1</v>
      </c>
      <c r="ED400">
        <v>0.1</v>
      </c>
      <c r="EE400">
        <v>0.1</v>
      </c>
      <c r="EF400">
        <v>0.1</v>
      </c>
    </row>
    <row r="401" spans="70:136" x14ac:dyDescent="0.25">
      <c r="BR401" s="2"/>
      <c r="BS401">
        <v>398</v>
      </c>
      <c r="BU401" s="2"/>
      <c r="BV401" s="2"/>
      <c r="BW401" s="2"/>
      <c r="BX401" s="2"/>
      <c r="BY401">
        <v>0.1</v>
      </c>
      <c r="BZ401">
        <v>0.1</v>
      </c>
      <c r="CA401">
        <v>0.1</v>
      </c>
      <c r="CB401">
        <v>0.1</v>
      </c>
      <c r="CC401">
        <v>0.1</v>
      </c>
      <c r="CD401">
        <v>0.1</v>
      </c>
      <c r="CE401">
        <v>0.1</v>
      </c>
      <c r="CF401">
        <v>0.1</v>
      </c>
      <c r="CG401">
        <v>0.1</v>
      </c>
      <c r="CH401">
        <v>0.1</v>
      </c>
      <c r="CI401">
        <v>0.1</v>
      </c>
      <c r="CJ401">
        <v>0.1</v>
      </c>
      <c r="CK401">
        <v>0.1</v>
      </c>
      <c r="CL401">
        <v>0.1</v>
      </c>
      <c r="CM401">
        <v>0.1</v>
      </c>
      <c r="CN401">
        <v>0.1</v>
      </c>
      <c r="CO401">
        <v>0.1</v>
      </c>
      <c r="CP401">
        <v>0.1</v>
      </c>
      <c r="CQ401">
        <v>0.1</v>
      </c>
      <c r="CR401">
        <v>0.1</v>
      </c>
      <c r="CS401">
        <v>0.1</v>
      </c>
      <c r="CT401">
        <v>0.1</v>
      </c>
      <c r="CU401">
        <v>0.1</v>
      </c>
      <c r="CV401">
        <v>0.1</v>
      </c>
      <c r="CW401">
        <v>0.1</v>
      </c>
      <c r="CX401">
        <v>0.1</v>
      </c>
      <c r="CY401">
        <v>0.1</v>
      </c>
      <c r="CZ401">
        <v>0.1</v>
      </c>
      <c r="DA401">
        <v>0.1</v>
      </c>
      <c r="DB401">
        <v>0.1</v>
      </c>
      <c r="DC401">
        <v>0.1</v>
      </c>
      <c r="DD401">
        <v>0.1</v>
      </c>
      <c r="DE401">
        <v>0.1</v>
      </c>
      <c r="DF401">
        <v>0.1</v>
      </c>
      <c r="DG401">
        <v>0.1</v>
      </c>
      <c r="DH401">
        <v>0.1</v>
      </c>
      <c r="DI401">
        <v>0.1</v>
      </c>
      <c r="DJ401">
        <v>0.1</v>
      </c>
      <c r="DK401">
        <v>0.1</v>
      </c>
      <c r="DL401">
        <v>0.1</v>
      </c>
      <c r="DM401">
        <v>0.1</v>
      </c>
      <c r="DN401">
        <v>0.1</v>
      </c>
      <c r="DO401">
        <v>0.1</v>
      </c>
      <c r="DP401">
        <v>0.1</v>
      </c>
      <c r="DQ401">
        <v>0.1</v>
      </c>
      <c r="DR401">
        <v>0.1</v>
      </c>
      <c r="DS401">
        <v>0.1</v>
      </c>
      <c r="DT401">
        <v>0.1</v>
      </c>
      <c r="DU401">
        <v>0.1</v>
      </c>
      <c r="DV401">
        <v>0.1</v>
      </c>
      <c r="DW401">
        <v>0.1</v>
      </c>
      <c r="DX401">
        <v>0.1</v>
      </c>
      <c r="DY401">
        <v>0.1</v>
      </c>
      <c r="DZ401">
        <v>0.1</v>
      </c>
      <c r="EA401">
        <v>0.1</v>
      </c>
      <c r="EB401">
        <v>0.1</v>
      </c>
      <c r="EC401">
        <v>0.1</v>
      </c>
      <c r="ED401">
        <v>0.1</v>
      </c>
      <c r="EE401">
        <v>0.1</v>
      </c>
      <c r="EF401">
        <v>0.1</v>
      </c>
    </row>
    <row r="402" spans="70:136" x14ac:dyDescent="0.25">
      <c r="BR402" s="2"/>
      <c r="BS402">
        <v>399</v>
      </c>
      <c r="BU402" s="2"/>
      <c r="BV402" s="2"/>
      <c r="BW402" s="2"/>
      <c r="BX402" s="2"/>
      <c r="BY402">
        <v>0.1</v>
      </c>
      <c r="BZ402">
        <v>0.1</v>
      </c>
      <c r="CA402">
        <v>0.1</v>
      </c>
      <c r="CB402">
        <v>0.1</v>
      </c>
      <c r="CC402">
        <v>0.1</v>
      </c>
      <c r="CD402">
        <v>0.1</v>
      </c>
      <c r="CE402">
        <v>0.1</v>
      </c>
      <c r="CF402">
        <v>0.1</v>
      </c>
      <c r="CG402">
        <v>0.1</v>
      </c>
      <c r="CH402">
        <v>0.1</v>
      </c>
      <c r="CI402">
        <v>0.1</v>
      </c>
      <c r="CJ402">
        <v>0.1</v>
      </c>
      <c r="CK402">
        <v>0.1</v>
      </c>
      <c r="CL402">
        <v>0.1</v>
      </c>
      <c r="CM402">
        <v>0.1</v>
      </c>
      <c r="CN402">
        <v>0.1</v>
      </c>
      <c r="CO402">
        <v>0.1</v>
      </c>
      <c r="CP402">
        <v>0.1</v>
      </c>
      <c r="CQ402">
        <v>0.1</v>
      </c>
      <c r="CR402">
        <v>0.1</v>
      </c>
      <c r="CS402">
        <v>0.1</v>
      </c>
      <c r="CT402">
        <v>0.1</v>
      </c>
      <c r="CU402">
        <v>0.1</v>
      </c>
      <c r="CV402">
        <v>0.1</v>
      </c>
      <c r="CW402">
        <v>0.1</v>
      </c>
      <c r="CX402">
        <v>0.1</v>
      </c>
      <c r="CY402">
        <v>0.1</v>
      </c>
      <c r="CZ402">
        <v>0.1</v>
      </c>
      <c r="DA402">
        <v>0.1</v>
      </c>
      <c r="DB402">
        <v>0.1</v>
      </c>
      <c r="DC402">
        <v>0.1</v>
      </c>
      <c r="DD402">
        <v>0.1</v>
      </c>
      <c r="DE402">
        <v>0.1</v>
      </c>
      <c r="DF402">
        <v>0.1</v>
      </c>
      <c r="DG402">
        <v>0.1</v>
      </c>
      <c r="DH402">
        <v>0.1</v>
      </c>
      <c r="DI402">
        <v>0.1</v>
      </c>
      <c r="DJ402">
        <v>0.1</v>
      </c>
      <c r="DK402">
        <v>0.1</v>
      </c>
      <c r="DL402">
        <v>0.1</v>
      </c>
      <c r="DM402">
        <v>0.1</v>
      </c>
      <c r="DN402">
        <v>0.1</v>
      </c>
      <c r="DO402">
        <v>0.1</v>
      </c>
      <c r="DP402">
        <v>0.1</v>
      </c>
      <c r="DQ402">
        <v>0.1</v>
      </c>
      <c r="DR402">
        <v>0.1</v>
      </c>
      <c r="DS402">
        <v>0.1</v>
      </c>
      <c r="DT402">
        <v>0.1</v>
      </c>
      <c r="DU402">
        <v>0.1</v>
      </c>
      <c r="DV402">
        <v>0.1</v>
      </c>
      <c r="DW402">
        <v>0.1</v>
      </c>
      <c r="DX402">
        <v>0.1</v>
      </c>
      <c r="DY402">
        <v>0.1</v>
      </c>
      <c r="DZ402">
        <v>0.1</v>
      </c>
      <c r="EA402">
        <v>0.1</v>
      </c>
      <c r="EB402">
        <v>0.1</v>
      </c>
      <c r="EC402">
        <v>0.1</v>
      </c>
      <c r="ED402">
        <v>0.1</v>
      </c>
      <c r="EE402">
        <v>0.1</v>
      </c>
      <c r="EF402">
        <v>0.1</v>
      </c>
    </row>
    <row r="403" spans="70:136" x14ac:dyDescent="0.25">
      <c r="BS403">
        <v>400</v>
      </c>
      <c r="BU403" s="2"/>
      <c r="BV403" s="2"/>
      <c r="BW403" s="2"/>
      <c r="BX403" s="2"/>
      <c r="BY403">
        <v>0.1</v>
      </c>
      <c r="BZ403">
        <v>0.1</v>
      </c>
      <c r="CA403">
        <v>0.1</v>
      </c>
      <c r="CB403">
        <v>0.1</v>
      </c>
      <c r="CC403">
        <v>0.1</v>
      </c>
      <c r="CD403">
        <v>0.1</v>
      </c>
      <c r="CE403">
        <v>0.1</v>
      </c>
      <c r="CF403">
        <v>0.1</v>
      </c>
      <c r="CG403">
        <v>0.1</v>
      </c>
      <c r="CH403">
        <v>0.1</v>
      </c>
      <c r="CI403">
        <v>0.1</v>
      </c>
      <c r="CJ403">
        <v>0.1</v>
      </c>
      <c r="CK403">
        <v>0.1</v>
      </c>
      <c r="CL403">
        <v>0.1</v>
      </c>
      <c r="CM403">
        <v>0.1</v>
      </c>
      <c r="CN403">
        <v>0.1</v>
      </c>
      <c r="CO403">
        <v>0.1</v>
      </c>
      <c r="CP403">
        <v>0.1</v>
      </c>
      <c r="CQ403">
        <v>0.1</v>
      </c>
      <c r="CR403">
        <v>0.1</v>
      </c>
      <c r="CS403">
        <v>0.1</v>
      </c>
      <c r="CT403">
        <v>0.1</v>
      </c>
      <c r="CU403">
        <v>0.1</v>
      </c>
      <c r="CV403">
        <v>0.1</v>
      </c>
      <c r="CW403">
        <v>0.1</v>
      </c>
      <c r="CX403">
        <v>0.1</v>
      </c>
      <c r="CY403">
        <v>0.1</v>
      </c>
      <c r="CZ403">
        <v>0.1</v>
      </c>
      <c r="DA403">
        <v>0.1</v>
      </c>
      <c r="DB403">
        <v>0.1</v>
      </c>
      <c r="DC403">
        <v>0.1</v>
      </c>
      <c r="DD403">
        <v>0.1</v>
      </c>
      <c r="DE403">
        <v>0.1</v>
      </c>
      <c r="DF403">
        <v>0.1</v>
      </c>
      <c r="DG403">
        <v>0.1</v>
      </c>
      <c r="DH403">
        <v>0.1</v>
      </c>
      <c r="DI403">
        <v>0.1</v>
      </c>
      <c r="DJ403">
        <v>0.1</v>
      </c>
      <c r="DK403">
        <v>0.1</v>
      </c>
      <c r="DL403">
        <v>0.1</v>
      </c>
      <c r="DM403">
        <v>0.1</v>
      </c>
      <c r="DN403">
        <v>0.1</v>
      </c>
      <c r="DO403">
        <v>0.1</v>
      </c>
      <c r="DP403">
        <v>0.1</v>
      </c>
      <c r="DQ403">
        <v>0.1</v>
      </c>
      <c r="DR403">
        <v>0.1</v>
      </c>
      <c r="DS403">
        <v>0.1</v>
      </c>
      <c r="DT403">
        <v>0.1</v>
      </c>
      <c r="DU403">
        <v>0.1</v>
      </c>
      <c r="DV403">
        <v>0.1</v>
      </c>
      <c r="DW403">
        <v>0.1</v>
      </c>
      <c r="DX403">
        <v>0.1</v>
      </c>
      <c r="DY403">
        <v>0.1</v>
      </c>
      <c r="DZ403">
        <v>0.1</v>
      </c>
      <c r="EA403">
        <v>0.1</v>
      </c>
      <c r="EB403">
        <v>0.1</v>
      </c>
      <c r="EC403">
        <v>0.1</v>
      </c>
      <c r="ED403">
        <v>0.1</v>
      </c>
      <c r="EE403">
        <v>0.1</v>
      </c>
      <c r="EF403">
        <v>0.1</v>
      </c>
    </row>
    <row r="404" spans="70:136" x14ac:dyDescent="0.25">
      <c r="BS404">
        <v>401</v>
      </c>
      <c r="BU404" s="2"/>
      <c r="BV404" s="2"/>
      <c r="BW404" s="2"/>
      <c r="BX404" s="2"/>
      <c r="BY404">
        <v>0.1</v>
      </c>
      <c r="BZ404">
        <v>0.1</v>
      </c>
      <c r="CA404">
        <v>0.1</v>
      </c>
      <c r="CB404">
        <v>0.1</v>
      </c>
      <c r="CC404">
        <v>0.1</v>
      </c>
      <c r="CD404">
        <v>0.1</v>
      </c>
      <c r="CE404">
        <v>0.1</v>
      </c>
      <c r="CF404">
        <v>0.1</v>
      </c>
      <c r="CG404">
        <v>0.1</v>
      </c>
      <c r="CH404">
        <v>0.1</v>
      </c>
      <c r="CI404">
        <v>0.1</v>
      </c>
      <c r="CJ404">
        <v>0.1</v>
      </c>
      <c r="CK404">
        <v>0.1</v>
      </c>
      <c r="CL404">
        <v>0.1</v>
      </c>
      <c r="CM404">
        <v>0.1</v>
      </c>
      <c r="CN404">
        <v>0.1</v>
      </c>
      <c r="CO404">
        <v>0.1</v>
      </c>
      <c r="CP404">
        <v>0.1</v>
      </c>
      <c r="CQ404">
        <v>0.1</v>
      </c>
      <c r="CR404">
        <v>0.1</v>
      </c>
      <c r="CS404">
        <v>0.1</v>
      </c>
      <c r="CT404">
        <v>0.1</v>
      </c>
      <c r="CU404">
        <v>0.1</v>
      </c>
      <c r="CV404">
        <v>0.1</v>
      </c>
      <c r="CW404">
        <v>0.1</v>
      </c>
      <c r="CX404">
        <v>0.1</v>
      </c>
      <c r="CY404">
        <v>0.1</v>
      </c>
      <c r="CZ404">
        <v>0.1</v>
      </c>
      <c r="DA404">
        <v>0.1</v>
      </c>
      <c r="DB404">
        <v>0.1</v>
      </c>
      <c r="DC404">
        <v>0.1</v>
      </c>
      <c r="DD404">
        <v>0.1</v>
      </c>
      <c r="DE404">
        <v>0.1</v>
      </c>
      <c r="DF404">
        <v>0.1</v>
      </c>
      <c r="DG404">
        <v>0.1</v>
      </c>
      <c r="DH404">
        <v>0.1</v>
      </c>
      <c r="DI404">
        <v>0.1</v>
      </c>
      <c r="DJ404">
        <v>0.1</v>
      </c>
      <c r="DK404">
        <v>0.1</v>
      </c>
      <c r="DL404">
        <v>0.1</v>
      </c>
      <c r="DM404">
        <v>0.1</v>
      </c>
      <c r="DN404">
        <v>0.1</v>
      </c>
      <c r="DO404">
        <v>0.1</v>
      </c>
      <c r="DP404">
        <v>0.1</v>
      </c>
      <c r="DQ404">
        <v>0.1</v>
      </c>
      <c r="DR404">
        <v>0.1</v>
      </c>
      <c r="DS404">
        <v>0.1</v>
      </c>
      <c r="DT404">
        <v>0.1</v>
      </c>
      <c r="DU404">
        <v>0.1</v>
      </c>
      <c r="DV404">
        <v>0.1</v>
      </c>
      <c r="DW404">
        <v>0.1</v>
      </c>
      <c r="DX404">
        <v>0.1</v>
      </c>
      <c r="DY404">
        <v>0.1</v>
      </c>
      <c r="DZ404">
        <v>0.1</v>
      </c>
      <c r="EA404">
        <v>0.1</v>
      </c>
      <c r="EB404">
        <v>0.1</v>
      </c>
      <c r="EC404">
        <v>0.1</v>
      </c>
      <c r="ED404">
        <v>0.1</v>
      </c>
      <c r="EE404">
        <v>0.1</v>
      </c>
      <c r="EF404">
        <v>0.1</v>
      </c>
    </row>
    <row r="405" spans="70:136" x14ac:dyDescent="0.25">
      <c r="BS405">
        <v>402</v>
      </c>
      <c r="BU405" s="2"/>
      <c r="BV405" s="2"/>
      <c r="BW405" s="2"/>
      <c r="BX405" s="2"/>
      <c r="BY405">
        <v>0.1</v>
      </c>
      <c r="BZ405">
        <v>0.1</v>
      </c>
      <c r="CA405">
        <v>0.1</v>
      </c>
      <c r="CB405">
        <v>0.1</v>
      </c>
      <c r="CC405">
        <v>0.1</v>
      </c>
      <c r="CD405">
        <v>0.1</v>
      </c>
      <c r="CE405">
        <v>0.1</v>
      </c>
      <c r="CF405">
        <v>0.1</v>
      </c>
      <c r="CG405">
        <v>0.1</v>
      </c>
      <c r="CH405">
        <v>0.1</v>
      </c>
      <c r="CI405">
        <v>0.1</v>
      </c>
      <c r="CJ405">
        <v>0.1</v>
      </c>
      <c r="CK405">
        <v>0.1</v>
      </c>
      <c r="CL405">
        <v>0.1</v>
      </c>
      <c r="CM405">
        <v>0.1</v>
      </c>
      <c r="CN405">
        <v>0.1</v>
      </c>
      <c r="CO405">
        <v>0.1</v>
      </c>
      <c r="CP405">
        <v>0.1</v>
      </c>
      <c r="CQ405">
        <v>0.1</v>
      </c>
      <c r="CR405">
        <v>0.1</v>
      </c>
      <c r="CS405">
        <v>0.1</v>
      </c>
      <c r="CT405">
        <v>0.1</v>
      </c>
      <c r="CU405">
        <v>0.1</v>
      </c>
      <c r="CV405">
        <v>0.1</v>
      </c>
      <c r="CW405">
        <v>0.1</v>
      </c>
      <c r="CX405">
        <v>0.1</v>
      </c>
      <c r="CY405">
        <v>0.1</v>
      </c>
      <c r="CZ405">
        <v>0.1</v>
      </c>
      <c r="DA405">
        <v>0.1</v>
      </c>
      <c r="DB405">
        <v>0.1</v>
      </c>
      <c r="DC405">
        <v>0.1</v>
      </c>
      <c r="DD405">
        <v>0.1</v>
      </c>
      <c r="DE405">
        <v>0.1</v>
      </c>
      <c r="DF405">
        <v>0.1</v>
      </c>
      <c r="DG405">
        <v>0.1</v>
      </c>
      <c r="DH405">
        <v>0.1</v>
      </c>
      <c r="DI405">
        <v>0.1</v>
      </c>
      <c r="DJ405">
        <v>0.1</v>
      </c>
      <c r="DK405">
        <v>0.1</v>
      </c>
      <c r="DL405">
        <v>0.1</v>
      </c>
      <c r="DM405">
        <v>0.1</v>
      </c>
      <c r="DN405">
        <v>0.1</v>
      </c>
      <c r="DO405">
        <v>0.1</v>
      </c>
      <c r="DP405">
        <v>0.1</v>
      </c>
      <c r="DQ405">
        <v>0.1</v>
      </c>
      <c r="DR405">
        <v>0.1</v>
      </c>
      <c r="DS405">
        <v>0.1</v>
      </c>
      <c r="DT405">
        <v>0.1</v>
      </c>
      <c r="DU405">
        <v>0.1</v>
      </c>
      <c r="DV405">
        <v>0.1</v>
      </c>
      <c r="DW405">
        <v>0.1</v>
      </c>
      <c r="DX405">
        <v>0.1</v>
      </c>
      <c r="DY405">
        <v>0.1</v>
      </c>
      <c r="DZ405">
        <v>0.1</v>
      </c>
      <c r="EA405">
        <v>0.1</v>
      </c>
      <c r="EB405">
        <v>0.1</v>
      </c>
      <c r="EC405">
        <v>0.1</v>
      </c>
      <c r="ED405">
        <v>0.1</v>
      </c>
      <c r="EE405">
        <v>0.1</v>
      </c>
      <c r="EF405">
        <v>0.1</v>
      </c>
    </row>
    <row r="406" spans="70:136" x14ac:dyDescent="0.25">
      <c r="BS406">
        <v>403</v>
      </c>
      <c r="BU406" s="2"/>
      <c r="BV406" s="2"/>
      <c r="BW406" s="2"/>
      <c r="BX406" s="2"/>
      <c r="BY406">
        <v>0.1</v>
      </c>
      <c r="BZ406">
        <v>0.1</v>
      </c>
      <c r="CA406">
        <v>0.1</v>
      </c>
      <c r="CB406">
        <v>0.1</v>
      </c>
      <c r="CC406">
        <v>0.1</v>
      </c>
      <c r="CD406">
        <v>0.1</v>
      </c>
      <c r="CE406">
        <v>0.1</v>
      </c>
      <c r="CF406">
        <v>0.1</v>
      </c>
      <c r="CG406">
        <v>0.1</v>
      </c>
      <c r="CH406">
        <v>0.1</v>
      </c>
      <c r="CI406">
        <v>0.1</v>
      </c>
      <c r="CJ406">
        <v>0.1</v>
      </c>
      <c r="CK406">
        <v>0.1</v>
      </c>
      <c r="CL406">
        <v>0.1</v>
      </c>
      <c r="CM406">
        <v>0.1</v>
      </c>
      <c r="CN406">
        <v>0.1</v>
      </c>
      <c r="CO406">
        <v>0.1</v>
      </c>
      <c r="CP406">
        <v>0.1</v>
      </c>
      <c r="CQ406">
        <v>0.1</v>
      </c>
      <c r="CR406">
        <v>0.1</v>
      </c>
      <c r="CS406">
        <v>0.1</v>
      </c>
      <c r="CT406">
        <v>0.1</v>
      </c>
      <c r="CU406">
        <v>0.1</v>
      </c>
      <c r="CV406">
        <v>0.1</v>
      </c>
      <c r="CW406">
        <v>0.1</v>
      </c>
      <c r="CX406">
        <v>0.1</v>
      </c>
      <c r="CY406">
        <v>0.1</v>
      </c>
      <c r="CZ406">
        <v>0.1</v>
      </c>
      <c r="DA406">
        <v>0.1</v>
      </c>
      <c r="DB406">
        <v>0.1</v>
      </c>
      <c r="DC406">
        <v>0.1</v>
      </c>
      <c r="DD406">
        <v>0.1</v>
      </c>
      <c r="DE406">
        <v>0.1</v>
      </c>
      <c r="DF406">
        <v>0.1</v>
      </c>
      <c r="DG406">
        <v>0.1</v>
      </c>
      <c r="DH406">
        <v>0.1</v>
      </c>
      <c r="DI406">
        <v>0.1</v>
      </c>
      <c r="DJ406">
        <v>0.1</v>
      </c>
      <c r="DK406">
        <v>0.1</v>
      </c>
      <c r="DL406">
        <v>0.1</v>
      </c>
      <c r="DM406">
        <v>0.1</v>
      </c>
      <c r="DN406">
        <v>0.1</v>
      </c>
      <c r="DO406">
        <v>0.1</v>
      </c>
      <c r="DP406">
        <v>0.1</v>
      </c>
      <c r="DQ406">
        <v>0.1</v>
      </c>
      <c r="DR406">
        <v>0.1</v>
      </c>
      <c r="DS406">
        <v>0.1</v>
      </c>
      <c r="DT406">
        <v>0.1</v>
      </c>
      <c r="DU406">
        <v>0.1</v>
      </c>
      <c r="DV406">
        <v>0.1</v>
      </c>
      <c r="DW406">
        <v>0.1</v>
      </c>
      <c r="DX406">
        <v>0.1</v>
      </c>
      <c r="DY406">
        <v>0.1</v>
      </c>
      <c r="DZ406">
        <v>0.1</v>
      </c>
      <c r="EA406">
        <v>0.1</v>
      </c>
      <c r="EB406">
        <v>0.1</v>
      </c>
      <c r="EC406">
        <v>0.1</v>
      </c>
      <c r="ED406">
        <v>0.1</v>
      </c>
      <c r="EE406">
        <v>0.1</v>
      </c>
      <c r="EF406">
        <v>0.1</v>
      </c>
    </row>
    <row r="407" spans="70:136" x14ac:dyDescent="0.25">
      <c r="BS407">
        <v>404</v>
      </c>
      <c r="BU407" s="2"/>
      <c r="BV407" s="2"/>
      <c r="BW407" s="2"/>
      <c r="BX407" s="2"/>
      <c r="BY407">
        <v>0.1</v>
      </c>
      <c r="BZ407">
        <v>0.1</v>
      </c>
      <c r="CA407">
        <v>0.1</v>
      </c>
      <c r="CB407">
        <v>0.1</v>
      </c>
      <c r="CC407">
        <v>0.1</v>
      </c>
      <c r="CD407">
        <v>0.1</v>
      </c>
      <c r="CE407">
        <v>0.1</v>
      </c>
      <c r="CF407">
        <v>0.1</v>
      </c>
      <c r="CG407">
        <v>0.1</v>
      </c>
      <c r="CH407">
        <v>0.1</v>
      </c>
      <c r="CI407">
        <v>0.1</v>
      </c>
      <c r="CJ407">
        <v>0.1</v>
      </c>
      <c r="CK407">
        <v>0.1</v>
      </c>
      <c r="CL407">
        <v>0.1</v>
      </c>
      <c r="CM407">
        <v>0.1</v>
      </c>
      <c r="CN407">
        <v>0.1</v>
      </c>
      <c r="CO407">
        <v>0.1</v>
      </c>
      <c r="CP407">
        <v>0.1</v>
      </c>
      <c r="CQ407">
        <v>0.1</v>
      </c>
      <c r="CR407">
        <v>0.1</v>
      </c>
      <c r="CS407">
        <v>0.1</v>
      </c>
      <c r="CT407">
        <v>0.1</v>
      </c>
      <c r="CU407">
        <v>0.1</v>
      </c>
      <c r="CV407">
        <v>0.1</v>
      </c>
      <c r="CW407">
        <v>0.1</v>
      </c>
      <c r="CX407">
        <v>0.1</v>
      </c>
      <c r="CY407">
        <v>0.1</v>
      </c>
      <c r="CZ407">
        <v>0.1</v>
      </c>
      <c r="DA407">
        <v>0.1</v>
      </c>
      <c r="DB407">
        <v>0.1</v>
      </c>
      <c r="DC407">
        <v>0.1</v>
      </c>
      <c r="DD407">
        <v>0.1</v>
      </c>
      <c r="DE407">
        <v>0.1</v>
      </c>
      <c r="DF407">
        <v>0.1</v>
      </c>
      <c r="DG407">
        <v>0.1</v>
      </c>
      <c r="DH407">
        <v>0.1</v>
      </c>
      <c r="DI407">
        <v>0.1</v>
      </c>
      <c r="DJ407">
        <v>0.1</v>
      </c>
      <c r="DK407">
        <v>0.1</v>
      </c>
      <c r="DL407">
        <v>0.1</v>
      </c>
      <c r="DM407">
        <v>0.1</v>
      </c>
      <c r="DN407">
        <v>0.1</v>
      </c>
      <c r="DO407">
        <v>0.1</v>
      </c>
      <c r="DP407">
        <v>0.1</v>
      </c>
      <c r="DQ407">
        <v>0.1</v>
      </c>
      <c r="DR407">
        <v>0.1</v>
      </c>
      <c r="DS407">
        <v>0.1</v>
      </c>
      <c r="DT407">
        <v>0.1</v>
      </c>
      <c r="DU407">
        <v>0.1</v>
      </c>
      <c r="DV407">
        <v>0.1</v>
      </c>
      <c r="DW407">
        <v>0.1</v>
      </c>
      <c r="DX407">
        <v>0.1</v>
      </c>
      <c r="DY407">
        <v>0.1</v>
      </c>
      <c r="DZ407">
        <v>0.1</v>
      </c>
      <c r="EA407">
        <v>0.1</v>
      </c>
      <c r="EB407">
        <v>0.1</v>
      </c>
      <c r="EC407">
        <v>0.1</v>
      </c>
      <c r="ED407">
        <v>0.1</v>
      </c>
      <c r="EE407">
        <v>0.1</v>
      </c>
      <c r="EF407">
        <v>0.1</v>
      </c>
    </row>
    <row r="408" spans="70:136" x14ac:dyDescent="0.25">
      <c r="BS408">
        <v>405</v>
      </c>
      <c r="BU408" s="2"/>
      <c r="BV408" s="2"/>
      <c r="BW408" s="2"/>
      <c r="BX408" s="2"/>
      <c r="BY408">
        <v>0.1</v>
      </c>
      <c r="BZ408">
        <v>0.1</v>
      </c>
      <c r="CA408">
        <v>0.1</v>
      </c>
      <c r="CB408">
        <v>0.1</v>
      </c>
      <c r="CC408">
        <v>0.1</v>
      </c>
      <c r="CD408">
        <v>0.1</v>
      </c>
      <c r="CE408">
        <v>0.1</v>
      </c>
      <c r="CF408">
        <v>0.1</v>
      </c>
      <c r="CG408">
        <v>0.1</v>
      </c>
      <c r="CH408">
        <v>0.1</v>
      </c>
      <c r="CI408">
        <v>0.1</v>
      </c>
      <c r="CJ408">
        <v>0.1</v>
      </c>
      <c r="CK408">
        <v>0.1</v>
      </c>
      <c r="CL408">
        <v>0.1</v>
      </c>
      <c r="CM408">
        <v>0.1</v>
      </c>
      <c r="CN408">
        <v>0.1</v>
      </c>
      <c r="CO408">
        <v>0.1</v>
      </c>
      <c r="CP408">
        <v>0.1</v>
      </c>
      <c r="CQ408">
        <v>0.1</v>
      </c>
      <c r="CR408">
        <v>0.1</v>
      </c>
      <c r="CS408">
        <v>0.1</v>
      </c>
      <c r="CT408">
        <v>0.1</v>
      </c>
      <c r="CU408">
        <v>0.1</v>
      </c>
      <c r="CV408">
        <v>0.1</v>
      </c>
      <c r="CW408">
        <v>0.1</v>
      </c>
      <c r="CX408">
        <v>0.1</v>
      </c>
      <c r="CY408">
        <v>0.1</v>
      </c>
      <c r="CZ408">
        <v>0.1</v>
      </c>
      <c r="DA408">
        <v>0.1</v>
      </c>
      <c r="DB408">
        <v>0.1</v>
      </c>
      <c r="DC408">
        <v>0.1</v>
      </c>
      <c r="DD408">
        <v>0.1</v>
      </c>
      <c r="DE408">
        <v>0.1</v>
      </c>
      <c r="DF408">
        <v>0.1</v>
      </c>
      <c r="DG408">
        <v>0.1</v>
      </c>
      <c r="DH408">
        <v>0.1</v>
      </c>
      <c r="DI408">
        <v>0.1</v>
      </c>
      <c r="DJ408">
        <v>0.1</v>
      </c>
      <c r="DK408">
        <v>0.1</v>
      </c>
      <c r="DL408">
        <v>0.1</v>
      </c>
      <c r="DM408">
        <v>0.1</v>
      </c>
      <c r="DN408">
        <v>0.1</v>
      </c>
      <c r="DO408">
        <v>0.1</v>
      </c>
      <c r="DP408">
        <v>0.1</v>
      </c>
      <c r="DQ408">
        <v>0.1</v>
      </c>
      <c r="DR408">
        <v>0.1</v>
      </c>
      <c r="DS408">
        <v>0.1</v>
      </c>
      <c r="DT408">
        <v>0.1</v>
      </c>
      <c r="DU408">
        <v>0.1</v>
      </c>
      <c r="DV408">
        <v>0.1</v>
      </c>
      <c r="DW408">
        <v>0.1</v>
      </c>
      <c r="DX408">
        <v>0.1</v>
      </c>
      <c r="DY408">
        <v>0.1</v>
      </c>
      <c r="DZ408">
        <v>0.1</v>
      </c>
      <c r="EA408">
        <v>0.1</v>
      </c>
      <c r="EB408">
        <v>0.1</v>
      </c>
      <c r="EC408">
        <v>0.1</v>
      </c>
      <c r="ED408">
        <v>0.1</v>
      </c>
      <c r="EE408">
        <v>0.1</v>
      </c>
      <c r="EF408">
        <v>0.1</v>
      </c>
    </row>
    <row r="409" spans="70:136" x14ac:dyDescent="0.25">
      <c r="BS409">
        <v>406</v>
      </c>
      <c r="BU409" s="2"/>
      <c r="BV409" s="2"/>
      <c r="BW409" s="2"/>
      <c r="BX409" s="2"/>
      <c r="BY409">
        <v>0.1</v>
      </c>
      <c r="BZ409">
        <v>0.1</v>
      </c>
      <c r="CA409">
        <v>0.1</v>
      </c>
      <c r="CB409">
        <v>0.1</v>
      </c>
      <c r="CC409">
        <v>0.1</v>
      </c>
      <c r="CD409">
        <v>0.1</v>
      </c>
      <c r="CE409">
        <v>0.1</v>
      </c>
      <c r="CF409">
        <v>0.1</v>
      </c>
      <c r="CG409">
        <v>0.1</v>
      </c>
      <c r="CH409">
        <v>0.1</v>
      </c>
      <c r="CI409">
        <v>0.1</v>
      </c>
      <c r="CJ409">
        <v>0.1</v>
      </c>
      <c r="CK409">
        <v>0.1</v>
      </c>
      <c r="CL409">
        <v>0.1</v>
      </c>
      <c r="CM409">
        <v>0.1</v>
      </c>
      <c r="CN409">
        <v>0.1</v>
      </c>
      <c r="CO409">
        <v>0.1</v>
      </c>
      <c r="CP409">
        <v>0.1</v>
      </c>
      <c r="CQ409">
        <v>0.1</v>
      </c>
      <c r="CR409">
        <v>0.1</v>
      </c>
      <c r="CS409">
        <v>0.1</v>
      </c>
      <c r="CT409">
        <v>0.1</v>
      </c>
      <c r="CU409">
        <v>0.1</v>
      </c>
      <c r="CV409">
        <v>0.1</v>
      </c>
      <c r="CW409">
        <v>0.1</v>
      </c>
      <c r="CX409">
        <v>0.1</v>
      </c>
      <c r="CY409">
        <v>0.1</v>
      </c>
      <c r="CZ409">
        <v>0.1</v>
      </c>
      <c r="DA409">
        <v>0.1</v>
      </c>
      <c r="DB409">
        <v>0.1</v>
      </c>
      <c r="DC409">
        <v>0.1</v>
      </c>
      <c r="DD409">
        <v>0.1</v>
      </c>
      <c r="DE409">
        <v>0.1</v>
      </c>
      <c r="DF409">
        <v>0.1</v>
      </c>
      <c r="DG409">
        <v>0.1</v>
      </c>
      <c r="DH409">
        <v>0.1</v>
      </c>
      <c r="DI409">
        <v>0.1</v>
      </c>
      <c r="DJ409">
        <v>0.1</v>
      </c>
      <c r="DK409">
        <v>0.1</v>
      </c>
      <c r="DL409">
        <v>0.1</v>
      </c>
      <c r="DM409">
        <v>0.1</v>
      </c>
      <c r="DN409">
        <v>0.1</v>
      </c>
      <c r="DO409">
        <v>0.1</v>
      </c>
      <c r="DP409">
        <v>0.1</v>
      </c>
      <c r="DQ409">
        <v>0.1</v>
      </c>
      <c r="DR409">
        <v>0.1</v>
      </c>
      <c r="DS409">
        <v>0.1</v>
      </c>
      <c r="DT409">
        <v>0.1</v>
      </c>
      <c r="DU409">
        <v>0.1</v>
      </c>
      <c r="DV409">
        <v>0.1</v>
      </c>
      <c r="DW409">
        <v>0.1</v>
      </c>
      <c r="DX409">
        <v>0.1</v>
      </c>
      <c r="DY409">
        <v>0.1</v>
      </c>
      <c r="DZ409">
        <v>0.1</v>
      </c>
      <c r="EA409">
        <v>0.1</v>
      </c>
      <c r="EB409">
        <v>0.1</v>
      </c>
      <c r="EC409">
        <v>0.1</v>
      </c>
      <c r="ED409">
        <v>0.1</v>
      </c>
      <c r="EE409">
        <v>0.1</v>
      </c>
      <c r="EF409">
        <v>0.1</v>
      </c>
    </row>
    <row r="410" spans="70:136" x14ac:dyDescent="0.25">
      <c r="BS410">
        <v>407</v>
      </c>
      <c r="BU410" s="2"/>
      <c r="BV410" s="2"/>
      <c r="BW410" s="2"/>
      <c r="BX410" s="2"/>
      <c r="BY410">
        <v>0.1</v>
      </c>
      <c r="BZ410">
        <v>0.1</v>
      </c>
      <c r="CA410">
        <v>0.1</v>
      </c>
      <c r="CB410">
        <v>0.1</v>
      </c>
      <c r="CC410">
        <v>0.1</v>
      </c>
      <c r="CD410">
        <v>0.1</v>
      </c>
      <c r="CE410">
        <v>0.1</v>
      </c>
      <c r="CF410">
        <v>0.1</v>
      </c>
      <c r="CG410">
        <v>0.1</v>
      </c>
      <c r="CH410">
        <v>0.1</v>
      </c>
      <c r="CI410">
        <v>0.1</v>
      </c>
      <c r="CJ410">
        <v>0.1</v>
      </c>
      <c r="CK410">
        <v>0.1</v>
      </c>
      <c r="CL410">
        <v>0.1</v>
      </c>
      <c r="CM410">
        <v>0.1</v>
      </c>
      <c r="CN410">
        <v>0.1</v>
      </c>
      <c r="CO410">
        <v>0.1</v>
      </c>
      <c r="CP410">
        <v>0.1</v>
      </c>
      <c r="CQ410">
        <v>0.1</v>
      </c>
      <c r="CR410">
        <v>0.1</v>
      </c>
      <c r="CS410">
        <v>0.1</v>
      </c>
      <c r="CT410">
        <v>0.1</v>
      </c>
      <c r="CU410">
        <v>0.1</v>
      </c>
      <c r="CV410">
        <v>0.1</v>
      </c>
      <c r="CW410">
        <v>0.1</v>
      </c>
      <c r="CX410">
        <v>0.1</v>
      </c>
      <c r="CY410">
        <v>0.1</v>
      </c>
      <c r="CZ410">
        <v>0.1</v>
      </c>
      <c r="DA410">
        <v>0.1</v>
      </c>
      <c r="DB410">
        <v>0.1</v>
      </c>
      <c r="DC410">
        <v>0.1</v>
      </c>
      <c r="DD410">
        <v>0.1</v>
      </c>
      <c r="DE410">
        <v>0.1</v>
      </c>
      <c r="DF410">
        <v>0.1</v>
      </c>
      <c r="DG410">
        <v>0.1</v>
      </c>
      <c r="DH410">
        <v>0.1</v>
      </c>
      <c r="DI410">
        <v>0.1</v>
      </c>
      <c r="DJ410">
        <v>0.1</v>
      </c>
      <c r="DK410">
        <v>0.1</v>
      </c>
      <c r="DL410">
        <v>0.1</v>
      </c>
      <c r="DM410">
        <v>0.1</v>
      </c>
      <c r="DN410">
        <v>0.1</v>
      </c>
      <c r="DO410">
        <v>0.1</v>
      </c>
      <c r="DP410">
        <v>0.1</v>
      </c>
      <c r="DQ410">
        <v>0.1</v>
      </c>
      <c r="DR410">
        <v>0.1</v>
      </c>
      <c r="DS410">
        <v>0.1</v>
      </c>
      <c r="DT410">
        <v>0.1</v>
      </c>
      <c r="DU410">
        <v>0.1</v>
      </c>
      <c r="DV410">
        <v>0.1</v>
      </c>
      <c r="DW410">
        <v>0.1</v>
      </c>
      <c r="DX410">
        <v>0.1</v>
      </c>
      <c r="DY410">
        <v>0.1</v>
      </c>
      <c r="DZ410">
        <v>0.1</v>
      </c>
      <c r="EA410">
        <v>0.1</v>
      </c>
      <c r="EB410">
        <v>0.1</v>
      </c>
      <c r="EC410">
        <v>0.1</v>
      </c>
      <c r="ED410">
        <v>0.1</v>
      </c>
      <c r="EE410">
        <v>0.1</v>
      </c>
      <c r="EF410">
        <v>0.1</v>
      </c>
    </row>
    <row r="411" spans="70:136" x14ac:dyDescent="0.25">
      <c r="BS411">
        <v>408</v>
      </c>
      <c r="BU411" s="2"/>
      <c r="BV411" s="2"/>
      <c r="BW411" s="2"/>
      <c r="BX411" s="2"/>
      <c r="BY411">
        <v>0.1</v>
      </c>
      <c r="BZ411">
        <v>0.1</v>
      </c>
      <c r="CA411">
        <v>0.1</v>
      </c>
      <c r="CB411">
        <v>0.1</v>
      </c>
      <c r="CC411">
        <v>0.1</v>
      </c>
      <c r="CD411">
        <v>0.1</v>
      </c>
      <c r="CE411">
        <v>0.1</v>
      </c>
      <c r="CF411">
        <v>0.1</v>
      </c>
      <c r="CG411">
        <v>0.1</v>
      </c>
      <c r="CH411">
        <v>0.1</v>
      </c>
      <c r="CI411">
        <v>0.1</v>
      </c>
      <c r="CJ411">
        <v>0.1</v>
      </c>
      <c r="CK411">
        <v>0.1</v>
      </c>
      <c r="CL411">
        <v>0.1</v>
      </c>
      <c r="CM411">
        <v>0.1</v>
      </c>
      <c r="CN411">
        <v>0.1</v>
      </c>
      <c r="CO411">
        <v>0.1</v>
      </c>
      <c r="CP411">
        <v>0.1</v>
      </c>
      <c r="CQ411">
        <v>0.1</v>
      </c>
      <c r="CR411">
        <v>0.1</v>
      </c>
      <c r="CS411">
        <v>0.1</v>
      </c>
      <c r="CT411">
        <v>0.1</v>
      </c>
      <c r="CU411">
        <v>0.1</v>
      </c>
      <c r="CV411">
        <v>0.1</v>
      </c>
      <c r="CW411">
        <v>0.1</v>
      </c>
      <c r="CX411">
        <v>0.1</v>
      </c>
      <c r="CY411">
        <v>0.1</v>
      </c>
      <c r="CZ411">
        <v>0.1</v>
      </c>
      <c r="DA411">
        <v>0.1</v>
      </c>
      <c r="DB411">
        <v>0.1</v>
      </c>
      <c r="DC411">
        <v>0.1</v>
      </c>
      <c r="DD411">
        <v>0.1</v>
      </c>
      <c r="DE411">
        <v>0.1</v>
      </c>
      <c r="DF411">
        <v>0.1</v>
      </c>
      <c r="DG411">
        <v>0.1</v>
      </c>
      <c r="DH411">
        <v>0.1</v>
      </c>
      <c r="DI411">
        <v>0.1</v>
      </c>
      <c r="DJ411">
        <v>0.1</v>
      </c>
      <c r="DK411">
        <v>0.1</v>
      </c>
      <c r="DL411">
        <v>0.1</v>
      </c>
      <c r="DM411">
        <v>0.1</v>
      </c>
      <c r="DN411">
        <v>0.1</v>
      </c>
      <c r="DO411">
        <v>0.1</v>
      </c>
      <c r="DP411">
        <v>0.1</v>
      </c>
      <c r="DQ411">
        <v>0.1</v>
      </c>
      <c r="DR411">
        <v>0.1</v>
      </c>
      <c r="DS411">
        <v>0.1</v>
      </c>
      <c r="DT411">
        <v>0.1</v>
      </c>
      <c r="DU411">
        <v>0.1</v>
      </c>
      <c r="DV411">
        <v>0.1</v>
      </c>
      <c r="DW411">
        <v>0.1</v>
      </c>
      <c r="DX411">
        <v>0.1</v>
      </c>
      <c r="DY411">
        <v>0.1</v>
      </c>
      <c r="DZ411">
        <v>0.1</v>
      </c>
      <c r="EA411">
        <v>0.1</v>
      </c>
      <c r="EB411">
        <v>0.1</v>
      </c>
      <c r="EC411">
        <v>0.1</v>
      </c>
      <c r="ED411">
        <v>0.1</v>
      </c>
      <c r="EE411">
        <v>0.1</v>
      </c>
      <c r="EF411">
        <v>0.1</v>
      </c>
    </row>
    <row r="412" spans="70:136" x14ac:dyDescent="0.25">
      <c r="BS412">
        <v>409</v>
      </c>
      <c r="BU412" s="2"/>
      <c r="BV412" s="2"/>
      <c r="BW412" s="2"/>
      <c r="BX412" s="2"/>
      <c r="BY412">
        <v>0.1</v>
      </c>
      <c r="BZ412">
        <v>0.1</v>
      </c>
      <c r="CA412">
        <v>0.1</v>
      </c>
      <c r="CB412">
        <v>0.1</v>
      </c>
      <c r="CC412">
        <v>0.1</v>
      </c>
      <c r="CD412">
        <v>0.1</v>
      </c>
      <c r="CE412">
        <v>0.1</v>
      </c>
      <c r="CF412">
        <v>0.1</v>
      </c>
      <c r="CG412">
        <v>0.1</v>
      </c>
      <c r="CH412">
        <v>0.1</v>
      </c>
      <c r="CI412">
        <v>0.1</v>
      </c>
      <c r="CJ412">
        <v>0.1</v>
      </c>
      <c r="CK412">
        <v>0.1</v>
      </c>
      <c r="CL412">
        <v>0.1</v>
      </c>
      <c r="CM412">
        <v>0.1</v>
      </c>
      <c r="CN412">
        <v>0.1</v>
      </c>
      <c r="CO412">
        <v>0.1</v>
      </c>
      <c r="CP412">
        <v>0.1</v>
      </c>
      <c r="CQ412">
        <v>0.1</v>
      </c>
      <c r="CR412">
        <v>0.1</v>
      </c>
      <c r="CS412">
        <v>0.1</v>
      </c>
      <c r="CT412">
        <v>0.1</v>
      </c>
      <c r="CU412">
        <v>0.1</v>
      </c>
      <c r="CV412">
        <v>0.1</v>
      </c>
      <c r="CW412">
        <v>0.1</v>
      </c>
      <c r="CX412">
        <v>0.1</v>
      </c>
      <c r="CY412">
        <v>0.1</v>
      </c>
      <c r="CZ412">
        <v>0.1</v>
      </c>
      <c r="DA412">
        <v>0.1</v>
      </c>
      <c r="DB412">
        <v>0.1</v>
      </c>
      <c r="DC412">
        <v>0.1</v>
      </c>
      <c r="DD412">
        <v>0.1</v>
      </c>
      <c r="DE412">
        <v>0.1</v>
      </c>
      <c r="DF412">
        <v>0.1</v>
      </c>
      <c r="DG412">
        <v>0.1</v>
      </c>
      <c r="DH412">
        <v>0.1</v>
      </c>
      <c r="DI412">
        <v>0.1</v>
      </c>
      <c r="DJ412">
        <v>0.1</v>
      </c>
      <c r="DK412">
        <v>0.1</v>
      </c>
      <c r="DL412">
        <v>0.1</v>
      </c>
      <c r="DM412">
        <v>0.1</v>
      </c>
      <c r="DN412">
        <v>0.1</v>
      </c>
      <c r="DO412">
        <v>0.1</v>
      </c>
      <c r="DP412">
        <v>0.1</v>
      </c>
      <c r="DQ412">
        <v>0.1</v>
      </c>
      <c r="DR412">
        <v>0.1</v>
      </c>
      <c r="DS412">
        <v>0.1</v>
      </c>
      <c r="DT412">
        <v>0.1</v>
      </c>
      <c r="DU412">
        <v>0.1</v>
      </c>
      <c r="DV412">
        <v>0.1</v>
      </c>
      <c r="DW412">
        <v>0.1</v>
      </c>
      <c r="DX412">
        <v>0.1</v>
      </c>
      <c r="DY412">
        <v>0.1</v>
      </c>
      <c r="DZ412">
        <v>0.1</v>
      </c>
      <c r="EA412">
        <v>0.1</v>
      </c>
      <c r="EB412">
        <v>0.1</v>
      </c>
      <c r="EC412">
        <v>0.1</v>
      </c>
      <c r="ED412">
        <v>0.1</v>
      </c>
      <c r="EE412">
        <v>0.1</v>
      </c>
      <c r="EF412">
        <v>0.1</v>
      </c>
    </row>
    <row r="413" spans="70:136" x14ac:dyDescent="0.25">
      <c r="BS413">
        <v>410</v>
      </c>
      <c r="BU413" s="2"/>
      <c r="BV413" s="2"/>
      <c r="BW413" s="2"/>
      <c r="BX413" s="2"/>
      <c r="BY413">
        <v>0.1</v>
      </c>
      <c r="BZ413">
        <v>0.1</v>
      </c>
      <c r="CA413">
        <v>0.1</v>
      </c>
      <c r="CB413">
        <v>0.1</v>
      </c>
      <c r="CC413">
        <v>0.1</v>
      </c>
      <c r="CD413">
        <v>0.1</v>
      </c>
      <c r="CE413">
        <v>0.1</v>
      </c>
      <c r="CF413">
        <v>0.1</v>
      </c>
      <c r="CG413">
        <v>0.1</v>
      </c>
      <c r="CH413">
        <v>0.1</v>
      </c>
      <c r="CI413">
        <v>0.1</v>
      </c>
      <c r="CJ413">
        <v>0.1</v>
      </c>
      <c r="CK413">
        <v>0.1</v>
      </c>
      <c r="CL413">
        <v>0.1</v>
      </c>
      <c r="CM413">
        <v>0.1</v>
      </c>
      <c r="CN413">
        <v>0.1</v>
      </c>
      <c r="CO413">
        <v>0.1</v>
      </c>
      <c r="CP413">
        <v>0.1</v>
      </c>
      <c r="CQ413">
        <v>0.1</v>
      </c>
      <c r="CR413">
        <v>0.1</v>
      </c>
      <c r="CS413">
        <v>0.1</v>
      </c>
      <c r="CT413">
        <v>0.1</v>
      </c>
      <c r="CU413">
        <v>0.1</v>
      </c>
      <c r="CV413">
        <v>0.1</v>
      </c>
      <c r="CW413">
        <v>0.1</v>
      </c>
      <c r="CX413">
        <v>0.1</v>
      </c>
      <c r="CY413">
        <v>0.1</v>
      </c>
      <c r="CZ413">
        <v>0.1</v>
      </c>
      <c r="DA413">
        <v>0.1</v>
      </c>
      <c r="DB413">
        <v>0.1</v>
      </c>
      <c r="DC413">
        <v>0.1</v>
      </c>
      <c r="DD413">
        <v>0.1</v>
      </c>
      <c r="DE413">
        <v>0.1</v>
      </c>
      <c r="DF413">
        <v>0.1</v>
      </c>
      <c r="DG413">
        <v>0.1</v>
      </c>
      <c r="DH413">
        <v>0.1</v>
      </c>
      <c r="DI413">
        <v>0.1</v>
      </c>
      <c r="DJ413">
        <v>0.1</v>
      </c>
      <c r="DK413">
        <v>0.1</v>
      </c>
      <c r="DL413">
        <v>0.1</v>
      </c>
      <c r="DM413">
        <v>0.1</v>
      </c>
      <c r="DN413">
        <v>0.1</v>
      </c>
      <c r="DO413">
        <v>0.1</v>
      </c>
      <c r="DP413">
        <v>0.1</v>
      </c>
      <c r="DQ413">
        <v>0.1</v>
      </c>
      <c r="DR413">
        <v>0.1</v>
      </c>
      <c r="DS413">
        <v>0.1</v>
      </c>
      <c r="DT413">
        <v>0.1</v>
      </c>
      <c r="DU413">
        <v>0.1</v>
      </c>
      <c r="DV413">
        <v>0.1</v>
      </c>
      <c r="DW413">
        <v>0.1</v>
      </c>
      <c r="DX413">
        <v>0.1</v>
      </c>
      <c r="DY413">
        <v>0.1</v>
      </c>
      <c r="DZ413">
        <v>0.1</v>
      </c>
      <c r="EA413">
        <v>0.1</v>
      </c>
      <c r="EB413">
        <v>0.1</v>
      </c>
      <c r="EC413">
        <v>0.1</v>
      </c>
      <c r="ED413">
        <v>0.1</v>
      </c>
      <c r="EE413">
        <v>0.1</v>
      </c>
      <c r="EF413">
        <v>0.1</v>
      </c>
    </row>
    <row r="414" spans="70:136" x14ac:dyDescent="0.25">
      <c r="BS414">
        <v>411</v>
      </c>
      <c r="BU414" s="2"/>
      <c r="BV414" s="2"/>
      <c r="BW414" s="2"/>
      <c r="BX414" s="2"/>
      <c r="BY414">
        <v>0.1</v>
      </c>
      <c r="BZ414">
        <v>0.1</v>
      </c>
      <c r="CA414">
        <v>0.1</v>
      </c>
      <c r="CB414">
        <v>0.1</v>
      </c>
      <c r="CC414">
        <v>0.1</v>
      </c>
      <c r="CD414">
        <v>0.1</v>
      </c>
      <c r="CE414">
        <v>0.1</v>
      </c>
      <c r="CF414">
        <v>0.1</v>
      </c>
      <c r="CG414">
        <v>0.1</v>
      </c>
      <c r="CH414">
        <v>0.1</v>
      </c>
      <c r="CI414">
        <v>0.1</v>
      </c>
      <c r="CJ414">
        <v>0.1</v>
      </c>
      <c r="CK414">
        <v>0.1</v>
      </c>
      <c r="CL414">
        <v>0.1</v>
      </c>
      <c r="CM414">
        <v>0.1</v>
      </c>
      <c r="CN414">
        <v>0.1</v>
      </c>
      <c r="CO414">
        <v>0.1</v>
      </c>
      <c r="CP414">
        <v>0.1</v>
      </c>
      <c r="CQ414">
        <v>0.1</v>
      </c>
      <c r="CR414">
        <v>0.1</v>
      </c>
      <c r="CS414">
        <v>0.1</v>
      </c>
      <c r="CT414">
        <v>0.1</v>
      </c>
      <c r="CU414">
        <v>0.1</v>
      </c>
      <c r="CV414">
        <v>0.1</v>
      </c>
      <c r="CW414">
        <v>0.1</v>
      </c>
      <c r="CX414">
        <v>0.1</v>
      </c>
      <c r="CY414">
        <v>0.1</v>
      </c>
      <c r="CZ414">
        <v>0.1</v>
      </c>
      <c r="DA414">
        <v>0.1</v>
      </c>
      <c r="DB414">
        <v>0.1</v>
      </c>
      <c r="DC414">
        <v>0.1</v>
      </c>
      <c r="DD414">
        <v>0.1</v>
      </c>
      <c r="DE414">
        <v>0.1</v>
      </c>
      <c r="DF414">
        <v>0.1</v>
      </c>
      <c r="DG414">
        <v>0.1</v>
      </c>
      <c r="DH414">
        <v>0.1</v>
      </c>
      <c r="DI414">
        <v>0.1</v>
      </c>
      <c r="DJ414">
        <v>0.1</v>
      </c>
      <c r="DK414">
        <v>0.1</v>
      </c>
      <c r="DL414">
        <v>0.1</v>
      </c>
      <c r="DM414">
        <v>0.1</v>
      </c>
      <c r="DN414">
        <v>0.1</v>
      </c>
      <c r="DO414">
        <v>0.1</v>
      </c>
      <c r="DP414">
        <v>0.1</v>
      </c>
      <c r="DQ414">
        <v>0.1</v>
      </c>
      <c r="DR414">
        <v>0.1</v>
      </c>
      <c r="DS414">
        <v>0.1</v>
      </c>
      <c r="DT414">
        <v>0.1</v>
      </c>
      <c r="DU414">
        <v>0.1</v>
      </c>
      <c r="DV414">
        <v>0.1</v>
      </c>
      <c r="DW414">
        <v>0.1</v>
      </c>
      <c r="DX414">
        <v>0.1</v>
      </c>
      <c r="DY414">
        <v>0.1</v>
      </c>
      <c r="DZ414">
        <v>0.1</v>
      </c>
      <c r="EA414">
        <v>0.1</v>
      </c>
      <c r="EB414">
        <v>0.1</v>
      </c>
      <c r="EC414">
        <v>0.1</v>
      </c>
      <c r="ED414">
        <v>0.1</v>
      </c>
      <c r="EE414">
        <v>0.1</v>
      </c>
      <c r="EF414">
        <v>0.1</v>
      </c>
    </row>
    <row r="415" spans="70:136" x14ac:dyDescent="0.25">
      <c r="BS415">
        <v>412</v>
      </c>
      <c r="BU415" s="2"/>
      <c r="BV415" s="2"/>
      <c r="BW415" s="2"/>
      <c r="BX415" s="2"/>
      <c r="BY415">
        <v>0.1</v>
      </c>
      <c r="BZ415">
        <v>0.1</v>
      </c>
      <c r="CA415">
        <v>0.1</v>
      </c>
      <c r="CB415">
        <v>0.1</v>
      </c>
      <c r="CC415">
        <v>0.1</v>
      </c>
      <c r="CD415">
        <v>0.1</v>
      </c>
      <c r="CE415">
        <v>0.1</v>
      </c>
      <c r="CF415">
        <v>0.1</v>
      </c>
      <c r="CG415">
        <v>0.1</v>
      </c>
      <c r="CH415">
        <v>0.1</v>
      </c>
      <c r="CI415">
        <v>0.1</v>
      </c>
      <c r="CJ415">
        <v>0.1</v>
      </c>
      <c r="CK415">
        <v>0.1</v>
      </c>
      <c r="CL415">
        <v>0.1</v>
      </c>
      <c r="CM415">
        <v>0.1</v>
      </c>
      <c r="CN415">
        <v>0.1</v>
      </c>
      <c r="CO415">
        <v>0.1</v>
      </c>
      <c r="CP415">
        <v>0.1</v>
      </c>
      <c r="CQ415">
        <v>0.1</v>
      </c>
      <c r="CR415">
        <v>0.1</v>
      </c>
      <c r="CS415">
        <v>0.1</v>
      </c>
      <c r="CT415">
        <v>0.1</v>
      </c>
      <c r="CU415">
        <v>0.1</v>
      </c>
      <c r="CV415">
        <v>0.1</v>
      </c>
      <c r="CW415">
        <v>0.1</v>
      </c>
      <c r="CX415">
        <v>0.1</v>
      </c>
      <c r="CY415">
        <v>0.1</v>
      </c>
      <c r="CZ415">
        <v>0.1</v>
      </c>
      <c r="DA415">
        <v>0.1</v>
      </c>
      <c r="DB415">
        <v>0.1</v>
      </c>
      <c r="DC415">
        <v>0.1</v>
      </c>
      <c r="DD415">
        <v>0.1</v>
      </c>
      <c r="DE415">
        <v>0.1</v>
      </c>
      <c r="DF415">
        <v>0.1</v>
      </c>
      <c r="DG415">
        <v>0.1</v>
      </c>
      <c r="DH415">
        <v>0.1</v>
      </c>
      <c r="DI415">
        <v>0.1</v>
      </c>
      <c r="DJ415">
        <v>0.1</v>
      </c>
      <c r="DK415">
        <v>0.1</v>
      </c>
      <c r="DL415">
        <v>0.1</v>
      </c>
      <c r="DM415">
        <v>0.1</v>
      </c>
      <c r="DN415">
        <v>0.1</v>
      </c>
      <c r="DO415">
        <v>0.1</v>
      </c>
      <c r="DP415">
        <v>0.1</v>
      </c>
      <c r="DQ415">
        <v>0.1</v>
      </c>
      <c r="DR415">
        <v>0.1</v>
      </c>
      <c r="DS415">
        <v>0.1</v>
      </c>
      <c r="DT415">
        <v>0.1</v>
      </c>
      <c r="DU415">
        <v>0.1</v>
      </c>
      <c r="DV415">
        <v>0.1</v>
      </c>
      <c r="DW415">
        <v>0.1</v>
      </c>
      <c r="DX415">
        <v>0.1</v>
      </c>
      <c r="DY415">
        <v>0.1</v>
      </c>
      <c r="DZ415">
        <v>0.1</v>
      </c>
      <c r="EA415">
        <v>0.1</v>
      </c>
      <c r="EB415">
        <v>0.1</v>
      </c>
      <c r="EC415">
        <v>0.1</v>
      </c>
      <c r="ED415">
        <v>0.1</v>
      </c>
      <c r="EE415">
        <v>0.1</v>
      </c>
      <c r="EF415">
        <v>0.1</v>
      </c>
    </row>
    <row r="416" spans="70:136" x14ac:dyDescent="0.25">
      <c r="BS416">
        <v>413</v>
      </c>
      <c r="BU416" s="2"/>
      <c r="BV416" s="2"/>
      <c r="BW416" s="2"/>
      <c r="BX416" s="2"/>
      <c r="BY416">
        <v>0.1</v>
      </c>
      <c r="BZ416">
        <v>0.1</v>
      </c>
      <c r="CA416">
        <v>0.1</v>
      </c>
      <c r="CB416">
        <v>0.1</v>
      </c>
      <c r="CC416">
        <v>0.1</v>
      </c>
      <c r="CD416">
        <v>0.1</v>
      </c>
      <c r="CE416">
        <v>0.1</v>
      </c>
      <c r="CF416">
        <v>0.1</v>
      </c>
      <c r="CG416">
        <v>0.1</v>
      </c>
      <c r="CH416">
        <v>0.1</v>
      </c>
      <c r="CI416">
        <v>0.1</v>
      </c>
      <c r="CJ416">
        <v>0.1</v>
      </c>
      <c r="CK416">
        <v>0.1</v>
      </c>
      <c r="CL416">
        <v>0.1</v>
      </c>
      <c r="CM416">
        <v>0.1</v>
      </c>
      <c r="CN416">
        <v>0.1</v>
      </c>
      <c r="CO416">
        <v>0.1</v>
      </c>
      <c r="CP416">
        <v>0.1</v>
      </c>
      <c r="CQ416">
        <v>0.1</v>
      </c>
      <c r="CR416">
        <v>0.1</v>
      </c>
      <c r="CS416">
        <v>0.1</v>
      </c>
      <c r="CT416">
        <v>0.1</v>
      </c>
      <c r="CU416">
        <v>0.1</v>
      </c>
      <c r="CV416">
        <v>0.1</v>
      </c>
      <c r="CW416">
        <v>0.1</v>
      </c>
      <c r="CX416">
        <v>0.1</v>
      </c>
      <c r="CY416">
        <v>0.1</v>
      </c>
      <c r="CZ416">
        <v>0.1</v>
      </c>
      <c r="DA416">
        <v>0.1</v>
      </c>
      <c r="DB416">
        <v>0.1</v>
      </c>
      <c r="DC416">
        <v>0.1</v>
      </c>
      <c r="DD416">
        <v>0.1</v>
      </c>
      <c r="DE416">
        <v>0.1</v>
      </c>
      <c r="DF416">
        <v>0.1</v>
      </c>
      <c r="DG416">
        <v>0.1</v>
      </c>
      <c r="DH416">
        <v>0.1</v>
      </c>
      <c r="DI416">
        <v>0.1</v>
      </c>
      <c r="DJ416">
        <v>0.1</v>
      </c>
      <c r="DK416">
        <v>0.1</v>
      </c>
      <c r="DL416">
        <v>0.1</v>
      </c>
      <c r="DM416">
        <v>0.1</v>
      </c>
      <c r="DN416">
        <v>0.1</v>
      </c>
      <c r="DO416">
        <v>0.1</v>
      </c>
      <c r="DP416">
        <v>0.1</v>
      </c>
      <c r="DQ416">
        <v>0.1</v>
      </c>
      <c r="DR416">
        <v>0.1</v>
      </c>
      <c r="DS416">
        <v>0.1</v>
      </c>
      <c r="DT416">
        <v>0.1</v>
      </c>
      <c r="DU416">
        <v>0.1</v>
      </c>
      <c r="DV416">
        <v>0.1</v>
      </c>
      <c r="DW416">
        <v>0.1</v>
      </c>
      <c r="DX416">
        <v>0.1</v>
      </c>
      <c r="DY416">
        <v>0.1</v>
      </c>
      <c r="DZ416">
        <v>0.1</v>
      </c>
      <c r="EA416">
        <v>0.1</v>
      </c>
      <c r="EB416">
        <v>0.1</v>
      </c>
      <c r="EC416">
        <v>0.1</v>
      </c>
      <c r="ED416">
        <v>0.1</v>
      </c>
      <c r="EE416">
        <v>0.1</v>
      </c>
      <c r="EF416">
        <v>0.1</v>
      </c>
    </row>
    <row r="417" spans="71:136" x14ac:dyDescent="0.25">
      <c r="BS417">
        <v>414</v>
      </c>
      <c r="BU417" s="2"/>
      <c r="BV417" s="2"/>
      <c r="BW417" s="2"/>
      <c r="BX417" s="2"/>
      <c r="BY417">
        <v>0.1</v>
      </c>
      <c r="BZ417">
        <v>0.1</v>
      </c>
      <c r="CA417">
        <v>0.1</v>
      </c>
      <c r="CB417">
        <v>0.1</v>
      </c>
      <c r="CC417">
        <v>0.1</v>
      </c>
      <c r="CD417">
        <v>0.1</v>
      </c>
      <c r="CE417">
        <v>0.1</v>
      </c>
      <c r="CF417">
        <v>0.1</v>
      </c>
      <c r="CG417">
        <v>0.1</v>
      </c>
      <c r="CH417">
        <v>0.1</v>
      </c>
      <c r="CI417">
        <v>0.1</v>
      </c>
      <c r="CJ417">
        <v>0.1</v>
      </c>
      <c r="CK417">
        <v>0.1</v>
      </c>
      <c r="CL417">
        <v>0.1</v>
      </c>
      <c r="CM417">
        <v>0.1</v>
      </c>
      <c r="CN417">
        <v>0.1</v>
      </c>
      <c r="CO417">
        <v>0.1</v>
      </c>
      <c r="CP417">
        <v>0.1</v>
      </c>
      <c r="CQ417">
        <v>0.1</v>
      </c>
      <c r="CR417">
        <v>0.1</v>
      </c>
      <c r="CS417">
        <v>0.1</v>
      </c>
      <c r="CT417">
        <v>0.1</v>
      </c>
      <c r="CU417">
        <v>0.1</v>
      </c>
      <c r="CV417">
        <v>0.1</v>
      </c>
      <c r="CW417">
        <v>0.1</v>
      </c>
      <c r="CX417">
        <v>0.1</v>
      </c>
      <c r="CY417">
        <v>0.1</v>
      </c>
      <c r="CZ417">
        <v>0.1</v>
      </c>
      <c r="DA417">
        <v>0.1</v>
      </c>
      <c r="DB417">
        <v>0.1</v>
      </c>
      <c r="DC417">
        <v>0.1</v>
      </c>
      <c r="DD417">
        <v>0.1</v>
      </c>
      <c r="DE417">
        <v>0.1</v>
      </c>
      <c r="DF417">
        <v>0.1</v>
      </c>
      <c r="DG417">
        <v>0.1</v>
      </c>
      <c r="DH417">
        <v>0.1</v>
      </c>
      <c r="DI417">
        <v>0.1</v>
      </c>
      <c r="DJ417">
        <v>0.1</v>
      </c>
      <c r="DK417">
        <v>0.1</v>
      </c>
      <c r="DL417">
        <v>0.1</v>
      </c>
      <c r="DM417">
        <v>0.1</v>
      </c>
      <c r="DN417">
        <v>0.1</v>
      </c>
      <c r="DO417">
        <v>0.1</v>
      </c>
      <c r="DP417">
        <v>0.1</v>
      </c>
      <c r="DQ417">
        <v>0.1</v>
      </c>
      <c r="DR417">
        <v>0.1</v>
      </c>
      <c r="DS417">
        <v>0.1</v>
      </c>
      <c r="DT417">
        <v>0.1</v>
      </c>
      <c r="DU417">
        <v>0.1</v>
      </c>
      <c r="DV417">
        <v>0.1</v>
      </c>
      <c r="DW417">
        <v>0.1</v>
      </c>
      <c r="DX417">
        <v>0.1</v>
      </c>
      <c r="DY417">
        <v>0.1</v>
      </c>
      <c r="DZ417">
        <v>0.1</v>
      </c>
      <c r="EA417">
        <v>0.1</v>
      </c>
      <c r="EB417">
        <v>0.1</v>
      </c>
      <c r="EC417">
        <v>0.1</v>
      </c>
      <c r="ED417">
        <v>0.1</v>
      </c>
      <c r="EE417">
        <v>0.1</v>
      </c>
      <c r="EF417">
        <v>0.1</v>
      </c>
    </row>
    <row r="418" spans="71:136" x14ac:dyDescent="0.25">
      <c r="BS418">
        <v>415</v>
      </c>
      <c r="BU418" s="2"/>
      <c r="BV418" s="2"/>
      <c r="BW418" s="2"/>
      <c r="BX418" s="2"/>
      <c r="BY418">
        <v>0.1</v>
      </c>
      <c r="BZ418">
        <v>0.1</v>
      </c>
      <c r="CA418">
        <v>0.1</v>
      </c>
      <c r="CB418">
        <v>0.1</v>
      </c>
      <c r="CC418">
        <v>0.1</v>
      </c>
      <c r="CD418">
        <v>0.1</v>
      </c>
      <c r="CE418">
        <v>0.1</v>
      </c>
      <c r="CF418">
        <v>0.1</v>
      </c>
      <c r="CG418">
        <v>0.1</v>
      </c>
      <c r="CH418">
        <v>0.1</v>
      </c>
      <c r="CI418">
        <v>0.1</v>
      </c>
      <c r="CJ418">
        <v>0.1</v>
      </c>
      <c r="CK418">
        <v>0.1</v>
      </c>
      <c r="CL418">
        <v>0.1</v>
      </c>
      <c r="CM418">
        <v>0.1</v>
      </c>
      <c r="CN418">
        <v>0.1</v>
      </c>
      <c r="CO418">
        <v>0.1</v>
      </c>
      <c r="CP418">
        <v>0.1</v>
      </c>
      <c r="CQ418">
        <v>0.1</v>
      </c>
      <c r="CR418">
        <v>0.1</v>
      </c>
      <c r="CS418">
        <v>0.1</v>
      </c>
      <c r="CT418">
        <v>0.1</v>
      </c>
      <c r="CU418">
        <v>0.1</v>
      </c>
      <c r="CV418">
        <v>0.1</v>
      </c>
      <c r="CW418">
        <v>0.1</v>
      </c>
      <c r="CX418">
        <v>0.1</v>
      </c>
      <c r="CY418">
        <v>0.1</v>
      </c>
      <c r="CZ418">
        <v>0.1</v>
      </c>
      <c r="DA418">
        <v>0.1</v>
      </c>
      <c r="DB418">
        <v>0.1</v>
      </c>
      <c r="DC418">
        <v>0.1</v>
      </c>
      <c r="DD418">
        <v>0.1</v>
      </c>
      <c r="DE418">
        <v>0.1</v>
      </c>
      <c r="DF418">
        <v>0.1</v>
      </c>
      <c r="DG418">
        <v>0.1</v>
      </c>
      <c r="DH418">
        <v>0.1</v>
      </c>
      <c r="DI418">
        <v>0.1</v>
      </c>
      <c r="DJ418">
        <v>0.1</v>
      </c>
      <c r="DK418">
        <v>0.1</v>
      </c>
      <c r="DL418">
        <v>0.1</v>
      </c>
      <c r="DM418">
        <v>0.1</v>
      </c>
      <c r="DN418">
        <v>0.1</v>
      </c>
      <c r="DO418">
        <v>0.1</v>
      </c>
      <c r="DP418">
        <v>0.1</v>
      </c>
      <c r="DQ418">
        <v>0.1</v>
      </c>
      <c r="DR418">
        <v>0.1</v>
      </c>
      <c r="DS418">
        <v>0.1</v>
      </c>
      <c r="DT418">
        <v>0.1</v>
      </c>
      <c r="DU418">
        <v>0.1</v>
      </c>
      <c r="DV418">
        <v>0.1</v>
      </c>
      <c r="DW418">
        <v>0.1</v>
      </c>
      <c r="DX418">
        <v>0.1</v>
      </c>
      <c r="DY418">
        <v>0.1</v>
      </c>
      <c r="DZ418">
        <v>0.1</v>
      </c>
      <c r="EA418">
        <v>0.1</v>
      </c>
      <c r="EB418">
        <v>0.1</v>
      </c>
      <c r="EC418">
        <v>0.1</v>
      </c>
      <c r="ED418">
        <v>0.1</v>
      </c>
      <c r="EE418">
        <v>0.1</v>
      </c>
      <c r="EF418">
        <v>0.1</v>
      </c>
    </row>
    <row r="419" spans="71:136" x14ac:dyDescent="0.25">
      <c r="BS419">
        <v>416</v>
      </c>
      <c r="BU419" s="2"/>
      <c r="BV419" s="2"/>
      <c r="BW419" s="2"/>
      <c r="BX419" s="2"/>
      <c r="BY419">
        <v>0.1</v>
      </c>
      <c r="BZ419">
        <v>0.1</v>
      </c>
      <c r="CA419">
        <v>0.1</v>
      </c>
      <c r="CB419">
        <v>0.1</v>
      </c>
      <c r="CC419">
        <v>0.1</v>
      </c>
      <c r="CD419">
        <v>0.1</v>
      </c>
      <c r="CE419">
        <v>0.1</v>
      </c>
      <c r="CF419">
        <v>0.1</v>
      </c>
      <c r="CG419">
        <v>0.1</v>
      </c>
      <c r="CH419">
        <v>0.1</v>
      </c>
      <c r="CI419">
        <v>0.1</v>
      </c>
      <c r="CJ419">
        <v>0.1</v>
      </c>
      <c r="CK419">
        <v>0.1</v>
      </c>
      <c r="CL419">
        <v>0.1</v>
      </c>
      <c r="CM419">
        <v>0.1</v>
      </c>
      <c r="CN419">
        <v>0.1</v>
      </c>
      <c r="CO419">
        <v>0.1</v>
      </c>
      <c r="CP419">
        <v>0.1</v>
      </c>
      <c r="CQ419">
        <v>0.1</v>
      </c>
      <c r="CR419">
        <v>0.1</v>
      </c>
      <c r="CS419">
        <v>0.1</v>
      </c>
      <c r="CT419">
        <v>0.1</v>
      </c>
      <c r="CU419">
        <v>0.1</v>
      </c>
      <c r="CV419">
        <v>0.1</v>
      </c>
      <c r="CW419">
        <v>0.1</v>
      </c>
      <c r="CX419">
        <v>0.1</v>
      </c>
      <c r="CY419">
        <v>0.1</v>
      </c>
      <c r="CZ419">
        <v>0.1</v>
      </c>
      <c r="DA419">
        <v>0.1</v>
      </c>
      <c r="DB419">
        <v>0.1</v>
      </c>
      <c r="DC419">
        <v>0.1</v>
      </c>
      <c r="DD419">
        <v>0.1</v>
      </c>
      <c r="DE419">
        <v>0.1</v>
      </c>
      <c r="DF419">
        <v>0.1</v>
      </c>
      <c r="DG419">
        <v>0.1</v>
      </c>
      <c r="DH419">
        <v>0.1</v>
      </c>
      <c r="DI419">
        <v>0.1</v>
      </c>
      <c r="DJ419">
        <v>0.1</v>
      </c>
      <c r="DK419">
        <v>0.1</v>
      </c>
      <c r="DL419">
        <v>0.1</v>
      </c>
      <c r="DM419">
        <v>0.1</v>
      </c>
      <c r="DN419">
        <v>0.1</v>
      </c>
      <c r="DO419">
        <v>0.1</v>
      </c>
      <c r="DP419">
        <v>0.1</v>
      </c>
      <c r="DQ419">
        <v>0.1</v>
      </c>
      <c r="DR419">
        <v>0.1</v>
      </c>
      <c r="DS419">
        <v>0.1</v>
      </c>
      <c r="DT419">
        <v>0.1</v>
      </c>
      <c r="DU419">
        <v>0.1</v>
      </c>
      <c r="DV419">
        <v>0.1</v>
      </c>
      <c r="DW419">
        <v>0.1</v>
      </c>
      <c r="DX419">
        <v>0.1</v>
      </c>
      <c r="DY419">
        <v>0.1</v>
      </c>
      <c r="DZ419">
        <v>0.1</v>
      </c>
      <c r="EA419">
        <v>0.1</v>
      </c>
      <c r="EB419">
        <v>0.1</v>
      </c>
      <c r="EC419">
        <v>0.1</v>
      </c>
      <c r="ED419">
        <v>0.1</v>
      </c>
      <c r="EE419">
        <v>0.1</v>
      </c>
      <c r="EF419">
        <v>0.1</v>
      </c>
    </row>
    <row r="420" spans="71:136" x14ac:dyDescent="0.25">
      <c r="BS420">
        <v>417</v>
      </c>
      <c r="BU420" s="2"/>
      <c r="BV420" s="2"/>
      <c r="BW420" s="2"/>
      <c r="BX420" s="2"/>
      <c r="BY420">
        <v>0.1</v>
      </c>
      <c r="BZ420">
        <v>0.1</v>
      </c>
      <c r="CA420">
        <v>0.1</v>
      </c>
      <c r="CB420">
        <v>0.1</v>
      </c>
      <c r="CC420">
        <v>0.1</v>
      </c>
      <c r="CD420">
        <v>0.1</v>
      </c>
      <c r="CE420">
        <v>0.1</v>
      </c>
      <c r="CF420">
        <v>0.1</v>
      </c>
      <c r="CG420">
        <v>0.1</v>
      </c>
      <c r="CH420">
        <v>0.1</v>
      </c>
      <c r="CI420">
        <v>0.1</v>
      </c>
      <c r="CJ420">
        <v>0.1</v>
      </c>
      <c r="CK420">
        <v>0.1</v>
      </c>
      <c r="CL420">
        <v>0.1</v>
      </c>
      <c r="CM420">
        <v>0.1</v>
      </c>
      <c r="CN420">
        <v>0.1</v>
      </c>
      <c r="CO420">
        <v>0.1</v>
      </c>
      <c r="CP420">
        <v>0.1</v>
      </c>
      <c r="CQ420">
        <v>0.1</v>
      </c>
      <c r="CR420">
        <v>0.1</v>
      </c>
      <c r="CS420">
        <v>0.1</v>
      </c>
      <c r="CT420">
        <v>0.1</v>
      </c>
      <c r="CU420">
        <v>0.1</v>
      </c>
      <c r="CV420">
        <v>0.1</v>
      </c>
      <c r="CW420">
        <v>0.1</v>
      </c>
      <c r="CX420">
        <v>0.1</v>
      </c>
      <c r="CY420">
        <v>0.1</v>
      </c>
      <c r="CZ420">
        <v>0.1</v>
      </c>
      <c r="DA420">
        <v>0.1</v>
      </c>
      <c r="DB420">
        <v>0.1</v>
      </c>
      <c r="DC420">
        <v>0.1</v>
      </c>
      <c r="DD420">
        <v>0.1</v>
      </c>
      <c r="DE420">
        <v>0.1</v>
      </c>
      <c r="DF420">
        <v>0.1</v>
      </c>
      <c r="DG420">
        <v>0.1</v>
      </c>
      <c r="DH420">
        <v>0.1</v>
      </c>
      <c r="DI420">
        <v>0.1</v>
      </c>
      <c r="DJ420">
        <v>0.1</v>
      </c>
      <c r="DK420">
        <v>0.1</v>
      </c>
      <c r="DL420">
        <v>0.1</v>
      </c>
      <c r="DM420">
        <v>0.1</v>
      </c>
      <c r="DN420">
        <v>0.1</v>
      </c>
      <c r="DO420">
        <v>0.1</v>
      </c>
      <c r="DP420">
        <v>0.1</v>
      </c>
      <c r="DQ420">
        <v>0.1</v>
      </c>
      <c r="DR420">
        <v>0.1</v>
      </c>
      <c r="DS420">
        <v>0.1</v>
      </c>
      <c r="DT420">
        <v>0.1</v>
      </c>
      <c r="DU420">
        <v>0.1</v>
      </c>
      <c r="DV420">
        <v>0.1</v>
      </c>
      <c r="DW420">
        <v>0.1</v>
      </c>
      <c r="DX420">
        <v>0.1</v>
      </c>
      <c r="DY420">
        <v>0.1</v>
      </c>
      <c r="DZ420">
        <v>0.1</v>
      </c>
      <c r="EA420">
        <v>0.1</v>
      </c>
      <c r="EB420">
        <v>0.1</v>
      </c>
      <c r="EC420">
        <v>0.1</v>
      </c>
      <c r="ED420">
        <v>0.1</v>
      </c>
      <c r="EE420">
        <v>0.1</v>
      </c>
      <c r="EF420">
        <v>0.1</v>
      </c>
    </row>
    <row r="421" spans="71:136" x14ac:dyDescent="0.25">
      <c r="BS421">
        <v>418</v>
      </c>
      <c r="BU421" s="2"/>
      <c r="BV421" s="2"/>
      <c r="BW421" s="2"/>
      <c r="BX421" s="2"/>
      <c r="BY421">
        <v>0.1</v>
      </c>
      <c r="BZ421">
        <v>0.1</v>
      </c>
      <c r="CA421">
        <v>0.1</v>
      </c>
      <c r="CB421">
        <v>0.1</v>
      </c>
      <c r="CC421">
        <v>0.1</v>
      </c>
      <c r="CD421">
        <v>0.1</v>
      </c>
      <c r="CE421">
        <v>0.1</v>
      </c>
      <c r="CF421">
        <v>0.1</v>
      </c>
      <c r="CG421">
        <v>0.1</v>
      </c>
      <c r="CH421">
        <v>0.1</v>
      </c>
      <c r="CI421">
        <v>0.1</v>
      </c>
      <c r="CJ421">
        <v>0.1</v>
      </c>
      <c r="CK421">
        <v>0.1</v>
      </c>
      <c r="CL421">
        <v>0.1</v>
      </c>
      <c r="CM421">
        <v>0.1</v>
      </c>
      <c r="CN421">
        <v>0.1</v>
      </c>
      <c r="CO421">
        <v>0.1</v>
      </c>
      <c r="CP421">
        <v>0.1</v>
      </c>
      <c r="CQ421">
        <v>0.1</v>
      </c>
      <c r="CR421">
        <v>0.1</v>
      </c>
      <c r="CS421">
        <v>0.1</v>
      </c>
      <c r="CT421">
        <v>0.1</v>
      </c>
      <c r="CU421">
        <v>0.1</v>
      </c>
      <c r="CV421">
        <v>0.1</v>
      </c>
      <c r="CW421">
        <v>0.1</v>
      </c>
      <c r="CX421">
        <v>0.1</v>
      </c>
      <c r="CY421">
        <v>0.1</v>
      </c>
      <c r="CZ421">
        <v>0.1</v>
      </c>
      <c r="DA421">
        <v>0.1</v>
      </c>
      <c r="DB421">
        <v>0.1</v>
      </c>
      <c r="DC421">
        <v>0.1</v>
      </c>
      <c r="DD421">
        <v>0.1</v>
      </c>
      <c r="DE421">
        <v>0.1</v>
      </c>
      <c r="DF421">
        <v>0.1</v>
      </c>
      <c r="DG421">
        <v>0.1</v>
      </c>
      <c r="DH421">
        <v>0.1</v>
      </c>
      <c r="DI421">
        <v>0.1</v>
      </c>
      <c r="DJ421">
        <v>0.1</v>
      </c>
      <c r="DK421">
        <v>0.1</v>
      </c>
      <c r="DL421">
        <v>0.1</v>
      </c>
      <c r="DM421">
        <v>0.1</v>
      </c>
      <c r="DN421">
        <v>0.1</v>
      </c>
      <c r="DO421">
        <v>0.1</v>
      </c>
      <c r="DP421">
        <v>0.1</v>
      </c>
      <c r="DQ421">
        <v>0.1</v>
      </c>
      <c r="DR421">
        <v>0.1</v>
      </c>
      <c r="DS421">
        <v>0.1</v>
      </c>
      <c r="DT421">
        <v>0.1</v>
      </c>
      <c r="DU421">
        <v>0.1</v>
      </c>
      <c r="DV421">
        <v>0.1</v>
      </c>
      <c r="DW421">
        <v>0.1</v>
      </c>
      <c r="DX421">
        <v>0.1</v>
      </c>
      <c r="DY421">
        <v>0.1</v>
      </c>
      <c r="DZ421">
        <v>0.1</v>
      </c>
      <c r="EA421">
        <v>0.1</v>
      </c>
      <c r="EB421">
        <v>0.1</v>
      </c>
      <c r="EC421">
        <v>0.1</v>
      </c>
      <c r="ED421">
        <v>0.1</v>
      </c>
      <c r="EE421">
        <v>0.1</v>
      </c>
      <c r="EF421">
        <v>0.1</v>
      </c>
    </row>
    <row r="422" spans="71:136" x14ac:dyDescent="0.25">
      <c r="BS422">
        <v>419</v>
      </c>
      <c r="BU422" s="2"/>
      <c r="BV422" s="2"/>
      <c r="BW422" s="2"/>
      <c r="BX422" s="2"/>
      <c r="BY422">
        <v>0.1</v>
      </c>
      <c r="BZ422">
        <v>0.1</v>
      </c>
      <c r="CA422">
        <v>0.1</v>
      </c>
      <c r="CB422">
        <v>0.1</v>
      </c>
      <c r="CC422">
        <v>0.1</v>
      </c>
      <c r="CD422">
        <v>0.1</v>
      </c>
      <c r="CE422">
        <v>0.1</v>
      </c>
      <c r="CF422">
        <v>0.1</v>
      </c>
      <c r="CG422">
        <v>0.1</v>
      </c>
      <c r="CH422">
        <v>0.1</v>
      </c>
      <c r="CI422">
        <v>0.1</v>
      </c>
      <c r="CJ422">
        <v>0.1</v>
      </c>
      <c r="CK422">
        <v>0.1</v>
      </c>
      <c r="CL422">
        <v>0.1</v>
      </c>
      <c r="CM422">
        <v>0.1</v>
      </c>
      <c r="CN422">
        <v>0.1</v>
      </c>
      <c r="CO422">
        <v>0.1</v>
      </c>
      <c r="CP422">
        <v>0.1</v>
      </c>
      <c r="CQ422">
        <v>0.1</v>
      </c>
      <c r="CR422">
        <v>0.1</v>
      </c>
      <c r="CS422">
        <v>0.1</v>
      </c>
      <c r="CT422">
        <v>0.1</v>
      </c>
      <c r="CU422">
        <v>0.1</v>
      </c>
      <c r="CV422">
        <v>0.1</v>
      </c>
      <c r="CW422">
        <v>0.1</v>
      </c>
      <c r="CX422">
        <v>0.1</v>
      </c>
      <c r="CY422">
        <v>0.1</v>
      </c>
      <c r="CZ422">
        <v>0.1</v>
      </c>
      <c r="DA422">
        <v>0.1</v>
      </c>
      <c r="DB422">
        <v>0.1</v>
      </c>
      <c r="DC422">
        <v>0.1</v>
      </c>
      <c r="DD422">
        <v>0.1</v>
      </c>
      <c r="DE422">
        <v>0.1</v>
      </c>
      <c r="DF422">
        <v>0.1</v>
      </c>
      <c r="DG422">
        <v>0.1</v>
      </c>
      <c r="DH422">
        <v>0.1</v>
      </c>
      <c r="DI422">
        <v>0.1</v>
      </c>
      <c r="DJ422">
        <v>0.1</v>
      </c>
      <c r="DK422">
        <v>0.1</v>
      </c>
      <c r="DL422">
        <v>0.1</v>
      </c>
      <c r="DM422">
        <v>0.1</v>
      </c>
      <c r="DN422">
        <v>0.1</v>
      </c>
      <c r="DO422">
        <v>0.1</v>
      </c>
      <c r="DP422">
        <v>0.1</v>
      </c>
      <c r="DQ422">
        <v>0.1</v>
      </c>
      <c r="DR422">
        <v>0.1</v>
      </c>
      <c r="DS422">
        <v>0.1</v>
      </c>
      <c r="DT422">
        <v>0.1</v>
      </c>
      <c r="DU422">
        <v>0.1</v>
      </c>
      <c r="DV422">
        <v>0.1</v>
      </c>
      <c r="DW422">
        <v>0.1</v>
      </c>
      <c r="DX422">
        <v>0.1</v>
      </c>
      <c r="DY422">
        <v>0.1</v>
      </c>
      <c r="DZ422">
        <v>0.1</v>
      </c>
      <c r="EA422">
        <v>0.1</v>
      </c>
      <c r="EB422">
        <v>0.1</v>
      </c>
      <c r="EC422">
        <v>0.1</v>
      </c>
      <c r="ED422">
        <v>0.1</v>
      </c>
      <c r="EE422">
        <v>0.1</v>
      </c>
      <c r="EF422">
        <v>0.1</v>
      </c>
    </row>
    <row r="423" spans="71:136" x14ac:dyDescent="0.25">
      <c r="BS423">
        <v>420</v>
      </c>
      <c r="BU423" s="2"/>
      <c r="BV423" s="2"/>
      <c r="BW423" s="2"/>
      <c r="BX423" s="2"/>
      <c r="BY423">
        <v>0.1</v>
      </c>
      <c r="BZ423">
        <v>0.1</v>
      </c>
      <c r="CA423">
        <v>0.1</v>
      </c>
      <c r="CB423">
        <v>0.1</v>
      </c>
      <c r="CC423">
        <v>0.1</v>
      </c>
      <c r="CD423">
        <v>0.1</v>
      </c>
      <c r="CE423">
        <v>0.1</v>
      </c>
      <c r="CF423">
        <v>0.1</v>
      </c>
      <c r="CG423">
        <v>0.1</v>
      </c>
      <c r="CH423">
        <v>0.1</v>
      </c>
      <c r="CI423">
        <v>0.1</v>
      </c>
      <c r="CJ423">
        <v>0.1</v>
      </c>
      <c r="CK423">
        <v>0.1</v>
      </c>
      <c r="CL423">
        <v>0.1</v>
      </c>
      <c r="CM423">
        <v>0.1</v>
      </c>
      <c r="CN423">
        <v>0.1</v>
      </c>
      <c r="CO423">
        <v>0.1</v>
      </c>
      <c r="CP423">
        <v>0.1</v>
      </c>
      <c r="CQ423">
        <v>0.1</v>
      </c>
      <c r="CR423">
        <v>0.1</v>
      </c>
      <c r="CS423">
        <v>0.1</v>
      </c>
      <c r="CT423">
        <v>0.1</v>
      </c>
      <c r="CU423">
        <v>0.1</v>
      </c>
      <c r="CV423">
        <v>0.1</v>
      </c>
      <c r="CW423">
        <v>0.1</v>
      </c>
      <c r="CX423">
        <v>0.1</v>
      </c>
      <c r="CY423">
        <v>0.1</v>
      </c>
      <c r="CZ423">
        <v>0.1</v>
      </c>
      <c r="DA423">
        <v>0.1</v>
      </c>
      <c r="DB423">
        <v>0.1</v>
      </c>
      <c r="DC423">
        <v>0.1</v>
      </c>
      <c r="DD423">
        <v>0.1</v>
      </c>
      <c r="DE423">
        <v>0.1</v>
      </c>
      <c r="DF423">
        <v>0.1</v>
      </c>
      <c r="DG423">
        <v>0.1</v>
      </c>
      <c r="DH423">
        <v>0.1</v>
      </c>
      <c r="DI423">
        <v>0.1</v>
      </c>
      <c r="DJ423">
        <v>0.1</v>
      </c>
      <c r="DK423">
        <v>0.1</v>
      </c>
      <c r="DL423">
        <v>0.1</v>
      </c>
      <c r="DM423">
        <v>0.1</v>
      </c>
      <c r="DN423">
        <v>0.1</v>
      </c>
      <c r="DO423">
        <v>0.1</v>
      </c>
      <c r="DP423">
        <v>0.1</v>
      </c>
      <c r="DQ423">
        <v>0.1</v>
      </c>
      <c r="DR423">
        <v>0.1</v>
      </c>
      <c r="DS423">
        <v>0.1</v>
      </c>
      <c r="DT423">
        <v>0.1</v>
      </c>
      <c r="DU423">
        <v>0.1</v>
      </c>
      <c r="DV423">
        <v>0.1</v>
      </c>
      <c r="DW423">
        <v>0.1</v>
      </c>
      <c r="DX423">
        <v>0.1</v>
      </c>
      <c r="DY423">
        <v>0.1</v>
      </c>
      <c r="DZ423">
        <v>0.1</v>
      </c>
      <c r="EA423">
        <v>0.1</v>
      </c>
      <c r="EB423">
        <v>0.1</v>
      </c>
      <c r="EC423">
        <v>0.1</v>
      </c>
      <c r="ED423">
        <v>0.1</v>
      </c>
      <c r="EE423">
        <v>0.1</v>
      </c>
      <c r="EF423">
        <v>0.1</v>
      </c>
    </row>
    <row r="424" spans="71:136" x14ac:dyDescent="0.25">
      <c r="BS424">
        <v>421</v>
      </c>
      <c r="BU424" s="2"/>
      <c r="BV424" s="2"/>
      <c r="BW424" s="2"/>
      <c r="BX424" s="2"/>
      <c r="BY424">
        <v>0.1</v>
      </c>
      <c r="BZ424">
        <v>0.1</v>
      </c>
      <c r="CA424">
        <v>0.1</v>
      </c>
      <c r="CB424">
        <v>0.1</v>
      </c>
      <c r="CC424">
        <v>0.1</v>
      </c>
      <c r="CD424">
        <v>0.1</v>
      </c>
      <c r="CE424">
        <v>0.1</v>
      </c>
      <c r="CF424">
        <v>0.1</v>
      </c>
      <c r="CG424">
        <v>0.1</v>
      </c>
      <c r="CH424">
        <v>0.1</v>
      </c>
      <c r="CI424">
        <v>0.1</v>
      </c>
      <c r="CJ424">
        <v>0.1</v>
      </c>
      <c r="CK424">
        <v>0.1</v>
      </c>
      <c r="CL424">
        <v>0.1</v>
      </c>
      <c r="CM424">
        <v>0.1</v>
      </c>
      <c r="CN424">
        <v>0.1</v>
      </c>
      <c r="CO424">
        <v>0.1</v>
      </c>
      <c r="CP424">
        <v>0.1</v>
      </c>
      <c r="CQ424">
        <v>0.1</v>
      </c>
      <c r="CR424">
        <v>0.1</v>
      </c>
      <c r="CS424">
        <v>0.1</v>
      </c>
      <c r="CT424">
        <v>0.1</v>
      </c>
      <c r="CU424">
        <v>0.1</v>
      </c>
      <c r="CV424">
        <v>0.1</v>
      </c>
      <c r="CW424">
        <v>0.1</v>
      </c>
      <c r="CX424">
        <v>0.1</v>
      </c>
      <c r="CY424">
        <v>0.1</v>
      </c>
      <c r="CZ424">
        <v>0.1</v>
      </c>
      <c r="DA424">
        <v>0.1</v>
      </c>
      <c r="DB424">
        <v>0.1</v>
      </c>
      <c r="DC424">
        <v>0.1</v>
      </c>
      <c r="DD424">
        <v>0.1</v>
      </c>
      <c r="DE424">
        <v>0.1</v>
      </c>
      <c r="DF424">
        <v>0.1</v>
      </c>
      <c r="DG424">
        <v>0.1</v>
      </c>
      <c r="DH424">
        <v>0.1</v>
      </c>
      <c r="DI424">
        <v>0.1</v>
      </c>
      <c r="DJ424">
        <v>0.1</v>
      </c>
      <c r="DK424">
        <v>0.1</v>
      </c>
      <c r="DL424">
        <v>0.1</v>
      </c>
      <c r="DM424">
        <v>0.1</v>
      </c>
      <c r="DN424">
        <v>0.1</v>
      </c>
      <c r="DO424">
        <v>0.1</v>
      </c>
      <c r="DP424">
        <v>0.1</v>
      </c>
      <c r="DQ424">
        <v>0.1</v>
      </c>
      <c r="DR424">
        <v>0.1</v>
      </c>
      <c r="DS424">
        <v>0.1</v>
      </c>
      <c r="DT424">
        <v>0.1</v>
      </c>
      <c r="DU424">
        <v>0.1</v>
      </c>
      <c r="DV424">
        <v>0.1</v>
      </c>
      <c r="DW424">
        <v>0.1</v>
      </c>
      <c r="DX424">
        <v>0.1</v>
      </c>
      <c r="DY424">
        <v>0.1</v>
      </c>
      <c r="DZ424">
        <v>0.1</v>
      </c>
      <c r="EA424">
        <v>0.1</v>
      </c>
      <c r="EB424">
        <v>0.1</v>
      </c>
      <c r="EC424">
        <v>0.1</v>
      </c>
      <c r="ED424">
        <v>0.1</v>
      </c>
      <c r="EE424">
        <v>0.1</v>
      </c>
      <c r="EF424">
        <v>0.1</v>
      </c>
    </row>
    <row r="425" spans="71:136" x14ac:dyDescent="0.25">
      <c r="BS425">
        <v>422</v>
      </c>
      <c r="BU425" s="2"/>
      <c r="BV425" s="2"/>
      <c r="BW425" s="2"/>
      <c r="BX425" s="2"/>
      <c r="BY425">
        <v>0.1</v>
      </c>
      <c r="BZ425">
        <v>0.1</v>
      </c>
      <c r="CA425">
        <v>0.1</v>
      </c>
      <c r="CB425">
        <v>0.1</v>
      </c>
      <c r="CC425">
        <v>0.1</v>
      </c>
      <c r="CD425">
        <v>0.1</v>
      </c>
      <c r="CE425">
        <v>0.1</v>
      </c>
      <c r="CF425">
        <v>0.1</v>
      </c>
      <c r="CG425">
        <v>0.1</v>
      </c>
      <c r="CH425">
        <v>0.1</v>
      </c>
      <c r="CI425">
        <v>0.1</v>
      </c>
      <c r="CJ425">
        <v>0.1</v>
      </c>
      <c r="CK425">
        <v>0.1</v>
      </c>
      <c r="CL425">
        <v>0.1</v>
      </c>
      <c r="CM425">
        <v>0.1</v>
      </c>
      <c r="CN425">
        <v>0.1</v>
      </c>
      <c r="CO425">
        <v>0.1</v>
      </c>
      <c r="CP425">
        <v>0.1</v>
      </c>
      <c r="CQ425">
        <v>0.1</v>
      </c>
      <c r="CR425">
        <v>0.1</v>
      </c>
      <c r="CS425">
        <v>0.1</v>
      </c>
      <c r="CT425">
        <v>0.1</v>
      </c>
      <c r="CU425">
        <v>0.1</v>
      </c>
      <c r="CV425">
        <v>0.1</v>
      </c>
      <c r="CW425">
        <v>0.1</v>
      </c>
      <c r="CX425">
        <v>0.1</v>
      </c>
      <c r="CY425">
        <v>0.1</v>
      </c>
      <c r="CZ425">
        <v>0.1</v>
      </c>
      <c r="DA425">
        <v>0.1</v>
      </c>
      <c r="DB425">
        <v>0.1</v>
      </c>
      <c r="DC425">
        <v>0.1</v>
      </c>
      <c r="DD425">
        <v>0.1</v>
      </c>
      <c r="DE425">
        <v>0.1</v>
      </c>
      <c r="DF425">
        <v>0.1</v>
      </c>
      <c r="DG425">
        <v>0.1</v>
      </c>
      <c r="DH425">
        <v>0.1</v>
      </c>
      <c r="DI425">
        <v>0.1</v>
      </c>
      <c r="DJ425">
        <v>0.1</v>
      </c>
      <c r="DK425">
        <v>0.1</v>
      </c>
      <c r="DL425">
        <v>0.1</v>
      </c>
      <c r="DM425">
        <v>0.1</v>
      </c>
      <c r="DN425">
        <v>0.1</v>
      </c>
      <c r="DO425">
        <v>0.1</v>
      </c>
      <c r="DP425">
        <v>0.1</v>
      </c>
      <c r="DQ425">
        <v>0.1</v>
      </c>
      <c r="DR425">
        <v>0.1</v>
      </c>
      <c r="DS425">
        <v>0.1</v>
      </c>
      <c r="DT425">
        <v>0.1</v>
      </c>
      <c r="DU425">
        <v>0.1</v>
      </c>
      <c r="DV425">
        <v>0.1</v>
      </c>
      <c r="DW425">
        <v>0.1</v>
      </c>
      <c r="DX425">
        <v>0.1</v>
      </c>
      <c r="DY425">
        <v>0.1</v>
      </c>
      <c r="DZ425">
        <v>0.1</v>
      </c>
      <c r="EA425">
        <v>0.1</v>
      </c>
      <c r="EB425">
        <v>0.1</v>
      </c>
      <c r="EC425">
        <v>0.1</v>
      </c>
      <c r="ED425">
        <v>0.1</v>
      </c>
      <c r="EE425">
        <v>0.1</v>
      </c>
      <c r="EF425">
        <v>0.1</v>
      </c>
    </row>
    <row r="426" spans="71:136" x14ac:dyDescent="0.25">
      <c r="BS426">
        <v>423</v>
      </c>
      <c r="BU426" s="2"/>
      <c r="BV426" s="2"/>
      <c r="BW426" s="2"/>
      <c r="BX426" s="2"/>
      <c r="BY426">
        <v>0.1</v>
      </c>
      <c r="BZ426">
        <v>0.1</v>
      </c>
      <c r="CA426">
        <v>0.1</v>
      </c>
      <c r="CB426">
        <v>0.1</v>
      </c>
      <c r="CC426">
        <v>0.1</v>
      </c>
      <c r="CD426">
        <v>0.1</v>
      </c>
      <c r="CE426">
        <v>0.1</v>
      </c>
      <c r="CF426">
        <v>0.1</v>
      </c>
      <c r="CG426">
        <v>0.1</v>
      </c>
      <c r="CH426">
        <v>0.1</v>
      </c>
      <c r="CI426">
        <v>0.1</v>
      </c>
      <c r="CJ426">
        <v>0.1</v>
      </c>
      <c r="CK426">
        <v>0.1</v>
      </c>
      <c r="CL426">
        <v>0.1</v>
      </c>
      <c r="CM426">
        <v>0.1</v>
      </c>
      <c r="CN426">
        <v>0.1</v>
      </c>
      <c r="CO426">
        <v>0.1</v>
      </c>
      <c r="CP426">
        <v>0.1</v>
      </c>
      <c r="CQ426">
        <v>0.1</v>
      </c>
      <c r="CR426">
        <v>0.1</v>
      </c>
      <c r="CS426">
        <v>0.1</v>
      </c>
      <c r="CT426">
        <v>0.1</v>
      </c>
      <c r="CU426">
        <v>0.1</v>
      </c>
      <c r="CV426">
        <v>0.1</v>
      </c>
      <c r="CW426">
        <v>0.1</v>
      </c>
      <c r="CX426">
        <v>0.1</v>
      </c>
      <c r="CY426">
        <v>0.1</v>
      </c>
      <c r="CZ426">
        <v>0.1</v>
      </c>
      <c r="DA426">
        <v>0.1</v>
      </c>
      <c r="DB426">
        <v>0.1</v>
      </c>
      <c r="DC426">
        <v>0.1</v>
      </c>
      <c r="DD426">
        <v>0.1</v>
      </c>
      <c r="DE426">
        <v>0.1</v>
      </c>
      <c r="DF426">
        <v>0.1</v>
      </c>
      <c r="DG426">
        <v>0.1</v>
      </c>
      <c r="DH426">
        <v>0.1</v>
      </c>
      <c r="DI426">
        <v>0.1</v>
      </c>
      <c r="DJ426">
        <v>0.1</v>
      </c>
      <c r="DK426">
        <v>0.1</v>
      </c>
      <c r="DL426">
        <v>0.1</v>
      </c>
      <c r="DM426">
        <v>0.1</v>
      </c>
      <c r="DN426">
        <v>0.1</v>
      </c>
      <c r="DO426">
        <v>0.1</v>
      </c>
      <c r="DP426">
        <v>0.1</v>
      </c>
      <c r="DQ426">
        <v>0.1</v>
      </c>
      <c r="DR426">
        <v>0.1</v>
      </c>
      <c r="DS426">
        <v>0.1</v>
      </c>
      <c r="DT426">
        <v>0.1</v>
      </c>
      <c r="DU426">
        <v>0.1</v>
      </c>
      <c r="DV426">
        <v>0.1</v>
      </c>
      <c r="DW426">
        <v>0.1</v>
      </c>
      <c r="DX426">
        <v>0.1</v>
      </c>
      <c r="DY426">
        <v>0.1</v>
      </c>
      <c r="DZ426">
        <v>0.1</v>
      </c>
      <c r="EA426">
        <v>0.1</v>
      </c>
      <c r="EB426">
        <v>0.1</v>
      </c>
      <c r="EC426">
        <v>0.1</v>
      </c>
      <c r="ED426">
        <v>0.1</v>
      </c>
      <c r="EE426">
        <v>0.1</v>
      </c>
      <c r="EF426">
        <v>0.1</v>
      </c>
    </row>
    <row r="427" spans="71:136" x14ac:dyDescent="0.25">
      <c r="BS427">
        <v>424</v>
      </c>
      <c r="BU427" s="2"/>
      <c r="BV427" s="2"/>
      <c r="BW427" s="2"/>
      <c r="BX427" s="2"/>
      <c r="BY427">
        <v>0.1</v>
      </c>
      <c r="BZ427">
        <v>0.1</v>
      </c>
      <c r="CA427">
        <v>0.1</v>
      </c>
      <c r="CB427">
        <v>0.1</v>
      </c>
      <c r="CC427">
        <v>0.1</v>
      </c>
      <c r="CD427">
        <v>0.1</v>
      </c>
      <c r="CE427">
        <v>0.1</v>
      </c>
      <c r="CF427">
        <v>0.1</v>
      </c>
      <c r="CG427">
        <v>0.1</v>
      </c>
      <c r="CH427">
        <v>0.1</v>
      </c>
      <c r="CI427">
        <v>0.1</v>
      </c>
      <c r="CJ427">
        <v>0.1</v>
      </c>
      <c r="CK427">
        <v>0.1</v>
      </c>
      <c r="CL427">
        <v>0.1</v>
      </c>
      <c r="CM427">
        <v>0.1</v>
      </c>
      <c r="CN427">
        <v>0.1</v>
      </c>
      <c r="CO427">
        <v>0.1</v>
      </c>
      <c r="CP427">
        <v>0.1</v>
      </c>
      <c r="CQ427">
        <v>0.1</v>
      </c>
      <c r="CR427">
        <v>0.1</v>
      </c>
      <c r="CS427">
        <v>0.1</v>
      </c>
      <c r="CT427">
        <v>0.1</v>
      </c>
      <c r="CU427">
        <v>0.1</v>
      </c>
      <c r="CV427">
        <v>0.1</v>
      </c>
      <c r="CW427">
        <v>0.1</v>
      </c>
      <c r="CX427">
        <v>0.1</v>
      </c>
      <c r="CY427">
        <v>0.1</v>
      </c>
      <c r="CZ427">
        <v>0.1</v>
      </c>
      <c r="DA427">
        <v>0.1</v>
      </c>
      <c r="DB427">
        <v>0.1</v>
      </c>
      <c r="DC427">
        <v>0.1</v>
      </c>
      <c r="DD427">
        <v>0.1</v>
      </c>
      <c r="DE427">
        <v>0.1</v>
      </c>
      <c r="DF427">
        <v>0.1</v>
      </c>
      <c r="DG427">
        <v>0.1</v>
      </c>
      <c r="DH427">
        <v>0.1</v>
      </c>
      <c r="DI427">
        <v>0.1</v>
      </c>
      <c r="DJ427">
        <v>0.1</v>
      </c>
      <c r="DK427">
        <v>0.1</v>
      </c>
      <c r="DL427">
        <v>0.1</v>
      </c>
      <c r="DM427">
        <v>0.1</v>
      </c>
      <c r="DN427">
        <v>0.1</v>
      </c>
      <c r="DO427">
        <v>0.1</v>
      </c>
      <c r="DP427">
        <v>0.1</v>
      </c>
      <c r="DQ427">
        <v>0.1</v>
      </c>
      <c r="DR427">
        <v>0.1</v>
      </c>
      <c r="DS427">
        <v>0.1</v>
      </c>
      <c r="DT427">
        <v>0.1</v>
      </c>
      <c r="DU427">
        <v>0.1</v>
      </c>
      <c r="DV427">
        <v>0.1</v>
      </c>
      <c r="DW427">
        <v>0.1</v>
      </c>
      <c r="DX427">
        <v>0.1</v>
      </c>
      <c r="DY427">
        <v>0.1</v>
      </c>
      <c r="DZ427">
        <v>0.1</v>
      </c>
      <c r="EA427">
        <v>0.1</v>
      </c>
      <c r="EB427">
        <v>0.1</v>
      </c>
      <c r="EC427">
        <v>0.1</v>
      </c>
      <c r="ED427">
        <v>0.1</v>
      </c>
      <c r="EE427">
        <v>0.1</v>
      </c>
      <c r="EF427">
        <v>0.1</v>
      </c>
    </row>
    <row r="428" spans="71:136" x14ac:dyDescent="0.25">
      <c r="BS428">
        <v>425</v>
      </c>
      <c r="BU428" s="2"/>
      <c r="BV428" s="2"/>
      <c r="BW428" s="2"/>
      <c r="BX428" s="2"/>
      <c r="BY428">
        <v>0.1</v>
      </c>
      <c r="BZ428">
        <v>0.1</v>
      </c>
      <c r="CA428">
        <v>0.1</v>
      </c>
      <c r="CB428">
        <v>0.1</v>
      </c>
      <c r="CC428">
        <v>0.1</v>
      </c>
      <c r="CD428">
        <v>0.1</v>
      </c>
      <c r="CE428">
        <v>0.1</v>
      </c>
      <c r="CF428">
        <v>0.1</v>
      </c>
      <c r="CG428">
        <v>0.1</v>
      </c>
      <c r="CH428">
        <v>0.1</v>
      </c>
      <c r="CI428">
        <v>0.1</v>
      </c>
      <c r="CJ428">
        <v>0.1</v>
      </c>
      <c r="CK428">
        <v>0.1</v>
      </c>
      <c r="CL428">
        <v>0.1</v>
      </c>
      <c r="CM428">
        <v>0.1</v>
      </c>
      <c r="CN428">
        <v>0.1</v>
      </c>
      <c r="CO428">
        <v>0.1</v>
      </c>
      <c r="CP428">
        <v>0.1</v>
      </c>
      <c r="CQ428">
        <v>0.1</v>
      </c>
      <c r="CR428">
        <v>0.1</v>
      </c>
      <c r="CS428">
        <v>0.1</v>
      </c>
      <c r="CT428">
        <v>0.1</v>
      </c>
      <c r="CU428">
        <v>0.1</v>
      </c>
      <c r="CV428">
        <v>0.1</v>
      </c>
      <c r="CW428">
        <v>0.1</v>
      </c>
      <c r="CX428">
        <v>0.1</v>
      </c>
      <c r="CY428">
        <v>0.1</v>
      </c>
      <c r="CZ428">
        <v>0.1</v>
      </c>
      <c r="DA428">
        <v>0.1</v>
      </c>
      <c r="DB428">
        <v>0.1</v>
      </c>
      <c r="DC428">
        <v>0.1</v>
      </c>
      <c r="DD428">
        <v>0.1</v>
      </c>
      <c r="DE428">
        <v>0.1</v>
      </c>
      <c r="DF428">
        <v>0.1</v>
      </c>
      <c r="DG428">
        <v>0.1</v>
      </c>
      <c r="DH428">
        <v>0.1</v>
      </c>
      <c r="DI428">
        <v>0.1</v>
      </c>
      <c r="DJ428">
        <v>0.1</v>
      </c>
      <c r="DK428">
        <v>0.1</v>
      </c>
      <c r="DL428">
        <v>0.1</v>
      </c>
      <c r="DM428">
        <v>0.1</v>
      </c>
      <c r="DN428">
        <v>0.1</v>
      </c>
      <c r="DO428">
        <v>0.1</v>
      </c>
      <c r="DP428">
        <v>0.1</v>
      </c>
      <c r="DQ428">
        <v>0.1</v>
      </c>
      <c r="DR428">
        <v>0.1</v>
      </c>
      <c r="DS428">
        <v>0.1</v>
      </c>
      <c r="DT428">
        <v>0.1</v>
      </c>
      <c r="DU428">
        <v>0.1</v>
      </c>
      <c r="DV428">
        <v>0.1</v>
      </c>
      <c r="DW428">
        <v>0.1</v>
      </c>
      <c r="DX428">
        <v>0.1</v>
      </c>
      <c r="DY428">
        <v>0.1</v>
      </c>
      <c r="DZ428">
        <v>0.1</v>
      </c>
      <c r="EA428">
        <v>0.1</v>
      </c>
      <c r="EB428">
        <v>0.1</v>
      </c>
      <c r="EC428">
        <v>0.1</v>
      </c>
      <c r="ED428">
        <v>0.1</v>
      </c>
      <c r="EE428">
        <v>0.1</v>
      </c>
      <c r="EF428">
        <v>0.1</v>
      </c>
    </row>
    <row r="429" spans="71:136" x14ac:dyDescent="0.25">
      <c r="BS429">
        <v>426</v>
      </c>
      <c r="BU429" s="2"/>
      <c r="BV429" s="2"/>
      <c r="BW429" s="2"/>
      <c r="BX429" s="2"/>
      <c r="BY429">
        <v>0.1</v>
      </c>
      <c r="BZ429">
        <v>0.1</v>
      </c>
      <c r="CA429">
        <v>0.1</v>
      </c>
      <c r="CB429">
        <v>0.1</v>
      </c>
      <c r="CC429">
        <v>0.1</v>
      </c>
      <c r="CD429">
        <v>0.1</v>
      </c>
      <c r="CE429">
        <v>0.1</v>
      </c>
      <c r="CF429">
        <v>0.1</v>
      </c>
      <c r="CG429">
        <v>0.1</v>
      </c>
      <c r="CH429">
        <v>0.1</v>
      </c>
      <c r="CI429">
        <v>0.1</v>
      </c>
      <c r="CJ429">
        <v>0.1</v>
      </c>
      <c r="CK429">
        <v>0.1</v>
      </c>
      <c r="CL429">
        <v>0.1</v>
      </c>
      <c r="CM429">
        <v>0.1</v>
      </c>
      <c r="CN429">
        <v>0.1</v>
      </c>
      <c r="CO429">
        <v>0.1</v>
      </c>
      <c r="CP429">
        <v>0.1</v>
      </c>
      <c r="CQ429">
        <v>0.1</v>
      </c>
      <c r="CR429">
        <v>0.1</v>
      </c>
      <c r="CS429">
        <v>0.1</v>
      </c>
      <c r="CT429">
        <v>0.1</v>
      </c>
      <c r="CU429">
        <v>0.1</v>
      </c>
      <c r="CV429">
        <v>0.1</v>
      </c>
      <c r="CW429">
        <v>0.1</v>
      </c>
      <c r="CX429">
        <v>0.1</v>
      </c>
      <c r="CY429">
        <v>0.1</v>
      </c>
      <c r="CZ429">
        <v>0.1</v>
      </c>
      <c r="DA429">
        <v>0.1</v>
      </c>
      <c r="DB429">
        <v>0.1</v>
      </c>
      <c r="DC429">
        <v>0.1</v>
      </c>
      <c r="DD429">
        <v>0.1</v>
      </c>
      <c r="DE429">
        <v>0.1</v>
      </c>
      <c r="DF429">
        <v>0.1</v>
      </c>
      <c r="DG429">
        <v>0.1</v>
      </c>
      <c r="DH429">
        <v>0.1</v>
      </c>
      <c r="DI429">
        <v>0.1</v>
      </c>
      <c r="DJ429">
        <v>0.1</v>
      </c>
      <c r="DK429">
        <v>0.1</v>
      </c>
      <c r="DL429">
        <v>0.1</v>
      </c>
      <c r="DM429">
        <v>0.1</v>
      </c>
      <c r="DN429">
        <v>0.1</v>
      </c>
      <c r="DO429">
        <v>0.1</v>
      </c>
      <c r="DP429">
        <v>0.1</v>
      </c>
      <c r="DQ429">
        <v>0.1</v>
      </c>
      <c r="DR429">
        <v>0.1</v>
      </c>
      <c r="DS429">
        <v>0.1</v>
      </c>
      <c r="DT429">
        <v>0.1</v>
      </c>
      <c r="DU429">
        <v>0.1</v>
      </c>
      <c r="DV429">
        <v>0.1</v>
      </c>
      <c r="DW429">
        <v>0.1</v>
      </c>
      <c r="DX429">
        <v>0.1</v>
      </c>
      <c r="DY429">
        <v>0.1</v>
      </c>
      <c r="DZ429">
        <v>0.1</v>
      </c>
      <c r="EA429">
        <v>0.1</v>
      </c>
      <c r="EB429">
        <v>0.1</v>
      </c>
      <c r="EC429">
        <v>0.1</v>
      </c>
      <c r="ED429">
        <v>0.1</v>
      </c>
      <c r="EE429">
        <v>0.1</v>
      </c>
      <c r="EF429">
        <v>0.1</v>
      </c>
    </row>
    <row r="430" spans="71:136" x14ac:dyDescent="0.25">
      <c r="BS430">
        <v>427</v>
      </c>
      <c r="BU430" s="2"/>
      <c r="BV430" s="2"/>
      <c r="BW430" s="2"/>
      <c r="BX430" s="2"/>
      <c r="BY430">
        <v>0.1</v>
      </c>
      <c r="BZ430">
        <v>0.1</v>
      </c>
      <c r="CA430">
        <v>0.1</v>
      </c>
      <c r="CB430">
        <v>0.1</v>
      </c>
      <c r="CC430">
        <v>0.1</v>
      </c>
      <c r="CD430">
        <v>0.1</v>
      </c>
      <c r="CE430">
        <v>0.1</v>
      </c>
      <c r="CF430">
        <v>0.1</v>
      </c>
      <c r="CG430">
        <v>0.1</v>
      </c>
      <c r="CH430">
        <v>0.1</v>
      </c>
      <c r="CI430">
        <v>0.1</v>
      </c>
      <c r="CJ430">
        <v>0.1</v>
      </c>
      <c r="CK430">
        <v>0.1</v>
      </c>
      <c r="CL430">
        <v>0.1</v>
      </c>
      <c r="CM430">
        <v>0.1</v>
      </c>
      <c r="CN430">
        <v>0.1</v>
      </c>
      <c r="CO430">
        <v>0.1</v>
      </c>
      <c r="CP430">
        <v>0.1</v>
      </c>
      <c r="CQ430">
        <v>0.1</v>
      </c>
      <c r="CR430">
        <v>0.1</v>
      </c>
      <c r="CS430">
        <v>0.1</v>
      </c>
      <c r="CT430">
        <v>0.1</v>
      </c>
      <c r="CU430">
        <v>0.1</v>
      </c>
      <c r="CV430">
        <v>0.1</v>
      </c>
      <c r="CW430">
        <v>0.1</v>
      </c>
      <c r="CX430">
        <v>0.1</v>
      </c>
      <c r="CY430">
        <v>0.1</v>
      </c>
      <c r="CZ430">
        <v>0.1</v>
      </c>
      <c r="DA430">
        <v>0.1</v>
      </c>
      <c r="DB430">
        <v>0.1</v>
      </c>
      <c r="DC430">
        <v>0.1</v>
      </c>
      <c r="DD430">
        <v>0.1</v>
      </c>
      <c r="DE430">
        <v>0.1</v>
      </c>
      <c r="DF430">
        <v>0.1</v>
      </c>
      <c r="DG430">
        <v>0.1</v>
      </c>
      <c r="DH430">
        <v>0.1</v>
      </c>
      <c r="DI430">
        <v>0.1</v>
      </c>
      <c r="DJ430">
        <v>0.1</v>
      </c>
      <c r="DK430">
        <v>0.1</v>
      </c>
      <c r="DL430">
        <v>0.1</v>
      </c>
      <c r="DM430">
        <v>0.1</v>
      </c>
      <c r="DN430">
        <v>0.1</v>
      </c>
      <c r="DO430">
        <v>0.1</v>
      </c>
      <c r="DP430">
        <v>0.1</v>
      </c>
      <c r="DQ430">
        <v>0.1</v>
      </c>
      <c r="DR430">
        <v>0.1</v>
      </c>
      <c r="DS430">
        <v>0.1</v>
      </c>
      <c r="DT430">
        <v>0.1</v>
      </c>
      <c r="DU430">
        <v>0.1</v>
      </c>
      <c r="DV430">
        <v>0.1</v>
      </c>
      <c r="DW430">
        <v>0.1</v>
      </c>
      <c r="DX430">
        <v>0.1</v>
      </c>
      <c r="DY430">
        <v>0.1</v>
      </c>
      <c r="DZ430">
        <v>0.1</v>
      </c>
      <c r="EA430">
        <v>0.1</v>
      </c>
      <c r="EB430">
        <v>0.1</v>
      </c>
      <c r="EC430">
        <v>0.1</v>
      </c>
      <c r="ED430">
        <v>0.1</v>
      </c>
      <c r="EE430">
        <v>0.1</v>
      </c>
      <c r="EF430">
        <v>0.1</v>
      </c>
    </row>
    <row r="431" spans="71:136" x14ac:dyDescent="0.25">
      <c r="BS431">
        <v>428</v>
      </c>
      <c r="BU431" s="2"/>
      <c r="BV431" s="2"/>
      <c r="BW431" s="2"/>
      <c r="BX431" s="2"/>
      <c r="BY431">
        <v>0.1</v>
      </c>
      <c r="BZ431">
        <v>0.1</v>
      </c>
      <c r="CA431">
        <v>0.1</v>
      </c>
      <c r="CB431">
        <v>0.1</v>
      </c>
      <c r="CC431">
        <v>0.1</v>
      </c>
      <c r="CD431">
        <v>0.1</v>
      </c>
      <c r="CE431">
        <v>0.1</v>
      </c>
      <c r="CF431">
        <v>0.1</v>
      </c>
      <c r="CG431">
        <v>0.1</v>
      </c>
      <c r="CH431">
        <v>0.1</v>
      </c>
      <c r="CI431">
        <v>0.1</v>
      </c>
      <c r="CJ431">
        <v>0.1</v>
      </c>
      <c r="CK431">
        <v>0.1</v>
      </c>
      <c r="CL431">
        <v>0.1</v>
      </c>
      <c r="CM431">
        <v>0.1</v>
      </c>
      <c r="CN431">
        <v>0.1</v>
      </c>
      <c r="CO431">
        <v>0.1</v>
      </c>
      <c r="CP431">
        <v>0.1</v>
      </c>
      <c r="CQ431">
        <v>0.1</v>
      </c>
      <c r="CR431">
        <v>0.1</v>
      </c>
      <c r="CS431">
        <v>0.1</v>
      </c>
      <c r="CT431">
        <v>0.1</v>
      </c>
      <c r="CU431">
        <v>0.1</v>
      </c>
      <c r="CV431">
        <v>0.1</v>
      </c>
      <c r="CW431">
        <v>0.1</v>
      </c>
      <c r="CX431">
        <v>0.1</v>
      </c>
      <c r="CY431">
        <v>0.1</v>
      </c>
      <c r="CZ431">
        <v>0.1</v>
      </c>
      <c r="DA431">
        <v>0.1</v>
      </c>
      <c r="DB431">
        <v>0.1</v>
      </c>
      <c r="DC431">
        <v>0.1</v>
      </c>
      <c r="DD431">
        <v>0.1</v>
      </c>
      <c r="DE431">
        <v>0.1</v>
      </c>
      <c r="DF431">
        <v>0.1</v>
      </c>
      <c r="DG431">
        <v>0.1</v>
      </c>
      <c r="DH431">
        <v>0.1</v>
      </c>
      <c r="DI431">
        <v>0.1</v>
      </c>
      <c r="DJ431">
        <v>0.1</v>
      </c>
      <c r="DK431">
        <v>0.1</v>
      </c>
      <c r="DL431">
        <v>0.1</v>
      </c>
      <c r="DM431">
        <v>0.1</v>
      </c>
      <c r="DN431">
        <v>0.1</v>
      </c>
      <c r="DO431">
        <v>0.1</v>
      </c>
      <c r="DP431">
        <v>0.1</v>
      </c>
      <c r="DQ431">
        <v>0.1</v>
      </c>
      <c r="DR431">
        <v>0.1</v>
      </c>
      <c r="DS431">
        <v>0.1</v>
      </c>
      <c r="DT431">
        <v>0.1</v>
      </c>
      <c r="DU431">
        <v>0.1</v>
      </c>
      <c r="DV431">
        <v>0.1</v>
      </c>
      <c r="DW431">
        <v>0.1</v>
      </c>
      <c r="DX431">
        <v>0.1</v>
      </c>
      <c r="DY431">
        <v>0.1</v>
      </c>
      <c r="DZ431">
        <v>0.1</v>
      </c>
      <c r="EA431">
        <v>0.1</v>
      </c>
      <c r="EB431">
        <v>0.1</v>
      </c>
      <c r="EC431">
        <v>0.1</v>
      </c>
      <c r="ED431">
        <v>0.1</v>
      </c>
      <c r="EE431">
        <v>0.1</v>
      </c>
      <c r="EF431">
        <v>0.1</v>
      </c>
    </row>
    <row r="432" spans="71:136" x14ac:dyDescent="0.25">
      <c r="BS432">
        <v>429</v>
      </c>
      <c r="BU432" s="2"/>
      <c r="BV432" s="2"/>
      <c r="BW432" s="2"/>
      <c r="BX432" s="2"/>
      <c r="BY432">
        <v>0.1</v>
      </c>
      <c r="BZ432">
        <v>0.1</v>
      </c>
      <c r="CA432">
        <v>0.1</v>
      </c>
      <c r="CB432">
        <v>0.1</v>
      </c>
      <c r="CC432">
        <v>0.1</v>
      </c>
      <c r="CD432">
        <v>0.1</v>
      </c>
      <c r="CE432">
        <v>0.1</v>
      </c>
      <c r="CF432">
        <v>0.1</v>
      </c>
      <c r="CG432">
        <v>0.1</v>
      </c>
      <c r="CH432">
        <v>0.1</v>
      </c>
      <c r="CI432">
        <v>0.1</v>
      </c>
      <c r="CJ432">
        <v>0.1</v>
      </c>
      <c r="CK432">
        <v>0.1</v>
      </c>
      <c r="CL432">
        <v>0.1</v>
      </c>
      <c r="CM432">
        <v>0.1</v>
      </c>
      <c r="CN432">
        <v>0.1</v>
      </c>
      <c r="CO432">
        <v>0.1</v>
      </c>
      <c r="CP432">
        <v>0.1</v>
      </c>
      <c r="CQ432">
        <v>0.1</v>
      </c>
      <c r="CR432">
        <v>0.1</v>
      </c>
      <c r="CS432">
        <v>0.1</v>
      </c>
      <c r="CT432">
        <v>0.1</v>
      </c>
      <c r="CU432">
        <v>0.1</v>
      </c>
      <c r="CV432">
        <v>0.1</v>
      </c>
      <c r="CW432">
        <v>0.1</v>
      </c>
      <c r="CX432">
        <v>0.1</v>
      </c>
      <c r="CY432">
        <v>0.1</v>
      </c>
      <c r="CZ432">
        <v>0.1</v>
      </c>
      <c r="DA432">
        <v>0.1</v>
      </c>
      <c r="DB432">
        <v>0.1</v>
      </c>
      <c r="DC432">
        <v>0.1</v>
      </c>
      <c r="DD432">
        <v>0.1</v>
      </c>
      <c r="DE432">
        <v>0.1</v>
      </c>
      <c r="DF432">
        <v>0.1</v>
      </c>
      <c r="DG432">
        <v>0.1</v>
      </c>
      <c r="DH432">
        <v>0.1</v>
      </c>
      <c r="DI432">
        <v>0.1</v>
      </c>
      <c r="DJ432">
        <v>0.1</v>
      </c>
      <c r="DK432">
        <v>0.1</v>
      </c>
      <c r="DL432">
        <v>0.1</v>
      </c>
      <c r="DM432">
        <v>0.1</v>
      </c>
      <c r="DN432">
        <v>0.1</v>
      </c>
      <c r="DO432">
        <v>0.1</v>
      </c>
      <c r="DP432">
        <v>0.1</v>
      </c>
      <c r="DQ432">
        <v>0.1</v>
      </c>
      <c r="DR432">
        <v>0.1</v>
      </c>
      <c r="DS432">
        <v>0.1</v>
      </c>
      <c r="DT432">
        <v>0.1</v>
      </c>
      <c r="DU432">
        <v>0.1</v>
      </c>
      <c r="DV432">
        <v>0.1</v>
      </c>
      <c r="DW432">
        <v>0.1</v>
      </c>
      <c r="DX432">
        <v>0.1</v>
      </c>
      <c r="DY432">
        <v>0.1</v>
      </c>
      <c r="DZ432">
        <v>0.1</v>
      </c>
      <c r="EA432">
        <v>0.1</v>
      </c>
      <c r="EB432">
        <v>0.1</v>
      </c>
      <c r="EC432">
        <v>0.1</v>
      </c>
      <c r="ED432">
        <v>0.1</v>
      </c>
      <c r="EE432">
        <v>0.1</v>
      </c>
      <c r="EF432">
        <v>0.1</v>
      </c>
    </row>
    <row r="433" spans="71:136" x14ac:dyDescent="0.25">
      <c r="BS433">
        <v>430</v>
      </c>
      <c r="BU433" s="2"/>
      <c r="BV433" s="2"/>
      <c r="BW433" s="2"/>
      <c r="BX433" s="2"/>
      <c r="BY433">
        <v>0.1</v>
      </c>
      <c r="BZ433">
        <v>0.1</v>
      </c>
      <c r="CA433">
        <v>0.1</v>
      </c>
      <c r="CB433">
        <v>0.1</v>
      </c>
      <c r="CC433">
        <v>0.1</v>
      </c>
      <c r="CD433">
        <v>0.1</v>
      </c>
      <c r="CE433">
        <v>0.1</v>
      </c>
      <c r="CF433">
        <v>0.1</v>
      </c>
      <c r="CG433">
        <v>0.1</v>
      </c>
      <c r="CH433">
        <v>0.1</v>
      </c>
      <c r="CI433">
        <v>0.1</v>
      </c>
      <c r="CJ433">
        <v>0.1</v>
      </c>
      <c r="CK433">
        <v>0.1</v>
      </c>
      <c r="CL433">
        <v>0.1</v>
      </c>
      <c r="CM433">
        <v>0.1</v>
      </c>
      <c r="CN433">
        <v>0.1</v>
      </c>
      <c r="CO433">
        <v>0.1</v>
      </c>
      <c r="CP433">
        <v>0.1</v>
      </c>
      <c r="CQ433">
        <v>0.1</v>
      </c>
      <c r="CR433">
        <v>0.1</v>
      </c>
      <c r="CS433">
        <v>0.1</v>
      </c>
      <c r="CT433">
        <v>0.1</v>
      </c>
      <c r="CU433">
        <v>0.1</v>
      </c>
      <c r="CV433">
        <v>0.1</v>
      </c>
      <c r="CW433">
        <v>0.1</v>
      </c>
      <c r="CX433">
        <v>0.1</v>
      </c>
      <c r="CY433">
        <v>0.1</v>
      </c>
      <c r="CZ433">
        <v>0.1</v>
      </c>
      <c r="DA433">
        <v>0.1</v>
      </c>
      <c r="DB433">
        <v>0.1</v>
      </c>
      <c r="DC433">
        <v>0.1</v>
      </c>
      <c r="DD433">
        <v>0.1</v>
      </c>
      <c r="DE433">
        <v>0.1</v>
      </c>
      <c r="DF433">
        <v>0.1</v>
      </c>
      <c r="DG433">
        <v>0.1</v>
      </c>
      <c r="DH433">
        <v>0.1</v>
      </c>
      <c r="DI433">
        <v>0.1</v>
      </c>
      <c r="DJ433">
        <v>0.1</v>
      </c>
      <c r="DK433">
        <v>0.1</v>
      </c>
      <c r="DL433">
        <v>0.1</v>
      </c>
      <c r="DM433">
        <v>0.1</v>
      </c>
      <c r="DN433">
        <v>0.1</v>
      </c>
      <c r="DO433">
        <v>0.1</v>
      </c>
      <c r="DP433">
        <v>0.1</v>
      </c>
      <c r="DQ433">
        <v>0.1</v>
      </c>
      <c r="DR433">
        <v>0.1</v>
      </c>
      <c r="DS433">
        <v>0.1</v>
      </c>
      <c r="DT433">
        <v>0.1</v>
      </c>
      <c r="DU433">
        <v>0.1</v>
      </c>
      <c r="DV433">
        <v>0.1</v>
      </c>
      <c r="DW433">
        <v>0.1</v>
      </c>
      <c r="DX433">
        <v>0.1</v>
      </c>
      <c r="DY433">
        <v>0.1</v>
      </c>
      <c r="DZ433">
        <v>0.1</v>
      </c>
      <c r="EA433">
        <v>0.1</v>
      </c>
      <c r="EB433">
        <v>0.1</v>
      </c>
      <c r="EC433">
        <v>0.1</v>
      </c>
      <c r="ED433">
        <v>0.1</v>
      </c>
      <c r="EE433">
        <v>0.1</v>
      </c>
      <c r="EF433">
        <v>0.1</v>
      </c>
    </row>
    <row r="434" spans="71:136" x14ac:dyDescent="0.25">
      <c r="BS434">
        <v>431</v>
      </c>
      <c r="BU434" s="2"/>
      <c r="BV434" s="2"/>
      <c r="BW434" s="2"/>
      <c r="BX434" s="2"/>
      <c r="BY434">
        <v>0.1</v>
      </c>
      <c r="BZ434">
        <v>0.1</v>
      </c>
      <c r="CA434">
        <v>0.1</v>
      </c>
      <c r="CB434">
        <v>0.1</v>
      </c>
      <c r="CC434">
        <v>0.1</v>
      </c>
      <c r="CD434">
        <v>0.1</v>
      </c>
      <c r="CE434">
        <v>0.1</v>
      </c>
      <c r="CF434">
        <v>0.1</v>
      </c>
      <c r="CG434">
        <v>0.1</v>
      </c>
      <c r="CH434">
        <v>0.1</v>
      </c>
      <c r="CI434">
        <v>0.1</v>
      </c>
      <c r="CJ434">
        <v>0.1</v>
      </c>
      <c r="CK434">
        <v>0.1</v>
      </c>
      <c r="CL434">
        <v>0.1</v>
      </c>
      <c r="CM434">
        <v>0.1</v>
      </c>
      <c r="CN434">
        <v>0.1</v>
      </c>
      <c r="CO434">
        <v>0.1</v>
      </c>
      <c r="CP434">
        <v>0.1</v>
      </c>
      <c r="CQ434">
        <v>0.1</v>
      </c>
      <c r="CR434">
        <v>0.1</v>
      </c>
      <c r="CS434">
        <v>0.1</v>
      </c>
      <c r="CT434">
        <v>0.1</v>
      </c>
      <c r="CU434">
        <v>0.1</v>
      </c>
      <c r="CV434">
        <v>0.1</v>
      </c>
      <c r="CW434">
        <v>0.1</v>
      </c>
      <c r="CX434">
        <v>0.1</v>
      </c>
      <c r="CY434">
        <v>0.1</v>
      </c>
      <c r="CZ434">
        <v>0.1</v>
      </c>
      <c r="DA434">
        <v>0.1</v>
      </c>
      <c r="DB434">
        <v>0.1</v>
      </c>
      <c r="DC434">
        <v>0.1</v>
      </c>
      <c r="DD434">
        <v>0.1</v>
      </c>
      <c r="DE434">
        <v>0.1</v>
      </c>
      <c r="DF434">
        <v>0.1</v>
      </c>
      <c r="DG434">
        <v>0.1</v>
      </c>
      <c r="DH434">
        <v>0.1</v>
      </c>
      <c r="DI434">
        <v>0.1</v>
      </c>
      <c r="DJ434">
        <v>0.1</v>
      </c>
      <c r="DK434">
        <v>0.1</v>
      </c>
      <c r="DL434">
        <v>0.1</v>
      </c>
      <c r="DM434">
        <v>0.1</v>
      </c>
      <c r="DN434">
        <v>0.1</v>
      </c>
      <c r="DO434">
        <v>0.1</v>
      </c>
      <c r="DP434">
        <v>0.1</v>
      </c>
      <c r="DQ434">
        <v>0.1</v>
      </c>
      <c r="DR434">
        <v>0.1</v>
      </c>
      <c r="DS434">
        <v>0.1</v>
      </c>
      <c r="DT434">
        <v>0.1</v>
      </c>
      <c r="DU434">
        <v>0.1</v>
      </c>
      <c r="DV434">
        <v>0.1</v>
      </c>
      <c r="DW434">
        <v>0.1</v>
      </c>
      <c r="DX434">
        <v>0.1</v>
      </c>
      <c r="DY434">
        <v>0.1</v>
      </c>
      <c r="DZ434">
        <v>0.1</v>
      </c>
      <c r="EA434">
        <v>0.1</v>
      </c>
      <c r="EB434">
        <v>0.1</v>
      </c>
      <c r="EC434">
        <v>0.1</v>
      </c>
      <c r="ED434">
        <v>0.1</v>
      </c>
      <c r="EE434">
        <v>0.1</v>
      </c>
      <c r="EF434">
        <v>0.1</v>
      </c>
    </row>
    <row r="435" spans="71:136" x14ac:dyDescent="0.25">
      <c r="BS435">
        <v>432</v>
      </c>
      <c r="BU435" s="2"/>
      <c r="BV435" s="2"/>
      <c r="BW435" s="2"/>
      <c r="BX435" s="2"/>
      <c r="BY435">
        <v>0.1</v>
      </c>
      <c r="BZ435">
        <v>0.1</v>
      </c>
      <c r="CA435">
        <v>0.1</v>
      </c>
      <c r="CB435">
        <v>0.1</v>
      </c>
      <c r="CC435">
        <v>0.1</v>
      </c>
      <c r="CD435">
        <v>0.1</v>
      </c>
      <c r="CE435">
        <v>0.1</v>
      </c>
      <c r="CF435">
        <v>0.1</v>
      </c>
      <c r="CG435">
        <v>0.1</v>
      </c>
      <c r="CH435">
        <v>0.1</v>
      </c>
      <c r="CI435">
        <v>0.1</v>
      </c>
      <c r="CJ435">
        <v>0.1</v>
      </c>
      <c r="CK435">
        <v>0.1</v>
      </c>
      <c r="CL435">
        <v>0.1</v>
      </c>
      <c r="CM435">
        <v>0.1</v>
      </c>
      <c r="CN435">
        <v>0.1</v>
      </c>
      <c r="CO435">
        <v>0.1</v>
      </c>
      <c r="CP435">
        <v>0.1</v>
      </c>
      <c r="CQ435">
        <v>0.1</v>
      </c>
      <c r="CR435">
        <v>0.1</v>
      </c>
      <c r="CS435">
        <v>0.1</v>
      </c>
      <c r="CT435">
        <v>0.1</v>
      </c>
      <c r="CU435">
        <v>0.1</v>
      </c>
      <c r="CV435">
        <v>0.1</v>
      </c>
      <c r="CW435">
        <v>0.1</v>
      </c>
      <c r="CX435">
        <v>0.1</v>
      </c>
      <c r="CY435">
        <v>0.1</v>
      </c>
      <c r="CZ435">
        <v>0.1</v>
      </c>
      <c r="DA435">
        <v>0.1</v>
      </c>
      <c r="DB435">
        <v>0.1</v>
      </c>
      <c r="DC435">
        <v>0.1</v>
      </c>
      <c r="DD435">
        <v>0.1</v>
      </c>
      <c r="DE435">
        <v>0.1</v>
      </c>
      <c r="DF435">
        <v>0.1</v>
      </c>
      <c r="DG435">
        <v>0.1</v>
      </c>
      <c r="DH435">
        <v>0.1</v>
      </c>
      <c r="DI435">
        <v>0.1</v>
      </c>
      <c r="DJ435">
        <v>0.1</v>
      </c>
      <c r="DK435">
        <v>0.1</v>
      </c>
      <c r="DL435">
        <v>0.1</v>
      </c>
      <c r="DM435">
        <v>0.1</v>
      </c>
      <c r="DN435">
        <v>0.1</v>
      </c>
      <c r="DO435">
        <v>0.1</v>
      </c>
      <c r="DP435">
        <v>0.1</v>
      </c>
      <c r="DQ435">
        <v>0.1</v>
      </c>
      <c r="DR435">
        <v>0.1</v>
      </c>
      <c r="DS435">
        <v>0.1</v>
      </c>
      <c r="DT435">
        <v>0.1</v>
      </c>
      <c r="DU435">
        <v>0.1</v>
      </c>
      <c r="DV435">
        <v>0.1</v>
      </c>
      <c r="DW435">
        <v>0.1</v>
      </c>
      <c r="DX435">
        <v>0.1</v>
      </c>
      <c r="DY435">
        <v>0.1</v>
      </c>
      <c r="DZ435">
        <v>0.1</v>
      </c>
      <c r="EA435">
        <v>0.1</v>
      </c>
      <c r="EB435">
        <v>0.1</v>
      </c>
      <c r="EC435">
        <v>0.1</v>
      </c>
      <c r="ED435">
        <v>0.1</v>
      </c>
      <c r="EE435">
        <v>0.1</v>
      </c>
      <c r="EF435">
        <v>0.1</v>
      </c>
    </row>
    <row r="436" spans="71:136" x14ac:dyDescent="0.25">
      <c r="BS436">
        <v>433</v>
      </c>
      <c r="BU436" s="2"/>
      <c r="BV436" s="2"/>
      <c r="BW436" s="2"/>
      <c r="BX436" s="2"/>
      <c r="BY436">
        <v>0.1</v>
      </c>
      <c r="BZ436">
        <v>0.1</v>
      </c>
      <c r="CA436">
        <v>0.1</v>
      </c>
      <c r="CB436">
        <v>0.1</v>
      </c>
      <c r="CC436">
        <v>0.1</v>
      </c>
      <c r="CD436">
        <v>0.1</v>
      </c>
      <c r="CE436">
        <v>0.1</v>
      </c>
      <c r="CF436">
        <v>0.1</v>
      </c>
      <c r="CG436">
        <v>0.1</v>
      </c>
      <c r="CH436">
        <v>0.1</v>
      </c>
      <c r="CI436">
        <v>0.1</v>
      </c>
      <c r="CJ436">
        <v>0.1</v>
      </c>
      <c r="CK436">
        <v>0.1</v>
      </c>
      <c r="CL436">
        <v>0.1</v>
      </c>
      <c r="CM436">
        <v>0.1</v>
      </c>
      <c r="CN436">
        <v>0.1</v>
      </c>
      <c r="CO436">
        <v>0.1</v>
      </c>
      <c r="CP436">
        <v>0.1</v>
      </c>
      <c r="CQ436">
        <v>0.1</v>
      </c>
      <c r="CR436">
        <v>0.1</v>
      </c>
      <c r="CS436">
        <v>0.1</v>
      </c>
      <c r="CT436">
        <v>0.1</v>
      </c>
      <c r="CU436">
        <v>0.1</v>
      </c>
      <c r="CV436">
        <v>0.1</v>
      </c>
      <c r="CW436">
        <v>0.1</v>
      </c>
      <c r="CX436">
        <v>0.1</v>
      </c>
      <c r="CY436">
        <v>0.1</v>
      </c>
      <c r="CZ436">
        <v>0.1</v>
      </c>
      <c r="DA436">
        <v>0.1</v>
      </c>
      <c r="DB436">
        <v>0.1</v>
      </c>
      <c r="DC436">
        <v>0.1</v>
      </c>
      <c r="DD436">
        <v>0.1</v>
      </c>
      <c r="DE436">
        <v>0.1</v>
      </c>
      <c r="DF436">
        <v>0.1</v>
      </c>
      <c r="DG436">
        <v>0.1</v>
      </c>
      <c r="DH436">
        <v>0.1</v>
      </c>
      <c r="DI436">
        <v>0.1</v>
      </c>
      <c r="DJ436">
        <v>0.1</v>
      </c>
      <c r="DK436">
        <v>0.1</v>
      </c>
      <c r="DL436">
        <v>0.1</v>
      </c>
      <c r="DM436">
        <v>0.1</v>
      </c>
      <c r="DN436">
        <v>0.1</v>
      </c>
      <c r="DO436">
        <v>0.1</v>
      </c>
      <c r="DP436">
        <v>0.1</v>
      </c>
      <c r="DQ436">
        <v>0.1</v>
      </c>
      <c r="DR436">
        <v>0.1</v>
      </c>
      <c r="DS436">
        <v>0.1</v>
      </c>
      <c r="DT436">
        <v>0.1</v>
      </c>
      <c r="DU436">
        <v>0.1</v>
      </c>
      <c r="DV436">
        <v>0.1</v>
      </c>
      <c r="DW436">
        <v>0.1</v>
      </c>
      <c r="DX436">
        <v>0.1</v>
      </c>
      <c r="DY436">
        <v>0.1</v>
      </c>
      <c r="DZ436">
        <v>0.1</v>
      </c>
      <c r="EA436">
        <v>0.1</v>
      </c>
      <c r="EB436">
        <v>0.1</v>
      </c>
      <c r="EC436">
        <v>0.1</v>
      </c>
      <c r="ED436">
        <v>0.1</v>
      </c>
      <c r="EE436">
        <v>0.1</v>
      </c>
      <c r="EF436">
        <v>0.1</v>
      </c>
    </row>
    <row r="437" spans="71:136" x14ac:dyDescent="0.25">
      <c r="BS437">
        <v>434</v>
      </c>
      <c r="BU437" s="2"/>
      <c r="BV437" s="2"/>
      <c r="BW437" s="2"/>
      <c r="BX437" s="2"/>
      <c r="BY437">
        <v>0.1</v>
      </c>
      <c r="BZ437">
        <v>0.1</v>
      </c>
      <c r="CA437">
        <v>0.1</v>
      </c>
      <c r="CB437">
        <v>0.1</v>
      </c>
      <c r="CC437">
        <v>0.1</v>
      </c>
      <c r="CD437">
        <v>0.1</v>
      </c>
      <c r="CE437">
        <v>0.1</v>
      </c>
      <c r="CF437">
        <v>0.1</v>
      </c>
      <c r="CG437">
        <v>0.1</v>
      </c>
      <c r="CH437">
        <v>0.1</v>
      </c>
      <c r="CI437">
        <v>0.1</v>
      </c>
      <c r="CJ437">
        <v>0.1</v>
      </c>
      <c r="CK437">
        <v>0.1</v>
      </c>
      <c r="CL437">
        <v>0.1</v>
      </c>
      <c r="CM437">
        <v>0.1</v>
      </c>
      <c r="CN437">
        <v>0.1</v>
      </c>
      <c r="CO437">
        <v>0.1</v>
      </c>
      <c r="CP437">
        <v>0.1</v>
      </c>
      <c r="CQ437">
        <v>0.1</v>
      </c>
      <c r="CR437">
        <v>0.1</v>
      </c>
      <c r="CS437">
        <v>0.1</v>
      </c>
      <c r="CT437">
        <v>0.1</v>
      </c>
      <c r="CU437">
        <v>0.1</v>
      </c>
      <c r="CV437">
        <v>0.1</v>
      </c>
      <c r="CW437">
        <v>0.1</v>
      </c>
      <c r="CX437">
        <v>0.1</v>
      </c>
      <c r="CY437">
        <v>0.1</v>
      </c>
      <c r="CZ437">
        <v>0.1</v>
      </c>
      <c r="DA437">
        <v>0.1</v>
      </c>
      <c r="DB437">
        <v>0.1</v>
      </c>
      <c r="DC437">
        <v>0.1</v>
      </c>
      <c r="DD437">
        <v>0.1</v>
      </c>
      <c r="DE437">
        <v>0.1</v>
      </c>
      <c r="DF437">
        <v>0.1</v>
      </c>
      <c r="DG437">
        <v>0.1</v>
      </c>
      <c r="DH437">
        <v>0.1</v>
      </c>
      <c r="DI437">
        <v>0.1</v>
      </c>
      <c r="DJ437">
        <v>0.1</v>
      </c>
      <c r="DK437">
        <v>0.1</v>
      </c>
      <c r="DL437">
        <v>0.1</v>
      </c>
      <c r="DM437">
        <v>0.1</v>
      </c>
      <c r="DN437">
        <v>0.1</v>
      </c>
      <c r="DO437">
        <v>0.1</v>
      </c>
      <c r="DP437">
        <v>0.1</v>
      </c>
      <c r="DQ437">
        <v>0.1</v>
      </c>
      <c r="DR437">
        <v>0.1</v>
      </c>
      <c r="DS437">
        <v>0.1</v>
      </c>
      <c r="DT437">
        <v>0.1</v>
      </c>
      <c r="DU437">
        <v>0.1</v>
      </c>
      <c r="DV437">
        <v>0.1</v>
      </c>
      <c r="DW437">
        <v>0.1</v>
      </c>
      <c r="DX437">
        <v>0.1</v>
      </c>
      <c r="DY437">
        <v>0.1</v>
      </c>
      <c r="DZ437">
        <v>0.1</v>
      </c>
      <c r="EA437">
        <v>0.1</v>
      </c>
      <c r="EB437">
        <v>0.1</v>
      </c>
      <c r="EC437">
        <v>0.1</v>
      </c>
      <c r="ED437">
        <v>0.1</v>
      </c>
      <c r="EE437">
        <v>0.1</v>
      </c>
      <c r="EF437">
        <v>0.1</v>
      </c>
    </row>
    <row r="438" spans="71:136" x14ac:dyDescent="0.25">
      <c r="BS438">
        <v>435</v>
      </c>
      <c r="BU438" s="2"/>
      <c r="BV438" s="2"/>
      <c r="BW438" s="2"/>
      <c r="BX438" s="2"/>
      <c r="BY438">
        <v>0.1</v>
      </c>
      <c r="BZ438">
        <v>0.1</v>
      </c>
      <c r="CA438">
        <v>0.1</v>
      </c>
      <c r="CB438">
        <v>0.1</v>
      </c>
      <c r="CC438">
        <v>0.1</v>
      </c>
      <c r="CD438">
        <v>0.1</v>
      </c>
      <c r="CE438">
        <v>0.1</v>
      </c>
      <c r="CF438">
        <v>0.1</v>
      </c>
      <c r="CG438">
        <v>0.1</v>
      </c>
      <c r="CH438">
        <v>0.1</v>
      </c>
      <c r="CI438">
        <v>0.1</v>
      </c>
      <c r="CJ438">
        <v>0.1</v>
      </c>
      <c r="CK438">
        <v>0.1</v>
      </c>
      <c r="CL438">
        <v>0.1</v>
      </c>
      <c r="CM438">
        <v>0.1</v>
      </c>
      <c r="CN438">
        <v>0.1</v>
      </c>
      <c r="CO438">
        <v>0.1</v>
      </c>
      <c r="CP438">
        <v>0.1</v>
      </c>
      <c r="CQ438">
        <v>0.1</v>
      </c>
      <c r="CR438">
        <v>0.1</v>
      </c>
      <c r="CS438">
        <v>0.1</v>
      </c>
      <c r="CT438">
        <v>0.1</v>
      </c>
      <c r="CU438">
        <v>0.1</v>
      </c>
      <c r="CV438">
        <v>0.1</v>
      </c>
      <c r="CW438">
        <v>0.1</v>
      </c>
      <c r="CX438">
        <v>0.1</v>
      </c>
      <c r="CY438">
        <v>0.1</v>
      </c>
      <c r="CZ438">
        <v>0.1</v>
      </c>
      <c r="DA438">
        <v>0.1</v>
      </c>
      <c r="DB438">
        <v>0.1</v>
      </c>
      <c r="DC438">
        <v>0.1</v>
      </c>
      <c r="DD438">
        <v>0.1</v>
      </c>
      <c r="DE438">
        <v>0.1</v>
      </c>
      <c r="DF438">
        <v>0.1</v>
      </c>
      <c r="DG438">
        <v>0.1</v>
      </c>
      <c r="DH438">
        <v>0.1</v>
      </c>
      <c r="DI438">
        <v>0.1</v>
      </c>
      <c r="DJ438">
        <v>0.1</v>
      </c>
      <c r="DK438">
        <v>0.1</v>
      </c>
      <c r="DL438">
        <v>0.1</v>
      </c>
      <c r="DM438">
        <v>0.1</v>
      </c>
      <c r="DN438">
        <v>0.1</v>
      </c>
      <c r="DO438">
        <v>0.1</v>
      </c>
      <c r="DP438">
        <v>0.1</v>
      </c>
      <c r="DQ438">
        <v>0.1</v>
      </c>
      <c r="DR438">
        <v>0.1</v>
      </c>
      <c r="DS438">
        <v>0.1</v>
      </c>
      <c r="DT438">
        <v>0.1</v>
      </c>
      <c r="DU438">
        <v>0.1</v>
      </c>
      <c r="DV438">
        <v>0.1</v>
      </c>
      <c r="DW438">
        <v>0.1</v>
      </c>
      <c r="DX438">
        <v>0.1</v>
      </c>
      <c r="DY438">
        <v>0.1</v>
      </c>
      <c r="DZ438">
        <v>0.1</v>
      </c>
      <c r="EA438">
        <v>0.1</v>
      </c>
      <c r="EB438">
        <v>0.1</v>
      </c>
      <c r="EC438">
        <v>0.1</v>
      </c>
      <c r="ED438">
        <v>0.1</v>
      </c>
      <c r="EE438">
        <v>0.1</v>
      </c>
      <c r="EF438">
        <v>0.1</v>
      </c>
    </row>
    <row r="439" spans="71:136" x14ac:dyDescent="0.25">
      <c r="BS439">
        <v>436</v>
      </c>
      <c r="BU439" s="2"/>
      <c r="BV439" s="2"/>
      <c r="BW439" s="2"/>
      <c r="BX439" s="2"/>
      <c r="BY439">
        <v>0.1</v>
      </c>
      <c r="BZ439">
        <v>0.1</v>
      </c>
      <c r="CA439">
        <v>0.1</v>
      </c>
      <c r="CB439">
        <v>0.1</v>
      </c>
      <c r="CC439">
        <v>0.1</v>
      </c>
      <c r="CD439">
        <v>0.1</v>
      </c>
      <c r="CE439">
        <v>0.1</v>
      </c>
      <c r="CF439">
        <v>0.1</v>
      </c>
      <c r="CG439">
        <v>0.1</v>
      </c>
      <c r="CH439">
        <v>0.1</v>
      </c>
      <c r="CI439">
        <v>0.1</v>
      </c>
      <c r="CJ439">
        <v>0.1</v>
      </c>
      <c r="CK439">
        <v>0.1</v>
      </c>
      <c r="CL439">
        <v>0.1</v>
      </c>
      <c r="CM439">
        <v>0.1</v>
      </c>
      <c r="CN439">
        <v>0.1</v>
      </c>
      <c r="CO439">
        <v>0.1</v>
      </c>
      <c r="CP439">
        <v>0.1</v>
      </c>
      <c r="CQ439">
        <v>0.1</v>
      </c>
      <c r="CR439">
        <v>0.1</v>
      </c>
      <c r="CS439">
        <v>0.1</v>
      </c>
      <c r="CT439">
        <v>0.1</v>
      </c>
      <c r="CU439">
        <v>0.1</v>
      </c>
      <c r="CV439">
        <v>0.1</v>
      </c>
      <c r="CW439">
        <v>0.1</v>
      </c>
      <c r="CX439">
        <v>0.1</v>
      </c>
      <c r="CY439">
        <v>0.1</v>
      </c>
      <c r="CZ439">
        <v>0.1</v>
      </c>
      <c r="DA439">
        <v>0.1</v>
      </c>
      <c r="DB439">
        <v>0.1</v>
      </c>
      <c r="DC439">
        <v>0.1</v>
      </c>
      <c r="DD439">
        <v>0.1</v>
      </c>
      <c r="DE439">
        <v>0.1</v>
      </c>
      <c r="DF439">
        <v>0.1</v>
      </c>
      <c r="DG439">
        <v>0.1</v>
      </c>
      <c r="DH439">
        <v>0.1</v>
      </c>
      <c r="DI439">
        <v>0.1</v>
      </c>
      <c r="DJ439">
        <v>0.1</v>
      </c>
      <c r="DK439">
        <v>0.1</v>
      </c>
      <c r="DL439">
        <v>0.1</v>
      </c>
      <c r="DM439">
        <v>0.1</v>
      </c>
      <c r="DN439">
        <v>0.1</v>
      </c>
      <c r="DO439">
        <v>0.1</v>
      </c>
      <c r="DP439">
        <v>0.1</v>
      </c>
      <c r="DQ439">
        <v>0.1</v>
      </c>
      <c r="DR439">
        <v>0.1</v>
      </c>
      <c r="DS439">
        <v>0.1</v>
      </c>
      <c r="DT439">
        <v>0.1</v>
      </c>
      <c r="DU439">
        <v>0.1</v>
      </c>
      <c r="DV439">
        <v>0.1</v>
      </c>
      <c r="DW439">
        <v>0.1</v>
      </c>
      <c r="DX439">
        <v>0.1</v>
      </c>
      <c r="DY439">
        <v>0.1</v>
      </c>
      <c r="DZ439">
        <v>0.1</v>
      </c>
      <c r="EA439">
        <v>0.1</v>
      </c>
      <c r="EB439">
        <v>0.1</v>
      </c>
      <c r="EC439">
        <v>0.1</v>
      </c>
      <c r="ED439">
        <v>0.1</v>
      </c>
      <c r="EE439">
        <v>0.1</v>
      </c>
      <c r="EF439">
        <v>0.1</v>
      </c>
    </row>
    <row r="440" spans="71:136" x14ac:dyDescent="0.25">
      <c r="BS440">
        <v>437</v>
      </c>
      <c r="BU440" s="2"/>
      <c r="BV440" s="2"/>
      <c r="BW440" s="2"/>
      <c r="BX440" s="2"/>
      <c r="BY440">
        <v>0.1</v>
      </c>
      <c r="BZ440">
        <v>0.1</v>
      </c>
      <c r="CA440">
        <v>0.1</v>
      </c>
      <c r="CB440">
        <v>0.1</v>
      </c>
      <c r="CC440">
        <v>0.1</v>
      </c>
      <c r="CD440">
        <v>0.1</v>
      </c>
      <c r="CE440">
        <v>0.1</v>
      </c>
      <c r="CF440">
        <v>0.1</v>
      </c>
      <c r="CG440">
        <v>0.1</v>
      </c>
      <c r="CH440">
        <v>0.1</v>
      </c>
      <c r="CI440">
        <v>0.1</v>
      </c>
      <c r="CJ440">
        <v>0.1</v>
      </c>
      <c r="CK440">
        <v>0.1</v>
      </c>
      <c r="CL440">
        <v>0.1</v>
      </c>
      <c r="CM440">
        <v>0.1</v>
      </c>
      <c r="CN440">
        <v>0.1</v>
      </c>
      <c r="CO440">
        <v>0.1</v>
      </c>
      <c r="CP440">
        <v>0.1</v>
      </c>
      <c r="CQ440">
        <v>0.1</v>
      </c>
      <c r="CR440">
        <v>0.1</v>
      </c>
      <c r="CS440">
        <v>0.1</v>
      </c>
      <c r="CT440">
        <v>0.1</v>
      </c>
      <c r="CU440">
        <v>0.1</v>
      </c>
      <c r="CV440">
        <v>0.1</v>
      </c>
      <c r="CW440">
        <v>0.1</v>
      </c>
      <c r="CX440">
        <v>0.1</v>
      </c>
      <c r="CY440">
        <v>0.1</v>
      </c>
      <c r="CZ440">
        <v>0.1</v>
      </c>
      <c r="DA440">
        <v>0.1</v>
      </c>
      <c r="DB440">
        <v>0.1</v>
      </c>
      <c r="DC440">
        <v>0.1</v>
      </c>
      <c r="DD440">
        <v>0.1</v>
      </c>
      <c r="DE440">
        <v>0.1</v>
      </c>
      <c r="DF440">
        <v>0.1</v>
      </c>
      <c r="DG440">
        <v>0.1</v>
      </c>
      <c r="DH440">
        <v>0.1</v>
      </c>
      <c r="DI440">
        <v>0.1</v>
      </c>
      <c r="DJ440">
        <v>0.1</v>
      </c>
      <c r="DK440">
        <v>0.1</v>
      </c>
      <c r="DL440">
        <v>0.1</v>
      </c>
      <c r="DM440">
        <v>0.1</v>
      </c>
      <c r="DN440">
        <v>0.1</v>
      </c>
      <c r="DO440">
        <v>0.1</v>
      </c>
      <c r="DP440">
        <v>0.1</v>
      </c>
      <c r="DQ440">
        <v>0.1</v>
      </c>
      <c r="DR440">
        <v>0.1</v>
      </c>
      <c r="DS440">
        <v>0.1</v>
      </c>
      <c r="DT440">
        <v>0.1</v>
      </c>
      <c r="DU440">
        <v>0.1</v>
      </c>
      <c r="DV440">
        <v>0.1</v>
      </c>
      <c r="DW440">
        <v>0.1</v>
      </c>
      <c r="DX440">
        <v>0.1</v>
      </c>
      <c r="DY440">
        <v>0.1</v>
      </c>
      <c r="DZ440">
        <v>0.1</v>
      </c>
      <c r="EA440">
        <v>0.1</v>
      </c>
      <c r="EB440">
        <v>0.1</v>
      </c>
      <c r="EC440">
        <v>0.1</v>
      </c>
      <c r="ED440">
        <v>0.1</v>
      </c>
      <c r="EE440">
        <v>0.1</v>
      </c>
      <c r="EF440">
        <v>0.1</v>
      </c>
    </row>
    <row r="441" spans="71:136" x14ac:dyDescent="0.25">
      <c r="BS441">
        <v>438</v>
      </c>
      <c r="BU441" s="2"/>
      <c r="BV441" s="2"/>
      <c r="BW441" s="2"/>
      <c r="BX441" s="2"/>
      <c r="BY441">
        <v>0.1</v>
      </c>
      <c r="BZ441">
        <v>0.1</v>
      </c>
      <c r="CA441">
        <v>0.1</v>
      </c>
      <c r="CB441">
        <v>0.1</v>
      </c>
      <c r="CC441">
        <v>0.1</v>
      </c>
      <c r="CD441">
        <v>0.1</v>
      </c>
      <c r="CE441">
        <v>0.1</v>
      </c>
      <c r="CF441">
        <v>0.1</v>
      </c>
      <c r="CG441">
        <v>0.1</v>
      </c>
      <c r="CH441">
        <v>0.1</v>
      </c>
      <c r="CI441">
        <v>0.1</v>
      </c>
      <c r="CJ441">
        <v>0.1</v>
      </c>
      <c r="CK441">
        <v>0.1</v>
      </c>
      <c r="CL441">
        <v>0.1</v>
      </c>
      <c r="CM441">
        <v>0.1</v>
      </c>
      <c r="CN441">
        <v>0.1</v>
      </c>
      <c r="CO441">
        <v>0.1</v>
      </c>
      <c r="CP441">
        <v>0.1</v>
      </c>
      <c r="CQ441">
        <v>0.1</v>
      </c>
      <c r="CR441">
        <v>0.1</v>
      </c>
      <c r="CS441">
        <v>0.1</v>
      </c>
      <c r="CT441">
        <v>0.1</v>
      </c>
      <c r="CU441">
        <v>0.1</v>
      </c>
      <c r="CV441">
        <v>0.1</v>
      </c>
      <c r="CW441">
        <v>0.1</v>
      </c>
      <c r="CX441">
        <v>0.1</v>
      </c>
      <c r="CY441">
        <v>0.1</v>
      </c>
      <c r="CZ441">
        <v>0.1</v>
      </c>
      <c r="DA441">
        <v>0.1</v>
      </c>
      <c r="DB441">
        <v>0.1</v>
      </c>
      <c r="DC441">
        <v>0.1</v>
      </c>
      <c r="DD441">
        <v>0.1</v>
      </c>
      <c r="DE441">
        <v>0.1</v>
      </c>
      <c r="DF441">
        <v>0.1</v>
      </c>
      <c r="DG441">
        <v>0.1</v>
      </c>
      <c r="DH441">
        <v>0.1</v>
      </c>
      <c r="DI441">
        <v>0.1</v>
      </c>
      <c r="DJ441">
        <v>0.1</v>
      </c>
      <c r="DK441">
        <v>0.1</v>
      </c>
      <c r="DL441">
        <v>0.1</v>
      </c>
      <c r="DM441">
        <v>0.1</v>
      </c>
      <c r="DN441">
        <v>0.1</v>
      </c>
      <c r="DO441">
        <v>0.1</v>
      </c>
      <c r="DP441">
        <v>0.1</v>
      </c>
      <c r="DQ441">
        <v>0.1</v>
      </c>
      <c r="DR441">
        <v>0.1</v>
      </c>
      <c r="DS441">
        <v>0.1</v>
      </c>
      <c r="DT441">
        <v>0.1</v>
      </c>
      <c r="DU441">
        <v>0.1</v>
      </c>
      <c r="DV441">
        <v>0.1</v>
      </c>
      <c r="DW441">
        <v>0.1</v>
      </c>
      <c r="DX441">
        <v>0.1</v>
      </c>
      <c r="DY441">
        <v>0.1</v>
      </c>
      <c r="DZ441">
        <v>0.1</v>
      </c>
      <c r="EA441">
        <v>0.1</v>
      </c>
      <c r="EB441">
        <v>0.1</v>
      </c>
      <c r="EC441">
        <v>0.1</v>
      </c>
      <c r="ED441">
        <v>0.1</v>
      </c>
      <c r="EE441">
        <v>0.1</v>
      </c>
      <c r="EF441">
        <v>0.1</v>
      </c>
    </row>
    <row r="442" spans="71:136" x14ac:dyDescent="0.25">
      <c r="BS442">
        <v>439</v>
      </c>
      <c r="BU442" s="2"/>
      <c r="BV442" s="2"/>
      <c r="BW442" s="2"/>
      <c r="BX442" s="2"/>
      <c r="BY442">
        <v>0.1</v>
      </c>
      <c r="BZ442">
        <v>0.1</v>
      </c>
      <c r="CA442">
        <v>0.1</v>
      </c>
      <c r="CB442">
        <v>0.1</v>
      </c>
      <c r="CC442">
        <v>0.1</v>
      </c>
      <c r="CD442">
        <v>0.1</v>
      </c>
      <c r="CE442">
        <v>0.1</v>
      </c>
      <c r="CF442">
        <v>0.1</v>
      </c>
      <c r="CG442">
        <v>0.1</v>
      </c>
      <c r="CH442">
        <v>0.1</v>
      </c>
      <c r="CI442">
        <v>0.1</v>
      </c>
      <c r="CJ442">
        <v>0.1</v>
      </c>
      <c r="CK442">
        <v>0.1</v>
      </c>
      <c r="CL442">
        <v>0.1</v>
      </c>
      <c r="CM442">
        <v>0.1</v>
      </c>
      <c r="CN442">
        <v>0.1</v>
      </c>
      <c r="CO442">
        <v>0.1</v>
      </c>
      <c r="CP442">
        <v>0.1</v>
      </c>
      <c r="CQ442">
        <v>0.1</v>
      </c>
      <c r="CR442">
        <v>0.1</v>
      </c>
      <c r="CS442">
        <v>0.1</v>
      </c>
      <c r="CT442">
        <v>0.1</v>
      </c>
      <c r="CU442">
        <v>0.1</v>
      </c>
      <c r="CV442">
        <v>0.1</v>
      </c>
      <c r="CW442">
        <v>0.1</v>
      </c>
      <c r="CX442">
        <v>0.1</v>
      </c>
      <c r="CY442">
        <v>0.1</v>
      </c>
      <c r="CZ442">
        <v>0.1</v>
      </c>
      <c r="DA442">
        <v>0.1</v>
      </c>
      <c r="DB442">
        <v>0.1</v>
      </c>
      <c r="DC442">
        <v>0.1</v>
      </c>
      <c r="DD442">
        <v>0.1</v>
      </c>
      <c r="DE442">
        <v>0.1</v>
      </c>
      <c r="DF442">
        <v>0.1</v>
      </c>
      <c r="DG442">
        <v>0.1</v>
      </c>
      <c r="DH442">
        <v>0.1</v>
      </c>
      <c r="DI442">
        <v>0.1</v>
      </c>
      <c r="DJ442">
        <v>0.1</v>
      </c>
      <c r="DK442">
        <v>0.1</v>
      </c>
      <c r="DL442">
        <v>0.1</v>
      </c>
      <c r="DM442">
        <v>0.1</v>
      </c>
      <c r="DN442">
        <v>0.1</v>
      </c>
      <c r="DO442">
        <v>0.1</v>
      </c>
      <c r="DP442">
        <v>0.1</v>
      </c>
      <c r="DQ442">
        <v>0.1</v>
      </c>
      <c r="DR442">
        <v>0.1</v>
      </c>
      <c r="DS442">
        <v>0.1</v>
      </c>
      <c r="DT442">
        <v>0.1</v>
      </c>
      <c r="DU442">
        <v>0.1</v>
      </c>
      <c r="DV442">
        <v>0.1</v>
      </c>
      <c r="DW442">
        <v>0.1</v>
      </c>
      <c r="DX442">
        <v>0.1</v>
      </c>
      <c r="DY442">
        <v>0.1</v>
      </c>
      <c r="DZ442">
        <v>0.1</v>
      </c>
      <c r="EA442">
        <v>0.1</v>
      </c>
      <c r="EB442">
        <v>0.1</v>
      </c>
      <c r="EC442">
        <v>0.1</v>
      </c>
      <c r="ED442">
        <v>0.1</v>
      </c>
      <c r="EE442">
        <v>0.1</v>
      </c>
      <c r="EF442">
        <v>0.1</v>
      </c>
    </row>
    <row r="443" spans="71:136" x14ac:dyDescent="0.25">
      <c r="BS443">
        <v>440</v>
      </c>
      <c r="BU443" s="2"/>
      <c r="BV443" s="2"/>
      <c r="BW443" s="2"/>
      <c r="BX443" s="2"/>
      <c r="BY443">
        <v>0.1</v>
      </c>
      <c r="BZ443">
        <v>0.1</v>
      </c>
      <c r="CA443">
        <v>0.1</v>
      </c>
      <c r="CB443">
        <v>0.1</v>
      </c>
      <c r="CC443">
        <v>0.1</v>
      </c>
      <c r="CD443">
        <v>0.1</v>
      </c>
      <c r="CE443">
        <v>0.1</v>
      </c>
      <c r="CF443">
        <v>0.1</v>
      </c>
      <c r="CG443">
        <v>0.1</v>
      </c>
      <c r="CH443">
        <v>0.1</v>
      </c>
      <c r="CI443">
        <v>0.1</v>
      </c>
      <c r="CJ443">
        <v>0.1</v>
      </c>
      <c r="CK443">
        <v>0.1</v>
      </c>
      <c r="CL443">
        <v>0.1</v>
      </c>
      <c r="CM443">
        <v>0.1</v>
      </c>
      <c r="CN443">
        <v>0.1</v>
      </c>
      <c r="CO443">
        <v>0.1</v>
      </c>
      <c r="CP443">
        <v>0.1</v>
      </c>
      <c r="CQ443">
        <v>0.1</v>
      </c>
      <c r="CR443">
        <v>0.1</v>
      </c>
      <c r="CS443">
        <v>0.1</v>
      </c>
      <c r="CT443">
        <v>0.1</v>
      </c>
      <c r="CU443">
        <v>0.1</v>
      </c>
      <c r="CV443">
        <v>0.1</v>
      </c>
      <c r="CW443">
        <v>0.1</v>
      </c>
      <c r="CX443">
        <v>0.1</v>
      </c>
      <c r="CY443">
        <v>0.1</v>
      </c>
      <c r="CZ443">
        <v>0.1</v>
      </c>
      <c r="DA443">
        <v>0.1</v>
      </c>
      <c r="DB443">
        <v>0.1</v>
      </c>
      <c r="DC443">
        <v>0.1</v>
      </c>
      <c r="DD443">
        <v>0.1</v>
      </c>
      <c r="DE443">
        <v>0.1</v>
      </c>
      <c r="DF443">
        <v>0.1</v>
      </c>
      <c r="DG443">
        <v>0.1</v>
      </c>
      <c r="DH443">
        <v>0.1</v>
      </c>
      <c r="DI443">
        <v>0.1</v>
      </c>
      <c r="DJ443">
        <v>0.1</v>
      </c>
      <c r="DK443">
        <v>0.1</v>
      </c>
      <c r="DL443">
        <v>0.1</v>
      </c>
      <c r="DM443">
        <v>0.1</v>
      </c>
      <c r="DN443">
        <v>0.1</v>
      </c>
      <c r="DO443">
        <v>0.1</v>
      </c>
      <c r="DP443">
        <v>0.1</v>
      </c>
      <c r="DQ443">
        <v>0.1</v>
      </c>
      <c r="DR443">
        <v>0.1</v>
      </c>
      <c r="DS443">
        <v>0.1</v>
      </c>
      <c r="DT443">
        <v>0.1</v>
      </c>
      <c r="DU443">
        <v>0.1</v>
      </c>
      <c r="DV443">
        <v>0.1</v>
      </c>
      <c r="DW443">
        <v>0.1</v>
      </c>
      <c r="DX443">
        <v>0.1</v>
      </c>
      <c r="DY443">
        <v>0.1</v>
      </c>
      <c r="DZ443">
        <v>0.1</v>
      </c>
      <c r="EA443">
        <v>0.1</v>
      </c>
      <c r="EB443">
        <v>0.1</v>
      </c>
      <c r="EC443">
        <v>0.1</v>
      </c>
      <c r="ED443">
        <v>0.1</v>
      </c>
      <c r="EE443">
        <v>0.1</v>
      </c>
      <c r="EF443">
        <v>0.1</v>
      </c>
    </row>
    <row r="444" spans="71:136" x14ac:dyDescent="0.25">
      <c r="BS444">
        <v>441</v>
      </c>
      <c r="BU444" s="2"/>
      <c r="BV444" s="2"/>
      <c r="BW444" s="2"/>
      <c r="BX444" s="2"/>
      <c r="BY444">
        <v>0.1</v>
      </c>
      <c r="BZ444">
        <v>0.1</v>
      </c>
      <c r="CA444">
        <v>0.1</v>
      </c>
      <c r="CB444">
        <v>0.1</v>
      </c>
      <c r="CC444">
        <v>0.1</v>
      </c>
      <c r="CD444">
        <v>0.1</v>
      </c>
      <c r="CE444">
        <v>0.1</v>
      </c>
      <c r="CF444">
        <v>0.1</v>
      </c>
      <c r="CG444">
        <v>0.1</v>
      </c>
      <c r="CH444">
        <v>0.1</v>
      </c>
      <c r="CI444">
        <v>0.1</v>
      </c>
      <c r="CJ444">
        <v>0.1</v>
      </c>
      <c r="CK444">
        <v>0.1</v>
      </c>
      <c r="CL444">
        <v>0.1</v>
      </c>
      <c r="CM444">
        <v>0.1</v>
      </c>
      <c r="CN444">
        <v>0.1</v>
      </c>
      <c r="CO444">
        <v>0.1</v>
      </c>
      <c r="CP444">
        <v>0.1</v>
      </c>
      <c r="CQ444">
        <v>0.1</v>
      </c>
      <c r="CR444">
        <v>0.1</v>
      </c>
      <c r="CS444">
        <v>0.1</v>
      </c>
      <c r="CT444">
        <v>0.1</v>
      </c>
      <c r="CU444">
        <v>0.1</v>
      </c>
      <c r="CV444">
        <v>0.1</v>
      </c>
      <c r="CW444">
        <v>0.1</v>
      </c>
      <c r="CX444">
        <v>0.1</v>
      </c>
      <c r="CY444">
        <v>0.1</v>
      </c>
      <c r="CZ444">
        <v>0.1</v>
      </c>
      <c r="DA444">
        <v>0.1</v>
      </c>
      <c r="DB444">
        <v>0.1</v>
      </c>
      <c r="DC444">
        <v>0.1</v>
      </c>
      <c r="DD444">
        <v>0.1</v>
      </c>
      <c r="DE444">
        <v>0.1</v>
      </c>
      <c r="DF444">
        <v>0.1</v>
      </c>
      <c r="DG444">
        <v>0.1</v>
      </c>
      <c r="DH444">
        <v>0.1</v>
      </c>
      <c r="DI444">
        <v>0.1</v>
      </c>
      <c r="DJ444">
        <v>0.1</v>
      </c>
      <c r="DK444">
        <v>0.1</v>
      </c>
      <c r="DL444">
        <v>0.1</v>
      </c>
      <c r="DM444">
        <v>0.1</v>
      </c>
      <c r="DN444">
        <v>0.1</v>
      </c>
      <c r="DO444">
        <v>0.1</v>
      </c>
      <c r="DP444">
        <v>0.1</v>
      </c>
      <c r="DQ444">
        <v>0.1</v>
      </c>
      <c r="DR444">
        <v>0.1</v>
      </c>
      <c r="DS444">
        <v>0.1</v>
      </c>
      <c r="DT444">
        <v>0.1</v>
      </c>
      <c r="DU444">
        <v>0.1</v>
      </c>
      <c r="DV444">
        <v>0.1</v>
      </c>
      <c r="DW444">
        <v>0.1</v>
      </c>
      <c r="DX444">
        <v>0.1</v>
      </c>
      <c r="DY444">
        <v>0.1</v>
      </c>
      <c r="DZ444">
        <v>0.1</v>
      </c>
      <c r="EA444">
        <v>0.1</v>
      </c>
      <c r="EB444">
        <v>0.1</v>
      </c>
      <c r="EC444">
        <v>0.1</v>
      </c>
      <c r="ED444">
        <v>0.1</v>
      </c>
      <c r="EE444">
        <v>0.1</v>
      </c>
      <c r="EF444">
        <v>0.1</v>
      </c>
    </row>
    <row r="445" spans="71:136" x14ac:dyDescent="0.25">
      <c r="BS445">
        <v>442</v>
      </c>
      <c r="BU445" s="2"/>
      <c r="BV445" s="2"/>
      <c r="BW445" s="2"/>
      <c r="BX445" s="2"/>
      <c r="BY445">
        <v>0.1</v>
      </c>
      <c r="BZ445">
        <v>0.1</v>
      </c>
      <c r="CA445">
        <v>0.1</v>
      </c>
      <c r="CB445">
        <v>0.1</v>
      </c>
      <c r="CC445">
        <v>0.1</v>
      </c>
      <c r="CD445">
        <v>0.1</v>
      </c>
      <c r="CE445">
        <v>0.1</v>
      </c>
      <c r="CF445">
        <v>0.1</v>
      </c>
      <c r="CG445">
        <v>0.1</v>
      </c>
      <c r="CH445">
        <v>0.1</v>
      </c>
      <c r="CI445">
        <v>0.1</v>
      </c>
      <c r="CJ445">
        <v>0.1</v>
      </c>
      <c r="CK445">
        <v>0.1</v>
      </c>
      <c r="CL445">
        <v>0.1</v>
      </c>
      <c r="CM445">
        <v>0.1</v>
      </c>
      <c r="CN445">
        <v>0.1</v>
      </c>
      <c r="CO445">
        <v>0.1</v>
      </c>
      <c r="CP445">
        <v>0.1</v>
      </c>
      <c r="CQ445">
        <v>0.1</v>
      </c>
      <c r="CR445">
        <v>0.1</v>
      </c>
      <c r="CS445">
        <v>0.1</v>
      </c>
      <c r="CT445">
        <v>0.1</v>
      </c>
      <c r="CU445">
        <v>0.1</v>
      </c>
      <c r="CV445">
        <v>0.1</v>
      </c>
      <c r="CW445">
        <v>0.1</v>
      </c>
      <c r="CX445">
        <v>0.1</v>
      </c>
      <c r="CY445">
        <v>0.1</v>
      </c>
      <c r="CZ445">
        <v>0.1</v>
      </c>
      <c r="DA445">
        <v>0.1</v>
      </c>
      <c r="DB445">
        <v>0.1</v>
      </c>
      <c r="DC445">
        <v>0.1</v>
      </c>
      <c r="DD445">
        <v>0.1</v>
      </c>
      <c r="DE445">
        <v>0.1</v>
      </c>
      <c r="DF445">
        <v>0.1</v>
      </c>
      <c r="DG445">
        <v>0.1</v>
      </c>
      <c r="DH445">
        <v>0.1</v>
      </c>
      <c r="DI445">
        <v>0.1</v>
      </c>
      <c r="DJ445">
        <v>0.1</v>
      </c>
      <c r="DK445">
        <v>0.1</v>
      </c>
      <c r="DL445">
        <v>0.1</v>
      </c>
      <c r="DM445">
        <v>0.1</v>
      </c>
      <c r="DN445">
        <v>0.1</v>
      </c>
      <c r="DO445">
        <v>0.1</v>
      </c>
      <c r="DP445">
        <v>0.1</v>
      </c>
      <c r="DQ445">
        <v>0.1</v>
      </c>
      <c r="DR445">
        <v>0.1</v>
      </c>
      <c r="DS445">
        <v>0.1</v>
      </c>
      <c r="DT445">
        <v>0.1</v>
      </c>
      <c r="DU445">
        <v>0.1</v>
      </c>
      <c r="DV445">
        <v>0.1</v>
      </c>
      <c r="DW445">
        <v>0.1</v>
      </c>
      <c r="DX445">
        <v>0.1</v>
      </c>
      <c r="DY445">
        <v>0.1</v>
      </c>
      <c r="DZ445">
        <v>0.1</v>
      </c>
      <c r="EA445">
        <v>0.1</v>
      </c>
      <c r="EB445">
        <v>0.1</v>
      </c>
      <c r="EC445">
        <v>0.1</v>
      </c>
      <c r="ED445">
        <v>0.1</v>
      </c>
      <c r="EE445">
        <v>0.1</v>
      </c>
      <c r="EF445">
        <v>0.1</v>
      </c>
    </row>
    <row r="446" spans="71:136" x14ac:dyDescent="0.25">
      <c r="BS446">
        <v>443</v>
      </c>
      <c r="BU446" s="2"/>
      <c r="BV446" s="2"/>
      <c r="BW446" s="2"/>
      <c r="BX446" s="2"/>
      <c r="BY446">
        <v>0.1</v>
      </c>
      <c r="BZ446">
        <v>0.1</v>
      </c>
      <c r="CA446">
        <v>0.1</v>
      </c>
      <c r="CB446">
        <v>0.1</v>
      </c>
      <c r="CC446">
        <v>0.1</v>
      </c>
      <c r="CD446">
        <v>0.1</v>
      </c>
      <c r="CE446">
        <v>0.1</v>
      </c>
      <c r="CF446">
        <v>0.1</v>
      </c>
      <c r="CG446">
        <v>0.1</v>
      </c>
      <c r="CH446">
        <v>0.1</v>
      </c>
      <c r="CI446">
        <v>0.1</v>
      </c>
      <c r="CJ446">
        <v>0.1</v>
      </c>
      <c r="CK446">
        <v>0.1</v>
      </c>
      <c r="CL446">
        <v>0.1</v>
      </c>
      <c r="CM446">
        <v>0.1</v>
      </c>
      <c r="CN446">
        <v>0.1</v>
      </c>
      <c r="CO446">
        <v>0.1</v>
      </c>
      <c r="CP446">
        <v>0.1</v>
      </c>
      <c r="CQ446">
        <v>0.1</v>
      </c>
      <c r="CR446">
        <v>0.1</v>
      </c>
      <c r="CS446">
        <v>0.1</v>
      </c>
      <c r="CT446">
        <v>0.1</v>
      </c>
      <c r="CU446">
        <v>0.1</v>
      </c>
      <c r="CV446">
        <v>0.1</v>
      </c>
      <c r="CW446">
        <v>0.1</v>
      </c>
      <c r="CX446">
        <v>0.1</v>
      </c>
      <c r="CY446">
        <v>0.1</v>
      </c>
      <c r="CZ446">
        <v>0.1</v>
      </c>
      <c r="DA446">
        <v>0.1</v>
      </c>
      <c r="DB446">
        <v>0.1</v>
      </c>
      <c r="DC446">
        <v>0.1</v>
      </c>
      <c r="DD446">
        <v>0.1</v>
      </c>
      <c r="DE446">
        <v>0.1</v>
      </c>
      <c r="DF446">
        <v>0.1</v>
      </c>
      <c r="DG446">
        <v>0.1</v>
      </c>
      <c r="DH446">
        <v>0.1</v>
      </c>
      <c r="DI446">
        <v>0.1</v>
      </c>
      <c r="DJ446">
        <v>0.1</v>
      </c>
      <c r="DK446">
        <v>0.1</v>
      </c>
      <c r="DL446">
        <v>0.1</v>
      </c>
      <c r="DM446">
        <v>0.1</v>
      </c>
      <c r="DN446">
        <v>0.1</v>
      </c>
      <c r="DO446">
        <v>0.1</v>
      </c>
      <c r="DP446">
        <v>0.1</v>
      </c>
      <c r="DQ446">
        <v>0.1</v>
      </c>
      <c r="DR446">
        <v>0.1</v>
      </c>
      <c r="DS446">
        <v>0.1</v>
      </c>
      <c r="DT446">
        <v>0.1</v>
      </c>
      <c r="DU446">
        <v>0.1</v>
      </c>
      <c r="DV446">
        <v>0.1</v>
      </c>
      <c r="DW446">
        <v>0.1</v>
      </c>
      <c r="DX446">
        <v>0.1</v>
      </c>
      <c r="DY446">
        <v>0.1</v>
      </c>
      <c r="DZ446">
        <v>0.1</v>
      </c>
      <c r="EA446">
        <v>0.1</v>
      </c>
      <c r="EB446">
        <v>0.1</v>
      </c>
      <c r="EC446">
        <v>0.1</v>
      </c>
      <c r="ED446">
        <v>0.1</v>
      </c>
      <c r="EE446">
        <v>0.1</v>
      </c>
      <c r="EF446">
        <v>0.1</v>
      </c>
    </row>
    <row r="447" spans="71:136" x14ac:dyDescent="0.25">
      <c r="BS447">
        <v>444</v>
      </c>
      <c r="BU447" s="2"/>
      <c r="BV447" s="2"/>
      <c r="BW447" s="2"/>
      <c r="BX447" s="2"/>
      <c r="BY447">
        <v>0.1</v>
      </c>
      <c r="BZ447">
        <v>0.1</v>
      </c>
      <c r="CA447">
        <v>0.1</v>
      </c>
      <c r="CB447">
        <v>0.1</v>
      </c>
      <c r="CC447">
        <v>0.1</v>
      </c>
      <c r="CD447">
        <v>0.1</v>
      </c>
      <c r="CE447">
        <v>0.1</v>
      </c>
      <c r="CF447">
        <v>0.1</v>
      </c>
      <c r="CG447">
        <v>0.1</v>
      </c>
      <c r="CH447">
        <v>0.1</v>
      </c>
      <c r="CI447">
        <v>0.1</v>
      </c>
      <c r="CJ447">
        <v>0.1</v>
      </c>
      <c r="CK447">
        <v>0.1</v>
      </c>
      <c r="CL447">
        <v>0.1</v>
      </c>
      <c r="CM447">
        <v>0.1</v>
      </c>
      <c r="CN447">
        <v>0.1</v>
      </c>
      <c r="CO447">
        <v>0.1</v>
      </c>
      <c r="CP447">
        <v>0.1</v>
      </c>
      <c r="CQ447">
        <v>0.1</v>
      </c>
      <c r="CR447">
        <v>0.1</v>
      </c>
      <c r="CS447">
        <v>0.1</v>
      </c>
      <c r="CT447">
        <v>0.1</v>
      </c>
      <c r="CU447">
        <v>0.1</v>
      </c>
      <c r="CV447">
        <v>0.1</v>
      </c>
      <c r="CW447">
        <v>0.1</v>
      </c>
      <c r="CX447">
        <v>0.1</v>
      </c>
      <c r="CY447">
        <v>0.1</v>
      </c>
      <c r="CZ447">
        <v>0.1</v>
      </c>
      <c r="DA447">
        <v>0.1</v>
      </c>
      <c r="DB447">
        <v>0.1</v>
      </c>
      <c r="DC447">
        <v>0.1</v>
      </c>
      <c r="DD447">
        <v>0.1</v>
      </c>
      <c r="DE447">
        <v>0.1</v>
      </c>
      <c r="DF447">
        <v>0.1</v>
      </c>
      <c r="DG447">
        <v>0.1</v>
      </c>
      <c r="DH447">
        <v>0.1</v>
      </c>
      <c r="DI447">
        <v>0.1</v>
      </c>
      <c r="DJ447">
        <v>0.1</v>
      </c>
      <c r="DK447">
        <v>0.1</v>
      </c>
      <c r="DL447">
        <v>0.1</v>
      </c>
      <c r="DM447">
        <v>0.1</v>
      </c>
      <c r="DN447">
        <v>0.1</v>
      </c>
      <c r="DO447">
        <v>0.1</v>
      </c>
      <c r="DP447">
        <v>0.1</v>
      </c>
      <c r="DQ447">
        <v>0.1</v>
      </c>
      <c r="DR447">
        <v>0.1</v>
      </c>
      <c r="DS447">
        <v>0.1</v>
      </c>
      <c r="DT447">
        <v>0.1</v>
      </c>
      <c r="DU447">
        <v>0.1</v>
      </c>
      <c r="DV447">
        <v>0.1</v>
      </c>
      <c r="DW447">
        <v>0.1</v>
      </c>
      <c r="DX447">
        <v>0.1</v>
      </c>
      <c r="DY447">
        <v>0.1</v>
      </c>
      <c r="DZ447">
        <v>0.1</v>
      </c>
      <c r="EA447">
        <v>0.1</v>
      </c>
      <c r="EB447">
        <v>0.1</v>
      </c>
      <c r="EC447">
        <v>0.1</v>
      </c>
      <c r="ED447">
        <v>0.1</v>
      </c>
      <c r="EE447">
        <v>0.1</v>
      </c>
      <c r="EF447">
        <v>0.1</v>
      </c>
    </row>
    <row r="448" spans="71:136" x14ac:dyDescent="0.25">
      <c r="BS448">
        <v>445</v>
      </c>
      <c r="BU448" s="2"/>
      <c r="BV448" s="2"/>
      <c r="BW448" s="2"/>
      <c r="BX448" s="2"/>
      <c r="BY448">
        <v>0.1</v>
      </c>
      <c r="BZ448">
        <v>0.1</v>
      </c>
      <c r="CA448">
        <v>0.1</v>
      </c>
      <c r="CB448">
        <v>0.1</v>
      </c>
      <c r="CC448">
        <v>0.1</v>
      </c>
      <c r="CD448">
        <v>0.1</v>
      </c>
      <c r="CE448">
        <v>0.1</v>
      </c>
      <c r="CF448">
        <v>0.1</v>
      </c>
      <c r="CG448">
        <v>0.1</v>
      </c>
      <c r="CH448">
        <v>0.1</v>
      </c>
      <c r="CI448">
        <v>0.1</v>
      </c>
      <c r="CJ448">
        <v>0.1</v>
      </c>
      <c r="CK448">
        <v>0.1</v>
      </c>
      <c r="CL448">
        <v>0.1</v>
      </c>
      <c r="CM448">
        <v>0.1</v>
      </c>
      <c r="CN448">
        <v>0.1</v>
      </c>
      <c r="CO448">
        <v>0.1</v>
      </c>
      <c r="CP448">
        <v>0.1</v>
      </c>
      <c r="CQ448">
        <v>0.1</v>
      </c>
      <c r="CR448">
        <v>0.1</v>
      </c>
      <c r="CS448">
        <v>0.1</v>
      </c>
      <c r="CT448">
        <v>0.1</v>
      </c>
      <c r="CU448">
        <v>0.1</v>
      </c>
      <c r="CV448">
        <v>0.1</v>
      </c>
      <c r="CW448">
        <v>0.1</v>
      </c>
      <c r="CX448">
        <v>0.1</v>
      </c>
      <c r="CY448">
        <v>0.1</v>
      </c>
      <c r="CZ448">
        <v>0.1</v>
      </c>
      <c r="DA448">
        <v>0.1</v>
      </c>
      <c r="DB448">
        <v>0.1</v>
      </c>
      <c r="DC448">
        <v>0.1</v>
      </c>
      <c r="DD448">
        <v>0.1</v>
      </c>
      <c r="DE448">
        <v>0.1</v>
      </c>
      <c r="DF448">
        <v>0.1</v>
      </c>
      <c r="DG448">
        <v>0.1</v>
      </c>
      <c r="DH448">
        <v>0.1</v>
      </c>
      <c r="DI448">
        <v>0.1</v>
      </c>
      <c r="DJ448">
        <v>0.1</v>
      </c>
      <c r="DK448">
        <v>0.1</v>
      </c>
      <c r="DL448">
        <v>0.1</v>
      </c>
      <c r="DM448">
        <v>0.1</v>
      </c>
      <c r="DN448">
        <v>0.1</v>
      </c>
      <c r="DO448">
        <v>0.1</v>
      </c>
      <c r="DP448">
        <v>0.1</v>
      </c>
      <c r="DQ448">
        <v>0.1</v>
      </c>
      <c r="DR448">
        <v>0.1</v>
      </c>
      <c r="DS448">
        <v>0.1</v>
      </c>
      <c r="DT448">
        <v>0.1</v>
      </c>
      <c r="DU448">
        <v>0.1</v>
      </c>
      <c r="DV448">
        <v>0.1</v>
      </c>
      <c r="DW448">
        <v>0.1</v>
      </c>
      <c r="DX448">
        <v>0.1</v>
      </c>
      <c r="DY448">
        <v>0.1</v>
      </c>
      <c r="DZ448">
        <v>0.1</v>
      </c>
      <c r="EA448">
        <v>0.1</v>
      </c>
      <c r="EB448">
        <v>0.1</v>
      </c>
      <c r="EC448">
        <v>0.1</v>
      </c>
      <c r="ED448">
        <v>0.1</v>
      </c>
      <c r="EE448">
        <v>0.1</v>
      </c>
      <c r="EF448">
        <v>0.1</v>
      </c>
    </row>
    <row r="449" spans="71:136" x14ac:dyDescent="0.25">
      <c r="BS449">
        <v>446</v>
      </c>
      <c r="BU449" s="2"/>
      <c r="BV449" s="2"/>
      <c r="BW449" s="2"/>
      <c r="BX449" s="2"/>
      <c r="BY449">
        <v>0.1</v>
      </c>
      <c r="BZ449">
        <v>0.1</v>
      </c>
      <c r="CA449">
        <v>0.1</v>
      </c>
      <c r="CB449">
        <v>0.1</v>
      </c>
      <c r="CC449">
        <v>0.1</v>
      </c>
      <c r="CD449">
        <v>0.1</v>
      </c>
      <c r="CE449">
        <v>0.1</v>
      </c>
      <c r="CF449">
        <v>0.1</v>
      </c>
      <c r="CG449">
        <v>0.1</v>
      </c>
      <c r="CH449">
        <v>0.1</v>
      </c>
      <c r="CI449">
        <v>0.1</v>
      </c>
      <c r="CJ449">
        <v>0.1</v>
      </c>
      <c r="CK449">
        <v>0.1</v>
      </c>
      <c r="CL449">
        <v>0.1</v>
      </c>
      <c r="CM449">
        <v>0.1</v>
      </c>
      <c r="CN449">
        <v>0.1</v>
      </c>
      <c r="CO449">
        <v>0.1</v>
      </c>
      <c r="CP449">
        <v>0.1</v>
      </c>
      <c r="CQ449">
        <v>0.1</v>
      </c>
      <c r="CR449">
        <v>0.1</v>
      </c>
      <c r="CS449">
        <v>0.1</v>
      </c>
      <c r="CT449">
        <v>0.1</v>
      </c>
      <c r="CU449">
        <v>0.1</v>
      </c>
      <c r="CV449">
        <v>0.1</v>
      </c>
      <c r="CW449">
        <v>0.1</v>
      </c>
      <c r="CX449">
        <v>0.1</v>
      </c>
      <c r="CY449">
        <v>0.1</v>
      </c>
      <c r="CZ449">
        <v>0.1</v>
      </c>
      <c r="DA449">
        <v>0.1</v>
      </c>
      <c r="DB449">
        <v>0.1</v>
      </c>
      <c r="DC449">
        <v>0.1</v>
      </c>
      <c r="DD449">
        <v>0.1</v>
      </c>
      <c r="DE449">
        <v>0.1</v>
      </c>
      <c r="DF449">
        <v>0.1</v>
      </c>
      <c r="DG449">
        <v>0.1</v>
      </c>
      <c r="DH449">
        <v>0.1</v>
      </c>
      <c r="DI449">
        <v>0.1</v>
      </c>
      <c r="DJ449">
        <v>0.1</v>
      </c>
      <c r="DK449">
        <v>0.1</v>
      </c>
      <c r="DL449">
        <v>0.1</v>
      </c>
      <c r="DM449">
        <v>0.1</v>
      </c>
      <c r="DN449">
        <v>0.1</v>
      </c>
      <c r="DO449">
        <v>0.1</v>
      </c>
      <c r="DP449">
        <v>0.1</v>
      </c>
      <c r="DQ449">
        <v>0.1</v>
      </c>
      <c r="DR449">
        <v>0.1</v>
      </c>
      <c r="DS449">
        <v>0.1</v>
      </c>
      <c r="DT449">
        <v>0.1</v>
      </c>
      <c r="DU449">
        <v>0.1</v>
      </c>
      <c r="DV449">
        <v>0.1</v>
      </c>
      <c r="DW449">
        <v>0.1</v>
      </c>
      <c r="DX449">
        <v>0.1</v>
      </c>
      <c r="DY449">
        <v>0.1</v>
      </c>
      <c r="DZ449">
        <v>0.1</v>
      </c>
      <c r="EA449">
        <v>0.1</v>
      </c>
      <c r="EB449">
        <v>0.1</v>
      </c>
      <c r="EC449">
        <v>0.1</v>
      </c>
      <c r="ED449">
        <v>0.1</v>
      </c>
      <c r="EE449">
        <v>0.1</v>
      </c>
      <c r="EF449">
        <v>0.1</v>
      </c>
    </row>
    <row r="450" spans="71:136" x14ac:dyDescent="0.25">
      <c r="BS450">
        <v>447</v>
      </c>
      <c r="BU450" s="2"/>
      <c r="BV450" s="2"/>
      <c r="BW450" s="2"/>
      <c r="BX450" s="2"/>
      <c r="BY450">
        <v>0.1</v>
      </c>
      <c r="BZ450">
        <v>0.1</v>
      </c>
      <c r="CA450">
        <v>0.1</v>
      </c>
      <c r="CB450">
        <v>0.1</v>
      </c>
      <c r="CC450">
        <v>0.1</v>
      </c>
      <c r="CD450">
        <v>0.1</v>
      </c>
      <c r="CE450">
        <v>0.1</v>
      </c>
      <c r="CF450">
        <v>0.1</v>
      </c>
      <c r="CG450">
        <v>0.1</v>
      </c>
      <c r="CH450">
        <v>0.1</v>
      </c>
      <c r="CI450">
        <v>0.1</v>
      </c>
      <c r="CJ450">
        <v>0.1</v>
      </c>
      <c r="CK450">
        <v>0.1</v>
      </c>
      <c r="CL450">
        <v>0.1</v>
      </c>
      <c r="CM450">
        <v>0.1</v>
      </c>
      <c r="CN450">
        <v>0.1</v>
      </c>
      <c r="CO450">
        <v>0.1</v>
      </c>
      <c r="CP450">
        <v>0.1</v>
      </c>
      <c r="CQ450">
        <v>0.1</v>
      </c>
      <c r="CR450">
        <v>0.1</v>
      </c>
      <c r="CS450">
        <v>0.1</v>
      </c>
      <c r="CT450">
        <v>0.1</v>
      </c>
      <c r="CU450">
        <v>0.1</v>
      </c>
      <c r="CV450">
        <v>0.1</v>
      </c>
      <c r="CW450">
        <v>0.1</v>
      </c>
      <c r="CX450">
        <v>0.1</v>
      </c>
      <c r="CY450">
        <v>0.1</v>
      </c>
      <c r="CZ450">
        <v>0.1</v>
      </c>
      <c r="DA450">
        <v>0.1</v>
      </c>
      <c r="DB450">
        <v>0.1</v>
      </c>
      <c r="DC450">
        <v>0.1</v>
      </c>
      <c r="DD450">
        <v>0.1</v>
      </c>
      <c r="DE450">
        <v>0.1</v>
      </c>
      <c r="DF450">
        <v>0.1</v>
      </c>
      <c r="DG450">
        <v>0.1</v>
      </c>
      <c r="DH450">
        <v>0.1</v>
      </c>
      <c r="DI450">
        <v>0.1</v>
      </c>
      <c r="DJ450">
        <v>0.1</v>
      </c>
      <c r="DK450">
        <v>0.1</v>
      </c>
      <c r="DL450">
        <v>0.1</v>
      </c>
      <c r="DM450">
        <v>0.1</v>
      </c>
      <c r="DN450">
        <v>0.1</v>
      </c>
      <c r="DO450">
        <v>0.1</v>
      </c>
      <c r="DP450">
        <v>0.1</v>
      </c>
      <c r="DQ450">
        <v>0.1</v>
      </c>
      <c r="DR450">
        <v>0.1</v>
      </c>
      <c r="DS450">
        <v>0.1</v>
      </c>
      <c r="DT450">
        <v>0.1</v>
      </c>
      <c r="DU450">
        <v>0.1</v>
      </c>
      <c r="DV450">
        <v>0.1</v>
      </c>
      <c r="DW450">
        <v>0.1</v>
      </c>
      <c r="DX450">
        <v>0.1</v>
      </c>
      <c r="DY450">
        <v>0.1</v>
      </c>
      <c r="DZ450">
        <v>0.1</v>
      </c>
      <c r="EA450">
        <v>0.1</v>
      </c>
      <c r="EB450">
        <v>0.1</v>
      </c>
      <c r="EC450">
        <v>0.1</v>
      </c>
      <c r="ED450">
        <v>0.1</v>
      </c>
      <c r="EE450">
        <v>0.1</v>
      </c>
      <c r="EF450">
        <v>0.1</v>
      </c>
    </row>
    <row r="451" spans="71:136" x14ac:dyDescent="0.25">
      <c r="BS451">
        <v>448</v>
      </c>
      <c r="BU451" s="2"/>
      <c r="BV451" s="2"/>
      <c r="BW451" s="2"/>
      <c r="BX451" s="2"/>
      <c r="BY451">
        <v>0.1</v>
      </c>
      <c r="BZ451">
        <v>0.1</v>
      </c>
      <c r="CA451">
        <v>0.1</v>
      </c>
      <c r="CB451">
        <v>0.1</v>
      </c>
      <c r="CC451">
        <v>0.1</v>
      </c>
      <c r="CD451">
        <v>0.1</v>
      </c>
      <c r="CE451">
        <v>0.1</v>
      </c>
      <c r="CF451">
        <v>0.1</v>
      </c>
      <c r="CG451">
        <v>0.1</v>
      </c>
      <c r="CH451">
        <v>0.1</v>
      </c>
      <c r="CI451">
        <v>0.1</v>
      </c>
      <c r="CJ451">
        <v>0.1</v>
      </c>
      <c r="CK451">
        <v>0.1</v>
      </c>
      <c r="CL451">
        <v>0.1</v>
      </c>
      <c r="CM451">
        <v>0.1</v>
      </c>
      <c r="CN451">
        <v>0.1</v>
      </c>
      <c r="CO451">
        <v>0.1</v>
      </c>
      <c r="CP451">
        <v>0.1</v>
      </c>
      <c r="CQ451">
        <v>0.1</v>
      </c>
      <c r="CR451">
        <v>0.1</v>
      </c>
      <c r="CS451">
        <v>0.1</v>
      </c>
      <c r="CT451">
        <v>0.1</v>
      </c>
      <c r="CU451">
        <v>0.1</v>
      </c>
      <c r="CV451">
        <v>0.1</v>
      </c>
      <c r="CW451">
        <v>0.1</v>
      </c>
      <c r="CX451">
        <v>0.1</v>
      </c>
      <c r="CY451">
        <v>0.1</v>
      </c>
      <c r="CZ451">
        <v>0.1</v>
      </c>
      <c r="DA451">
        <v>0.1</v>
      </c>
      <c r="DB451">
        <v>0.1</v>
      </c>
      <c r="DC451">
        <v>0.1</v>
      </c>
      <c r="DD451">
        <v>0.1</v>
      </c>
      <c r="DE451">
        <v>0.1</v>
      </c>
      <c r="DF451">
        <v>0.1</v>
      </c>
      <c r="DG451">
        <v>0.1</v>
      </c>
      <c r="DH451">
        <v>0.1</v>
      </c>
      <c r="DI451">
        <v>0.1</v>
      </c>
      <c r="DJ451">
        <v>0.1</v>
      </c>
      <c r="DK451">
        <v>0.1</v>
      </c>
      <c r="DL451">
        <v>0.1</v>
      </c>
      <c r="DM451">
        <v>0.1</v>
      </c>
      <c r="DN451">
        <v>0.1</v>
      </c>
      <c r="DO451">
        <v>0.1</v>
      </c>
      <c r="DP451">
        <v>0.1</v>
      </c>
      <c r="DQ451">
        <v>0.1</v>
      </c>
      <c r="DR451">
        <v>0.1</v>
      </c>
      <c r="DS451">
        <v>0.1</v>
      </c>
      <c r="DT451">
        <v>0.1</v>
      </c>
      <c r="DU451">
        <v>0.1</v>
      </c>
      <c r="DV451">
        <v>0.1</v>
      </c>
      <c r="DW451">
        <v>0.1</v>
      </c>
      <c r="DX451">
        <v>0.1</v>
      </c>
      <c r="DY451">
        <v>0.1</v>
      </c>
      <c r="DZ451">
        <v>0.1</v>
      </c>
      <c r="EA451">
        <v>0.1</v>
      </c>
      <c r="EB451">
        <v>0.1</v>
      </c>
      <c r="EC451">
        <v>0.1</v>
      </c>
      <c r="ED451">
        <v>0.1</v>
      </c>
      <c r="EE451">
        <v>0.1</v>
      </c>
      <c r="EF451">
        <v>0.1</v>
      </c>
    </row>
    <row r="452" spans="71:136" x14ac:dyDescent="0.25">
      <c r="BS452">
        <v>449</v>
      </c>
      <c r="BU452" s="2"/>
      <c r="BV452" s="2"/>
      <c r="BW452" s="2"/>
      <c r="BX452" s="2"/>
      <c r="BY452">
        <v>0.1</v>
      </c>
      <c r="BZ452">
        <v>0.1</v>
      </c>
      <c r="CA452">
        <v>0.1</v>
      </c>
      <c r="CB452">
        <v>0.1</v>
      </c>
      <c r="CC452">
        <v>0.1</v>
      </c>
      <c r="CD452">
        <v>0.1</v>
      </c>
      <c r="CE452">
        <v>0.1</v>
      </c>
      <c r="CF452">
        <v>0.1</v>
      </c>
      <c r="CG452">
        <v>0.1</v>
      </c>
      <c r="CH452">
        <v>0.1</v>
      </c>
      <c r="CI452">
        <v>0.1</v>
      </c>
      <c r="CJ452">
        <v>0.1</v>
      </c>
      <c r="CK452">
        <v>0.1</v>
      </c>
      <c r="CL452">
        <v>0.1</v>
      </c>
      <c r="CM452">
        <v>0.1</v>
      </c>
      <c r="CN452">
        <v>0.1</v>
      </c>
      <c r="CO452">
        <v>0.1</v>
      </c>
      <c r="CP452">
        <v>0.1</v>
      </c>
      <c r="CQ452">
        <v>0.1</v>
      </c>
      <c r="CR452">
        <v>0.1</v>
      </c>
      <c r="CS452">
        <v>0.1</v>
      </c>
      <c r="CT452">
        <v>0.1</v>
      </c>
      <c r="CU452">
        <v>0.1</v>
      </c>
      <c r="CV452">
        <v>0.1</v>
      </c>
      <c r="CW452">
        <v>0.1</v>
      </c>
      <c r="CX452">
        <v>0.1</v>
      </c>
      <c r="CY452">
        <v>0.1</v>
      </c>
      <c r="CZ452">
        <v>0.1</v>
      </c>
      <c r="DA452">
        <v>0.1</v>
      </c>
      <c r="DB452">
        <v>0.1</v>
      </c>
      <c r="DC452">
        <v>0.1</v>
      </c>
      <c r="DD452">
        <v>0.1</v>
      </c>
      <c r="DE452">
        <v>0.1</v>
      </c>
      <c r="DF452">
        <v>0.1</v>
      </c>
      <c r="DG452">
        <v>0.1</v>
      </c>
      <c r="DH452">
        <v>0.1</v>
      </c>
      <c r="DI452">
        <v>0.1</v>
      </c>
      <c r="DJ452">
        <v>0.1</v>
      </c>
      <c r="DK452">
        <v>0.1</v>
      </c>
      <c r="DL452">
        <v>0.1</v>
      </c>
      <c r="DM452">
        <v>0.1</v>
      </c>
      <c r="DN452">
        <v>0.1</v>
      </c>
      <c r="DO452">
        <v>0.1</v>
      </c>
      <c r="DP452">
        <v>0.1</v>
      </c>
      <c r="DQ452">
        <v>0.1</v>
      </c>
      <c r="DR452">
        <v>0.1</v>
      </c>
      <c r="DS452">
        <v>0.1</v>
      </c>
      <c r="DT452">
        <v>0.1</v>
      </c>
      <c r="DU452">
        <v>0.1</v>
      </c>
      <c r="DV452">
        <v>0.1</v>
      </c>
      <c r="DW452">
        <v>0.1</v>
      </c>
      <c r="DX452">
        <v>0.1</v>
      </c>
      <c r="DY452">
        <v>0.1</v>
      </c>
      <c r="DZ452">
        <v>0.1</v>
      </c>
      <c r="EA452">
        <v>0.1</v>
      </c>
      <c r="EB452">
        <v>0.1</v>
      </c>
      <c r="EC452">
        <v>0.1</v>
      </c>
      <c r="ED452">
        <v>0.1</v>
      </c>
      <c r="EE452">
        <v>0.1</v>
      </c>
      <c r="EF452">
        <v>0.1</v>
      </c>
    </row>
    <row r="453" spans="71:136" x14ac:dyDescent="0.25">
      <c r="BS453">
        <v>450</v>
      </c>
      <c r="BU453" s="2"/>
      <c r="BV453" s="2"/>
      <c r="BW453" s="2"/>
      <c r="BX453" s="2"/>
      <c r="BY453">
        <v>0.1</v>
      </c>
      <c r="BZ453">
        <v>0.1</v>
      </c>
      <c r="CA453">
        <v>0.1</v>
      </c>
      <c r="CB453">
        <v>0.1</v>
      </c>
      <c r="CC453">
        <v>0.1</v>
      </c>
      <c r="CD453">
        <v>0.1</v>
      </c>
      <c r="CE453">
        <v>0.1</v>
      </c>
      <c r="CF453">
        <v>0.1</v>
      </c>
      <c r="CG453">
        <v>0.1</v>
      </c>
      <c r="CH453">
        <v>0.1</v>
      </c>
      <c r="CI453">
        <v>0.1</v>
      </c>
      <c r="CJ453">
        <v>0.1</v>
      </c>
      <c r="CK453">
        <v>0.1</v>
      </c>
      <c r="CL453">
        <v>0.1</v>
      </c>
      <c r="CM453">
        <v>0.1</v>
      </c>
      <c r="CN453">
        <v>0.1</v>
      </c>
      <c r="CO453">
        <v>0.1</v>
      </c>
      <c r="CP453">
        <v>0.1</v>
      </c>
      <c r="CQ453">
        <v>0.1</v>
      </c>
      <c r="CR453">
        <v>0.1</v>
      </c>
      <c r="CS453">
        <v>0.1</v>
      </c>
      <c r="CT453">
        <v>0.1</v>
      </c>
      <c r="CU453">
        <v>0.1</v>
      </c>
      <c r="CV453">
        <v>0.1</v>
      </c>
      <c r="CW453">
        <v>0.1</v>
      </c>
      <c r="CX453">
        <v>0.1</v>
      </c>
      <c r="CY453">
        <v>0.1</v>
      </c>
      <c r="CZ453">
        <v>0.1</v>
      </c>
      <c r="DA453">
        <v>0.1</v>
      </c>
      <c r="DB453">
        <v>0.1</v>
      </c>
      <c r="DC453">
        <v>0.1</v>
      </c>
      <c r="DD453">
        <v>0.1</v>
      </c>
      <c r="DE453">
        <v>0.1</v>
      </c>
      <c r="DF453">
        <v>0.1</v>
      </c>
      <c r="DG453">
        <v>0.1</v>
      </c>
      <c r="DH453">
        <v>0.1</v>
      </c>
      <c r="DI453">
        <v>0.1</v>
      </c>
      <c r="DJ453">
        <v>0.1</v>
      </c>
      <c r="DK453">
        <v>0.1</v>
      </c>
      <c r="DL453">
        <v>0.1</v>
      </c>
      <c r="DM453">
        <v>0.1</v>
      </c>
      <c r="DN453">
        <v>0.1</v>
      </c>
      <c r="DO453">
        <v>0.1</v>
      </c>
      <c r="DP453">
        <v>0.1</v>
      </c>
      <c r="DQ453">
        <v>0.1</v>
      </c>
      <c r="DR453">
        <v>0.1</v>
      </c>
      <c r="DS453">
        <v>0.1</v>
      </c>
      <c r="DT453">
        <v>0.1</v>
      </c>
      <c r="DU453">
        <v>0.1</v>
      </c>
      <c r="DV453">
        <v>0.1</v>
      </c>
      <c r="DW453">
        <v>0.1</v>
      </c>
      <c r="DX453">
        <v>0.1</v>
      </c>
      <c r="DY453">
        <v>0.1</v>
      </c>
      <c r="DZ453">
        <v>0.1</v>
      </c>
      <c r="EA453">
        <v>0.1</v>
      </c>
      <c r="EB453">
        <v>0.1</v>
      </c>
      <c r="EC453">
        <v>0.1</v>
      </c>
      <c r="ED453">
        <v>0.1</v>
      </c>
      <c r="EE453">
        <v>0.1</v>
      </c>
      <c r="EF453">
        <v>0.1</v>
      </c>
    </row>
    <row r="454" spans="71:136" x14ac:dyDescent="0.25">
      <c r="BS454">
        <v>451</v>
      </c>
      <c r="BU454" s="2"/>
      <c r="BV454" s="2"/>
      <c r="BW454" s="2"/>
      <c r="BX454" s="2"/>
      <c r="BY454">
        <v>0.1</v>
      </c>
      <c r="BZ454">
        <v>0.1</v>
      </c>
      <c r="CA454">
        <v>0.1</v>
      </c>
      <c r="CB454">
        <v>0.1</v>
      </c>
      <c r="CC454">
        <v>0.1</v>
      </c>
      <c r="CD454">
        <v>0.1</v>
      </c>
      <c r="CE454">
        <v>0.1</v>
      </c>
      <c r="CF454">
        <v>0.1</v>
      </c>
      <c r="CG454">
        <v>0.1</v>
      </c>
      <c r="CH454">
        <v>0.1</v>
      </c>
      <c r="CI454">
        <v>0.1</v>
      </c>
      <c r="CJ454">
        <v>0.1</v>
      </c>
      <c r="CK454">
        <v>0.1</v>
      </c>
      <c r="CL454">
        <v>0.1</v>
      </c>
      <c r="CM454">
        <v>0.1</v>
      </c>
      <c r="CN454">
        <v>0.1</v>
      </c>
      <c r="CO454">
        <v>0.1</v>
      </c>
      <c r="CP454">
        <v>0.1</v>
      </c>
      <c r="CQ454">
        <v>0.1</v>
      </c>
      <c r="CR454">
        <v>0.1</v>
      </c>
      <c r="CS454">
        <v>0.1</v>
      </c>
      <c r="CT454">
        <v>0.1</v>
      </c>
      <c r="CU454">
        <v>0.1</v>
      </c>
      <c r="CV454">
        <v>0.1</v>
      </c>
      <c r="CW454">
        <v>0.1</v>
      </c>
      <c r="CX454">
        <v>0.1</v>
      </c>
      <c r="CY454">
        <v>0.1</v>
      </c>
      <c r="CZ454">
        <v>0.1</v>
      </c>
      <c r="DA454">
        <v>0.1</v>
      </c>
      <c r="DB454">
        <v>0.1</v>
      </c>
      <c r="DC454">
        <v>0.1</v>
      </c>
      <c r="DD454">
        <v>0.1</v>
      </c>
      <c r="DE454">
        <v>0.1</v>
      </c>
      <c r="DF454">
        <v>0.1</v>
      </c>
      <c r="DG454">
        <v>0.1</v>
      </c>
      <c r="DH454">
        <v>0.1</v>
      </c>
      <c r="DI454">
        <v>0.1</v>
      </c>
      <c r="DJ454">
        <v>0.1</v>
      </c>
      <c r="DK454">
        <v>0.1</v>
      </c>
      <c r="DL454">
        <v>0.1</v>
      </c>
      <c r="DM454">
        <v>0.1</v>
      </c>
      <c r="DN454">
        <v>0.1</v>
      </c>
      <c r="DO454">
        <v>0.1</v>
      </c>
      <c r="DP454">
        <v>0.1</v>
      </c>
      <c r="DQ454">
        <v>0.1</v>
      </c>
      <c r="DR454">
        <v>0.1</v>
      </c>
      <c r="DS454">
        <v>0.1</v>
      </c>
      <c r="DT454">
        <v>0.1</v>
      </c>
      <c r="DU454">
        <v>0.1</v>
      </c>
      <c r="DV454">
        <v>0.1</v>
      </c>
      <c r="DW454">
        <v>0.1</v>
      </c>
      <c r="DX454">
        <v>0.1</v>
      </c>
      <c r="DY454">
        <v>0.1</v>
      </c>
      <c r="DZ454">
        <v>0.1</v>
      </c>
      <c r="EA454">
        <v>0.1</v>
      </c>
      <c r="EB454">
        <v>0.1</v>
      </c>
      <c r="EC454">
        <v>0.1</v>
      </c>
      <c r="ED454">
        <v>0.1</v>
      </c>
      <c r="EE454">
        <v>0.1</v>
      </c>
      <c r="EF454">
        <v>0.1</v>
      </c>
    </row>
    <row r="455" spans="71:136" x14ac:dyDescent="0.25">
      <c r="BS455">
        <v>452</v>
      </c>
      <c r="BU455" s="2"/>
      <c r="BV455" s="2"/>
      <c r="BW455" s="2"/>
      <c r="BX455" s="2"/>
      <c r="BY455">
        <v>0.1</v>
      </c>
      <c r="BZ455">
        <v>0.1</v>
      </c>
      <c r="CA455">
        <v>0.1</v>
      </c>
      <c r="CB455">
        <v>0.1</v>
      </c>
      <c r="CC455">
        <v>0.1</v>
      </c>
      <c r="CD455">
        <v>0.1</v>
      </c>
      <c r="CE455">
        <v>0.1</v>
      </c>
      <c r="CF455">
        <v>0.1</v>
      </c>
      <c r="CG455">
        <v>0.1</v>
      </c>
      <c r="CH455">
        <v>0.1</v>
      </c>
      <c r="CI455">
        <v>0.1</v>
      </c>
      <c r="CJ455">
        <v>0.1</v>
      </c>
      <c r="CK455">
        <v>0.1</v>
      </c>
      <c r="CL455">
        <v>0.1</v>
      </c>
      <c r="CM455">
        <v>0.1</v>
      </c>
      <c r="CN455">
        <v>0.1</v>
      </c>
      <c r="CO455">
        <v>0.1</v>
      </c>
      <c r="CP455">
        <v>0.1</v>
      </c>
      <c r="CQ455">
        <v>0.1</v>
      </c>
      <c r="CR455">
        <v>0.1</v>
      </c>
      <c r="CS455">
        <v>0.1</v>
      </c>
      <c r="CT455">
        <v>0.1</v>
      </c>
      <c r="CU455">
        <v>0.1</v>
      </c>
      <c r="CV455">
        <v>0.1</v>
      </c>
      <c r="CW455">
        <v>0.1</v>
      </c>
      <c r="CX455">
        <v>0.1</v>
      </c>
      <c r="CY455">
        <v>0.1</v>
      </c>
      <c r="CZ455">
        <v>0.1</v>
      </c>
      <c r="DA455">
        <v>0.1</v>
      </c>
      <c r="DB455">
        <v>0.1</v>
      </c>
      <c r="DC455">
        <v>0.1</v>
      </c>
      <c r="DD455">
        <v>0.1</v>
      </c>
      <c r="DE455">
        <v>0.1</v>
      </c>
      <c r="DF455">
        <v>0.1</v>
      </c>
      <c r="DG455">
        <v>0.1</v>
      </c>
      <c r="DH455">
        <v>0.1</v>
      </c>
      <c r="DI455">
        <v>0.1</v>
      </c>
      <c r="DJ455">
        <v>0.1</v>
      </c>
      <c r="DK455">
        <v>0.1</v>
      </c>
      <c r="DL455">
        <v>0.1</v>
      </c>
      <c r="DM455">
        <v>0.1</v>
      </c>
      <c r="DN455">
        <v>0.1</v>
      </c>
      <c r="DO455">
        <v>0.1</v>
      </c>
      <c r="DP455">
        <v>0.1</v>
      </c>
      <c r="DQ455">
        <v>0.1</v>
      </c>
      <c r="DR455">
        <v>0.1</v>
      </c>
      <c r="DS455">
        <v>0.1</v>
      </c>
      <c r="DT455">
        <v>0.1</v>
      </c>
      <c r="DU455">
        <v>0.1</v>
      </c>
      <c r="DV455">
        <v>0.1</v>
      </c>
      <c r="DW455">
        <v>0.1</v>
      </c>
      <c r="DX455">
        <v>0.1</v>
      </c>
      <c r="DY455">
        <v>0.1</v>
      </c>
      <c r="DZ455">
        <v>0.1</v>
      </c>
      <c r="EA455">
        <v>0.1</v>
      </c>
      <c r="EB455">
        <v>0.1</v>
      </c>
      <c r="EC455">
        <v>0.1</v>
      </c>
      <c r="ED455">
        <v>0.1</v>
      </c>
      <c r="EE455">
        <v>0.1</v>
      </c>
      <c r="EF455">
        <v>0.1</v>
      </c>
    </row>
    <row r="456" spans="71:136" x14ac:dyDescent="0.25">
      <c r="BS456">
        <v>453</v>
      </c>
      <c r="BU456" s="2"/>
      <c r="BV456" s="2"/>
      <c r="BW456" s="2"/>
      <c r="BX456" s="2"/>
      <c r="BY456">
        <v>0.1</v>
      </c>
      <c r="BZ456">
        <v>0.1</v>
      </c>
      <c r="CA456">
        <v>0.1</v>
      </c>
      <c r="CB456">
        <v>0.1</v>
      </c>
      <c r="CC456">
        <v>0.1</v>
      </c>
      <c r="CD456">
        <v>0.1</v>
      </c>
      <c r="CE456">
        <v>0.1</v>
      </c>
      <c r="CF456">
        <v>0.1</v>
      </c>
      <c r="CG456">
        <v>0.1</v>
      </c>
      <c r="CH456">
        <v>0.1</v>
      </c>
      <c r="CI456">
        <v>0.1</v>
      </c>
      <c r="CJ456">
        <v>0.1</v>
      </c>
      <c r="CK456">
        <v>0.1</v>
      </c>
      <c r="CL456">
        <v>0.1</v>
      </c>
      <c r="CM456">
        <v>0.1</v>
      </c>
      <c r="CN456">
        <v>0.1</v>
      </c>
      <c r="CO456">
        <v>0.1</v>
      </c>
      <c r="CP456">
        <v>0.1</v>
      </c>
      <c r="CQ456">
        <v>0.1</v>
      </c>
      <c r="CR456">
        <v>0.1</v>
      </c>
      <c r="CS456">
        <v>0.1</v>
      </c>
      <c r="CT456">
        <v>0.1</v>
      </c>
      <c r="CU456">
        <v>0.1</v>
      </c>
      <c r="CV456">
        <v>0.1</v>
      </c>
      <c r="CW456">
        <v>0.1</v>
      </c>
      <c r="CX456">
        <v>0.1</v>
      </c>
      <c r="CY456">
        <v>0.1</v>
      </c>
      <c r="CZ456">
        <v>0.1</v>
      </c>
      <c r="DA456">
        <v>0.1</v>
      </c>
      <c r="DB456">
        <v>0.1</v>
      </c>
      <c r="DC456">
        <v>0.1</v>
      </c>
      <c r="DD456">
        <v>0.1</v>
      </c>
      <c r="DE456">
        <v>0.1</v>
      </c>
      <c r="DF456">
        <v>0.1</v>
      </c>
      <c r="DG456">
        <v>0.1</v>
      </c>
      <c r="DH456">
        <v>0.1</v>
      </c>
      <c r="DI456">
        <v>0.1</v>
      </c>
      <c r="DJ456">
        <v>0.1</v>
      </c>
      <c r="DK456">
        <v>0.1</v>
      </c>
      <c r="DL456">
        <v>0.1</v>
      </c>
      <c r="DM456">
        <v>0.1</v>
      </c>
      <c r="DN456">
        <v>0.1</v>
      </c>
      <c r="DO456">
        <v>0.1</v>
      </c>
      <c r="DP456">
        <v>0.1</v>
      </c>
      <c r="DQ456">
        <v>0.1</v>
      </c>
      <c r="DR456">
        <v>0.1</v>
      </c>
      <c r="DS456">
        <v>0.1</v>
      </c>
      <c r="DT456">
        <v>0.1</v>
      </c>
      <c r="DU456">
        <v>0.1</v>
      </c>
      <c r="DV456">
        <v>0.1</v>
      </c>
      <c r="DW456">
        <v>0.1</v>
      </c>
      <c r="DX456">
        <v>0.1</v>
      </c>
      <c r="DY456">
        <v>0.1</v>
      </c>
      <c r="DZ456">
        <v>0.1</v>
      </c>
      <c r="EA456">
        <v>0.1</v>
      </c>
      <c r="EB456">
        <v>0.1</v>
      </c>
      <c r="EC456">
        <v>0.1</v>
      </c>
      <c r="ED456">
        <v>0.1</v>
      </c>
      <c r="EE456">
        <v>0.1</v>
      </c>
      <c r="EF456">
        <v>0.1</v>
      </c>
    </row>
    <row r="457" spans="71:136" x14ac:dyDescent="0.25">
      <c r="BS457">
        <v>454</v>
      </c>
      <c r="BU457" s="2"/>
      <c r="BV457" s="2"/>
      <c r="BW457" s="2"/>
      <c r="BX457" s="2"/>
      <c r="BY457">
        <v>0.1</v>
      </c>
      <c r="BZ457">
        <v>0.1</v>
      </c>
      <c r="CA457">
        <v>0.1</v>
      </c>
      <c r="CB457">
        <v>0.1</v>
      </c>
      <c r="CC457">
        <v>0.1</v>
      </c>
      <c r="CD457">
        <v>0.1</v>
      </c>
      <c r="CE457">
        <v>0.1</v>
      </c>
      <c r="CF457">
        <v>0.1</v>
      </c>
      <c r="CG457">
        <v>0.1</v>
      </c>
      <c r="CH457">
        <v>0.1</v>
      </c>
      <c r="CI457">
        <v>0.1</v>
      </c>
      <c r="CJ457">
        <v>0.1</v>
      </c>
      <c r="CK457">
        <v>0.1</v>
      </c>
      <c r="CL457">
        <v>0.1</v>
      </c>
      <c r="CM457">
        <v>0.1</v>
      </c>
      <c r="CN457">
        <v>0.1</v>
      </c>
      <c r="CO457">
        <v>0.1</v>
      </c>
      <c r="CP457">
        <v>0.1</v>
      </c>
      <c r="CQ457">
        <v>0.1</v>
      </c>
      <c r="CR457">
        <v>0.1</v>
      </c>
      <c r="CS457">
        <v>0.1</v>
      </c>
      <c r="CT457">
        <v>0.1</v>
      </c>
      <c r="CU457">
        <v>0.1</v>
      </c>
      <c r="CV457">
        <v>0.1</v>
      </c>
      <c r="CW457">
        <v>0.1</v>
      </c>
      <c r="CX457">
        <v>0.1</v>
      </c>
      <c r="CY457">
        <v>0.1</v>
      </c>
      <c r="CZ457">
        <v>0.1</v>
      </c>
      <c r="DA457">
        <v>0.1</v>
      </c>
      <c r="DB457">
        <v>0.1</v>
      </c>
      <c r="DC457">
        <v>0.1</v>
      </c>
      <c r="DD457">
        <v>0.1</v>
      </c>
      <c r="DE457">
        <v>0.1</v>
      </c>
      <c r="DF457">
        <v>0.1</v>
      </c>
      <c r="DG457">
        <v>0.1</v>
      </c>
      <c r="DH457">
        <v>0.1</v>
      </c>
      <c r="DI457">
        <v>0.1</v>
      </c>
      <c r="DJ457">
        <v>0.1</v>
      </c>
      <c r="DK457">
        <v>0.1</v>
      </c>
      <c r="DL457">
        <v>0.1</v>
      </c>
      <c r="DM457">
        <v>0.1</v>
      </c>
      <c r="DN457">
        <v>0.1</v>
      </c>
      <c r="DO457">
        <v>0.1</v>
      </c>
      <c r="DP457">
        <v>0.1</v>
      </c>
      <c r="DQ457">
        <v>0.1</v>
      </c>
      <c r="DR457">
        <v>0.1</v>
      </c>
      <c r="DS457">
        <v>0.1</v>
      </c>
      <c r="DT457">
        <v>0.1</v>
      </c>
      <c r="DU457">
        <v>0.1</v>
      </c>
      <c r="DV457">
        <v>0.1</v>
      </c>
      <c r="DW457">
        <v>0.1</v>
      </c>
      <c r="DX457">
        <v>0.1</v>
      </c>
      <c r="DY457">
        <v>0.1</v>
      </c>
      <c r="DZ457">
        <v>0.1</v>
      </c>
      <c r="EA457">
        <v>0.1</v>
      </c>
      <c r="EB457">
        <v>0.1</v>
      </c>
      <c r="EC457">
        <v>0.1</v>
      </c>
      <c r="ED457">
        <v>0.1</v>
      </c>
      <c r="EE457">
        <v>0.1</v>
      </c>
      <c r="EF457">
        <v>0.1</v>
      </c>
    </row>
    <row r="458" spans="71:136" x14ac:dyDescent="0.25">
      <c r="BS458">
        <v>455</v>
      </c>
      <c r="BU458" s="2"/>
      <c r="BV458" s="2"/>
      <c r="BW458" s="2"/>
      <c r="BX458" s="2"/>
      <c r="BY458">
        <v>0.1</v>
      </c>
      <c r="BZ458">
        <v>0.1</v>
      </c>
      <c r="CA458">
        <v>0.1</v>
      </c>
      <c r="CB458">
        <v>0.1</v>
      </c>
      <c r="CC458">
        <v>0.1</v>
      </c>
      <c r="CD458">
        <v>0.1</v>
      </c>
      <c r="CE458">
        <v>0.1</v>
      </c>
      <c r="CF458">
        <v>0.1</v>
      </c>
      <c r="CG458">
        <v>0.1</v>
      </c>
      <c r="CH458">
        <v>0.1</v>
      </c>
      <c r="CI458">
        <v>0.1</v>
      </c>
      <c r="CJ458">
        <v>0.1</v>
      </c>
      <c r="CK458">
        <v>0.1</v>
      </c>
      <c r="CL458">
        <v>0.1</v>
      </c>
      <c r="CM458">
        <v>0.1</v>
      </c>
      <c r="CN458">
        <v>0.1</v>
      </c>
      <c r="CO458">
        <v>0.1</v>
      </c>
      <c r="CP458">
        <v>0.1</v>
      </c>
      <c r="CQ458">
        <v>0.1</v>
      </c>
      <c r="CR458">
        <v>0.1</v>
      </c>
      <c r="CS458">
        <v>0.1</v>
      </c>
      <c r="CT458">
        <v>0.1</v>
      </c>
      <c r="CU458">
        <v>0.1</v>
      </c>
      <c r="CV458">
        <v>0.1</v>
      </c>
      <c r="CW458">
        <v>0.1</v>
      </c>
      <c r="CX458">
        <v>0.1</v>
      </c>
      <c r="CY458">
        <v>0.1</v>
      </c>
      <c r="CZ458">
        <v>0.1</v>
      </c>
      <c r="DA458">
        <v>0.1</v>
      </c>
      <c r="DB458">
        <v>0.1</v>
      </c>
      <c r="DC458">
        <v>0.1</v>
      </c>
      <c r="DD458">
        <v>0.1</v>
      </c>
      <c r="DE458">
        <v>0.1</v>
      </c>
      <c r="DF458">
        <v>0.1</v>
      </c>
      <c r="DG458">
        <v>0.1</v>
      </c>
      <c r="DH458">
        <v>0.1</v>
      </c>
      <c r="DI458">
        <v>0.1</v>
      </c>
      <c r="DJ458">
        <v>0.1</v>
      </c>
      <c r="DK458">
        <v>0.1</v>
      </c>
      <c r="DL458">
        <v>0.1</v>
      </c>
      <c r="DM458">
        <v>0.1</v>
      </c>
      <c r="DN458">
        <v>0.1</v>
      </c>
      <c r="DO458">
        <v>0.1</v>
      </c>
      <c r="DP458">
        <v>0.1</v>
      </c>
      <c r="DQ458">
        <v>0.1</v>
      </c>
      <c r="DR458">
        <v>0.1</v>
      </c>
      <c r="DS458">
        <v>0.1</v>
      </c>
      <c r="DT458">
        <v>0.1</v>
      </c>
      <c r="DU458">
        <v>0.1</v>
      </c>
      <c r="DV458">
        <v>0.1</v>
      </c>
      <c r="DW458">
        <v>0.1</v>
      </c>
      <c r="DX458">
        <v>0.1</v>
      </c>
      <c r="DY458">
        <v>0.1</v>
      </c>
      <c r="DZ458">
        <v>0.1</v>
      </c>
      <c r="EA458">
        <v>0.1</v>
      </c>
      <c r="EB458">
        <v>0.1</v>
      </c>
      <c r="EC458">
        <v>0.1</v>
      </c>
      <c r="ED458">
        <v>0.1</v>
      </c>
      <c r="EE458">
        <v>0.1</v>
      </c>
      <c r="EF458">
        <v>0.1</v>
      </c>
    </row>
    <row r="459" spans="71:136" x14ac:dyDescent="0.25">
      <c r="BS459">
        <v>456</v>
      </c>
      <c r="BU459" s="2"/>
      <c r="BV459" s="2"/>
      <c r="BW459" s="2"/>
      <c r="BX459" s="2"/>
      <c r="BY459">
        <v>0.1</v>
      </c>
      <c r="BZ459">
        <v>0.1</v>
      </c>
      <c r="CA459">
        <v>0.1</v>
      </c>
      <c r="CB459">
        <v>0.1</v>
      </c>
      <c r="CC459">
        <v>0.1</v>
      </c>
      <c r="CD459">
        <v>0.1</v>
      </c>
      <c r="CE459">
        <v>0.1</v>
      </c>
      <c r="CF459">
        <v>0.1</v>
      </c>
      <c r="CG459">
        <v>0.1</v>
      </c>
      <c r="CH459">
        <v>0.1</v>
      </c>
      <c r="CI459">
        <v>0.1</v>
      </c>
      <c r="CJ459">
        <v>0.1</v>
      </c>
      <c r="CK459">
        <v>0.1</v>
      </c>
      <c r="CL459">
        <v>0.1</v>
      </c>
      <c r="CM459">
        <v>0.1</v>
      </c>
      <c r="CN459">
        <v>0.1</v>
      </c>
      <c r="CO459">
        <v>0.1</v>
      </c>
      <c r="CP459">
        <v>0.1</v>
      </c>
      <c r="CQ459">
        <v>0.1</v>
      </c>
      <c r="CR459">
        <v>0.1</v>
      </c>
      <c r="CS459">
        <v>0.1</v>
      </c>
      <c r="CT459">
        <v>0.1</v>
      </c>
      <c r="CU459">
        <v>0.1</v>
      </c>
      <c r="CV459">
        <v>0.1</v>
      </c>
      <c r="CW459">
        <v>0.1</v>
      </c>
      <c r="CX459">
        <v>0.1</v>
      </c>
      <c r="CY459">
        <v>0.1</v>
      </c>
      <c r="CZ459">
        <v>0.1</v>
      </c>
      <c r="DA459">
        <v>0.1</v>
      </c>
      <c r="DB459">
        <v>0.1</v>
      </c>
      <c r="DC459">
        <v>0.1</v>
      </c>
      <c r="DD459">
        <v>0.1</v>
      </c>
      <c r="DE459">
        <v>0.1</v>
      </c>
      <c r="DF459">
        <v>0.1</v>
      </c>
      <c r="DG459">
        <v>0.1</v>
      </c>
      <c r="DH459">
        <v>0.1</v>
      </c>
      <c r="DI459">
        <v>0.1</v>
      </c>
      <c r="DJ459">
        <v>0.1</v>
      </c>
      <c r="DK459">
        <v>0.1</v>
      </c>
      <c r="DL459">
        <v>0.1</v>
      </c>
      <c r="DM459">
        <v>0.1</v>
      </c>
      <c r="DN459">
        <v>0.1</v>
      </c>
      <c r="DO459">
        <v>0.1</v>
      </c>
      <c r="DP459">
        <v>0.1</v>
      </c>
      <c r="DQ459">
        <v>0.1</v>
      </c>
      <c r="DR459">
        <v>0.1</v>
      </c>
      <c r="DS459">
        <v>0.1</v>
      </c>
      <c r="DT459">
        <v>0.1</v>
      </c>
      <c r="DU459">
        <v>0.1</v>
      </c>
      <c r="DV459">
        <v>0.1</v>
      </c>
      <c r="DW459">
        <v>0.1</v>
      </c>
      <c r="DX459">
        <v>0.1</v>
      </c>
      <c r="DY459">
        <v>0.1</v>
      </c>
      <c r="DZ459">
        <v>0.1</v>
      </c>
      <c r="EA459">
        <v>0.1</v>
      </c>
      <c r="EB459">
        <v>0.1</v>
      </c>
      <c r="EC459">
        <v>0.1</v>
      </c>
      <c r="ED459">
        <v>0.1</v>
      </c>
      <c r="EE459">
        <v>0.1</v>
      </c>
      <c r="EF459">
        <v>0.1</v>
      </c>
    </row>
    <row r="460" spans="71:136" x14ac:dyDescent="0.25">
      <c r="BS460">
        <v>457</v>
      </c>
      <c r="BU460" s="2"/>
      <c r="BV460" s="2"/>
      <c r="BW460" s="2"/>
      <c r="BX460" s="2"/>
      <c r="BY460">
        <v>0.1</v>
      </c>
      <c r="BZ460">
        <v>0.1</v>
      </c>
      <c r="CA460">
        <v>0.1</v>
      </c>
      <c r="CB460">
        <v>0.1</v>
      </c>
      <c r="CC460">
        <v>0.1</v>
      </c>
      <c r="CD460">
        <v>0.1</v>
      </c>
      <c r="CE460">
        <v>0.1</v>
      </c>
      <c r="CF460">
        <v>0.1</v>
      </c>
      <c r="CG460">
        <v>0.1</v>
      </c>
      <c r="CH460">
        <v>0.1</v>
      </c>
      <c r="CI460">
        <v>0.1</v>
      </c>
      <c r="CJ460">
        <v>0.1</v>
      </c>
      <c r="CK460">
        <v>0.1</v>
      </c>
      <c r="CL460">
        <v>0.1</v>
      </c>
      <c r="CM460">
        <v>0.1</v>
      </c>
      <c r="CN460">
        <v>0.1</v>
      </c>
      <c r="CO460">
        <v>0.1</v>
      </c>
      <c r="CP460">
        <v>0.1</v>
      </c>
      <c r="CQ460">
        <v>0.1</v>
      </c>
      <c r="CR460">
        <v>0.1</v>
      </c>
      <c r="CS460">
        <v>0.1</v>
      </c>
      <c r="CT460">
        <v>0.1</v>
      </c>
      <c r="CU460">
        <v>0.1</v>
      </c>
      <c r="CV460">
        <v>0.1</v>
      </c>
      <c r="CW460">
        <v>0.1</v>
      </c>
      <c r="CX460">
        <v>0.1</v>
      </c>
      <c r="CY460">
        <v>0.1</v>
      </c>
      <c r="CZ460">
        <v>0.1</v>
      </c>
      <c r="DA460">
        <v>0.1</v>
      </c>
      <c r="DB460">
        <v>0.1</v>
      </c>
      <c r="DC460">
        <v>0.1</v>
      </c>
      <c r="DD460">
        <v>0.1</v>
      </c>
      <c r="DE460">
        <v>0.1</v>
      </c>
      <c r="DF460">
        <v>0.1</v>
      </c>
      <c r="DG460">
        <v>0.1</v>
      </c>
      <c r="DH460">
        <v>0.1</v>
      </c>
      <c r="DI460">
        <v>0.1</v>
      </c>
      <c r="DJ460">
        <v>0.1</v>
      </c>
      <c r="DK460">
        <v>0.1</v>
      </c>
      <c r="DL460">
        <v>0.1</v>
      </c>
      <c r="DM460">
        <v>0.1</v>
      </c>
      <c r="DN460">
        <v>0.1</v>
      </c>
      <c r="DO460">
        <v>0.1</v>
      </c>
      <c r="DP460">
        <v>0.1</v>
      </c>
      <c r="DQ460">
        <v>0.1</v>
      </c>
      <c r="DR460">
        <v>0.1</v>
      </c>
      <c r="DS460">
        <v>0.1</v>
      </c>
      <c r="DT460">
        <v>0.1</v>
      </c>
      <c r="DU460">
        <v>0.1</v>
      </c>
      <c r="DV460">
        <v>0.1</v>
      </c>
      <c r="DW460">
        <v>0.1</v>
      </c>
      <c r="DX460">
        <v>0.1</v>
      </c>
      <c r="DY460">
        <v>0.1</v>
      </c>
      <c r="DZ460">
        <v>0.1</v>
      </c>
      <c r="EA460">
        <v>0.1</v>
      </c>
      <c r="EB460">
        <v>0.1</v>
      </c>
      <c r="EC460">
        <v>0.1</v>
      </c>
      <c r="ED460">
        <v>0.1</v>
      </c>
      <c r="EE460">
        <v>0.1</v>
      </c>
      <c r="EF460">
        <v>0.1</v>
      </c>
    </row>
    <row r="461" spans="71:136" x14ac:dyDescent="0.25">
      <c r="BS461">
        <v>458</v>
      </c>
      <c r="BU461" s="2"/>
      <c r="BV461" s="2"/>
      <c r="BW461" s="2"/>
      <c r="BX461" s="2"/>
      <c r="BY461">
        <v>0.1</v>
      </c>
      <c r="BZ461">
        <v>0.1</v>
      </c>
      <c r="CA461">
        <v>0.1</v>
      </c>
      <c r="CB461">
        <v>0.1</v>
      </c>
      <c r="CC461">
        <v>0.1</v>
      </c>
      <c r="CD461">
        <v>0.1</v>
      </c>
      <c r="CE461">
        <v>0.1</v>
      </c>
      <c r="CF461">
        <v>0.1</v>
      </c>
      <c r="CG461">
        <v>0.1</v>
      </c>
      <c r="CH461">
        <v>0.1</v>
      </c>
      <c r="CI461">
        <v>0.1</v>
      </c>
      <c r="CJ461">
        <v>0.1</v>
      </c>
      <c r="CK461">
        <v>0.1</v>
      </c>
      <c r="CL461">
        <v>0.1</v>
      </c>
      <c r="CM461">
        <v>0.1</v>
      </c>
      <c r="CN461">
        <v>0.1</v>
      </c>
      <c r="CO461">
        <v>0.1</v>
      </c>
      <c r="CP461">
        <v>0.1</v>
      </c>
      <c r="CQ461">
        <v>0.1</v>
      </c>
      <c r="CR461">
        <v>0.1</v>
      </c>
      <c r="CS461">
        <v>0.1</v>
      </c>
      <c r="CT461">
        <v>0.1</v>
      </c>
      <c r="CU461">
        <v>0.1</v>
      </c>
      <c r="CV461">
        <v>0.1</v>
      </c>
      <c r="CW461">
        <v>0.1</v>
      </c>
      <c r="CX461">
        <v>0.1</v>
      </c>
      <c r="CY461">
        <v>0.1</v>
      </c>
      <c r="CZ461">
        <v>0.1</v>
      </c>
      <c r="DA461">
        <v>0.1</v>
      </c>
      <c r="DB461">
        <v>0.1</v>
      </c>
      <c r="DC461">
        <v>0.1</v>
      </c>
      <c r="DD461">
        <v>0.1</v>
      </c>
      <c r="DE461">
        <v>0.1</v>
      </c>
      <c r="DF461">
        <v>0.1</v>
      </c>
      <c r="DG461">
        <v>0.1</v>
      </c>
      <c r="DH461">
        <v>0.1</v>
      </c>
      <c r="DI461">
        <v>0.1</v>
      </c>
      <c r="DJ461">
        <v>0.1</v>
      </c>
      <c r="DK461">
        <v>0.1</v>
      </c>
      <c r="DL461">
        <v>0.1</v>
      </c>
      <c r="DM461">
        <v>0.1</v>
      </c>
      <c r="DN461">
        <v>0.1</v>
      </c>
      <c r="DO461">
        <v>0.1</v>
      </c>
      <c r="DP461">
        <v>0.1</v>
      </c>
      <c r="DQ461">
        <v>0.1</v>
      </c>
      <c r="DR461">
        <v>0.1</v>
      </c>
      <c r="DS461">
        <v>0.1</v>
      </c>
      <c r="DT461">
        <v>0.1</v>
      </c>
      <c r="DU461">
        <v>0.1</v>
      </c>
      <c r="DV461">
        <v>0.1</v>
      </c>
      <c r="DW461">
        <v>0.1</v>
      </c>
      <c r="DX461">
        <v>0.1</v>
      </c>
      <c r="DY461">
        <v>0.1</v>
      </c>
      <c r="DZ461">
        <v>0.1</v>
      </c>
      <c r="EA461">
        <v>0.1</v>
      </c>
      <c r="EB461">
        <v>0.1</v>
      </c>
      <c r="EC461">
        <v>0.1</v>
      </c>
      <c r="ED461">
        <v>0.1</v>
      </c>
      <c r="EE461">
        <v>0.1</v>
      </c>
      <c r="EF461">
        <v>0.1</v>
      </c>
    </row>
    <row r="462" spans="71:136" x14ac:dyDescent="0.25">
      <c r="BS462">
        <v>459</v>
      </c>
      <c r="BU462" s="2"/>
      <c r="BV462" s="2"/>
      <c r="BW462" s="2"/>
      <c r="BX462" s="2"/>
      <c r="BY462">
        <v>0.1</v>
      </c>
      <c r="BZ462">
        <v>0.1</v>
      </c>
      <c r="CA462">
        <v>0.1</v>
      </c>
      <c r="CB462">
        <v>0.1</v>
      </c>
      <c r="CC462">
        <v>0.1</v>
      </c>
      <c r="CD462">
        <v>0.1</v>
      </c>
      <c r="CE462">
        <v>0.1</v>
      </c>
      <c r="CF462">
        <v>0.1</v>
      </c>
      <c r="CG462">
        <v>0.1</v>
      </c>
      <c r="CH462">
        <v>0.1</v>
      </c>
      <c r="CI462">
        <v>0.1</v>
      </c>
      <c r="CJ462">
        <v>0.1</v>
      </c>
      <c r="CK462">
        <v>0.1</v>
      </c>
      <c r="CL462">
        <v>0.1</v>
      </c>
      <c r="CM462">
        <v>0.1</v>
      </c>
      <c r="CN462">
        <v>0.1</v>
      </c>
      <c r="CO462">
        <v>0.1</v>
      </c>
      <c r="CP462">
        <v>0.1</v>
      </c>
      <c r="CQ462">
        <v>0.1</v>
      </c>
      <c r="CR462">
        <v>0.1</v>
      </c>
      <c r="CS462">
        <v>0.1</v>
      </c>
      <c r="CT462">
        <v>0.1</v>
      </c>
      <c r="CU462">
        <v>0.1</v>
      </c>
      <c r="CV462">
        <v>0.1</v>
      </c>
      <c r="CW462">
        <v>0.1</v>
      </c>
      <c r="CX462">
        <v>0.1</v>
      </c>
      <c r="CY462">
        <v>0.1</v>
      </c>
      <c r="CZ462">
        <v>0.1</v>
      </c>
      <c r="DA462">
        <v>0.1</v>
      </c>
      <c r="DB462">
        <v>0.1</v>
      </c>
      <c r="DC462">
        <v>0.1</v>
      </c>
      <c r="DD462">
        <v>0.1</v>
      </c>
      <c r="DE462">
        <v>0.1</v>
      </c>
      <c r="DF462">
        <v>0.1</v>
      </c>
      <c r="DG462">
        <v>0.1</v>
      </c>
      <c r="DH462">
        <v>0.1</v>
      </c>
      <c r="DI462">
        <v>0.1</v>
      </c>
      <c r="DJ462">
        <v>0.1</v>
      </c>
      <c r="DK462">
        <v>0.1</v>
      </c>
      <c r="DL462">
        <v>0.1</v>
      </c>
      <c r="DM462">
        <v>0.1</v>
      </c>
      <c r="DN462">
        <v>0.1</v>
      </c>
      <c r="DO462">
        <v>0.1</v>
      </c>
      <c r="DP462">
        <v>0.1</v>
      </c>
      <c r="DQ462">
        <v>0.1</v>
      </c>
      <c r="DR462">
        <v>0.1</v>
      </c>
      <c r="DS462">
        <v>0.1</v>
      </c>
      <c r="DT462">
        <v>0.1</v>
      </c>
      <c r="DU462">
        <v>0.1</v>
      </c>
      <c r="DV462">
        <v>0.1</v>
      </c>
      <c r="DW462">
        <v>0.1</v>
      </c>
      <c r="DX462">
        <v>0.1</v>
      </c>
      <c r="DY462">
        <v>0.1</v>
      </c>
      <c r="DZ462">
        <v>0.1</v>
      </c>
      <c r="EA462">
        <v>0.1</v>
      </c>
      <c r="EB462">
        <v>0.1</v>
      </c>
      <c r="EC462">
        <v>0.1</v>
      </c>
      <c r="ED462">
        <v>0.1</v>
      </c>
      <c r="EE462">
        <v>0.1</v>
      </c>
      <c r="EF462">
        <v>0.1</v>
      </c>
    </row>
    <row r="463" spans="71:136" x14ac:dyDescent="0.25">
      <c r="BS463">
        <v>460</v>
      </c>
      <c r="BU463" s="2"/>
      <c r="BV463" s="2"/>
      <c r="BW463" s="2"/>
      <c r="BX463" s="2"/>
      <c r="BY463">
        <v>0.1</v>
      </c>
      <c r="BZ463">
        <v>0.1</v>
      </c>
      <c r="CA463">
        <v>0.1</v>
      </c>
      <c r="CB463">
        <v>0.1</v>
      </c>
      <c r="CC463">
        <v>0.1</v>
      </c>
      <c r="CD463">
        <v>0.1</v>
      </c>
      <c r="CE463">
        <v>0.1</v>
      </c>
      <c r="CF463">
        <v>0.1</v>
      </c>
      <c r="CG463">
        <v>0.1</v>
      </c>
      <c r="CH463">
        <v>0.1</v>
      </c>
      <c r="CI463">
        <v>0.1</v>
      </c>
      <c r="CJ463">
        <v>0.1</v>
      </c>
      <c r="CK463">
        <v>0.1</v>
      </c>
      <c r="CL463">
        <v>0.1</v>
      </c>
      <c r="CM463">
        <v>0.1</v>
      </c>
      <c r="CN463">
        <v>0.1</v>
      </c>
      <c r="CO463">
        <v>0.1</v>
      </c>
      <c r="CP463">
        <v>0.1</v>
      </c>
      <c r="CQ463">
        <v>0.1</v>
      </c>
      <c r="CR463">
        <v>0.1</v>
      </c>
      <c r="CS463">
        <v>0.1</v>
      </c>
      <c r="CT463">
        <v>0.1</v>
      </c>
      <c r="CU463">
        <v>0.1</v>
      </c>
      <c r="CV463">
        <v>0.1</v>
      </c>
      <c r="CW463">
        <v>0.1</v>
      </c>
      <c r="CX463">
        <v>0.1</v>
      </c>
      <c r="CY463">
        <v>0.1</v>
      </c>
      <c r="CZ463">
        <v>0.1</v>
      </c>
      <c r="DA463">
        <v>0.1</v>
      </c>
      <c r="DB463">
        <v>0.1</v>
      </c>
      <c r="DC463">
        <v>0.1</v>
      </c>
      <c r="DD463">
        <v>0.1</v>
      </c>
      <c r="DE463">
        <v>0.1</v>
      </c>
      <c r="DF463">
        <v>0.1</v>
      </c>
      <c r="DG463">
        <v>0.1</v>
      </c>
      <c r="DH463">
        <v>0.1</v>
      </c>
      <c r="DI463">
        <v>0.1</v>
      </c>
      <c r="DJ463">
        <v>0.1</v>
      </c>
      <c r="DK463">
        <v>0.1</v>
      </c>
      <c r="DL463">
        <v>0.1</v>
      </c>
      <c r="DM463">
        <v>0.1</v>
      </c>
      <c r="DN463">
        <v>0.1</v>
      </c>
      <c r="DO463">
        <v>0.1</v>
      </c>
      <c r="DP463">
        <v>0.1</v>
      </c>
      <c r="DQ463">
        <v>0.1</v>
      </c>
      <c r="DR463">
        <v>0.1</v>
      </c>
      <c r="DS463">
        <v>0.1</v>
      </c>
      <c r="DT463">
        <v>0.1</v>
      </c>
      <c r="DU463">
        <v>0.1</v>
      </c>
      <c r="DV463">
        <v>0.1</v>
      </c>
      <c r="DW463">
        <v>0.1</v>
      </c>
      <c r="DX463">
        <v>0.1</v>
      </c>
      <c r="DY463">
        <v>0.1</v>
      </c>
      <c r="DZ463">
        <v>0.1</v>
      </c>
      <c r="EA463">
        <v>0.1</v>
      </c>
      <c r="EB463">
        <v>0.1</v>
      </c>
      <c r="EC463">
        <v>0.1</v>
      </c>
      <c r="ED463">
        <v>0.1</v>
      </c>
      <c r="EE463">
        <v>0.1</v>
      </c>
      <c r="EF463">
        <v>0.1</v>
      </c>
    </row>
    <row r="464" spans="71:136" x14ac:dyDescent="0.25">
      <c r="BS464">
        <v>461</v>
      </c>
      <c r="BU464" s="2"/>
      <c r="BV464" s="2"/>
      <c r="BW464" s="2"/>
      <c r="BX464" s="2"/>
      <c r="BY464">
        <v>0.1</v>
      </c>
      <c r="BZ464">
        <v>0.1</v>
      </c>
      <c r="CA464">
        <v>0.1</v>
      </c>
      <c r="CB464">
        <v>0.1</v>
      </c>
      <c r="CC464">
        <v>0.1</v>
      </c>
      <c r="CD464">
        <v>0.1</v>
      </c>
      <c r="CE464">
        <v>0.1</v>
      </c>
      <c r="CF464">
        <v>0.1</v>
      </c>
      <c r="CG464">
        <v>0.1</v>
      </c>
      <c r="CH464">
        <v>0.1</v>
      </c>
      <c r="CI464">
        <v>0.1</v>
      </c>
      <c r="CJ464">
        <v>0.1</v>
      </c>
      <c r="CK464">
        <v>0.1</v>
      </c>
      <c r="CL464">
        <v>0.1</v>
      </c>
      <c r="CM464">
        <v>0.1</v>
      </c>
      <c r="CN464">
        <v>0.1</v>
      </c>
      <c r="CO464">
        <v>0.1</v>
      </c>
      <c r="CP464">
        <v>0.1</v>
      </c>
      <c r="CQ464">
        <v>0.1</v>
      </c>
      <c r="CR464">
        <v>0.1</v>
      </c>
      <c r="CS464">
        <v>0.1</v>
      </c>
      <c r="CT464">
        <v>0.1</v>
      </c>
      <c r="CU464">
        <v>0.1</v>
      </c>
      <c r="CV464">
        <v>0.1</v>
      </c>
      <c r="CW464">
        <v>0.1</v>
      </c>
      <c r="CX464">
        <v>0.1</v>
      </c>
      <c r="CY464">
        <v>0.1</v>
      </c>
      <c r="CZ464">
        <v>0.1</v>
      </c>
      <c r="DA464">
        <v>0.1</v>
      </c>
      <c r="DB464">
        <v>0.1</v>
      </c>
      <c r="DC464">
        <v>0.1</v>
      </c>
      <c r="DD464">
        <v>0.1</v>
      </c>
      <c r="DE464">
        <v>0.1</v>
      </c>
      <c r="DF464">
        <v>0.1</v>
      </c>
      <c r="DG464">
        <v>0.1</v>
      </c>
      <c r="DH464">
        <v>0.1</v>
      </c>
      <c r="DI464">
        <v>0.1</v>
      </c>
      <c r="DJ464">
        <v>0.1</v>
      </c>
      <c r="DK464">
        <v>0.1</v>
      </c>
      <c r="DL464">
        <v>0.1</v>
      </c>
      <c r="DM464">
        <v>0.1</v>
      </c>
      <c r="DN464">
        <v>0.1</v>
      </c>
      <c r="DO464">
        <v>0.1</v>
      </c>
      <c r="DP464">
        <v>0.1</v>
      </c>
      <c r="DQ464">
        <v>0.1</v>
      </c>
      <c r="DR464">
        <v>0.1</v>
      </c>
      <c r="DS464">
        <v>0.1</v>
      </c>
      <c r="DT464">
        <v>0.1</v>
      </c>
      <c r="DU464">
        <v>0.1</v>
      </c>
      <c r="DV464">
        <v>0.1</v>
      </c>
      <c r="DW464">
        <v>0.1</v>
      </c>
      <c r="DX464">
        <v>0.1</v>
      </c>
      <c r="DY464">
        <v>0.1</v>
      </c>
      <c r="DZ464">
        <v>0.1</v>
      </c>
      <c r="EA464">
        <v>0.1</v>
      </c>
      <c r="EB464">
        <v>0.1</v>
      </c>
      <c r="EC464">
        <v>0.1</v>
      </c>
      <c r="ED464">
        <v>0.1</v>
      </c>
      <c r="EE464">
        <v>0.1</v>
      </c>
      <c r="EF464">
        <v>0.1</v>
      </c>
    </row>
    <row r="465" spans="71:136" x14ac:dyDescent="0.25">
      <c r="BS465">
        <v>462</v>
      </c>
      <c r="BU465" s="2"/>
      <c r="BV465" s="2"/>
      <c r="BW465" s="2"/>
      <c r="BX465" s="2"/>
      <c r="BY465">
        <v>0.1</v>
      </c>
      <c r="BZ465">
        <v>0.1</v>
      </c>
      <c r="CA465">
        <v>0.1</v>
      </c>
      <c r="CB465">
        <v>0.1</v>
      </c>
      <c r="CC465">
        <v>0.1</v>
      </c>
      <c r="CD465">
        <v>0.1</v>
      </c>
      <c r="CE465">
        <v>0.1</v>
      </c>
      <c r="CF465">
        <v>0.1</v>
      </c>
      <c r="CG465">
        <v>0.1</v>
      </c>
      <c r="CH465">
        <v>0.1</v>
      </c>
      <c r="CI465">
        <v>0.1</v>
      </c>
      <c r="CJ465">
        <v>0.1</v>
      </c>
      <c r="CK465">
        <v>0.1</v>
      </c>
      <c r="CL465">
        <v>0.1</v>
      </c>
      <c r="CM465">
        <v>0.1</v>
      </c>
      <c r="CN465">
        <v>0.1</v>
      </c>
      <c r="CO465">
        <v>0.1</v>
      </c>
      <c r="CP465">
        <v>0.1</v>
      </c>
      <c r="CQ465">
        <v>0.1</v>
      </c>
      <c r="CR465">
        <v>0.1</v>
      </c>
      <c r="CS465">
        <v>0.1</v>
      </c>
      <c r="CT465">
        <v>0.1</v>
      </c>
      <c r="CU465">
        <v>0.1</v>
      </c>
      <c r="CV465">
        <v>0.1</v>
      </c>
      <c r="CW465">
        <v>0.1</v>
      </c>
      <c r="CX465">
        <v>0.1</v>
      </c>
      <c r="CY465">
        <v>0.1</v>
      </c>
      <c r="CZ465">
        <v>0.1</v>
      </c>
      <c r="DA465">
        <v>0.1</v>
      </c>
      <c r="DB465">
        <v>0.1</v>
      </c>
      <c r="DC465">
        <v>0.1</v>
      </c>
      <c r="DD465">
        <v>0.1</v>
      </c>
      <c r="DE465">
        <v>0.1</v>
      </c>
      <c r="DF465">
        <v>0.1</v>
      </c>
      <c r="DG465">
        <v>0.1</v>
      </c>
      <c r="DH465">
        <v>0.1</v>
      </c>
      <c r="DI465">
        <v>0.1</v>
      </c>
      <c r="DJ465">
        <v>0.1</v>
      </c>
      <c r="DK465">
        <v>0.1</v>
      </c>
      <c r="DL465">
        <v>0.1</v>
      </c>
      <c r="DM465">
        <v>0.1</v>
      </c>
      <c r="DN465">
        <v>0.1</v>
      </c>
      <c r="DO465">
        <v>0.1</v>
      </c>
      <c r="DP465">
        <v>0.1</v>
      </c>
      <c r="DQ465">
        <v>0.1</v>
      </c>
      <c r="DR465">
        <v>0.1</v>
      </c>
      <c r="DS465">
        <v>0.1</v>
      </c>
      <c r="DT465">
        <v>0.1</v>
      </c>
      <c r="DU465">
        <v>0.1</v>
      </c>
      <c r="DV465">
        <v>0.1</v>
      </c>
      <c r="DW465">
        <v>0.1</v>
      </c>
      <c r="DX465">
        <v>0.1</v>
      </c>
      <c r="DY465">
        <v>0.1</v>
      </c>
      <c r="DZ465">
        <v>0.1</v>
      </c>
      <c r="EA465">
        <v>0.1</v>
      </c>
      <c r="EB465">
        <v>0.1</v>
      </c>
      <c r="EC465">
        <v>0.1</v>
      </c>
      <c r="ED465">
        <v>0.1</v>
      </c>
      <c r="EE465">
        <v>0.1</v>
      </c>
      <c r="EF465">
        <v>0.1</v>
      </c>
    </row>
    <row r="466" spans="71:136" x14ac:dyDescent="0.25">
      <c r="BS466">
        <v>463</v>
      </c>
      <c r="BU466" s="2"/>
      <c r="BV466" s="2"/>
      <c r="BW466" s="2"/>
      <c r="BX466" s="2"/>
      <c r="BY466">
        <v>0.1</v>
      </c>
      <c r="BZ466">
        <v>0.1</v>
      </c>
      <c r="CA466">
        <v>0.1</v>
      </c>
      <c r="CB466">
        <v>0.1</v>
      </c>
      <c r="CC466">
        <v>0.1</v>
      </c>
      <c r="CD466">
        <v>0.1</v>
      </c>
      <c r="CE466">
        <v>0.1</v>
      </c>
      <c r="CF466">
        <v>0.1</v>
      </c>
      <c r="CG466">
        <v>0.1</v>
      </c>
      <c r="CH466">
        <v>0.1</v>
      </c>
      <c r="CI466">
        <v>0.1</v>
      </c>
      <c r="CJ466">
        <v>0.1</v>
      </c>
      <c r="CK466">
        <v>0.1</v>
      </c>
      <c r="CL466">
        <v>0.1</v>
      </c>
      <c r="CM466">
        <v>0.1</v>
      </c>
      <c r="CN466">
        <v>0.1</v>
      </c>
      <c r="CO466">
        <v>0.1</v>
      </c>
      <c r="CP466">
        <v>0.1</v>
      </c>
      <c r="CQ466">
        <v>0.1</v>
      </c>
      <c r="CR466">
        <v>0.1</v>
      </c>
      <c r="CS466">
        <v>0.1</v>
      </c>
      <c r="CT466">
        <v>0.1</v>
      </c>
      <c r="CU466">
        <v>0.1</v>
      </c>
      <c r="CV466">
        <v>0.1</v>
      </c>
      <c r="CW466">
        <v>0.1</v>
      </c>
      <c r="CX466">
        <v>0.1</v>
      </c>
      <c r="CY466">
        <v>0.1</v>
      </c>
      <c r="CZ466">
        <v>0.1</v>
      </c>
      <c r="DA466">
        <v>0.1</v>
      </c>
      <c r="DB466">
        <v>0.1</v>
      </c>
      <c r="DC466">
        <v>0.1</v>
      </c>
      <c r="DD466">
        <v>0.1</v>
      </c>
      <c r="DE466">
        <v>0.1</v>
      </c>
      <c r="DF466">
        <v>0.1</v>
      </c>
      <c r="DG466">
        <v>0.1</v>
      </c>
      <c r="DH466">
        <v>0.1</v>
      </c>
      <c r="DI466">
        <v>0.1</v>
      </c>
      <c r="DJ466">
        <v>0.1</v>
      </c>
      <c r="DK466">
        <v>0.1</v>
      </c>
      <c r="DL466">
        <v>0.1</v>
      </c>
      <c r="DM466">
        <v>0.1</v>
      </c>
      <c r="DN466">
        <v>0.1</v>
      </c>
      <c r="DO466">
        <v>0.1</v>
      </c>
      <c r="DP466">
        <v>0.1</v>
      </c>
      <c r="DQ466">
        <v>0.1</v>
      </c>
      <c r="DR466">
        <v>0.1</v>
      </c>
      <c r="DS466">
        <v>0.1</v>
      </c>
      <c r="DT466">
        <v>0.1</v>
      </c>
      <c r="DU466">
        <v>0.1</v>
      </c>
      <c r="DV466">
        <v>0.1</v>
      </c>
      <c r="DW466">
        <v>0.1</v>
      </c>
      <c r="DX466">
        <v>0.1</v>
      </c>
      <c r="DY466">
        <v>0.1</v>
      </c>
      <c r="DZ466">
        <v>0.1</v>
      </c>
      <c r="EA466">
        <v>0.1</v>
      </c>
      <c r="EB466">
        <v>0.1</v>
      </c>
      <c r="EC466">
        <v>0.1</v>
      </c>
      <c r="ED466">
        <v>0.1</v>
      </c>
      <c r="EE466">
        <v>0.1</v>
      </c>
      <c r="EF466">
        <v>0.1</v>
      </c>
    </row>
    <row r="467" spans="71:136" x14ac:dyDescent="0.25">
      <c r="BS467">
        <v>464</v>
      </c>
      <c r="BU467" s="2"/>
      <c r="BV467" s="2"/>
      <c r="BW467" s="2"/>
      <c r="BX467" s="2"/>
      <c r="BY467">
        <v>0.1</v>
      </c>
      <c r="BZ467">
        <v>0.1</v>
      </c>
      <c r="CA467">
        <v>0.1</v>
      </c>
      <c r="CB467">
        <v>0.1</v>
      </c>
      <c r="CC467">
        <v>0.1</v>
      </c>
      <c r="CD467">
        <v>0.1</v>
      </c>
      <c r="CE467">
        <v>0.1</v>
      </c>
      <c r="CF467">
        <v>0.1</v>
      </c>
      <c r="CG467">
        <v>0.1</v>
      </c>
      <c r="CH467">
        <v>0.1</v>
      </c>
      <c r="CI467">
        <v>0.1</v>
      </c>
      <c r="CJ467">
        <v>0.1</v>
      </c>
      <c r="CK467">
        <v>0.1</v>
      </c>
      <c r="CL467">
        <v>0.1</v>
      </c>
      <c r="CM467">
        <v>0.1</v>
      </c>
      <c r="CN467">
        <v>0.1</v>
      </c>
      <c r="CO467">
        <v>0.1</v>
      </c>
      <c r="CP467">
        <v>0.1</v>
      </c>
      <c r="CQ467">
        <v>0.1</v>
      </c>
      <c r="CR467">
        <v>0.1</v>
      </c>
      <c r="CS467">
        <v>0.1</v>
      </c>
      <c r="CT467">
        <v>0.1</v>
      </c>
      <c r="CU467">
        <v>0.1</v>
      </c>
      <c r="CV467">
        <v>0.1</v>
      </c>
      <c r="CW467">
        <v>0.1</v>
      </c>
      <c r="CX467">
        <v>0.1</v>
      </c>
      <c r="CY467">
        <v>0.1</v>
      </c>
      <c r="CZ467">
        <v>0.1</v>
      </c>
      <c r="DA467">
        <v>0.1</v>
      </c>
      <c r="DB467">
        <v>0.1</v>
      </c>
      <c r="DC467">
        <v>0.1</v>
      </c>
      <c r="DD467">
        <v>0.1</v>
      </c>
      <c r="DE467">
        <v>0.1</v>
      </c>
      <c r="DF467">
        <v>0.1</v>
      </c>
      <c r="DG467">
        <v>0.1</v>
      </c>
      <c r="DH467">
        <v>0.1</v>
      </c>
      <c r="DI467">
        <v>0.1</v>
      </c>
      <c r="DJ467">
        <v>0.1</v>
      </c>
      <c r="DK467">
        <v>0.1</v>
      </c>
      <c r="DL467">
        <v>0.1</v>
      </c>
      <c r="DM467">
        <v>0.1</v>
      </c>
      <c r="DN467">
        <v>0.1</v>
      </c>
      <c r="DO467">
        <v>0.1</v>
      </c>
      <c r="DP467">
        <v>0.1</v>
      </c>
      <c r="DQ467">
        <v>0.1</v>
      </c>
      <c r="DR467">
        <v>0.1</v>
      </c>
      <c r="DS467">
        <v>0.1</v>
      </c>
      <c r="DT467">
        <v>0.1</v>
      </c>
      <c r="DU467">
        <v>0.1</v>
      </c>
      <c r="DV467">
        <v>0.1</v>
      </c>
      <c r="DW467">
        <v>0.1</v>
      </c>
      <c r="DX467">
        <v>0.1</v>
      </c>
      <c r="DY467">
        <v>0.1</v>
      </c>
      <c r="DZ467">
        <v>0.1</v>
      </c>
      <c r="EA467">
        <v>0.1</v>
      </c>
      <c r="EB467">
        <v>0.1</v>
      </c>
      <c r="EC467">
        <v>0.1</v>
      </c>
      <c r="ED467">
        <v>0.1</v>
      </c>
      <c r="EE467">
        <v>0.1</v>
      </c>
      <c r="EF467">
        <v>0.1</v>
      </c>
    </row>
    <row r="468" spans="71:136" x14ac:dyDescent="0.25">
      <c r="BS468">
        <v>465</v>
      </c>
      <c r="BU468" s="2"/>
      <c r="BV468" s="2"/>
      <c r="BW468" s="2"/>
      <c r="BX468" s="2"/>
      <c r="BY468">
        <v>0.1</v>
      </c>
      <c r="BZ468">
        <v>0.1</v>
      </c>
      <c r="CA468">
        <v>0.1</v>
      </c>
      <c r="CB468">
        <v>0.1</v>
      </c>
      <c r="CC468">
        <v>0.1</v>
      </c>
      <c r="CD468">
        <v>0.1</v>
      </c>
      <c r="CE468">
        <v>0.1</v>
      </c>
      <c r="CF468">
        <v>0.1</v>
      </c>
      <c r="CG468">
        <v>0.1</v>
      </c>
      <c r="CH468">
        <v>0.1</v>
      </c>
      <c r="CI468">
        <v>0.1</v>
      </c>
      <c r="CJ468">
        <v>0.1</v>
      </c>
      <c r="CK468">
        <v>0.1</v>
      </c>
      <c r="CL468">
        <v>0.1</v>
      </c>
      <c r="CM468">
        <v>0.1</v>
      </c>
      <c r="CN468">
        <v>0.1</v>
      </c>
      <c r="CO468">
        <v>0.1</v>
      </c>
      <c r="CP468">
        <v>0.1</v>
      </c>
      <c r="CQ468">
        <v>0.1</v>
      </c>
      <c r="CR468">
        <v>0.1</v>
      </c>
      <c r="CS468">
        <v>0.1</v>
      </c>
      <c r="CT468">
        <v>0.1</v>
      </c>
      <c r="CU468">
        <v>0.1</v>
      </c>
      <c r="CV468">
        <v>0.1</v>
      </c>
      <c r="CW468">
        <v>0.1</v>
      </c>
      <c r="CX468">
        <v>0.1</v>
      </c>
      <c r="CY468">
        <v>0.1</v>
      </c>
      <c r="CZ468">
        <v>0.1</v>
      </c>
      <c r="DA468">
        <v>0.1</v>
      </c>
      <c r="DB468">
        <v>0.1</v>
      </c>
      <c r="DC468">
        <v>0.1</v>
      </c>
      <c r="DD468">
        <v>0.1</v>
      </c>
      <c r="DE468">
        <v>0.1</v>
      </c>
      <c r="DF468">
        <v>0.1</v>
      </c>
      <c r="DG468">
        <v>0.1</v>
      </c>
      <c r="DH468">
        <v>0.1</v>
      </c>
      <c r="DI468">
        <v>0.1</v>
      </c>
      <c r="DJ468">
        <v>0.1</v>
      </c>
      <c r="DK468">
        <v>0.1</v>
      </c>
      <c r="DL468">
        <v>0.1</v>
      </c>
      <c r="DM468">
        <v>0.1</v>
      </c>
      <c r="DN468">
        <v>0.1</v>
      </c>
      <c r="DO468">
        <v>0.1</v>
      </c>
      <c r="DP468">
        <v>0.1</v>
      </c>
      <c r="DQ468">
        <v>0.1</v>
      </c>
      <c r="DR468">
        <v>0.1</v>
      </c>
      <c r="DS468">
        <v>0.1</v>
      </c>
      <c r="DT468">
        <v>0.1</v>
      </c>
      <c r="DU468">
        <v>0.1</v>
      </c>
      <c r="DV468">
        <v>0.1</v>
      </c>
      <c r="DW468">
        <v>0.1</v>
      </c>
      <c r="DX468">
        <v>0.1</v>
      </c>
      <c r="DY468">
        <v>0.1</v>
      </c>
      <c r="DZ468">
        <v>0.1</v>
      </c>
      <c r="EA468">
        <v>0.1</v>
      </c>
      <c r="EB468">
        <v>0.1</v>
      </c>
      <c r="EC468">
        <v>0.1</v>
      </c>
      <c r="ED468">
        <v>0.1</v>
      </c>
      <c r="EE468">
        <v>0.1</v>
      </c>
      <c r="EF468">
        <v>0.1</v>
      </c>
    </row>
    <row r="469" spans="71:136" x14ac:dyDescent="0.25">
      <c r="BS469">
        <v>466</v>
      </c>
      <c r="BU469" s="2"/>
      <c r="BV469" s="2"/>
      <c r="BW469" s="2"/>
      <c r="BX469" s="2"/>
      <c r="BY469">
        <v>0.1</v>
      </c>
      <c r="BZ469">
        <v>0.1</v>
      </c>
      <c r="CA469">
        <v>0.1</v>
      </c>
      <c r="CB469">
        <v>0.1</v>
      </c>
      <c r="CC469">
        <v>0.1</v>
      </c>
      <c r="CD469">
        <v>0.1</v>
      </c>
      <c r="CE469">
        <v>0.1</v>
      </c>
      <c r="CF469">
        <v>0.1</v>
      </c>
      <c r="CG469">
        <v>0.1</v>
      </c>
      <c r="CH469">
        <v>0.1</v>
      </c>
      <c r="CI469">
        <v>0.1</v>
      </c>
      <c r="CJ469">
        <v>0.1</v>
      </c>
      <c r="CK469">
        <v>0.1</v>
      </c>
      <c r="CL469">
        <v>0.1</v>
      </c>
      <c r="CM469">
        <v>0.1</v>
      </c>
      <c r="CN469">
        <v>0.1</v>
      </c>
      <c r="CO469">
        <v>0.1</v>
      </c>
      <c r="CP469">
        <v>0.1</v>
      </c>
      <c r="CQ469">
        <v>0.1</v>
      </c>
      <c r="CR469">
        <v>0.1</v>
      </c>
      <c r="CS469">
        <v>0.1</v>
      </c>
      <c r="CT469">
        <v>0.1</v>
      </c>
      <c r="CU469">
        <v>0.1</v>
      </c>
      <c r="CV469">
        <v>0.1</v>
      </c>
      <c r="CW469">
        <v>0.1</v>
      </c>
      <c r="CX469">
        <v>0.1</v>
      </c>
      <c r="CY469">
        <v>0.1</v>
      </c>
      <c r="CZ469">
        <v>0.1</v>
      </c>
      <c r="DA469">
        <v>0.1</v>
      </c>
      <c r="DB469">
        <v>0.1</v>
      </c>
      <c r="DC469">
        <v>0.1</v>
      </c>
      <c r="DD469">
        <v>0.1</v>
      </c>
      <c r="DE469">
        <v>0.1</v>
      </c>
      <c r="DF469">
        <v>0.1</v>
      </c>
      <c r="DG469">
        <v>0.1</v>
      </c>
      <c r="DH469">
        <v>0.1</v>
      </c>
      <c r="DI469">
        <v>0.1</v>
      </c>
      <c r="DJ469">
        <v>0.1</v>
      </c>
      <c r="DK469">
        <v>0.1</v>
      </c>
      <c r="DL469">
        <v>0.1</v>
      </c>
      <c r="DM469">
        <v>0.1</v>
      </c>
      <c r="DN469">
        <v>0.1</v>
      </c>
      <c r="DO469">
        <v>0.1</v>
      </c>
      <c r="DP469">
        <v>0.1</v>
      </c>
      <c r="DQ469">
        <v>0.1</v>
      </c>
      <c r="DR469">
        <v>0.1</v>
      </c>
      <c r="DS469">
        <v>0.1</v>
      </c>
      <c r="DT469">
        <v>0.1</v>
      </c>
      <c r="DU469">
        <v>0.1</v>
      </c>
      <c r="DV469">
        <v>0.1</v>
      </c>
      <c r="DW469">
        <v>0.1</v>
      </c>
      <c r="DX469">
        <v>0.1</v>
      </c>
      <c r="DY469">
        <v>0.1</v>
      </c>
      <c r="DZ469">
        <v>0.1</v>
      </c>
      <c r="EA469">
        <v>0.1</v>
      </c>
      <c r="EB469">
        <v>0.1</v>
      </c>
      <c r="EC469">
        <v>0.1</v>
      </c>
      <c r="ED469">
        <v>0.1</v>
      </c>
      <c r="EE469">
        <v>0.1</v>
      </c>
      <c r="EF469">
        <v>0.1</v>
      </c>
    </row>
    <row r="470" spans="71:136" x14ac:dyDescent="0.25">
      <c r="BS470">
        <v>467</v>
      </c>
      <c r="BU470" s="2"/>
      <c r="BV470" s="2"/>
      <c r="BW470" s="2"/>
      <c r="BX470" s="2"/>
      <c r="BY470">
        <v>0.1</v>
      </c>
      <c r="BZ470">
        <v>0.1</v>
      </c>
      <c r="CA470">
        <v>0.1</v>
      </c>
      <c r="CB470">
        <v>0.1</v>
      </c>
      <c r="CC470">
        <v>0.1</v>
      </c>
      <c r="CD470">
        <v>0.1</v>
      </c>
      <c r="CE470">
        <v>0.1</v>
      </c>
      <c r="CF470">
        <v>0.1</v>
      </c>
      <c r="CG470">
        <v>0.1</v>
      </c>
      <c r="CH470">
        <v>0.1</v>
      </c>
      <c r="CI470">
        <v>0.1</v>
      </c>
      <c r="CJ470">
        <v>0.1</v>
      </c>
      <c r="CK470">
        <v>0.1</v>
      </c>
      <c r="CL470">
        <v>0.1</v>
      </c>
      <c r="CM470">
        <v>0.1</v>
      </c>
      <c r="CN470">
        <v>0.1</v>
      </c>
      <c r="CO470">
        <v>0.1</v>
      </c>
      <c r="CP470">
        <v>0.1</v>
      </c>
      <c r="CQ470">
        <v>0.1</v>
      </c>
      <c r="CR470">
        <v>0.1</v>
      </c>
      <c r="CS470">
        <v>0.1</v>
      </c>
      <c r="CT470">
        <v>0.1</v>
      </c>
      <c r="CU470">
        <v>0.1</v>
      </c>
      <c r="CV470">
        <v>0.1</v>
      </c>
      <c r="CW470">
        <v>0.1</v>
      </c>
      <c r="CX470">
        <v>0.1</v>
      </c>
      <c r="CY470">
        <v>0.1</v>
      </c>
      <c r="CZ470">
        <v>0.1</v>
      </c>
      <c r="DA470">
        <v>0.1</v>
      </c>
      <c r="DB470">
        <v>0.1</v>
      </c>
      <c r="DC470">
        <v>0.1</v>
      </c>
      <c r="DD470">
        <v>0.1</v>
      </c>
      <c r="DE470">
        <v>0.1</v>
      </c>
      <c r="DF470">
        <v>0.1</v>
      </c>
      <c r="DG470">
        <v>0.1</v>
      </c>
      <c r="DH470">
        <v>0.1</v>
      </c>
      <c r="DI470">
        <v>0.1</v>
      </c>
      <c r="DJ470">
        <v>0.1</v>
      </c>
      <c r="DK470">
        <v>0.1</v>
      </c>
      <c r="DL470">
        <v>0.1</v>
      </c>
      <c r="DM470">
        <v>0.1</v>
      </c>
      <c r="DN470">
        <v>0.1</v>
      </c>
      <c r="DO470">
        <v>0.1</v>
      </c>
      <c r="DP470">
        <v>0.1</v>
      </c>
      <c r="DQ470">
        <v>0.1</v>
      </c>
      <c r="DR470">
        <v>0.1</v>
      </c>
      <c r="DS470">
        <v>0.1</v>
      </c>
      <c r="DT470">
        <v>0.1</v>
      </c>
      <c r="DU470">
        <v>0.1</v>
      </c>
      <c r="DV470">
        <v>0.1</v>
      </c>
      <c r="DW470">
        <v>0.1</v>
      </c>
      <c r="DX470">
        <v>0.1</v>
      </c>
      <c r="DY470">
        <v>0.1</v>
      </c>
      <c r="DZ470">
        <v>0.1</v>
      </c>
      <c r="EA470">
        <v>0.1</v>
      </c>
      <c r="EB470">
        <v>0.1</v>
      </c>
      <c r="EC470">
        <v>0.1</v>
      </c>
      <c r="ED470">
        <v>0.1</v>
      </c>
      <c r="EE470">
        <v>0.1</v>
      </c>
      <c r="EF470">
        <v>0.1</v>
      </c>
    </row>
    <row r="471" spans="71:136" x14ac:dyDescent="0.25">
      <c r="BS471">
        <v>468</v>
      </c>
      <c r="BU471" s="2"/>
      <c r="BV471" s="2"/>
      <c r="BW471" s="2"/>
      <c r="BX471" s="2"/>
      <c r="BY471">
        <v>0.1</v>
      </c>
      <c r="BZ471">
        <v>0.1</v>
      </c>
      <c r="CA471">
        <v>0.1</v>
      </c>
      <c r="CB471">
        <v>0.1</v>
      </c>
      <c r="CC471">
        <v>0.1</v>
      </c>
      <c r="CD471">
        <v>0.1</v>
      </c>
      <c r="CE471">
        <v>0.1</v>
      </c>
      <c r="CF471">
        <v>0.1</v>
      </c>
      <c r="CG471">
        <v>0.1</v>
      </c>
      <c r="CH471">
        <v>0.1</v>
      </c>
      <c r="CI471">
        <v>0.1</v>
      </c>
      <c r="CJ471">
        <v>0.1</v>
      </c>
      <c r="CK471">
        <v>0.1</v>
      </c>
      <c r="CL471">
        <v>0.1</v>
      </c>
      <c r="CM471">
        <v>0.1</v>
      </c>
      <c r="CN471">
        <v>0.1</v>
      </c>
      <c r="CO471">
        <v>0.1</v>
      </c>
      <c r="CP471">
        <v>0.1</v>
      </c>
      <c r="CQ471">
        <v>0.1</v>
      </c>
      <c r="CR471">
        <v>0.1</v>
      </c>
      <c r="CS471">
        <v>0.1</v>
      </c>
      <c r="CT471">
        <v>0.1</v>
      </c>
      <c r="CU471">
        <v>0.1</v>
      </c>
      <c r="CV471">
        <v>0.1</v>
      </c>
      <c r="CW471">
        <v>0.1</v>
      </c>
      <c r="CX471">
        <v>0.1</v>
      </c>
      <c r="CY471">
        <v>0.1</v>
      </c>
      <c r="CZ471">
        <v>0.1</v>
      </c>
      <c r="DA471">
        <v>0.1</v>
      </c>
      <c r="DB471">
        <v>0.1</v>
      </c>
      <c r="DC471">
        <v>0.1</v>
      </c>
      <c r="DD471">
        <v>0.1</v>
      </c>
      <c r="DE471">
        <v>0.1</v>
      </c>
      <c r="DF471">
        <v>0.1</v>
      </c>
      <c r="DG471">
        <v>0.1</v>
      </c>
      <c r="DH471">
        <v>0.1</v>
      </c>
      <c r="DI471">
        <v>0.1</v>
      </c>
      <c r="DJ471">
        <v>0.1</v>
      </c>
      <c r="DK471">
        <v>0.1</v>
      </c>
      <c r="DL471">
        <v>0.1</v>
      </c>
      <c r="DM471">
        <v>0.1</v>
      </c>
      <c r="DN471">
        <v>0.1</v>
      </c>
      <c r="DO471">
        <v>0.1</v>
      </c>
      <c r="DP471">
        <v>0.1</v>
      </c>
      <c r="DQ471">
        <v>0.1</v>
      </c>
      <c r="DR471">
        <v>0.1</v>
      </c>
      <c r="DS471">
        <v>0.1</v>
      </c>
      <c r="DT471">
        <v>0.1</v>
      </c>
      <c r="DU471">
        <v>0.1</v>
      </c>
      <c r="DV471">
        <v>0.1</v>
      </c>
      <c r="DW471">
        <v>0.1</v>
      </c>
      <c r="DX471">
        <v>0.1</v>
      </c>
      <c r="DY471">
        <v>0.1</v>
      </c>
      <c r="DZ471">
        <v>0.1</v>
      </c>
      <c r="EA471">
        <v>0.1</v>
      </c>
      <c r="EB471">
        <v>0.1</v>
      </c>
      <c r="EC471">
        <v>0.1</v>
      </c>
      <c r="ED471">
        <v>0.1</v>
      </c>
      <c r="EE471">
        <v>0.1</v>
      </c>
      <c r="EF471">
        <v>0.1</v>
      </c>
    </row>
    <row r="472" spans="71:136" x14ac:dyDescent="0.25">
      <c r="BS472">
        <v>469</v>
      </c>
      <c r="BU472" s="2"/>
      <c r="BV472" s="2"/>
      <c r="BW472" s="2"/>
      <c r="BX472" s="2"/>
      <c r="BY472">
        <v>0.1</v>
      </c>
      <c r="BZ472">
        <v>0.1</v>
      </c>
      <c r="CA472">
        <v>0.1</v>
      </c>
      <c r="CB472">
        <v>0.1</v>
      </c>
      <c r="CC472">
        <v>0.1</v>
      </c>
      <c r="CD472">
        <v>0.1</v>
      </c>
      <c r="CE472">
        <v>0.1</v>
      </c>
      <c r="CF472">
        <v>0.1</v>
      </c>
      <c r="CG472">
        <v>0.1</v>
      </c>
      <c r="CH472">
        <v>0.1</v>
      </c>
      <c r="CI472">
        <v>0.1</v>
      </c>
      <c r="CJ472">
        <v>0.1</v>
      </c>
      <c r="CK472">
        <v>0.1</v>
      </c>
      <c r="CL472">
        <v>0.1</v>
      </c>
      <c r="CM472">
        <v>0.1</v>
      </c>
      <c r="CN472">
        <v>0.1</v>
      </c>
      <c r="CO472">
        <v>0.1</v>
      </c>
      <c r="CP472">
        <v>0.1</v>
      </c>
      <c r="CQ472">
        <v>0.1</v>
      </c>
      <c r="CR472">
        <v>0.1</v>
      </c>
      <c r="CS472">
        <v>0.1</v>
      </c>
      <c r="CT472">
        <v>0.1</v>
      </c>
      <c r="CU472">
        <v>0.1</v>
      </c>
      <c r="CV472">
        <v>0.1</v>
      </c>
      <c r="CW472">
        <v>0.1</v>
      </c>
      <c r="CX472">
        <v>0.1</v>
      </c>
      <c r="CY472">
        <v>0.1</v>
      </c>
      <c r="CZ472">
        <v>0.1</v>
      </c>
      <c r="DA472">
        <v>0.1</v>
      </c>
      <c r="DB472">
        <v>0.1</v>
      </c>
      <c r="DC472">
        <v>0.1</v>
      </c>
      <c r="DD472">
        <v>0.1</v>
      </c>
      <c r="DE472">
        <v>0.1</v>
      </c>
      <c r="DF472">
        <v>0.1</v>
      </c>
      <c r="DG472">
        <v>0.1</v>
      </c>
      <c r="DH472">
        <v>0.1</v>
      </c>
      <c r="DI472">
        <v>0.1</v>
      </c>
      <c r="DJ472">
        <v>0.1</v>
      </c>
      <c r="DK472">
        <v>0.1</v>
      </c>
      <c r="DL472">
        <v>0.1</v>
      </c>
      <c r="DM472">
        <v>0.1</v>
      </c>
      <c r="DN472">
        <v>0.1</v>
      </c>
      <c r="DO472">
        <v>0.1</v>
      </c>
      <c r="DP472">
        <v>0.1</v>
      </c>
      <c r="DQ472">
        <v>0.1</v>
      </c>
      <c r="DR472">
        <v>0.1</v>
      </c>
      <c r="DS472">
        <v>0.1</v>
      </c>
      <c r="DT472">
        <v>0.1</v>
      </c>
      <c r="DU472">
        <v>0.1</v>
      </c>
      <c r="DV472">
        <v>0.1</v>
      </c>
      <c r="DW472">
        <v>0.1</v>
      </c>
      <c r="DX472">
        <v>0.1</v>
      </c>
      <c r="DY472">
        <v>0.1</v>
      </c>
      <c r="DZ472">
        <v>0.1</v>
      </c>
      <c r="EA472">
        <v>0.1</v>
      </c>
      <c r="EB472">
        <v>0.1</v>
      </c>
      <c r="EC472">
        <v>0.1</v>
      </c>
      <c r="ED472">
        <v>0.1</v>
      </c>
      <c r="EE472">
        <v>0.1</v>
      </c>
      <c r="EF472">
        <v>0.1</v>
      </c>
    </row>
    <row r="473" spans="71:136" x14ac:dyDescent="0.25">
      <c r="BS473">
        <v>470</v>
      </c>
      <c r="BU473" s="2"/>
      <c r="BV473" s="2"/>
      <c r="BW473" s="2"/>
      <c r="BX473" s="2"/>
      <c r="BY473">
        <v>0.1</v>
      </c>
      <c r="BZ473">
        <v>0.1</v>
      </c>
      <c r="CA473">
        <v>0.1</v>
      </c>
      <c r="CB473">
        <v>0.1</v>
      </c>
      <c r="CC473">
        <v>0.1</v>
      </c>
      <c r="CD473">
        <v>0.1</v>
      </c>
      <c r="CE473">
        <v>0.1</v>
      </c>
      <c r="CF473">
        <v>0.1</v>
      </c>
      <c r="CG473">
        <v>0.1</v>
      </c>
      <c r="CH473">
        <v>0.1</v>
      </c>
      <c r="CI473">
        <v>0.1</v>
      </c>
      <c r="CJ473">
        <v>0.1</v>
      </c>
      <c r="CK473">
        <v>0.1</v>
      </c>
      <c r="CL473">
        <v>0.1</v>
      </c>
      <c r="CM473">
        <v>0.1</v>
      </c>
      <c r="CN473">
        <v>0.1</v>
      </c>
      <c r="CO473">
        <v>0.1</v>
      </c>
      <c r="CP473">
        <v>0.1</v>
      </c>
      <c r="CQ473">
        <v>0.1</v>
      </c>
      <c r="CR473">
        <v>0.1</v>
      </c>
      <c r="CS473">
        <v>0.1</v>
      </c>
      <c r="CT473">
        <v>0.1</v>
      </c>
      <c r="CU473">
        <v>0.1</v>
      </c>
      <c r="CV473">
        <v>0.1</v>
      </c>
      <c r="CW473">
        <v>0.1</v>
      </c>
      <c r="CX473">
        <v>0.1</v>
      </c>
      <c r="CY473">
        <v>0.1</v>
      </c>
      <c r="CZ473">
        <v>0.1</v>
      </c>
      <c r="DA473">
        <v>0.1</v>
      </c>
      <c r="DB473">
        <v>0.1</v>
      </c>
      <c r="DC473">
        <v>0.1</v>
      </c>
      <c r="DD473">
        <v>0.1</v>
      </c>
      <c r="DE473">
        <v>0.1</v>
      </c>
      <c r="DF473">
        <v>0.1</v>
      </c>
      <c r="DG473">
        <v>0.1</v>
      </c>
      <c r="DH473">
        <v>0.1</v>
      </c>
      <c r="DI473">
        <v>0.1</v>
      </c>
      <c r="DJ473">
        <v>0.1</v>
      </c>
      <c r="DK473">
        <v>0.1</v>
      </c>
      <c r="DL473">
        <v>0.1</v>
      </c>
      <c r="DM473">
        <v>0.1</v>
      </c>
      <c r="DN473">
        <v>0.1</v>
      </c>
      <c r="DO473">
        <v>0.1</v>
      </c>
      <c r="DP473">
        <v>0.1</v>
      </c>
      <c r="DQ473">
        <v>0.1</v>
      </c>
      <c r="DR473">
        <v>0.1</v>
      </c>
      <c r="DS473">
        <v>0.1</v>
      </c>
      <c r="DT473">
        <v>0.1</v>
      </c>
      <c r="DU473">
        <v>0.1</v>
      </c>
      <c r="DV473">
        <v>0.1</v>
      </c>
      <c r="DW473">
        <v>0.1</v>
      </c>
      <c r="DX473">
        <v>0.1</v>
      </c>
      <c r="DY473">
        <v>0.1</v>
      </c>
      <c r="DZ473">
        <v>0.1</v>
      </c>
      <c r="EA473">
        <v>0.1</v>
      </c>
      <c r="EB473">
        <v>0.1</v>
      </c>
      <c r="EC473">
        <v>0.1</v>
      </c>
      <c r="ED473">
        <v>0.1</v>
      </c>
      <c r="EE473">
        <v>0.1</v>
      </c>
      <c r="EF473">
        <v>0.1</v>
      </c>
    </row>
    <row r="474" spans="71:136" x14ac:dyDescent="0.25">
      <c r="BS474">
        <v>471</v>
      </c>
      <c r="BU474" s="2"/>
      <c r="BV474" s="2"/>
      <c r="BW474" s="2"/>
      <c r="BX474" s="2"/>
      <c r="BY474">
        <v>0.1</v>
      </c>
      <c r="BZ474">
        <v>0.1</v>
      </c>
      <c r="CA474">
        <v>0.1</v>
      </c>
      <c r="CB474">
        <v>0.1</v>
      </c>
      <c r="CC474">
        <v>0.1</v>
      </c>
      <c r="CD474">
        <v>0.1</v>
      </c>
      <c r="CE474">
        <v>0.1</v>
      </c>
      <c r="CF474">
        <v>0.1</v>
      </c>
      <c r="CG474">
        <v>0.1</v>
      </c>
      <c r="CH474">
        <v>0.1</v>
      </c>
      <c r="CI474">
        <v>0.1</v>
      </c>
      <c r="CJ474">
        <v>0.1</v>
      </c>
      <c r="CK474">
        <v>0.1</v>
      </c>
      <c r="CL474">
        <v>0.1</v>
      </c>
      <c r="CM474">
        <v>0.1</v>
      </c>
      <c r="CN474">
        <v>0.1</v>
      </c>
      <c r="CO474">
        <v>0.1</v>
      </c>
      <c r="CP474">
        <v>0.1</v>
      </c>
      <c r="CQ474">
        <v>0.1</v>
      </c>
      <c r="CR474">
        <v>0.1</v>
      </c>
      <c r="CS474">
        <v>0.1</v>
      </c>
      <c r="CT474">
        <v>0.1</v>
      </c>
      <c r="CU474">
        <v>0.1</v>
      </c>
      <c r="CV474">
        <v>0.1</v>
      </c>
      <c r="CW474">
        <v>0.1</v>
      </c>
      <c r="CX474">
        <v>0.1</v>
      </c>
      <c r="CY474">
        <v>0.1</v>
      </c>
      <c r="CZ474">
        <v>0.1</v>
      </c>
      <c r="DA474">
        <v>0.1</v>
      </c>
      <c r="DB474">
        <v>0.1</v>
      </c>
      <c r="DC474">
        <v>0.1</v>
      </c>
      <c r="DD474">
        <v>0.1</v>
      </c>
      <c r="DE474">
        <v>0.1</v>
      </c>
      <c r="DF474">
        <v>0.1</v>
      </c>
      <c r="DG474">
        <v>0.1</v>
      </c>
      <c r="DH474">
        <v>0.1</v>
      </c>
      <c r="DI474">
        <v>0.1</v>
      </c>
      <c r="DJ474">
        <v>0.1</v>
      </c>
      <c r="DK474">
        <v>0.1</v>
      </c>
      <c r="DL474">
        <v>0.1</v>
      </c>
      <c r="DM474">
        <v>0.1</v>
      </c>
      <c r="DN474">
        <v>0.1</v>
      </c>
      <c r="DO474">
        <v>0.1</v>
      </c>
      <c r="DP474">
        <v>0.1</v>
      </c>
      <c r="DQ474">
        <v>0.1</v>
      </c>
      <c r="DR474">
        <v>0.1</v>
      </c>
      <c r="DS474">
        <v>0.1</v>
      </c>
      <c r="DT474">
        <v>0.1</v>
      </c>
      <c r="DU474">
        <v>0.1</v>
      </c>
      <c r="DV474">
        <v>0.1</v>
      </c>
      <c r="DW474">
        <v>0.1</v>
      </c>
      <c r="DX474">
        <v>0.1</v>
      </c>
      <c r="DY474">
        <v>0.1</v>
      </c>
      <c r="DZ474">
        <v>0.1</v>
      </c>
      <c r="EA474">
        <v>0.1</v>
      </c>
      <c r="EB474">
        <v>0.1</v>
      </c>
      <c r="EC474">
        <v>0.1</v>
      </c>
      <c r="ED474">
        <v>0.1</v>
      </c>
      <c r="EE474">
        <v>0.1</v>
      </c>
      <c r="EF474">
        <v>0.1</v>
      </c>
    </row>
    <row r="475" spans="71:136" x14ac:dyDescent="0.25">
      <c r="BS475">
        <v>472</v>
      </c>
      <c r="BU475" s="2"/>
      <c r="BV475" s="2"/>
      <c r="BW475" s="2"/>
      <c r="BX475" s="2"/>
      <c r="BY475">
        <v>0.1</v>
      </c>
      <c r="BZ475">
        <v>0.1</v>
      </c>
      <c r="CA475">
        <v>0.1</v>
      </c>
      <c r="CB475">
        <v>0.1</v>
      </c>
      <c r="CC475">
        <v>0.1</v>
      </c>
      <c r="CD475">
        <v>0.1</v>
      </c>
      <c r="CE475">
        <v>0.1</v>
      </c>
      <c r="CF475">
        <v>0.1</v>
      </c>
      <c r="CG475">
        <v>0.1</v>
      </c>
      <c r="CH475">
        <v>0.1</v>
      </c>
      <c r="CI475">
        <v>0.1</v>
      </c>
      <c r="CJ475">
        <v>0.1</v>
      </c>
      <c r="CK475">
        <v>0.1</v>
      </c>
      <c r="CL475">
        <v>0.1</v>
      </c>
      <c r="CM475">
        <v>0.1</v>
      </c>
      <c r="CN475">
        <v>0.1</v>
      </c>
      <c r="CO475">
        <v>0.1</v>
      </c>
      <c r="CP475">
        <v>0.1</v>
      </c>
      <c r="CQ475">
        <v>0.1</v>
      </c>
      <c r="CR475">
        <v>0.1</v>
      </c>
      <c r="CS475">
        <v>0.1</v>
      </c>
      <c r="CT475">
        <v>0.1</v>
      </c>
      <c r="CU475">
        <v>0.1</v>
      </c>
      <c r="CV475">
        <v>0.1</v>
      </c>
      <c r="CW475">
        <v>0.1</v>
      </c>
      <c r="CX475">
        <v>0.1</v>
      </c>
      <c r="CY475">
        <v>0.1</v>
      </c>
      <c r="CZ475">
        <v>0.1</v>
      </c>
      <c r="DA475">
        <v>0.1</v>
      </c>
      <c r="DB475">
        <v>0.1</v>
      </c>
      <c r="DC475">
        <v>0.1</v>
      </c>
      <c r="DD475">
        <v>0.1</v>
      </c>
      <c r="DE475">
        <v>0.1</v>
      </c>
      <c r="DF475">
        <v>0.1</v>
      </c>
      <c r="DG475">
        <v>0.1</v>
      </c>
      <c r="DH475">
        <v>0.1</v>
      </c>
      <c r="DI475">
        <v>0.1</v>
      </c>
      <c r="DJ475">
        <v>0.1</v>
      </c>
      <c r="DK475">
        <v>0.1</v>
      </c>
      <c r="DL475">
        <v>0.1</v>
      </c>
      <c r="DM475">
        <v>0.1</v>
      </c>
      <c r="DN475">
        <v>0.1</v>
      </c>
      <c r="DO475">
        <v>0.1</v>
      </c>
      <c r="DP475">
        <v>0.1</v>
      </c>
      <c r="DQ475">
        <v>0.1</v>
      </c>
      <c r="DR475">
        <v>0.1</v>
      </c>
      <c r="DS475">
        <v>0.1</v>
      </c>
      <c r="DT475">
        <v>0.1</v>
      </c>
      <c r="DU475">
        <v>0.1</v>
      </c>
      <c r="DV475">
        <v>0.1</v>
      </c>
      <c r="DW475">
        <v>0.1</v>
      </c>
      <c r="DX475">
        <v>0.1</v>
      </c>
      <c r="DY475">
        <v>0.1</v>
      </c>
      <c r="DZ475">
        <v>0.1</v>
      </c>
      <c r="EA475">
        <v>0.1</v>
      </c>
      <c r="EB475">
        <v>0.1</v>
      </c>
      <c r="EC475">
        <v>0.1</v>
      </c>
      <c r="ED475">
        <v>0.1</v>
      </c>
      <c r="EE475">
        <v>0.1</v>
      </c>
      <c r="EF475">
        <v>0.1</v>
      </c>
    </row>
    <row r="476" spans="71:136" x14ac:dyDescent="0.25">
      <c r="BS476">
        <v>473</v>
      </c>
      <c r="BU476" s="2"/>
      <c r="BV476" s="2"/>
      <c r="BW476" s="2"/>
      <c r="BX476" s="2"/>
      <c r="BY476">
        <v>0.1</v>
      </c>
      <c r="BZ476">
        <v>0.1</v>
      </c>
      <c r="CA476">
        <v>0.1</v>
      </c>
      <c r="CB476">
        <v>0.1</v>
      </c>
      <c r="CC476">
        <v>0.1</v>
      </c>
      <c r="CD476">
        <v>0.1</v>
      </c>
      <c r="CE476">
        <v>0.1</v>
      </c>
      <c r="CF476">
        <v>0.1</v>
      </c>
      <c r="CG476">
        <v>0.1</v>
      </c>
      <c r="CH476">
        <v>0.1</v>
      </c>
      <c r="CI476">
        <v>0.1</v>
      </c>
      <c r="CJ476">
        <v>0.1</v>
      </c>
      <c r="CK476">
        <v>0.1</v>
      </c>
      <c r="CL476">
        <v>0.1</v>
      </c>
      <c r="CM476">
        <v>0.1</v>
      </c>
      <c r="CN476">
        <v>0.1</v>
      </c>
      <c r="CO476">
        <v>0.1</v>
      </c>
      <c r="CP476">
        <v>0.1</v>
      </c>
      <c r="CQ476">
        <v>0.1</v>
      </c>
      <c r="CR476">
        <v>0.1</v>
      </c>
      <c r="CS476">
        <v>0.1</v>
      </c>
      <c r="CT476">
        <v>0.1</v>
      </c>
      <c r="CU476">
        <v>0.1</v>
      </c>
      <c r="CV476">
        <v>0.1</v>
      </c>
      <c r="CW476">
        <v>0.1</v>
      </c>
      <c r="CX476">
        <v>0.1</v>
      </c>
      <c r="CY476">
        <v>0.1</v>
      </c>
      <c r="CZ476">
        <v>0.1</v>
      </c>
      <c r="DA476">
        <v>0.1</v>
      </c>
      <c r="DB476">
        <v>0.1</v>
      </c>
      <c r="DC476">
        <v>0.1</v>
      </c>
      <c r="DD476">
        <v>0.1</v>
      </c>
      <c r="DE476">
        <v>0.1</v>
      </c>
      <c r="DF476">
        <v>0.1</v>
      </c>
      <c r="DG476">
        <v>0.1</v>
      </c>
      <c r="DH476">
        <v>0.1</v>
      </c>
      <c r="DI476">
        <v>0.1</v>
      </c>
      <c r="DJ476">
        <v>0.1</v>
      </c>
      <c r="DK476">
        <v>0.1</v>
      </c>
      <c r="DL476">
        <v>0.1</v>
      </c>
      <c r="DM476">
        <v>0.1</v>
      </c>
      <c r="DN476">
        <v>0.1</v>
      </c>
      <c r="DO476">
        <v>0.1</v>
      </c>
      <c r="DP476">
        <v>0.1</v>
      </c>
      <c r="DQ476">
        <v>0.1</v>
      </c>
      <c r="DR476">
        <v>0.1</v>
      </c>
      <c r="DS476">
        <v>0.1</v>
      </c>
      <c r="DT476">
        <v>0.1</v>
      </c>
      <c r="DU476">
        <v>0.1</v>
      </c>
      <c r="DV476">
        <v>0.1</v>
      </c>
      <c r="DW476">
        <v>0.1</v>
      </c>
      <c r="DX476">
        <v>0.1</v>
      </c>
      <c r="DY476">
        <v>0.1</v>
      </c>
      <c r="DZ476">
        <v>0.1</v>
      </c>
      <c r="EA476">
        <v>0.1</v>
      </c>
      <c r="EB476">
        <v>0.1</v>
      </c>
      <c r="EC476">
        <v>0.1</v>
      </c>
      <c r="ED476">
        <v>0.1</v>
      </c>
      <c r="EE476">
        <v>0.1</v>
      </c>
      <c r="EF476">
        <v>0.1</v>
      </c>
    </row>
    <row r="477" spans="71:136" x14ac:dyDescent="0.25">
      <c r="BS477">
        <v>474</v>
      </c>
      <c r="BU477" s="2"/>
      <c r="BV477" s="2"/>
      <c r="BW477" s="2"/>
      <c r="BX477" s="2"/>
      <c r="BY477">
        <v>0.1</v>
      </c>
      <c r="BZ477">
        <v>0.1</v>
      </c>
      <c r="CA477">
        <v>0.1</v>
      </c>
      <c r="CB477">
        <v>0.1</v>
      </c>
      <c r="CC477">
        <v>0.1</v>
      </c>
      <c r="CD477">
        <v>0.1</v>
      </c>
      <c r="CE477">
        <v>0.1</v>
      </c>
      <c r="CF477">
        <v>0.1</v>
      </c>
      <c r="CG477">
        <v>0.1</v>
      </c>
      <c r="CH477">
        <v>0.1</v>
      </c>
      <c r="CI477">
        <v>0.1</v>
      </c>
      <c r="CJ477">
        <v>0.1</v>
      </c>
      <c r="CK477">
        <v>0.1</v>
      </c>
      <c r="CL477">
        <v>0.1</v>
      </c>
      <c r="CM477">
        <v>0.1</v>
      </c>
      <c r="CN477">
        <v>0.1</v>
      </c>
      <c r="CO477">
        <v>0.1</v>
      </c>
      <c r="CP477">
        <v>0.1</v>
      </c>
      <c r="CQ477">
        <v>0.1</v>
      </c>
      <c r="CR477">
        <v>0.1</v>
      </c>
      <c r="CS477">
        <v>0.1</v>
      </c>
      <c r="CT477">
        <v>0.1</v>
      </c>
      <c r="CU477">
        <v>0.1</v>
      </c>
      <c r="CV477">
        <v>0.1</v>
      </c>
      <c r="CW477">
        <v>0.1</v>
      </c>
      <c r="CX477">
        <v>0.1</v>
      </c>
      <c r="CY477">
        <v>0.1</v>
      </c>
      <c r="CZ477">
        <v>0.1</v>
      </c>
      <c r="DA477">
        <v>0.1</v>
      </c>
      <c r="DB477">
        <v>0.1</v>
      </c>
      <c r="DC477">
        <v>0.1</v>
      </c>
      <c r="DD477">
        <v>0.1</v>
      </c>
      <c r="DE477">
        <v>0.1</v>
      </c>
      <c r="DF477">
        <v>0.1</v>
      </c>
      <c r="DG477">
        <v>0.1</v>
      </c>
      <c r="DH477">
        <v>0.1</v>
      </c>
      <c r="DI477">
        <v>0.1</v>
      </c>
      <c r="DJ477">
        <v>0.1</v>
      </c>
      <c r="DK477">
        <v>0.1</v>
      </c>
      <c r="DL477">
        <v>0.1</v>
      </c>
      <c r="DM477">
        <v>0.1</v>
      </c>
      <c r="DN477">
        <v>0.1</v>
      </c>
      <c r="DO477">
        <v>0.1</v>
      </c>
      <c r="DP477">
        <v>0.1</v>
      </c>
      <c r="DQ477">
        <v>0.1</v>
      </c>
      <c r="DR477">
        <v>0.1</v>
      </c>
      <c r="DS477">
        <v>0.1</v>
      </c>
      <c r="DT477">
        <v>0.1</v>
      </c>
      <c r="DU477">
        <v>0.1</v>
      </c>
      <c r="DV477">
        <v>0.1</v>
      </c>
      <c r="DW477">
        <v>0.1</v>
      </c>
      <c r="DX477">
        <v>0.1</v>
      </c>
      <c r="DY477">
        <v>0.1</v>
      </c>
      <c r="DZ477">
        <v>0.1</v>
      </c>
      <c r="EA477">
        <v>0.1</v>
      </c>
      <c r="EB477">
        <v>0.1</v>
      </c>
      <c r="EC477">
        <v>0.1</v>
      </c>
      <c r="ED477">
        <v>0.1</v>
      </c>
      <c r="EE477">
        <v>0.1</v>
      </c>
      <c r="EF477">
        <v>0.1</v>
      </c>
    </row>
    <row r="478" spans="71:136" x14ac:dyDescent="0.25">
      <c r="BS478">
        <v>475</v>
      </c>
      <c r="BU478" s="2"/>
      <c r="BV478" s="2"/>
      <c r="BW478" s="2"/>
      <c r="BX478" s="2"/>
      <c r="BY478">
        <v>0.1</v>
      </c>
      <c r="BZ478">
        <v>0.1</v>
      </c>
      <c r="CA478">
        <v>0.1</v>
      </c>
      <c r="CB478">
        <v>0.1</v>
      </c>
      <c r="CC478">
        <v>0.1</v>
      </c>
      <c r="CD478">
        <v>0.1</v>
      </c>
      <c r="CE478">
        <v>0.1</v>
      </c>
      <c r="CF478">
        <v>0.1</v>
      </c>
      <c r="CG478">
        <v>0.1</v>
      </c>
      <c r="CH478">
        <v>0.1</v>
      </c>
      <c r="CI478">
        <v>0.1</v>
      </c>
      <c r="CJ478">
        <v>0.1</v>
      </c>
      <c r="CK478">
        <v>0.1</v>
      </c>
      <c r="CL478">
        <v>0.1</v>
      </c>
      <c r="CM478">
        <v>0.1</v>
      </c>
      <c r="CN478">
        <v>0.1</v>
      </c>
      <c r="CO478">
        <v>0.1</v>
      </c>
      <c r="CP478">
        <v>0.1</v>
      </c>
      <c r="CQ478">
        <v>0.1</v>
      </c>
      <c r="CR478">
        <v>0.1</v>
      </c>
      <c r="CS478">
        <v>0.1</v>
      </c>
      <c r="CT478">
        <v>0.1</v>
      </c>
      <c r="CU478">
        <v>0.1</v>
      </c>
      <c r="CV478">
        <v>0.1</v>
      </c>
      <c r="CW478">
        <v>0.1</v>
      </c>
      <c r="CX478">
        <v>0.1</v>
      </c>
      <c r="CY478">
        <v>0.1</v>
      </c>
      <c r="CZ478">
        <v>0.1</v>
      </c>
      <c r="DA478">
        <v>0.1</v>
      </c>
      <c r="DB478">
        <v>0.1</v>
      </c>
      <c r="DC478">
        <v>0.1</v>
      </c>
      <c r="DD478">
        <v>0.1</v>
      </c>
      <c r="DE478">
        <v>0.1</v>
      </c>
      <c r="DF478">
        <v>0.1</v>
      </c>
      <c r="DG478">
        <v>0.1</v>
      </c>
      <c r="DH478">
        <v>0.1</v>
      </c>
      <c r="DI478">
        <v>0.1</v>
      </c>
      <c r="DJ478">
        <v>0.1</v>
      </c>
      <c r="DK478">
        <v>0.1</v>
      </c>
      <c r="DL478">
        <v>0.1</v>
      </c>
      <c r="DM478">
        <v>0.1</v>
      </c>
      <c r="DN478">
        <v>0.1</v>
      </c>
      <c r="DO478">
        <v>0.1</v>
      </c>
      <c r="DP478">
        <v>0.1</v>
      </c>
      <c r="DQ478">
        <v>0.1</v>
      </c>
      <c r="DR478">
        <v>0.1</v>
      </c>
      <c r="DS478">
        <v>0.1</v>
      </c>
      <c r="DT478">
        <v>0.1</v>
      </c>
      <c r="DU478">
        <v>0.1</v>
      </c>
      <c r="DV478">
        <v>0.1</v>
      </c>
      <c r="DW478">
        <v>0.1</v>
      </c>
      <c r="DX478">
        <v>0.1</v>
      </c>
      <c r="DY478">
        <v>0.1</v>
      </c>
      <c r="DZ478">
        <v>0.1</v>
      </c>
      <c r="EA478">
        <v>0.1</v>
      </c>
      <c r="EB478">
        <v>0.1</v>
      </c>
      <c r="EC478">
        <v>0.1</v>
      </c>
      <c r="ED478">
        <v>0.1</v>
      </c>
      <c r="EE478">
        <v>0.1</v>
      </c>
      <c r="EF478">
        <v>0.1</v>
      </c>
    </row>
    <row r="479" spans="71:136" x14ac:dyDescent="0.25">
      <c r="BS479">
        <v>476</v>
      </c>
      <c r="BU479" s="2"/>
      <c r="BV479" s="2"/>
      <c r="BW479" s="2"/>
      <c r="BX479" s="2"/>
      <c r="BY479">
        <v>0.1</v>
      </c>
      <c r="BZ479">
        <v>0.1</v>
      </c>
      <c r="CA479">
        <v>0.1</v>
      </c>
      <c r="CB479">
        <v>0.1</v>
      </c>
      <c r="CC479">
        <v>0.1</v>
      </c>
      <c r="CD479">
        <v>0.1</v>
      </c>
      <c r="CE479">
        <v>0.1</v>
      </c>
      <c r="CF479">
        <v>0.1</v>
      </c>
      <c r="CG479">
        <v>0.1</v>
      </c>
      <c r="CH479">
        <v>0.1</v>
      </c>
      <c r="CI479">
        <v>0.1</v>
      </c>
      <c r="CJ479">
        <v>0.1</v>
      </c>
      <c r="CK479">
        <v>0.1</v>
      </c>
      <c r="CL479">
        <v>0.1</v>
      </c>
      <c r="CM479">
        <v>0.1</v>
      </c>
      <c r="CN479">
        <v>0.1</v>
      </c>
      <c r="CO479">
        <v>0.1</v>
      </c>
      <c r="CP479">
        <v>0.1</v>
      </c>
      <c r="CQ479">
        <v>0.1</v>
      </c>
      <c r="CR479">
        <v>0.1</v>
      </c>
      <c r="CS479">
        <v>0.1</v>
      </c>
      <c r="CT479">
        <v>0.1</v>
      </c>
      <c r="CU479">
        <v>0.1</v>
      </c>
      <c r="CV479">
        <v>0.1</v>
      </c>
      <c r="CW479">
        <v>0.1</v>
      </c>
      <c r="CX479">
        <v>0.1</v>
      </c>
      <c r="CY479">
        <v>0.1</v>
      </c>
      <c r="CZ479">
        <v>0.1</v>
      </c>
      <c r="DA479">
        <v>0.1</v>
      </c>
      <c r="DB479">
        <v>0.1</v>
      </c>
      <c r="DC479">
        <v>0.1</v>
      </c>
      <c r="DD479">
        <v>0.1</v>
      </c>
      <c r="DE479">
        <v>0.1</v>
      </c>
      <c r="DF479">
        <v>0.1</v>
      </c>
      <c r="DG479">
        <v>0.1</v>
      </c>
      <c r="DH479">
        <v>0.1</v>
      </c>
      <c r="DI479">
        <v>0.1</v>
      </c>
      <c r="DJ479">
        <v>0.1</v>
      </c>
      <c r="DK479">
        <v>0.1</v>
      </c>
      <c r="DL479">
        <v>0.1</v>
      </c>
      <c r="DM479">
        <v>0.1</v>
      </c>
      <c r="DN479">
        <v>0.1</v>
      </c>
      <c r="DO479">
        <v>0.1</v>
      </c>
      <c r="DP479">
        <v>0.1</v>
      </c>
      <c r="DQ479">
        <v>0.1</v>
      </c>
      <c r="DR479">
        <v>0.1</v>
      </c>
      <c r="DS479">
        <v>0.1</v>
      </c>
      <c r="DT479">
        <v>0.1</v>
      </c>
      <c r="DU479">
        <v>0.1</v>
      </c>
      <c r="DV479">
        <v>0.1</v>
      </c>
      <c r="DW479">
        <v>0.1</v>
      </c>
      <c r="DX479">
        <v>0.1</v>
      </c>
      <c r="DY479">
        <v>0.1</v>
      </c>
      <c r="DZ479">
        <v>0.1</v>
      </c>
      <c r="EA479">
        <v>0.1</v>
      </c>
      <c r="EB479">
        <v>0.1</v>
      </c>
      <c r="EC479">
        <v>0.1</v>
      </c>
      <c r="ED479">
        <v>0.1</v>
      </c>
      <c r="EE479">
        <v>0.1</v>
      </c>
      <c r="EF479">
        <v>0.1</v>
      </c>
    </row>
    <row r="480" spans="71:136" x14ac:dyDescent="0.25">
      <c r="BS480">
        <v>477</v>
      </c>
      <c r="BU480" s="2"/>
      <c r="BV480" s="2"/>
      <c r="BW480" s="2"/>
      <c r="BX480" s="2"/>
      <c r="BY480">
        <v>0.1</v>
      </c>
      <c r="BZ480">
        <v>0.1</v>
      </c>
      <c r="CA480">
        <v>0.1</v>
      </c>
      <c r="CB480">
        <v>0.1</v>
      </c>
      <c r="CC480">
        <v>0.1</v>
      </c>
      <c r="CD480">
        <v>0.1</v>
      </c>
      <c r="CE480">
        <v>0.1</v>
      </c>
      <c r="CF480">
        <v>0.1</v>
      </c>
      <c r="CG480">
        <v>0.1</v>
      </c>
      <c r="CH480">
        <v>0.1</v>
      </c>
      <c r="CI480">
        <v>0.1</v>
      </c>
      <c r="CJ480">
        <v>0.1</v>
      </c>
      <c r="CK480">
        <v>0.1</v>
      </c>
      <c r="CL480">
        <v>0.1</v>
      </c>
      <c r="CM480">
        <v>0.1</v>
      </c>
      <c r="CN480">
        <v>0.1</v>
      </c>
      <c r="CO480">
        <v>0.1</v>
      </c>
      <c r="CP480">
        <v>0.1</v>
      </c>
      <c r="CQ480">
        <v>0.1</v>
      </c>
      <c r="CR480">
        <v>0.1</v>
      </c>
      <c r="CS480">
        <v>0.1</v>
      </c>
      <c r="CT480">
        <v>0.1</v>
      </c>
      <c r="CU480">
        <v>0.1</v>
      </c>
      <c r="CV480">
        <v>0.1</v>
      </c>
      <c r="CW480">
        <v>0.1</v>
      </c>
      <c r="CX480">
        <v>0.1</v>
      </c>
      <c r="CY480">
        <v>0.1</v>
      </c>
      <c r="CZ480">
        <v>0.1</v>
      </c>
      <c r="DA480">
        <v>0.1</v>
      </c>
      <c r="DB480">
        <v>0.1</v>
      </c>
      <c r="DC480">
        <v>0.1</v>
      </c>
      <c r="DD480">
        <v>0.1</v>
      </c>
      <c r="DE480">
        <v>0.1</v>
      </c>
      <c r="DF480">
        <v>0.1</v>
      </c>
      <c r="DG480">
        <v>0.1</v>
      </c>
      <c r="DH480">
        <v>0.1</v>
      </c>
      <c r="DI480">
        <v>0.1</v>
      </c>
      <c r="DJ480">
        <v>0.1</v>
      </c>
      <c r="DK480">
        <v>0.1</v>
      </c>
      <c r="DL480">
        <v>0.1</v>
      </c>
      <c r="DM480">
        <v>0.1</v>
      </c>
      <c r="DN480">
        <v>0.1</v>
      </c>
      <c r="DO480">
        <v>0.1</v>
      </c>
      <c r="DP480">
        <v>0.1</v>
      </c>
      <c r="DQ480">
        <v>0.1</v>
      </c>
      <c r="DR480">
        <v>0.1</v>
      </c>
      <c r="DS480">
        <v>0.1</v>
      </c>
      <c r="DT480">
        <v>0.1</v>
      </c>
      <c r="DU480">
        <v>0.1</v>
      </c>
      <c r="DV480">
        <v>0.1</v>
      </c>
      <c r="DW480">
        <v>0.1</v>
      </c>
      <c r="DX480">
        <v>0.1</v>
      </c>
      <c r="DY480">
        <v>0.1</v>
      </c>
      <c r="DZ480">
        <v>0.1</v>
      </c>
      <c r="EA480">
        <v>0.1</v>
      </c>
      <c r="EB480">
        <v>0.1</v>
      </c>
      <c r="EC480">
        <v>0.1</v>
      </c>
      <c r="ED480">
        <v>0.1</v>
      </c>
      <c r="EE480">
        <v>0.1</v>
      </c>
      <c r="EF480">
        <v>0.1</v>
      </c>
    </row>
    <row r="481" spans="71:136" x14ac:dyDescent="0.25">
      <c r="BS481">
        <v>478</v>
      </c>
      <c r="BU481" s="2"/>
      <c r="BV481" s="2"/>
      <c r="BW481" s="2"/>
      <c r="BX481" s="2"/>
      <c r="BY481">
        <v>0.1</v>
      </c>
      <c r="BZ481">
        <v>0.1</v>
      </c>
      <c r="CA481">
        <v>0.1</v>
      </c>
      <c r="CB481">
        <v>0.1</v>
      </c>
      <c r="CC481">
        <v>0.1</v>
      </c>
      <c r="CD481">
        <v>0.1</v>
      </c>
      <c r="CE481">
        <v>0.1</v>
      </c>
      <c r="CF481">
        <v>0.1</v>
      </c>
      <c r="CG481">
        <v>0.1</v>
      </c>
      <c r="CH481">
        <v>0.1</v>
      </c>
      <c r="CI481">
        <v>0.1</v>
      </c>
      <c r="CJ481">
        <v>0.1</v>
      </c>
      <c r="CK481">
        <v>0.1</v>
      </c>
      <c r="CL481">
        <v>0.1</v>
      </c>
      <c r="CM481">
        <v>0.1</v>
      </c>
      <c r="CN481">
        <v>0.1</v>
      </c>
      <c r="CO481">
        <v>0.1</v>
      </c>
      <c r="CP481">
        <v>0.1</v>
      </c>
      <c r="CQ481">
        <v>0.1</v>
      </c>
      <c r="CR481">
        <v>0.1</v>
      </c>
      <c r="CS481">
        <v>0.1</v>
      </c>
      <c r="CT481">
        <v>0.1</v>
      </c>
      <c r="CU481">
        <v>0.1</v>
      </c>
      <c r="CV481">
        <v>0.1</v>
      </c>
      <c r="CW481">
        <v>0.1</v>
      </c>
      <c r="CX481">
        <v>0.1</v>
      </c>
      <c r="CY481">
        <v>0.1</v>
      </c>
      <c r="CZ481">
        <v>0.1</v>
      </c>
      <c r="DA481">
        <v>0.1</v>
      </c>
      <c r="DB481">
        <v>0.1</v>
      </c>
      <c r="DC481">
        <v>0.1</v>
      </c>
      <c r="DD481">
        <v>0.1</v>
      </c>
      <c r="DE481">
        <v>0.1</v>
      </c>
      <c r="DF481">
        <v>0.1</v>
      </c>
      <c r="DG481">
        <v>0.1</v>
      </c>
      <c r="DH481">
        <v>0.1</v>
      </c>
      <c r="DI481">
        <v>0.1</v>
      </c>
      <c r="DJ481">
        <v>0.1</v>
      </c>
      <c r="DK481">
        <v>0.1</v>
      </c>
      <c r="DL481">
        <v>0.1</v>
      </c>
      <c r="DM481">
        <v>0.1</v>
      </c>
      <c r="DN481">
        <v>0.1</v>
      </c>
      <c r="DO481">
        <v>0.1</v>
      </c>
      <c r="DP481">
        <v>0.1</v>
      </c>
      <c r="DQ481">
        <v>0.1</v>
      </c>
      <c r="DR481">
        <v>0.1</v>
      </c>
      <c r="DS481">
        <v>0.1</v>
      </c>
      <c r="DT481">
        <v>0.1</v>
      </c>
      <c r="DU481">
        <v>0.1</v>
      </c>
      <c r="DV481">
        <v>0.1</v>
      </c>
      <c r="DW481">
        <v>0.1</v>
      </c>
      <c r="DX481">
        <v>0.1</v>
      </c>
      <c r="DY481">
        <v>0.1</v>
      </c>
      <c r="DZ481">
        <v>0.1</v>
      </c>
      <c r="EA481">
        <v>0.1</v>
      </c>
      <c r="EB481">
        <v>0.1</v>
      </c>
      <c r="EC481">
        <v>0.1</v>
      </c>
      <c r="ED481">
        <v>0.1</v>
      </c>
      <c r="EE481">
        <v>0.1</v>
      </c>
      <c r="EF481">
        <v>0.1</v>
      </c>
    </row>
    <row r="482" spans="71:136" x14ac:dyDescent="0.25">
      <c r="BS482">
        <v>479</v>
      </c>
      <c r="BU482" s="2"/>
      <c r="BV482" s="2"/>
      <c r="BW482" s="2"/>
      <c r="BX482" s="2"/>
      <c r="BY482">
        <v>0.1</v>
      </c>
      <c r="BZ482">
        <v>0.1</v>
      </c>
      <c r="CA482">
        <v>0.1</v>
      </c>
      <c r="CB482">
        <v>0.1</v>
      </c>
      <c r="CC482">
        <v>0.1</v>
      </c>
      <c r="CD482">
        <v>0.1</v>
      </c>
      <c r="CE482">
        <v>0.1</v>
      </c>
      <c r="CF482">
        <v>0.1</v>
      </c>
      <c r="CG482">
        <v>0.1</v>
      </c>
      <c r="CH482">
        <v>0.1</v>
      </c>
      <c r="CI482">
        <v>0.1</v>
      </c>
      <c r="CJ482">
        <v>0.1</v>
      </c>
      <c r="CK482">
        <v>0.1</v>
      </c>
      <c r="CL482">
        <v>0.1</v>
      </c>
      <c r="CM482">
        <v>0.1</v>
      </c>
      <c r="CN482">
        <v>0.1</v>
      </c>
      <c r="CO482">
        <v>0.1</v>
      </c>
      <c r="CP482">
        <v>0.1</v>
      </c>
      <c r="CQ482">
        <v>0.1</v>
      </c>
      <c r="CR482">
        <v>0.1</v>
      </c>
      <c r="CS482">
        <v>0.1</v>
      </c>
      <c r="CT482">
        <v>0.1</v>
      </c>
      <c r="CU482">
        <v>0.1</v>
      </c>
      <c r="CV482">
        <v>0.1</v>
      </c>
      <c r="CW482">
        <v>0.1</v>
      </c>
      <c r="CX482">
        <v>0.1</v>
      </c>
      <c r="CY482">
        <v>0.1</v>
      </c>
      <c r="CZ482">
        <v>0.1</v>
      </c>
      <c r="DA482">
        <v>0.1</v>
      </c>
      <c r="DB482">
        <v>0.1</v>
      </c>
      <c r="DC482">
        <v>0.1</v>
      </c>
      <c r="DD482">
        <v>0.1</v>
      </c>
      <c r="DE482">
        <v>0.1</v>
      </c>
      <c r="DF482">
        <v>0.1</v>
      </c>
      <c r="DG482">
        <v>0.1</v>
      </c>
      <c r="DH482">
        <v>0.1</v>
      </c>
      <c r="DI482">
        <v>0.1</v>
      </c>
      <c r="DJ482">
        <v>0.1</v>
      </c>
      <c r="DK482">
        <v>0.1</v>
      </c>
      <c r="DL482">
        <v>0.1</v>
      </c>
      <c r="DM482">
        <v>0.1</v>
      </c>
      <c r="DN482">
        <v>0.1</v>
      </c>
      <c r="DO482">
        <v>0.1</v>
      </c>
      <c r="DP482">
        <v>0.1</v>
      </c>
      <c r="DQ482">
        <v>0.1</v>
      </c>
      <c r="DR482">
        <v>0.1</v>
      </c>
      <c r="DS482">
        <v>0.1</v>
      </c>
      <c r="DT482">
        <v>0.1</v>
      </c>
      <c r="DU482">
        <v>0.1</v>
      </c>
      <c r="DV482">
        <v>0.1</v>
      </c>
      <c r="DW482">
        <v>0.1</v>
      </c>
      <c r="DX482">
        <v>0.1</v>
      </c>
      <c r="DY482">
        <v>0.1</v>
      </c>
      <c r="DZ482">
        <v>0.1</v>
      </c>
      <c r="EA482">
        <v>0.1</v>
      </c>
      <c r="EB482">
        <v>0.1</v>
      </c>
      <c r="EC482">
        <v>0.1</v>
      </c>
      <c r="ED482">
        <v>0.1</v>
      </c>
      <c r="EE482">
        <v>0.1</v>
      </c>
      <c r="EF482">
        <v>0.1</v>
      </c>
    </row>
    <row r="483" spans="71:136" x14ac:dyDescent="0.25">
      <c r="BS483">
        <v>480</v>
      </c>
      <c r="BU483" s="2"/>
      <c r="BV483" s="2"/>
      <c r="BW483" s="2"/>
      <c r="BX483" s="2"/>
      <c r="BY483">
        <v>0.1</v>
      </c>
      <c r="BZ483">
        <v>0.1</v>
      </c>
      <c r="CA483">
        <v>0.1</v>
      </c>
      <c r="CB483">
        <v>0.1</v>
      </c>
      <c r="CC483">
        <v>0.1</v>
      </c>
      <c r="CD483">
        <v>0.1</v>
      </c>
      <c r="CE483">
        <v>0.1</v>
      </c>
      <c r="CF483">
        <v>0.1</v>
      </c>
      <c r="CG483">
        <v>0.1</v>
      </c>
      <c r="CH483">
        <v>0.1</v>
      </c>
      <c r="CI483">
        <v>0.1</v>
      </c>
      <c r="CJ483">
        <v>0.1</v>
      </c>
      <c r="CK483">
        <v>0.1</v>
      </c>
      <c r="CL483">
        <v>0.1</v>
      </c>
      <c r="CM483">
        <v>0.1</v>
      </c>
      <c r="CN483">
        <v>0.1</v>
      </c>
      <c r="CO483">
        <v>0.1</v>
      </c>
      <c r="CP483">
        <v>0.1</v>
      </c>
      <c r="CQ483">
        <v>0.1</v>
      </c>
      <c r="CR483">
        <v>0.1</v>
      </c>
      <c r="CS483">
        <v>0.1</v>
      </c>
      <c r="CT483">
        <v>0.1</v>
      </c>
      <c r="CU483">
        <v>0.1</v>
      </c>
      <c r="CV483">
        <v>0.1</v>
      </c>
      <c r="CW483">
        <v>0.1</v>
      </c>
      <c r="CX483">
        <v>0.1</v>
      </c>
      <c r="CY483">
        <v>0.1</v>
      </c>
      <c r="CZ483">
        <v>0.1</v>
      </c>
      <c r="DA483">
        <v>0.1</v>
      </c>
      <c r="DB483">
        <v>0.1</v>
      </c>
      <c r="DC483">
        <v>0.1</v>
      </c>
      <c r="DD483">
        <v>0.1</v>
      </c>
      <c r="DE483">
        <v>0.1</v>
      </c>
      <c r="DF483">
        <v>0.1</v>
      </c>
      <c r="DG483">
        <v>0.1</v>
      </c>
      <c r="DH483">
        <v>0.1</v>
      </c>
      <c r="DI483">
        <v>0.1</v>
      </c>
      <c r="DJ483">
        <v>0.1</v>
      </c>
      <c r="DK483">
        <v>0.1</v>
      </c>
      <c r="DL483">
        <v>0.1</v>
      </c>
      <c r="DM483">
        <v>0.1</v>
      </c>
      <c r="DN483">
        <v>0.1</v>
      </c>
      <c r="DO483">
        <v>0.1</v>
      </c>
      <c r="DP483">
        <v>0.1</v>
      </c>
      <c r="DQ483">
        <v>0.1</v>
      </c>
      <c r="DR483">
        <v>0.1</v>
      </c>
      <c r="DS483">
        <v>0.1</v>
      </c>
      <c r="DT483">
        <v>0.1</v>
      </c>
      <c r="DU483">
        <v>0.1</v>
      </c>
      <c r="DV483">
        <v>0.1</v>
      </c>
      <c r="DW483">
        <v>0.1</v>
      </c>
      <c r="DX483">
        <v>0.1</v>
      </c>
      <c r="DY483">
        <v>0.1</v>
      </c>
      <c r="DZ483">
        <v>0.1</v>
      </c>
      <c r="EA483">
        <v>0.1</v>
      </c>
      <c r="EB483">
        <v>0.1</v>
      </c>
      <c r="EC483">
        <v>0.1</v>
      </c>
      <c r="ED483">
        <v>0.1</v>
      </c>
      <c r="EE483">
        <v>0.1</v>
      </c>
      <c r="EF483">
        <v>0.1</v>
      </c>
    </row>
    <row r="484" spans="71:136" x14ac:dyDescent="0.25">
      <c r="BS484">
        <v>481</v>
      </c>
      <c r="BT484" s="2"/>
      <c r="BU484" s="2"/>
      <c r="BV484" s="2"/>
      <c r="BW484" s="2"/>
      <c r="BX484" s="2"/>
      <c r="BY484">
        <v>0.1</v>
      </c>
      <c r="BZ484">
        <v>0.1</v>
      </c>
      <c r="CA484">
        <v>0.1</v>
      </c>
      <c r="CB484">
        <v>0.1</v>
      </c>
      <c r="CC484">
        <v>0.1</v>
      </c>
      <c r="CD484">
        <v>0.1</v>
      </c>
      <c r="CE484">
        <v>0.1</v>
      </c>
      <c r="CF484">
        <v>0.1</v>
      </c>
      <c r="CG484">
        <v>0.1</v>
      </c>
      <c r="CH484">
        <v>0.1</v>
      </c>
      <c r="CI484">
        <v>0.1</v>
      </c>
      <c r="CJ484">
        <v>0.1</v>
      </c>
      <c r="CK484">
        <v>0.1</v>
      </c>
      <c r="CL484">
        <v>0.1</v>
      </c>
      <c r="CM484">
        <v>0.1</v>
      </c>
      <c r="CN484">
        <v>0.1</v>
      </c>
      <c r="CO484">
        <v>0.1</v>
      </c>
      <c r="CP484">
        <v>0.1</v>
      </c>
      <c r="CQ484">
        <v>0.1</v>
      </c>
      <c r="CR484">
        <v>0.1</v>
      </c>
      <c r="CS484">
        <v>0.1</v>
      </c>
      <c r="CT484">
        <v>0.1</v>
      </c>
      <c r="CU484">
        <v>0.1</v>
      </c>
      <c r="CV484">
        <v>0.1</v>
      </c>
      <c r="CW484">
        <v>0.1</v>
      </c>
      <c r="CX484">
        <v>0.1</v>
      </c>
      <c r="CY484">
        <v>0.1</v>
      </c>
      <c r="CZ484">
        <v>0.1</v>
      </c>
      <c r="DA484">
        <v>0.1</v>
      </c>
      <c r="DB484">
        <v>0.1</v>
      </c>
      <c r="DC484">
        <v>0.1</v>
      </c>
      <c r="DD484">
        <v>0.1</v>
      </c>
      <c r="DE484">
        <v>0.1</v>
      </c>
      <c r="DF484">
        <v>0.1</v>
      </c>
      <c r="DG484">
        <v>0.1</v>
      </c>
      <c r="DH484">
        <v>0.1</v>
      </c>
      <c r="DI484">
        <v>0.1</v>
      </c>
      <c r="DJ484">
        <v>0.1</v>
      </c>
      <c r="DK484">
        <v>0.1</v>
      </c>
      <c r="DL484">
        <v>0.1</v>
      </c>
      <c r="DM484">
        <v>0.1</v>
      </c>
      <c r="DN484">
        <v>0.1</v>
      </c>
      <c r="DO484">
        <v>0.1</v>
      </c>
      <c r="DP484">
        <v>0.1</v>
      </c>
      <c r="DQ484">
        <v>0.1</v>
      </c>
      <c r="DR484">
        <v>0.1</v>
      </c>
      <c r="DS484">
        <v>0.1</v>
      </c>
      <c r="DT484">
        <v>0.1</v>
      </c>
      <c r="DU484">
        <v>0.1</v>
      </c>
      <c r="DV484">
        <v>0.1</v>
      </c>
      <c r="DW484">
        <v>0.1</v>
      </c>
      <c r="DX484">
        <v>0.1</v>
      </c>
      <c r="DY484">
        <v>0.1</v>
      </c>
      <c r="DZ484">
        <v>0.1</v>
      </c>
      <c r="EA484">
        <v>0.1</v>
      </c>
      <c r="EB484">
        <v>0.1</v>
      </c>
      <c r="EC484">
        <v>0.1</v>
      </c>
      <c r="ED484">
        <v>0.1</v>
      </c>
      <c r="EE484">
        <v>0.1</v>
      </c>
      <c r="EF484">
        <v>0.1</v>
      </c>
    </row>
    <row r="485" spans="71:136" x14ac:dyDescent="0.25">
      <c r="BS485">
        <v>482</v>
      </c>
      <c r="BT485" s="2"/>
      <c r="BU485" s="2"/>
      <c r="BV485" s="2"/>
      <c r="BW485" s="2"/>
      <c r="BX485" s="2"/>
      <c r="BY485">
        <v>0.1</v>
      </c>
      <c r="BZ485">
        <v>0.1</v>
      </c>
      <c r="CA485">
        <v>0.1</v>
      </c>
      <c r="CB485">
        <v>0.1</v>
      </c>
      <c r="CC485">
        <v>0.1</v>
      </c>
      <c r="CD485">
        <v>0.1</v>
      </c>
      <c r="CE485">
        <v>0.1</v>
      </c>
      <c r="CF485">
        <v>0.1</v>
      </c>
      <c r="CG485">
        <v>0.1</v>
      </c>
      <c r="CH485">
        <v>0.1</v>
      </c>
      <c r="CI485">
        <v>0.1</v>
      </c>
      <c r="CJ485">
        <v>0.1</v>
      </c>
      <c r="CK485">
        <v>0.1</v>
      </c>
      <c r="CL485">
        <v>0.1</v>
      </c>
      <c r="CM485">
        <v>0.1</v>
      </c>
      <c r="CN485">
        <v>0.1</v>
      </c>
      <c r="CO485">
        <v>0.1</v>
      </c>
      <c r="CP485">
        <v>0.1</v>
      </c>
      <c r="CQ485">
        <v>0.1</v>
      </c>
      <c r="CR485">
        <v>0.1</v>
      </c>
      <c r="CS485">
        <v>0.1</v>
      </c>
      <c r="CT485">
        <v>0.1</v>
      </c>
      <c r="CU485">
        <v>0.1</v>
      </c>
      <c r="CV485">
        <v>0.1</v>
      </c>
      <c r="CW485">
        <v>0.1</v>
      </c>
      <c r="CX485">
        <v>0.1</v>
      </c>
      <c r="CY485">
        <v>0.1</v>
      </c>
      <c r="CZ485">
        <v>0.1</v>
      </c>
      <c r="DA485">
        <v>0.1</v>
      </c>
      <c r="DB485">
        <v>0.1</v>
      </c>
      <c r="DC485">
        <v>0.1</v>
      </c>
      <c r="DD485">
        <v>0.1</v>
      </c>
      <c r="DE485">
        <v>0.1</v>
      </c>
      <c r="DF485">
        <v>0.1</v>
      </c>
      <c r="DG485">
        <v>0.1</v>
      </c>
      <c r="DH485">
        <v>0.1</v>
      </c>
      <c r="DI485">
        <v>0.1</v>
      </c>
      <c r="DJ485">
        <v>0.1</v>
      </c>
      <c r="DK485">
        <v>0.1</v>
      </c>
      <c r="DL485">
        <v>0.1</v>
      </c>
      <c r="DM485">
        <v>0.1</v>
      </c>
      <c r="DN485">
        <v>0.1</v>
      </c>
      <c r="DO485">
        <v>0.1</v>
      </c>
      <c r="DP485">
        <v>0.1</v>
      </c>
      <c r="DQ485">
        <v>0.1</v>
      </c>
      <c r="DR485">
        <v>0.1</v>
      </c>
      <c r="DS485">
        <v>0.1</v>
      </c>
      <c r="DT485">
        <v>0.1</v>
      </c>
      <c r="DU485">
        <v>0.1</v>
      </c>
      <c r="DV485">
        <v>0.1</v>
      </c>
      <c r="DW485">
        <v>0.1</v>
      </c>
      <c r="DX485">
        <v>0.1</v>
      </c>
      <c r="DY485">
        <v>0.1</v>
      </c>
      <c r="DZ485">
        <v>0.1</v>
      </c>
      <c r="EA485">
        <v>0.1</v>
      </c>
      <c r="EB485">
        <v>0.1</v>
      </c>
      <c r="EC485">
        <v>0.1</v>
      </c>
      <c r="ED485">
        <v>0.1</v>
      </c>
      <c r="EE485">
        <v>0.1</v>
      </c>
      <c r="EF485">
        <v>0.1</v>
      </c>
    </row>
    <row r="486" spans="71:136" x14ac:dyDescent="0.25">
      <c r="BS486">
        <v>483</v>
      </c>
      <c r="BT486" s="2"/>
      <c r="BU486" s="2"/>
      <c r="BV486" s="2"/>
      <c r="BW486" s="2"/>
      <c r="BX486" s="2"/>
      <c r="BY486">
        <v>0.1</v>
      </c>
      <c r="BZ486">
        <v>0.1</v>
      </c>
      <c r="CA486">
        <v>0.1</v>
      </c>
      <c r="CB486">
        <v>0.1</v>
      </c>
      <c r="CC486">
        <v>0.1</v>
      </c>
      <c r="CD486">
        <v>0.1</v>
      </c>
      <c r="CE486">
        <v>0.1</v>
      </c>
      <c r="CF486">
        <v>0.1</v>
      </c>
      <c r="CG486">
        <v>0.1</v>
      </c>
      <c r="CH486">
        <v>0.1</v>
      </c>
      <c r="CI486">
        <v>0.1</v>
      </c>
      <c r="CJ486">
        <v>0.1</v>
      </c>
      <c r="CK486">
        <v>0.1</v>
      </c>
      <c r="CL486">
        <v>0.1</v>
      </c>
      <c r="CM486">
        <v>0.1</v>
      </c>
      <c r="CN486">
        <v>0.1</v>
      </c>
      <c r="CO486">
        <v>0.1</v>
      </c>
      <c r="CP486">
        <v>0.1</v>
      </c>
      <c r="CQ486">
        <v>0.1</v>
      </c>
      <c r="CR486">
        <v>0.1</v>
      </c>
      <c r="CS486">
        <v>0.1</v>
      </c>
      <c r="CT486">
        <v>0.1</v>
      </c>
      <c r="CU486">
        <v>0.1</v>
      </c>
      <c r="CV486">
        <v>0.1</v>
      </c>
      <c r="CW486">
        <v>0.1</v>
      </c>
      <c r="CX486">
        <v>0.1</v>
      </c>
      <c r="CY486">
        <v>0.1</v>
      </c>
      <c r="CZ486">
        <v>0.1</v>
      </c>
      <c r="DA486">
        <v>0.1</v>
      </c>
      <c r="DB486">
        <v>0.1</v>
      </c>
      <c r="DC486">
        <v>0.1</v>
      </c>
      <c r="DD486">
        <v>0.1</v>
      </c>
      <c r="DE486">
        <v>0.1</v>
      </c>
      <c r="DF486">
        <v>0.1</v>
      </c>
      <c r="DG486">
        <v>0.1</v>
      </c>
      <c r="DH486">
        <v>0.1</v>
      </c>
      <c r="DI486">
        <v>0.1</v>
      </c>
      <c r="DJ486">
        <v>0.1</v>
      </c>
      <c r="DK486">
        <v>0.1</v>
      </c>
      <c r="DL486">
        <v>0.1</v>
      </c>
      <c r="DM486">
        <v>0.1</v>
      </c>
      <c r="DN486">
        <v>0.1</v>
      </c>
      <c r="DO486">
        <v>0.1</v>
      </c>
      <c r="DP486">
        <v>0.1</v>
      </c>
      <c r="DQ486">
        <v>0.1</v>
      </c>
      <c r="DR486">
        <v>0.1</v>
      </c>
      <c r="DS486">
        <v>0.1</v>
      </c>
      <c r="DT486">
        <v>0.1</v>
      </c>
      <c r="DU486">
        <v>0.1</v>
      </c>
      <c r="DV486">
        <v>0.1</v>
      </c>
      <c r="DW486">
        <v>0.1</v>
      </c>
      <c r="DX486">
        <v>0.1</v>
      </c>
      <c r="DY486">
        <v>0.1</v>
      </c>
      <c r="DZ486">
        <v>0.1</v>
      </c>
      <c r="EA486">
        <v>0.1</v>
      </c>
      <c r="EB486">
        <v>0.1</v>
      </c>
      <c r="EC486">
        <v>0.1</v>
      </c>
      <c r="ED486">
        <v>0.1</v>
      </c>
      <c r="EE486">
        <v>0.1</v>
      </c>
      <c r="EF486">
        <v>0.1</v>
      </c>
    </row>
    <row r="487" spans="71:136" x14ac:dyDescent="0.25">
      <c r="BS487">
        <v>484</v>
      </c>
      <c r="BT487" s="2"/>
      <c r="BU487" s="2"/>
      <c r="BV487" s="2"/>
      <c r="BW487" s="2"/>
      <c r="BX487" s="2"/>
      <c r="BY487">
        <v>0.1</v>
      </c>
      <c r="BZ487">
        <v>0.1</v>
      </c>
      <c r="CA487">
        <v>0.1</v>
      </c>
      <c r="CB487">
        <v>0.1</v>
      </c>
      <c r="CC487">
        <v>0.1</v>
      </c>
      <c r="CD487">
        <v>0.1</v>
      </c>
      <c r="CE487">
        <v>0.1</v>
      </c>
      <c r="CF487">
        <v>0.1</v>
      </c>
      <c r="CG487">
        <v>0.1</v>
      </c>
      <c r="CH487">
        <v>0.1</v>
      </c>
      <c r="CI487">
        <v>0.1</v>
      </c>
      <c r="CJ487">
        <v>0.1</v>
      </c>
      <c r="CK487">
        <v>0.1</v>
      </c>
      <c r="CL487">
        <v>0.1</v>
      </c>
      <c r="CM487">
        <v>0.1</v>
      </c>
      <c r="CN487">
        <v>0.1</v>
      </c>
      <c r="CO487">
        <v>0.1</v>
      </c>
      <c r="CP487">
        <v>0.1</v>
      </c>
      <c r="CQ487">
        <v>0.1</v>
      </c>
      <c r="CR487">
        <v>0.1</v>
      </c>
      <c r="CS487">
        <v>0.1</v>
      </c>
      <c r="CT487">
        <v>0.1</v>
      </c>
      <c r="CU487">
        <v>0.1</v>
      </c>
      <c r="CV487">
        <v>0.1</v>
      </c>
      <c r="CW487">
        <v>0.1</v>
      </c>
      <c r="CX487">
        <v>0.1</v>
      </c>
      <c r="CY487">
        <v>0.1</v>
      </c>
      <c r="CZ487">
        <v>0.1</v>
      </c>
      <c r="DA487">
        <v>0.1</v>
      </c>
      <c r="DB487">
        <v>0.1</v>
      </c>
      <c r="DC487">
        <v>0.1</v>
      </c>
      <c r="DD487">
        <v>0.1</v>
      </c>
      <c r="DE487">
        <v>0.1</v>
      </c>
      <c r="DF487">
        <v>0.1</v>
      </c>
      <c r="DG487">
        <v>0.1</v>
      </c>
      <c r="DH487">
        <v>0.1</v>
      </c>
      <c r="DI487">
        <v>0.1</v>
      </c>
      <c r="DJ487">
        <v>0.1</v>
      </c>
      <c r="DK487">
        <v>0.1</v>
      </c>
      <c r="DL487">
        <v>0.1</v>
      </c>
      <c r="DM487">
        <v>0.1</v>
      </c>
      <c r="DN487">
        <v>0.1</v>
      </c>
      <c r="DO487">
        <v>0.1</v>
      </c>
      <c r="DP487">
        <v>0.1</v>
      </c>
      <c r="DQ487">
        <v>0.1</v>
      </c>
      <c r="DR487">
        <v>0.1</v>
      </c>
      <c r="DS487">
        <v>0.1</v>
      </c>
      <c r="DT487">
        <v>0.1</v>
      </c>
      <c r="DU487">
        <v>0.1</v>
      </c>
      <c r="DV487">
        <v>0.1</v>
      </c>
      <c r="DW487">
        <v>0.1</v>
      </c>
      <c r="DX487">
        <v>0.1</v>
      </c>
      <c r="DY487">
        <v>0.1</v>
      </c>
      <c r="DZ487">
        <v>0.1</v>
      </c>
      <c r="EA487">
        <v>0.1</v>
      </c>
      <c r="EB487">
        <v>0.1</v>
      </c>
      <c r="EC487">
        <v>0.1</v>
      </c>
      <c r="ED487">
        <v>0.1</v>
      </c>
      <c r="EE487">
        <v>0.1</v>
      </c>
      <c r="EF487">
        <v>0.1</v>
      </c>
    </row>
    <row r="488" spans="71:136" x14ac:dyDescent="0.25">
      <c r="BS488">
        <v>485</v>
      </c>
      <c r="BT488" s="2"/>
      <c r="BU488" s="2"/>
      <c r="BV488" s="2"/>
      <c r="BW488" s="2"/>
      <c r="BX488" s="2"/>
      <c r="BY488">
        <v>0.1</v>
      </c>
      <c r="BZ488">
        <v>0.1</v>
      </c>
      <c r="CA488">
        <v>0.1</v>
      </c>
      <c r="CB488">
        <v>0.1</v>
      </c>
      <c r="CC488">
        <v>0.1</v>
      </c>
      <c r="CD488">
        <v>0.1</v>
      </c>
      <c r="CE488">
        <v>0.1</v>
      </c>
      <c r="CF488">
        <v>0.1</v>
      </c>
      <c r="CG488">
        <v>0.1</v>
      </c>
      <c r="CH488">
        <v>0.1</v>
      </c>
      <c r="CI488">
        <v>0.1</v>
      </c>
      <c r="CJ488">
        <v>0.1</v>
      </c>
      <c r="CK488">
        <v>0.1</v>
      </c>
      <c r="CL488">
        <v>0.1</v>
      </c>
      <c r="CM488">
        <v>0.1</v>
      </c>
      <c r="CN488">
        <v>0.1</v>
      </c>
      <c r="CO488">
        <v>0.1</v>
      </c>
      <c r="CP488">
        <v>0.1</v>
      </c>
      <c r="CQ488">
        <v>0.1</v>
      </c>
      <c r="CR488">
        <v>0.1</v>
      </c>
      <c r="CS488">
        <v>0.1</v>
      </c>
      <c r="CT488">
        <v>0.1</v>
      </c>
      <c r="CU488">
        <v>0.1</v>
      </c>
      <c r="CV488">
        <v>0.1</v>
      </c>
      <c r="CW488">
        <v>0.1</v>
      </c>
      <c r="CX488">
        <v>0.1</v>
      </c>
      <c r="CY488">
        <v>0.1</v>
      </c>
      <c r="CZ488">
        <v>0.1</v>
      </c>
      <c r="DA488">
        <v>0.1</v>
      </c>
      <c r="DB488">
        <v>0.1</v>
      </c>
      <c r="DC488">
        <v>0.1</v>
      </c>
      <c r="DD488">
        <v>0.1</v>
      </c>
      <c r="DE488">
        <v>0.1</v>
      </c>
      <c r="DF488">
        <v>0.1</v>
      </c>
      <c r="DG488">
        <v>0.1</v>
      </c>
      <c r="DH488">
        <v>0.1</v>
      </c>
      <c r="DI488">
        <v>0.1</v>
      </c>
      <c r="DJ488">
        <v>0.1</v>
      </c>
      <c r="DK488">
        <v>0.1</v>
      </c>
      <c r="DL488">
        <v>0.1</v>
      </c>
      <c r="DM488">
        <v>0.1</v>
      </c>
      <c r="DN488">
        <v>0.1</v>
      </c>
      <c r="DO488">
        <v>0.1</v>
      </c>
      <c r="DP488">
        <v>0.1</v>
      </c>
      <c r="DQ488">
        <v>0.1</v>
      </c>
      <c r="DR488">
        <v>0.1</v>
      </c>
      <c r="DS488">
        <v>0.1</v>
      </c>
      <c r="DT488">
        <v>0.1</v>
      </c>
      <c r="DU488">
        <v>0.1</v>
      </c>
      <c r="DV488">
        <v>0.1</v>
      </c>
      <c r="DW488">
        <v>0.1</v>
      </c>
      <c r="DX488">
        <v>0.1</v>
      </c>
      <c r="DY488">
        <v>0.1</v>
      </c>
      <c r="DZ488">
        <v>0.1</v>
      </c>
      <c r="EA488">
        <v>0.1</v>
      </c>
      <c r="EB488">
        <v>0.1</v>
      </c>
      <c r="EC488">
        <v>0.1</v>
      </c>
      <c r="ED488">
        <v>0.1</v>
      </c>
      <c r="EE488">
        <v>0.1</v>
      </c>
      <c r="EF488">
        <v>0.1</v>
      </c>
    </row>
    <row r="489" spans="71:136" x14ac:dyDescent="0.25">
      <c r="BS489">
        <v>486</v>
      </c>
      <c r="BT489" s="2"/>
      <c r="BU489" s="2"/>
      <c r="BV489" s="2"/>
      <c r="BW489" s="2"/>
      <c r="BX489" s="2"/>
      <c r="BY489">
        <v>0.1</v>
      </c>
      <c r="BZ489">
        <v>0.1</v>
      </c>
      <c r="CA489">
        <v>0.1</v>
      </c>
      <c r="CB489">
        <v>0.1</v>
      </c>
      <c r="CC489">
        <v>0.1</v>
      </c>
      <c r="CD489">
        <v>0.1</v>
      </c>
      <c r="CE489">
        <v>0.1</v>
      </c>
      <c r="CF489">
        <v>0.1</v>
      </c>
      <c r="CG489">
        <v>0.1</v>
      </c>
      <c r="CH489">
        <v>0.1</v>
      </c>
      <c r="CI489">
        <v>0.1</v>
      </c>
      <c r="CJ489">
        <v>0.1</v>
      </c>
      <c r="CK489">
        <v>0.1</v>
      </c>
      <c r="CL489">
        <v>0.1</v>
      </c>
      <c r="CM489">
        <v>0.1</v>
      </c>
      <c r="CN489">
        <v>0.1</v>
      </c>
      <c r="CO489">
        <v>0.1</v>
      </c>
      <c r="CP489">
        <v>0.1</v>
      </c>
      <c r="CQ489">
        <v>0.1</v>
      </c>
      <c r="CR489">
        <v>0.1</v>
      </c>
      <c r="CS489">
        <v>0.1</v>
      </c>
      <c r="CT489">
        <v>0.1</v>
      </c>
      <c r="CU489">
        <v>0.1</v>
      </c>
      <c r="CV489">
        <v>0.1</v>
      </c>
      <c r="CW489">
        <v>0.1</v>
      </c>
      <c r="CX489">
        <v>0.1</v>
      </c>
      <c r="CY489">
        <v>0.1</v>
      </c>
      <c r="CZ489">
        <v>0.1</v>
      </c>
      <c r="DA489">
        <v>0.1</v>
      </c>
      <c r="DB489">
        <v>0.1</v>
      </c>
      <c r="DC489">
        <v>0.1</v>
      </c>
      <c r="DD489">
        <v>0.1</v>
      </c>
      <c r="DE489">
        <v>0.1</v>
      </c>
      <c r="DF489">
        <v>0.1</v>
      </c>
      <c r="DG489">
        <v>0.1</v>
      </c>
      <c r="DH489">
        <v>0.1</v>
      </c>
      <c r="DI489">
        <v>0.1</v>
      </c>
      <c r="DJ489">
        <v>0.1</v>
      </c>
      <c r="DK489">
        <v>0.1</v>
      </c>
      <c r="DL489">
        <v>0.1</v>
      </c>
      <c r="DM489">
        <v>0.1</v>
      </c>
      <c r="DN489">
        <v>0.1</v>
      </c>
      <c r="DO489">
        <v>0.1</v>
      </c>
      <c r="DP489">
        <v>0.1</v>
      </c>
      <c r="DQ489">
        <v>0.1</v>
      </c>
      <c r="DR489">
        <v>0.1</v>
      </c>
      <c r="DS489">
        <v>0.1</v>
      </c>
      <c r="DT489">
        <v>0.1</v>
      </c>
      <c r="DU489">
        <v>0.1</v>
      </c>
      <c r="DV489">
        <v>0.1</v>
      </c>
      <c r="DW489">
        <v>0.1</v>
      </c>
      <c r="DX489">
        <v>0.1</v>
      </c>
      <c r="DY489">
        <v>0.1</v>
      </c>
      <c r="DZ489">
        <v>0.1</v>
      </c>
      <c r="EA489">
        <v>0.1</v>
      </c>
      <c r="EB489">
        <v>0.1</v>
      </c>
      <c r="EC489">
        <v>0.1</v>
      </c>
      <c r="ED489">
        <v>0.1</v>
      </c>
      <c r="EE489">
        <v>0.1</v>
      </c>
      <c r="EF489">
        <v>0.1</v>
      </c>
    </row>
    <row r="490" spans="71:136" x14ac:dyDescent="0.25">
      <c r="BS490">
        <v>487</v>
      </c>
      <c r="BT490" s="2"/>
      <c r="BU490" s="2"/>
      <c r="BV490" s="2"/>
      <c r="BW490" s="2"/>
      <c r="BX490" s="2"/>
      <c r="BY490">
        <v>0.1</v>
      </c>
      <c r="BZ490">
        <v>0.1</v>
      </c>
      <c r="CA490">
        <v>0.1</v>
      </c>
      <c r="CB490">
        <v>0.1</v>
      </c>
      <c r="CC490">
        <v>0.1</v>
      </c>
      <c r="CD490">
        <v>0.1</v>
      </c>
      <c r="CE490">
        <v>0.1</v>
      </c>
      <c r="CF490">
        <v>0.1</v>
      </c>
      <c r="CG490">
        <v>0.1</v>
      </c>
      <c r="CH490">
        <v>0.1</v>
      </c>
      <c r="CI490">
        <v>0.1</v>
      </c>
      <c r="CJ490">
        <v>0.1</v>
      </c>
      <c r="CK490">
        <v>0.1</v>
      </c>
      <c r="CL490">
        <v>0.1</v>
      </c>
      <c r="CM490">
        <v>0.1</v>
      </c>
      <c r="CN490">
        <v>0.1</v>
      </c>
      <c r="CO490">
        <v>0.1</v>
      </c>
      <c r="CP490">
        <v>0.1</v>
      </c>
      <c r="CQ490">
        <v>0.1</v>
      </c>
      <c r="CR490">
        <v>0.1</v>
      </c>
      <c r="CS490">
        <v>0.1</v>
      </c>
      <c r="CT490">
        <v>0.1</v>
      </c>
      <c r="CU490">
        <v>0.1</v>
      </c>
      <c r="CV490">
        <v>0.1</v>
      </c>
      <c r="CW490">
        <v>0.1</v>
      </c>
      <c r="CX490">
        <v>0.1</v>
      </c>
      <c r="CY490">
        <v>0.1</v>
      </c>
      <c r="CZ490">
        <v>0.1</v>
      </c>
      <c r="DA490">
        <v>0.1</v>
      </c>
      <c r="DB490">
        <v>0.1</v>
      </c>
      <c r="DC490">
        <v>0.1</v>
      </c>
      <c r="DD490">
        <v>0.1</v>
      </c>
      <c r="DE490">
        <v>0.1</v>
      </c>
      <c r="DF490">
        <v>0.1</v>
      </c>
      <c r="DG490">
        <v>0.1</v>
      </c>
      <c r="DH490">
        <v>0.1</v>
      </c>
      <c r="DI490">
        <v>0.1</v>
      </c>
      <c r="DJ490">
        <v>0.1</v>
      </c>
      <c r="DK490">
        <v>0.1</v>
      </c>
      <c r="DL490">
        <v>0.1</v>
      </c>
      <c r="DM490">
        <v>0.1</v>
      </c>
      <c r="DN490">
        <v>0.1</v>
      </c>
      <c r="DO490">
        <v>0.1</v>
      </c>
      <c r="DP490">
        <v>0.1</v>
      </c>
      <c r="DQ490">
        <v>0.1</v>
      </c>
      <c r="DR490">
        <v>0.1</v>
      </c>
      <c r="DS490">
        <v>0.1</v>
      </c>
      <c r="DT490">
        <v>0.1</v>
      </c>
      <c r="DU490">
        <v>0.1</v>
      </c>
      <c r="DV490">
        <v>0.1</v>
      </c>
      <c r="DW490">
        <v>0.1</v>
      </c>
      <c r="DX490">
        <v>0.1</v>
      </c>
      <c r="DY490">
        <v>0.1</v>
      </c>
      <c r="DZ490">
        <v>0.1</v>
      </c>
      <c r="EA490">
        <v>0.1</v>
      </c>
      <c r="EB490">
        <v>0.1</v>
      </c>
      <c r="EC490">
        <v>0.1</v>
      </c>
      <c r="ED490">
        <v>0.1</v>
      </c>
      <c r="EE490">
        <v>0.1</v>
      </c>
      <c r="EF490">
        <v>0.1</v>
      </c>
    </row>
    <row r="491" spans="71:136" x14ac:dyDescent="0.25">
      <c r="BS491">
        <v>488</v>
      </c>
      <c r="BT491" s="2"/>
      <c r="BU491" s="2"/>
      <c r="BV491" s="2"/>
      <c r="BW491" s="2"/>
      <c r="BX491" s="2"/>
      <c r="BY491">
        <v>0.1</v>
      </c>
      <c r="BZ491">
        <v>0.1</v>
      </c>
      <c r="CA491">
        <v>0.1</v>
      </c>
      <c r="CB491">
        <v>0.1</v>
      </c>
      <c r="CC491">
        <v>0.1</v>
      </c>
      <c r="CD491">
        <v>0.1</v>
      </c>
      <c r="CE491">
        <v>0.1</v>
      </c>
      <c r="CF491">
        <v>0.1</v>
      </c>
      <c r="CG491">
        <v>0.1</v>
      </c>
      <c r="CH491">
        <v>0.1</v>
      </c>
      <c r="CI491">
        <v>0.1</v>
      </c>
      <c r="CJ491">
        <v>0.1</v>
      </c>
      <c r="CK491">
        <v>0.1</v>
      </c>
      <c r="CL491">
        <v>0.1</v>
      </c>
      <c r="CM491">
        <v>0.1</v>
      </c>
      <c r="CN491">
        <v>0.1</v>
      </c>
      <c r="CO491">
        <v>0.1</v>
      </c>
      <c r="CP491">
        <v>0.1</v>
      </c>
      <c r="CQ491">
        <v>0.1</v>
      </c>
      <c r="CR491">
        <v>0.1</v>
      </c>
      <c r="CS491">
        <v>0.1</v>
      </c>
      <c r="CT491">
        <v>0.1</v>
      </c>
      <c r="CU491">
        <v>0.1</v>
      </c>
      <c r="CV491">
        <v>0.1</v>
      </c>
      <c r="CW491">
        <v>0.1</v>
      </c>
      <c r="CX491">
        <v>0.1</v>
      </c>
      <c r="CY491">
        <v>0.1</v>
      </c>
      <c r="CZ491">
        <v>0.1</v>
      </c>
      <c r="DA491">
        <v>0.1</v>
      </c>
      <c r="DB491">
        <v>0.1</v>
      </c>
      <c r="DC491">
        <v>0.1</v>
      </c>
      <c r="DD491">
        <v>0.1</v>
      </c>
      <c r="DE491">
        <v>0.1</v>
      </c>
      <c r="DF491">
        <v>0.1</v>
      </c>
      <c r="DG491">
        <v>0.1</v>
      </c>
      <c r="DH491">
        <v>0.1</v>
      </c>
      <c r="DI491">
        <v>0.1</v>
      </c>
      <c r="DJ491">
        <v>0.1</v>
      </c>
      <c r="DK491">
        <v>0.1</v>
      </c>
      <c r="DL491">
        <v>0.1</v>
      </c>
      <c r="DM491">
        <v>0.1</v>
      </c>
      <c r="DN491">
        <v>0.1</v>
      </c>
      <c r="DO491">
        <v>0.1</v>
      </c>
      <c r="DP491">
        <v>0.1</v>
      </c>
      <c r="DQ491">
        <v>0.1</v>
      </c>
      <c r="DR491">
        <v>0.1</v>
      </c>
      <c r="DS491">
        <v>0.1</v>
      </c>
      <c r="DT491">
        <v>0.1</v>
      </c>
      <c r="DU491">
        <v>0.1</v>
      </c>
      <c r="DV491">
        <v>0.1</v>
      </c>
      <c r="DW491">
        <v>0.1</v>
      </c>
      <c r="DX491">
        <v>0.1</v>
      </c>
      <c r="DY491">
        <v>0.1</v>
      </c>
      <c r="DZ491">
        <v>0.1</v>
      </c>
      <c r="EA491">
        <v>0.1</v>
      </c>
      <c r="EB491">
        <v>0.1</v>
      </c>
      <c r="EC491">
        <v>0.1</v>
      </c>
      <c r="ED491">
        <v>0.1</v>
      </c>
      <c r="EE491">
        <v>0.1</v>
      </c>
      <c r="EF491">
        <v>0.1</v>
      </c>
    </row>
    <row r="492" spans="71:136" x14ac:dyDescent="0.25">
      <c r="BS492">
        <v>489</v>
      </c>
      <c r="BT492" s="2"/>
      <c r="BU492" s="2"/>
      <c r="BV492" s="2"/>
      <c r="BW492" s="2"/>
      <c r="BX492" s="2"/>
      <c r="BY492">
        <v>0.1</v>
      </c>
      <c r="BZ492">
        <v>0.1</v>
      </c>
      <c r="CA492">
        <v>0.1</v>
      </c>
      <c r="CB492">
        <v>0.1</v>
      </c>
      <c r="CC492">
        <v>0.1</v>
      </c>
      <c r="CD492">
        <v>0.1</v>
      </c>
      <c r="CE492">
        <v>0.1</v>
      </c>
      <c r="CF492">
        <v>0.1</v>
      </c>
      <c r="CG492">
        <v>0.1</v>
      </c>
      <c r="CH492">
        <v>0.1</v>
      </c>
      <c r="CI492">
        <v>0.1</v>
      </c>
      <c r="CJ492">
        <v>0.1</v>
      </c>
      <c r="CK492">
        <v>0.1</v>
      </c>
      <c r="CL492">
        <v>0.1</v>
      </c>
      <c r="CM492">
        <v>0.1</v>
      </c>
      <c r="CN492">
        <v>0.1</v>
      </c>
      <c r="CO492">
        <v>0.1</v>
      </c>
      <c r="CP492">
        <v>0.1</v>
      </c>
      <c r="CQ492">
        <v>0.1</v>
      </c>
      <c r="CR492">
        <v>0.1</v>
      </c>
      <c r="CS492">
        <v>0.1</v>
      </c>
      <c r="CT492">
        <v>0.1</v>
      </c>
      <c r="CU492">
        <v>0.1</v>
      </c>
      <c r="CV492">
        <v>0.1</v>
      </c>
      <c r="CW492">
        <v>0.1</v>
      </c>
      <c r="CX492">
        <v>0.1</v>
      </c>
      <c r="CY492">
        <v>0.1</v>
      </c>
      <c r="CZ492">
        <v>0.1</v>
      </c>
      <c r="DA492">
        <v>0.1</v>
      </c>
      <c r="DB492">
        <v>0.1</v>
      </c>
      <c r="DC492">
        <v>0.1</v>
      </c>
      <c r="DD492">
        <v>0.1</v>
      </c>
      <c r="DE492">
        <v>0.1</v>
      </c>
      <c r="DF492">
        <v>0.1</v>
      </c>
      <c r="DG492">
        <v>0.1</v>
      </c>
      <c r="DH492">
        <v>0.1</v>
      </c>
      <c r="DI492">
        <v>0.1</v>
      </c>
      <c r="DJ492">
        <v>0.1</v>
      </c>
      <c r="DK492">
        <v>0.1</v>
      </c>
      <c r="DL492">
        <v>0.1</v>
      </c>
      <c r="DM492">
        <v>0.1</v>
      </c>
      <c r="DN492">
        <v>0.1</v>
      </c>
      <c r="DO492">
        <v>0.1</v>
      </c>
      <c r="DP492">
        <v>0.1</v>
      </c>
      <c r="DQ492">
        <v>0.1</v>
      </c>
      <c r="DR492">
        <v>0.1</v>
      </c>
      <c r="DS492">
        <v>0.1</v>
      </c>
      <c r="DT492">
        <v>0.1</v>
      </c>
      <c r="DU492">
        <v>0.1</v>
      </c>
      <c r="DV492">
        <v>0.1</v>
      </c>
      <c r="DW492">
        <v>0.1</v>
      </c>
      <c r="DX492">
        <v>0.1</v>
      </c>
      <c r="DY492">
        <v>0.1</v>
      </c>
      <c r="DZ492">
        <v>0.1</v>
      </c>
      <c r="EA492">
        <v>0.1</v>
      </c>
      <c r="EB492">
        <v>0.1</v>
      </c>
      <c r="EC492">
        <v>0.1</v>
      </c>
      <c r="ED492">
        <v>0.1</v>
      </c>
      <c r="EE492">
        <v>0.1</v>
      </c>
      <c r="EF492">
        <v>0.1</v>
      </c>
    </row>
    <row r="493" spans="71:136" x14ac:dyDescent="0.25">
      <c r="BS493">
        <v>490</v>
      </c>
      <c r="BT493" s="2"/>
      <c r="BU493" s="2"/>
      <c r="BV493" s="2"/>
      <c r="BW493" s="2"/>
      <c r="BX493" s="2"/>
      <c r="BY493">
        <v>0.1</v>
      </c>
      <c r="BZ493">
        <v>0.1</v>
      </c>
      <c r="CA493">
        <v>0.1</v>
      </c>
      <c r="CB493">
        <v>0.1</v>
      </c>
      <c r="CC493">
        <v>0.1</v>
      </c>
      <c r="CD493">
        <v>0.1</v>
      </c>
      <c r="CE493">
        <v>0.1</v>
      </c>
      <c r="CF493">
        <v>0.1</v>
      </c>
      <c r="CG493">
        <v>0.1</v>
      </c>
      <c r="CH493">
        <v>0.1</v>
      </c>
      <c r="CI493">
        <v>0.1</v>
      </c>
      <c r="CJ493">
        <v>0.1</v>
      </c>
      <c r="CK493">
        <v>0.1</v>
      </c>
      <c r="CL493">
        <v>0.1</v>
      </c>
      <c r="CM493">
        <v>0.1</v>
      </c>
      <c r="CN493">
        <v>0.1</v>
      </c>
      <c r="CO493">
        <v>0.1</v>
      </c>
      <c r="CP493">
        <v>0.1</v>
      </c>
      <c r="CQ493">
        <v>0.1</v>
      </c>
      <c r="CR493">
        <v>0.1</v>
      </c>
      <c r="CS493">
        <v>0.1</v>
      </c>
      <c r="CT493">
        <v>0.1</v>
      </c>
      <c r="CU493">
        <v>0.1</v>
      </c>
      <c r="CV493">
        <v>0.1</v>
      </c>
      <c r="CW493">
        <v>0.1</v>
      </c>
      <c r="CX493">
        <v>0.1</v>
      </c>
      <c r="CY493">
        <v>0.1</v>
      </c>
      <c r="CZ493">
        <v>0.1</v>
      </c>
      <c r="DA493">
        <v>0.1</v>
      </c>
      <c r="DB493">
        <v>0.1</v>
      </c>
      <c r="DC493">
        <v>0.1</v>
      </c>
      <c r="DD493">
        <v>0.1</v>
      </c>
      <c r="DE493">
        <v>0.1</v>
      </c>
      <c r="DF493">
        <v>0.1</v>
      </c>
      <c r="DG493">
        <v>0.1</v>
      </c>
      <c r="DH493">
        <v>0.1</v>
      </c>
      <c r="DI493">
        <v>0.1</v>
      </c>
      <c r="DJ493">
        <v>0.1</v>
      </c>
      <c r="DK493">
        <v>0.1</v>
      </c>
      <c r="DL493">
        <v>0.1</v>
      </c>
      <c r="DM493">
        <v>0.1</v>
      </c>
      <c r="DN493">
        <v>0.1</v>
      </c>
      <c r="DO493">
        <v>0.1</v>
      </c>
      <c r="DP493">
        <v>0.1</v>
      </c>
      <c r="DQ493">
        <v>0.1</v>
      </c>
      <c r="DR493">
        <v>0.1</v>
      </c>
      <c r="DS493">
        <v>0.1</v>
      </c>
      <c r="DT493">
        <v>0.1</v>
      </c>
      <c r="DU493">
        <v>0.1</v>
      </c>
      <c r="DV493">
        <v>0.1</v>
      </c>
      <c r="DW493">
        <v>0.1</v>
      </c>
      <c r="DX493">
        <v>0.1</v>
      </c>
      <c r="DY493">
        <v>0.1</v>
      </c>
      <c r="DZ493">
        <v>0.1</v>
      </c>
      <c r="EA493">
        <v>0.1</v>
      </c>
      <c r="EB493">
        <v>0.1</v>
      </c>
      <c r="EC493">
        <v>0.1</v>
      </c>
      <c r="ED493">
        <v>0.1</v>
      </c>
      <c r="EE493">
        <v>0.1</v>
      </c>
      <c r="EF493">
        <v>0.1</v>
      </c>
    </row>
    <row r="494" spans="71:136" x14ac:dyDescent="0.25">
      <c r="BS494">
        <v>491</v>
      </c>
      <c r="BT494" s="2"/>
      <c r="BU494" s="2"/>
      <c r="BV494" s="2"/>
      <c r="BW494" s="2"/>
      <c r="BX494" s="2"/>
      <c r="BY494">
        <v>0.1</v>
      </c>
      <c r="BZ494">
        <v>0.1</v>
      </c>
      <c r="CA494">
        <v>0.1</v>
      </c>
      <c r="CB494">
        <v>0.1</v>
      </c>
      <c r="CC494">
        <v>0.1</v>
      </c>
      <c r="CD494">
        <v>0.1</v>
      </c>
      <c r="CE494">
        <v>0.1</v>
      </c>
      <c r="CF494">
        <v>0.1</v>
      </c>
      <c r="CG494">
        <v>0.1</v>
      </c>
      <c r="CH494">
        <v>0.1</v>
      </c>
      <c r="CI494">
        <v>0.1</v>
      </c>
      <c r="CJ494">
        <v>0.1</v>
      </c>
      <c r="CK494">
        <v>0.1</v>
      </c>
      <c r="CL494">
        <v>0.1</v>
      </c>
      <c r="CM494">
        <v>0.1</v>
      </c>
      <c r="CN494">
        <v>0.1</v>
      </c>
      <c r="CO494">
        <v>0.1</v>
      </c>
      <c r="CP494">
        <v>0.1</v>
      </c>
      <c r="CQ494">
        <v>0.1</v>
      </c>
      <c r="CR494">
        <v>0.1</v>
      </c>
      <c r="CS494">
        <v>0.1</v>
      </c>
      <c r="CT494">
        <v>0.1</v>
      </c>
      <c r="CU494">
        <v>0.1</v>
      </c>
      <c r="CV494">
        <v>0.1</v>
      </c>
      <c r="CW494">
        <v>0.1</v>
      </c>
      <c r="CX494">
        <v>0.1</v>
      </c>
      <c r="CY494">
        <v>0.1</v>
      </c>
      <c r="CZ494">
        <v>0.1</v>
      </c>
      <c r="DA494">
        <v>0.1</v>
      </c>
      <c r="DB494">
        <v>0.1</v>
      </c>
      <c r="DC494">
        <v>0.1</v>
      </c>
      <c r="DD494">
        <v>0.1</v>
      </c>
      <c r="DE494">
        <v>0.1</v>
      </c>
      <c r="DF494">
        <v>0.1</v>
      </c>
      <c r="DG494">
        <v>0.1</v>
      </c>
      <c r="DH494">
        <v>0.1</v>
      </c>
      <c r="DI494">
        <v>0.1</v>
      </c>
      <c r="DJ494">
        <v>0.1</v>
      </c>
      <c r="DK494">
        <v>0.1</v>
      </c>
      <c r="DL494">
        <v>0.1</v>
      </c>
      <c r="DM494">
        <v>0.1</v>
      </c>
      <c r="DN494">
        <v>0.1</v>
      </c>
      <c r="DO494">
        <v>0.1</v>
      </c>
      <c r="DP494">
        <v>0.1</v>
      </c>
      <c r="DQ494">
        <v>0.1</v>
      </c>
      <c r="DR494">
        <v>0.1</v>
      </c>
      <c r="DS494">
        <v>0.1</v>
      </c>
      <c r="DT494">
        <v>0.1</v>
      </c>
      <c r="DU494">
        <v>0.1</v>
      </c>
      <c r="DV494">
        <v>0.1</v>
      </c>
      <c r="DW494">
        <v>0.1</v>
      </c>
      <c r="DX494">
        <v>0.1</v>
      </c>
      <c r="DY494">
        <v>0.1</v>
      </c>
      <c r="DZ494">
        <v>0.1</v>
      </c>
      <c r="EA494">
        <v>0.1</v>
      </c>
      <c r="EB494">
        <v>0.1</v>
      </c>
      <c r="EC494">
        <v>0.1</v>
      </c>
      <c r="ED494">
        <v>0.1</v>
      </c>
      <c r="EE494">
        <v>0.1</v>
      </c>
      <c r="EF494">
        <v>0.1</v>
      </c>
    </row>
    <row r="495" spans="71:136" x14ac:dyDescent="0.25">
      <c r="BS495">
        <v>492</v>
      </c>
      <c r="BT495" s="2"/>
      <c r="BU495" s="2"/>
      <c r="BV495" s="2"/>
      <c r="BW495" s="2"/>
      <c r="BX495" s="2"/>
      <c r="BY495">
        <v>0.1</v>
      </c>
      <c r="BZ495">
        <v>0.1</v>
      </c>
      <c r="CA495">
        <v>0.1</v>
      </c>
      <c r="CB495">
        <v>0.1</v>
      </c>
      <c r="CC495">
        <v>0.1</v>
      </c>
      <c r="CD495">
        <v>0.1</v>
      </c>
      <c r="CE495">
        <v>0.1</v>
      </c>
      <c r="CF495">
        <v>0.1</v>
      </c>
      <c r="CG495">
        <v>0.1</v>
      </c>
      <c r="CH495">
        <v>0.1</v>
      </c>
      <c r="CI495">
        <v>0.1</v>
      </c>
      <c r="CJ495">
        <v>0.1</v>
      </c>
      <c r="CK495">
        <v>0.1</v>
      </c>
      <c r="CL495">
        <v>0.1</v>
      </c>
      <c r="CM495">
        <v>0.1</v>
      </c>
      <c r="CN495">
        <v>0.1</v>
      </c>
      <c r="CO495">
        <v>0.1</v>
      </c>
      <c r="CP495">
        <v>0.1</v>
      </c>
      <c r="CQ495">
        <v>0.1</v>
      </c>
      <c r="CR495">
        <v>0.1</v>
      </c>
      <c r="CS495">
        <v>0.1</v>
      </c>
      <c r="CT495">
        <v>0.1</v>
      </c>
      <c r="CU495">
        <v>0.1</v>
      </c>
      <c r="CV495">
        <v>0.1</v>
      </c>
      <c r="CW495">
        <v>0.1</v>
      </c>
      <c r="CX495">
        <v>0.1</v>
      </c>
      <c r="CY495">
        <v>0.1</v>
      </c>
      <c r="CZ495">
        <v>0.1</v>
      </c>
      <c r="DA495">
        <v>0.1</v>
      </c>
      <c r="DB495">
        <v>0.1</v>
      </c>
      <c r="DC495">
        <v>0.1</v>
      </c>
      <c r="DD495">
        <v>0.1</v>
      </c>
      <c r="DE495">
        <v>0.1</v>
      </c>
      <c r="DF495">
        <v>0.1</v>
      </c>
      <c r="DG495">
        <v>0.1</v>
      </c>
      <c r="DH495">
        <v>0.1</v>
      </c>
      <c r="DI495">
        <v>0.1</v>
      </c>
      <c r="DJ495">
        <v>0.1</v>
      </c>
      <c r="DK495">
        <v>0.1</v>
      </c>
      <c r="DL495">
        <v>0.1</v>
      </c>
      <c r="DM495">
        <v>0.1</v>
      </c>
      <c r="DN495">
        <v>0.1</v>
      </c>
      <c r="DO495">
        <v>0.1</v>
      </c>
      <c r="DP495">
        <v>0.1</v>
      </c>
      <c r="DQ495">
        <v>0.1</v>
      </c>
      <c r="DR495">
        <v>0.1</v>
      </c>
      <c r="DS495">
        <v>0.1</v>
      </c>
      <c r="DT495">
        <v>0.1</v>
      </c>
      <c r="DU495">
        <v>0.1</v>
      </c>
      <c r="DV495">
        <v>0.1</v>
      </c>
      <c r="DW495">
        <v>0.1</v>
      </c>
      <c r="DX495">
        <v>0.1</v>
      </c>
      <c r="DY495">
        <v>0.1</v>
      </c>
      <c r="DZ495">
        <v>0.1</v>
      </c>
      <c r="EA495">
        <v>0.1</v>
      </c>
      <c r="EB495">
        <v>0.1</v>
      </c>
      <c r="EC495">
        <v>0.1</v>
      </c>
      <c r="ED495">
        <v>0.1</v>
      </c>
      <c r="EE495">
        <v>0.1</v>
      </c>
      <c r="EF495">
        <v>0.1</v>
      </c>
    </row>
    <row r="496" spans="71:136" x14ac:dyDescent="0.25">
      <c r="BS496">
        <v>493</v>
      </c>
      <c r="BT496" s="2"/>
      <c r="BU496" s="2"/>
      <c r="BV496" s="2"/>
      <c r="BW496" s="2"/>
      <c r="BX496" s="2"/>
      <c r="BY496">
        <v>0.1</v>
      </c>
      <c r="BZ496">
        <v>0.1</v>
      </c>
      <c r="CA496">
        <v>0.1</v>
      </c>
      <c r="CB496">
        <v>0.1</v>
      </c>
      <c r="CC496">
        <v>0.1</v>
      </c>
      <c r="CD496">
        <v>0.1</v>
      </c>
      <c r="CE496">
        <v>0.1</v>
      </c>
      <c r="CF496">
        <v>0.1</v>
      </c>
      <c r="CG496">
        <v>0.1</v>
      </c>
      <c r="CH496">
        <v>0.1</v>
      </c>
      <c r="CI496">
        <v>0.1</v>
      </c>
      <c r="CJ496">
        <v>0.1</v>
      </c>
      <c r="CK496">
        <v>0.1</v>
      </c>
      <c r="CL496">
        <v>0.1</v>
      </c>
      <c r="CM496">
        <v>0.1</v>
      </c>
      <c r="CN496">
        <v>0.1</v>
      </c>
      <c r="CO496">
        <v>0.1</v>
      </c>
      <c r="CP496">
        <v>0.1</v>
      </c>
      <c r="CQ496">
        <v>0.1</v>
      </c>
      <c r="CR496">
        <v>0.1</v>
      </c>
      <c r="CS496">
        <v>0.1</v>
      </c>
      <c r="CT496">
        <v>0.1</v>
      </c>
      <c r="CU496">
        <v>0.1</v>
      </c>
      <c r="CV496">
        <v>0.1</v>
      </c>
      <c r="CW496">
        <v>0.1</v>
      </c>
      <c r="CX496">
        <v>0.1</v>
      </c>
      <c r="CY496">
        <v>0.1</v>
      </c>
      <c r="CZ496">
        <v>0.1</v>
      </c>
      <c r="DA496">
        <v>0.1</v>
      </c>
      <c r="DB496">
        <v>0.1</v>
      </c>
      <c r="DC496">
        <v>0.1</v>
      </c>
      <c r="DD496">
        <v>0.1</v>
      </c>
      <c r="DE496">
        <v>0.1</v>
      </c>
      <c r="DF496">
        <v>0.1</v>
      </c>
      <c r="DG496">
        <v>0.1</v>
      </c>
      <c r="DH496">
        <v>0.1</v>
      </c>
      <c r="DI496">
        <v>0.1</v>
      </c>
      <c r="DJ496">
        <v>0.1</v>
      </c>
      <c r="DK496">
        <v>0.1</v>
      </c>
      <c r="DL496">
        <v>0.1</v>
      </c>
      <c r="DM496">
        <v>0.1</v>
      </c>
      <c r="DN496">
        <v>0.1</v>
      </c>
      <c r="DO496">
        <v>0.1</v>
      </c>
      <c r="DP496">
        <v>0.1</v>
      </c>
      <c r="DQ496">
        <v>0.1</v>
      </c>
      <c r="DR496">
        <v>0.1</v>
      </c>
      <c r="DS496">
        <v>0.1</v>
      </c>
      <c r="DT496">
        <v>0.1</v>
      </c>
      <c r="DU496">
        <v>0.1</v>
      </c>
      <c r="DV496">
        <v>0.1</v>
      </c>
      <c r="DW496">
        <v>0.1</v>
      </c>
      <c r="DX496">
        <v>0.1</v>
      </c>
      <c r="DY496">
        <v>0.1</v>
      </c>
      <c r="DZ496">
        <v>0.1</v>
      </c>
      <c r="EA496">
        <v>0.1</v>
      </c>
      <c r="EB496">
        <v>0.1</v>
      </c>
      <c r="EC496">
        <v>0.1</v>
      </c>
      <c r="ED496">
        <v>0.1</v>
      </c>
      <c r="EE496">
        <v>0.1</v>
      </c>
      <c r="EF496">
        <v>0.1</v>
      </c>
    </row>
    <row r="497" spans="71:136" x14ac:dyDescent="0.25">
      <c r="BS497">
        <v>494</v>
      </c>
      <c r="BT497" s="2"/>
      <c r="BU497" s="2"/>
      <c r="BV497" s="2"/>
      <c r="BW497" s="2"/>
      <c r="BX497" s="2"/>
      <c r="BY497">
        <v>0.1</v>
      </c>
      <c r="BZ497">
        <v>0.1</v>
      </c>
      <c r="CA497">
        <v>0.1</v>
      </c>
      <c r="CB497">
        <v>0.1</v>
      </c>
      <c r="CC497">
        <v>0.1</v>
      </c>
      <c r="CD497">
        <v>0.1</v>
      </c>
      <c r="CE497">
        <v>0.1</v>
      </c>
      <c r="CF497">
        <v>0.1</v>
      </c>
      <c r="CG497">
        <v>0.1</v>
      </c>
      <c r="CH497">
        <v>0.1</v>
      </c>
      <c r="CI497">
        <v>0.1</v>
      </c>
      <c r="CJ497">
        <v>0.1</v>
      </c>
      <c r="CK497">
        <v>0.1</v>
      </c>
      <c r="CL497">
        <v>0.1</v>
      </c>
      <c r="CM497">
        <v>0.1</v>
      </c>
      <c r="CN497">
        <v>0.1</v>
      </c>
      <c r="CO497">
        <v>0.1</v>
      </c>
      <c r="CP497">
        <v>0.1</v>
      </c>
      <c r="CQ497">
        <v>0.1</v>
      </c>
      <c r="CR497">
        <v>0.1</v>
      </c>
      <c r="CS497">
        <v>0.1</v>
      </c>
      <c r="CT497">
        <v>0.1</v>
      </c>
      <c r="CU497">
        <v>0.1</v>
      </c>
      <c r="CV497">
        <v>0.1</v>
      </c>
      <c r="CW497">
        <v>0.1</v>
      </c>
      <c r="CX497">
        <v>0.1</v>
      </c>
      <c r="CY497">
        <v>0.1</v>
      </c>
      <c r="CZ497">
        <v>0.1</v>
      </c>
      <c r="DA497">
        <v>0.1</v>
      </c>
      <c r="DB497">
        <v>0.1</v>
      </c>
      <c r="DC497">
        <v>0.1</v>
      </c>
      <c r="DD497">
        <v>0.1</v>
      </c>
      <c r="DE497">
        <v>0.1</v>
      </c>
      <c r="DF497">
        <v>0.1</v>
      </c>
      <c r="DG497">
        <v>0.1</v>
      </c>
      <c r="DH497">
        <v>0.1</v>
      </c>
      <c r="DI497">
        <v>0.1</v>
      </c>
      <c r="DJ497">
        <v>0.1</v>
      </c>
      <c r="DK497">
        <v>0.1</v>
      </c>
      <c r="DL497">
        <v>0.1</v>
      </c>
      <c r="DM497">
        <v>0.1</v>
      </c>
      <c r="DN497">
        <v>0.1</v>
      </c>
      <c r="DO497">
        <v>0.1</v>
      </c>
      <c r="DP497">
        <v>0.1</v>
      </c>
      <c r="DQ497">
        <v>0.1</v>
      </c>
      <c r="DR497">
        <v>0.1</v>
      </c>
      <c r="DS497">
        <v>0.1</v>
      </c>
      <c r="DT497">
        <v>0.1</v>
      </c>
      <c r="DU497">
        <v>0.1</v>
      </c>
      <c r="DV497">
        <v>0.1</v>
      </c>
      <c r="DW497">
        <v>0.1</v>
      </c>
      <c r="DX497">
        <v>0.1</v>
      </c>
      <c r="DY497">
        <v>0.1</v>
      </c>
      <c r="DZ497">
        <v>0.1</v>
      </c>
      <c r="EA497">
        <v>0.1</v>
      </c>
      <c r="EB497">
        <v>0.1</v>
      </c>
      <c r="EC497">
        <v>0.1</v>
      </c>
      <c r="ED497">
        <v>0.1</v>
      </c>
      <c r="EE497">
        <v>0.1</v>
      </c>
      <c r="EF497">
        <v>0.1</v>
      </c>
    </row>
    <row r="498" spans="71:136" x14ac:dyDescent="0.25">
      <c r="BS498">
        <v>495</v>
      </c>
      <c r="BT498" s="2"/>
      <c r="BU498" s="2"/>
      <c r="BV498" s="2"/>
      <c r="BW498" s="2"/>
      <c r="BX498" s="2"/>
      <c r="BY498">
        <v>0.1</v>
      </c>
      <c r="BZ498">
        <v>0.1</v>
      </c>
      <c r="CA498">
        <v>0.1</v>
      </c>
      <c r="CB498">
        <v>0.1</v>
      </c>
      <c r="CC498">
        <v>0.1</v>
      </c>
      <c r="CD498">
        <v>0.1</v>
      </c>
      <c r="CE498">
        <v>0.1</v>
      </c>
      <c r="CF498">
        <v>0.1</v>
      </c>
      <c r="CG498">
        <v>0.1</v>
      </c>
      <c r="CH498">
        <v>0.1</v>
      </c>
      <c r="CI498">
        <v>0.1</v>
      </c>
      <c r="CJ498">
        <v>0.1</v>
      </c>
      <c r="CK498">
        <v>0.1</v>
      </c>
      <c r="CL498">
        <v>0.1</v>
      </c>
      <c r="CM498">
        <v>0.1</v>
      </c>
      <c r="CN498">
        <v>0.1</v>
      </c>
      <c r="CO498">
        <v>0.1</v>
      </c>
      <c r="CP498">
        <v>0.1</v>
      </c>
      <c r="CQ498">
        <v>0.1</v>
      </c>
      <c r="CR498">
        <v>0.1</v>
      </c>
      <c r="CS498">
        <v>0.1</v>
      </c>
      <c r="CT498">
        <v>0.1</v>
      </c>
      <c r="CU498">
        <v>0.1</v>
      </c>
      <c r="CV498">
        <v>0.1</v>
      </c>
      <c r="CW498">
        <v>0.1</v>
      </c>
      <c r="CX498">
        <v>0.1</v>
      </c>
      <c r="CY498">
        <v>0.1</v>
      </c>
      <c r="CZ498">
        <v>0.1</v>
      </c>
      <c r="DA498">
        <v>0.1</v>
      </c>
      <c r="DB498">
        <v>0.1</v>
      </c>
      <c r="DC498">
        <v>0.1</v>
      </c>
      <c r="DD498">
        <v>0.1</v>
      </c>
      <c r="DE498">
        <v>0.1</v>
      </c>
      <c r="DF498">
        <v>0.1</v>
      </c>
      <c r="DG498">
        <v>0.1</v>
      </c>
      <c r="DH498">
        <v>0.1</v>
      </c>
      <c r="DI498">
        <v>0.1</v>
      </c>
      <c r="DJ498">
        <v>0.1</v>
      </c>
      <c r="DK498">
        <v>0.1</v>
      </c>
      <c r="DL498">
        <v>0.1</v>
      </c>
      <c r="DM498">
        <v>0.1</v>
      </c>
      <c r="DN498">
        <v>0.1</v>
      </c>
      <c r="DO498">
        <v>0.1</v>
      </c>
      <c r="DP498">
        <v>0.1</v>
      </c>
      <c r="DQ498">
        <v>0.1</v>
      </c>
      <c r="DR498">
        <v>0.1</v>
      </c>
      <c r="DS498">
        <v>0.1</v>
      </c>
      <c r="DT498">
        <v>0.1</v>
      </c>
      <c r="DU498">
        <v>0.1</v>
      </c>
      <c r="DV498">
        <v>0.1</v>
      </c>
      <c r="DW498">
        <v>0.1</v>
      </c>
      <c r="DX498">
        <v>0.1</v>
      </c>
      <c r="DY498">
        <v>0.1</v>
      </c>
      <c r="DZ498">
        <v>0.1</v>
      </c>
      <c r="EA498">
        <v>0.1</v>
      </c>
      <c r="EB498">
        <v>0.1</v>
      </c>
      <c r="EC498">
        <v>0.1</v>
      </c>
      <c r="ED498">
        <v>0.1</v>
      </c>
      <c r="EE498">
        <v>0.1</v>
      </c>
      <c r="EF498">
        <v>0.1</v>
      </c>
    </row>
    <row r="499" spans="71:136" x14ac:dyDescent="0.25">
      <c r="BS499">
        <v>496</v>
      </c>
      <c r="BT499" s="2"/>
      <c r="BU499" s="2"/>
      <c r="BV499" s="2"/>
      <c r="BW499" s="2"/>
      <c r="BX499" s="2"/>
      <c r="BY499">
        <v>0.1</v>
      </c>
      <c r="BZ499">
        <v>0.1</v>
      </c>
      <c r="CA499">
        <v>0.1</v>
      </c>
      <c r="CB499">
        <v>0.1</v>
      </c>
      <c r="CC499">
        <v>0.1</v>
      </c>
      <c r="CD499">
        <v>0.1</v>
      </c>
      <c r="CE499">
        <v>0.1</v>
      </c>
      <c r="CF499">
        <v>0.1</v>
      </c>
      <c r="CG499">
        <v>0.1</v>
      </c>
      <c r="CH499">
        <v>0.1</v>
      </c>
      <c r="CI499">
        <v>0.1</v>
      </c>
      <c r="CJ499">
        <v>0.1</v>
      </c>
      <c r="CK499">
        <v>0.1</v>
      </c>
      <c r="CL499">
        <v>0.1</v>
      </c>
      <c r="CM499">
        <v>0.1</v>
      </c>
      <c r="CN499">
        <v>0.1</v>
      </c>
      <c r="CO499">
        <v>0.1</v>
      </c>
      <c r="CP499">
        <v>0.1</v>
      </c>
      <c r="CQ499">
        <v>0.1</v>
      </c>
      <c r="CR499">
        <v>0.1</v>
      </c>
      <c r="CS499">
        <v>0.1</v>
      </c>
      <c r="CT499">
        <v>0.1</v>
      </c>
      <c r="CU499">
        <v>0.1</v>
      </c>
      <c r="CV499">
        <v>0.1</v>
      </c>
      <c r="CW499">
        <v>0.1</v>
      </c>
      <c r="CX499">
        <v>0.1</v>
      </c>
      <c r="CY499">
        <v>0.1</v>
      </c>
      <c r="CZ499">
        <v>0.1</v>
      </c>
      <c r="DA499">
        <v>0.1</v>
      </c>
      <c r="DB499">
        <v>0.1</v>
      </c>
      <c r="DC499">
        <v>0.1</v>
      </c>
      <c r="DD499">
        <v>0.1</v>
      </c>
      <c r="DE499">
        <v>0.1</v>
      </c>
      <c r="DF499">
        <v>0.1</v>
      </c>
      <c r="DG499">
        <v>0.1</v>
      </c>
      <c r="DH499">
        <v>0.1</v>
      </c>
      <c r="DI499">
        <v>0.1</v>
      </c>
      <c r="DJ499">
        <v>0.1</v>
      </c>
      <c r="DK499">
        <v>0.1</v>
      </c>
      <c r="DL499">
        <v>0.1</v>
      </c>
      <c r="DM499">
        <v>0.1</v>
      </c>
      <c r="DN499">
        <v>0.1</v>
      </c>
      <c r="DO499">
        <v>0.1</v>
      </c>
      <c r="DP499">
        <v>0.1</v>
      </c>
      <c r="DQ499">
        <v>0.1</v>
      </c>
      <c r="DR499">
        <v>0.1</v>
      </c>
      <c r="DS499">
        <v>0.1</v>
      </c>
      <c r="DT499">
        <v>0.1</v>
      </c>
      <c r="DU499">
        <v>0.1</v>
      </c>
      <c r="DV499">
        <v>0.1</v>
      </c>
      <c r="DW499">
        <v>0.1</v>
      </c>
      <c r="DX499">
        <v>0.1</v>
      </c>
      <c r="DY499">
        <v>0.1</v>
      </c>
      <c r="DZ499">
        <v>0.1</v>
      </c>
      <c r="EA499">
        <v>0.1</v>
      </c>
      <c r="EB499">
        <v>0.1</v>
      </c>
      <c r="EC499">
        <v>0.1</v>
      </c>
      <c r="ED499">
        <v>0.1</v>
      </c>
      <c r="EE499">
        <v>0.1</v>
      </c>
      <c r="EF499">
        <v>0.1</v>
      </c>
    </row>
    <row r="500" spans="71:136" x14ac:dyDescent="0.25">
      <c r="BS500">
        <v>497</v>
      </c>
      <c r="BT500" s="2"/>
      <c r="BU500" s="2"/>
      <c r="BV500" s="2"/>
      <c r="BW500" s="2"/>
      <c r="BX500" s="2"/>
      <c r="BY500">
        <v>0.1</v>
      </c>
      <c r="BZ500">
        <v>0.1</v>
      </c>
      <c r="CA500">
        <v>0.1</v>
      </c>
      <c r="CB500">
        <v>0.1</v>
      </c>
      <c r="CC500">
        <v>0.1</v>
      </c>
      <c r="CD500">
        <v>0.1</v>
      </c>
      <c r="CE500">
        <v>0.1</v>
      </c>
      <c r="CF500">
        <v>0.1</v>
      </c>
      <c r="CG500">
        <v>0.1</v>
      </c>
      <c r="CH500">
        <v>0.1</v>
      </c>
      <c r="CI500">
        <v>0.1</v>
      </c>
      <c r="CJ500">
        <v>0.1</v>
      </c>
      <c r="CK500">
        <v>0.1</v>
      </c>
      <c r="CL500">
        <v>0.1</v>
      </c>
      <c r="CM500">
        <v>0.1</v>
      </c>
      <c r="CN500">
        <v>0.1</v>
      </c>
      <c r="CO500">
        <v>0.1</v>
      </c>
      <c r="CP500">
        <v>0.1</v>
      </c>
      <c r="CQ500">
        <v>0.1</v>
      </c>
      <c r="CR500">
        <v>0.1</v>
      </c>
      <c r="CS500">
        <v>0.1</v>
      </c>
      <c r="CT500">
        <v>0.1</v>
      </c>
      <c r="CU500">
        <v>0.1</v>
      </c>
      <c r="CV500">
        <v>0.1</v>
      </c>
      <c r="CW500">
        <v>0.1</v>
      </c>
      <c r="CX500">
        <v>0.1</v>
      </c>
      <c r="CY500">
        <v>0.1</v>
      </c>
      <c r="CZ500">
        <v>0.1</v>
      </c>
      <c r="DA500">
        <v>0.1</v>
      </c>
      <c r="DB500">
        <v>0.1</v>
      </c>
      <c r="DC500">
        <v>0.1</v>
      </c>
      <c r="DD500">
        <v>0.1</v>
      </c>
      <c r="DE500">
        <v>0.1</v>
      </c>
      <c r="DF500">
        <v>0.1</v>
      </c>
      <c r="DG500">
        <v>0.1</v>
      </c>
      <c r="DH500">
        <v>0.1</v>
      </c>
      <c r="DI500">
        <v>0.1</v>
      </c>
      <c r="DJ500">
        <v>0.1</v>
      </c>
      <c r="DK500">
        <v>0.1</v>
      </c>
      <c r="DL500">
        <v>0.1</v>
      </c>
      <c r="DM500">
        <v>0.1</v>
      </c>
      <c r="DN500">
        <v>0.1</v>
      </c>
      <c r="DO500">
        <v>0.1</v>
      </c>
      <c r="DP500">
        <v>0.1</v>
      </c>
      <c r="DQ500">
        <v>0.1</v>
      </c>
      <c r="DR500">
        <v>0.1</v>
      </c>
      <c r="DS500">
        <v>0.1</v>
      </c>
      <c r="DT500">
        <v>0.1</v>
      </c>
      <c r="DU500">
        <v>0.1</v>
      </c>
      <c r="DV500">
        <v>0.1</v>
      </c>
      <c r="DW500">
        <v>0.1</v>
      </c>
      <c r="DX500">
        <v>0.1</v>
      </c>
      <c r="DY500">
        <v>0.1</v>
      </c>
      <c r="DZ500">
        <v>0.1</v>
      </c>
      <c r="EA500">
        <v>0.1</v>
      </c>
      <c r="EB500">
        <v>0.1</v>
      </c>
      <c r="EC500">
        <v>0.1</v>
      </c>
      <c r="ED500">
        <v>0.1</v>
      </c>
      <c r="EE500">
        <v>0.1</v>
      </c>
      <c r="EF500">
        <v>0.1</v>
      </c>
    </row>
    <row r="501" spans="71:136" x14ac:dyDescent="0.25">
      <c r="BS501">
        <v>498</v>
      </c>
      <c r="BT501" s="2"/>
      <c r="BU501" s="2"/>
      <c r="BV501" s="2"/>
      <c r="BW501" s="2"/>
      <c r="BX501" s="2"/>
      <c r="BY501">
        <v>0.1</v>
      </c>
      <c r="BZ501">
        <v>0.1</v>
      </c>
      <c r="CA501">
        <v>0.1</v>
      </c>
      <c r="CB501">
        <v>0.1</v>
      </c>
      <c r="CC501">
        <v>0.1</v>
      </c>
      <c r="CD501">
        <v>0.1</v>
      </c>
      <c r="CE501">
        <v>0.1</v>
      </c>
      <c r="CF501">
        <v>0.1</v>
      </c>
      <c r="CG501">
        <v>0.1</v>
      </c>
      <c r="CH501">
        <v>0.1</v>
      </c>
      <c r="CI501">
        <v>0.1</v>
      </c>
      <c r="CJ501">
        <v>0.1</v>
      </c>
      <c r="CK501">
        <v>0.1</v>
      </c>
      <c r="CL501">
        <v>0.1</v>
      </c>
      <c r="CM501">
        <v>0.1</v>
      </c>
      <c r="CN501">
        <v>0.1</v>
      </c>
      <c r="CO501">
        <v>0.1</v>
      </c>
      <c r="CP501">
        <v>0.1</v>
      </c>
      <c r="CQ501">
        <v>0.1</v>
      </c>
      <c r="CR501">
        <v>0.1</v>
      </c>
      <c r="CS501">
        <v>0.1</v>
      </c>
      <c r="CT501">
        <v>0.1</v>
      </c>
      <c r="CU501">
        <v>0.1</v>
      </c>
      <c r="CV501">
        <v>0.1</v>
      </c>
      <c r="CW501">
        <v>0.1</v>
      </c>
      <c r="CX501">
        <v>0.1</v>
      </c>
      <c r="CY501">
        <v>0.1</v>
      </c>
      <c r="CZ501">
        <v>0.1</v>
      </c>
      <c r="DA501">
        <v>0.1</v>
      </c>
      <c r="DB501">
        <v>0.1</v>
      </c>
      <c r="DC501">
        <v>0.1</v>
      </c>
      <c r="DD501">
        <v>0.1</v>
      </c>
      <c r="DE501">
        <v>0.1</v>
      </c>
      <c r="DF501">
        <v>0.1</v>
      </c>
      <c r="DG501">
        <v>0.1</v>
      </c>
      <c r="DH501">
        <v>0.1</v>
      </c>
      <c r="DI501">
        <v>0.1</v>
      </c>
      <c r="DJ501">
        <v>0.1</v>
      </c>
      <c r="DK501">
        <v>0.1</v>
      </c>
      <c r="DL501">
        <v>0.1</v>
      </c>
      <c r="DM501">
        <v>0.1</v>
      </c>
      <c r="DN501">
        <v>0.1</v>
      </c>
      <c r="DO501">
        <v>0.1</v>
      </c>
      <c r="DP501">
        <v>0.1</v>
      </c>
      <c r="DQ501">
        <v>0.1</v>
      </c>
      <c r="DR501">
        <v>0.1</v>
      </c>
      <c r="DS501">
        <v>0.1</v>
      </c>
      <c r="DT501">
        <v>0.1</v>
      </c>
      <c r="DU501">
        <v>0.1</v>
      </c>
      <c r="DV501">
        <v>0.1</v>
      </c>
      <c r="DW501">
        <v>0.1</v>
      </c>
      <c r="DX501">
        <v>0.1</v>
      </c>
      <c r="DY501">
        <v>0.1</v>
      </c>
      <c r="DZ501">
        <v>0.1</v>
      </c>
      <c r="EA501">
        <v>0.1</v>
      </c>
      <c r="EB501">
        <v>0.1</v>
      </c>
      <c r="EC501">
        <v>0.1</v>
      </c>
      <c r="ED501">
        <v>0.1</v>
      </c>
      <c r="EE501">
        <v>0.1</v>
      </c>
      <c r="EF501">
        <v>0.1</v>
      </c>
    </row>
    <row r="502" spans="71:136" x14ac:dyDescent="0.25">
      <c r="BS502">
        <v>499</v>
      </c>
      <c r="BT502" s="2"/>
      <c r="BU502" s="2"/>
      <c r="BV502" s="2"/>
      <c r="BW502" s="2"/>
      <c r="BX502" s="2"/>
      <c r="BY502">
        <v>0.1</v>
      </c>
      <c r="BZ502">
        <v>0.1</v>
      </c>
      <c r="CA502">
        <v>0.1</v>
      </c>
      <c r="CB502">
        <v>0.1</v>
      </c>
      <c r="CC502">
        <v>0.1</v>
      </c>
      <c r="CD502">
        <v>0.1</v>
      </c>
      <c r="CE502">
        <v>0.1</v>
      </c>
      <c r="CF502">
        <v>0.1</v>
      </c>
      <c r="CG502">
        <v>0.1</v>
      </c>
      <c r="CH502">
        <v>0.1</v>
      </c>
      <c r="CI502">
        <v>0.1</v>
      </c>
      <c r="CJ502">
        <v>0.1</v>
      </c>
      <c r="CK502">
        <v>0.1</v>
      </c>
      <c r="CL502">
        <v>0.1</v>
      </c>
      <c r="CM502">
        <v>0.1</v>
      </c>
      <c r="CN502">
        <v>0.1</v>
      </c>
      <c r="CO502">
        <v>0.1</v>
      </c>
      <c r="CP502">
        <v>0.1</v>
      </c>
      <c r="CQ502">
        <v>0.1</v>
      </c>
      <c r="CR502">
        <v>0.1</v>
      </c>
      <c r="CS502">
        <v>0.1</v>
      </c>
      <c r="CT502">
        <v>0.1</v>
      </c>
      <c r="CU502">
        <v>0.1</v>
      </c>
      <c r="CV502">
        <v>0.1</v>
      </c>
      <c r="CW502">
        <v>0.1</v>
      </c>
      <c r="CX502">
        <v>0.1</v>
      </c>
      <c r="CY502">
        <v>0.1</v>
      </c>
      <c r="CZ502">
        <v>0.1</v>
      </c>
      <c r="DA502">
        <v>0.1</v>
      </c>
      <c r="DB502">
        <v>0.1</v>
      </c>
      <c r="DC502">
        <v>0.1</v>
      </c>
      <c r="DD502">
        <v>0.1</v>
      </c>
      <c r="DE502">
        <v>0.1</v>
      </c>
      <c r="DF502">
        <v>0.1</v>
      </c>
      <c r="DG502">
        <v>0.1</v>
      </c>
      <c r="DH502">
        <v>0.1</v>
      </c>
      <c r="DI502">
        <v>0.1</v>
      </c>
      <c r="DJ502">
        <v>0.1</v>
      </c>
      <c r="DK502">
        <v>0.1</v>
      </c>
      <c r="DL502">
        <v>0.1</v>
      </c>
      <c r="DM502">
        <v>0.1</v>
      </c>
      <c r="DN502">
        <v>0.1</v>
      </c>
      <c r="DO502">
        <v>0.1</v>
      </c>
      <c r="DP502">
        <v>0.1</v>
      </c>
      <c r="DQ502">
        <v>0.1</v>
      </c>
      <c r="DR502">
        <v>0.1</v>
      </c>
      <c r="DS502">
        <v>0.1</v>
      </c>
      <c r="DT502">
        <v>0.1</v>
      </c>
      <c r="DU502">
        <v>0.1</v>
      </c>
      <c r="DV502">
        <v>0.1</v>
      </c>
      <c r="DW502">
        <v>0.1</v>
      </c>
      <c r="DX502">
        <v>0.1</v>
      </c>
      <c r="DY502">
        <v>0.1</v>
      </c>
      <c r="DZ502">
        <v>0.1</v>
      </c>
      <c r="EA502">
        <v>0.1</v>
      </c>
      <c r="EB502">
        <v>0.1</v>
      </c>
      <c r="EC502">
        <v>0.1</v>
      </c>
      <c r="ED502">
        <v>0.1</v>
      </c>
      <c r="EE502">
        <v>0.1</v>
      </c>
      <c r="EF502">
        <v>0.1</v>
      </c>
    </row>
    <row r="503" spans="71:136" x14ac:dyDescent="0.25">
      <c r="BS503">
        <v>500</v>
      </c>
      <c r="BT503" s="2"/>
      <c r="BU503" s="2"/>
      <c r="BV503" s="2"/>
      <c r="BW503" s="2"/>
      <c r="BX503" s="2"/>
      <c r="BY503">
        <v>0.1</v>
      </c>
      <c r="BZ503">
        <v>0.1</v>
      </c>
      <c r="CA503">
        <v>0.1</v>
      </c>
      <c r="CB503">
        <v>0.1</v>
      </c>
      <c r="CC503">
        <v>0.1</v>
      </c>
      <c r="CD503">
        <v>0.1</v>
      </c>
      <c r="CE503">
        <v>0.1</v>
      </c>
      <c r="CF503">
        <v>0.1</v>
      </c>
      <c r="CG503">
        <v>0.1</v>
      </c>
      <c r="CH503">
        <v>0.1</v>
      </c>
      <c r="CI503">
        <v>0.1</v>
      </c>
      <c r="CJ503">
        <v>0.1</v>
      </c>
      <c r="CK503">
        <v>0.1</v>
      </c>
      <c r="CL503">
        <v>0.1</v>
      </c>
      <c r="CM503">
        <v>0.1</v>
      </c>
      <c r="CN503">
        <v>0.1</v>
      </c>
      <c r="CO503">
        <v>0.1</v>
      </c>
      <c r="CP503">
        <v>0.1</v>
      </c>
      <c r="CQ503">
        <v>0.1</v>
      </c>
      <c r="CR503">
        <v>0.1</v>
      </c>
      <c r="CS503">
        <v>0.1</v>
      </c>
      <c r="CT503">
        <v>0.1</v>
      </c>
      <c r="CU503">
        <v>0.1</v>
      </c>
      <c r="CV503">
        <v>0.1</v>
      </c>
      <c r="CW503">
        <v>0.1</v>
      </c>
      <c r="CX503">
        <v>0.1</v>
      </c>
      <c r="CY503">
        <v>0.1</v>
      </c>
      <c r="CZ503">
        <v>0.1</v>
      </c>
      <c r="DA503">
        <v>0.1</v>
      </c>
      <c r="DB503">
        <v>0.1</v>
      </c>
      <c r="DC503">
        <v>0.1</v>
      </c>
      <c r="DD503">
        <v>0.1</v>
      </c>
      <c r="DE503">
        <v>0.1</v>
      </c>
      <c r="DF503">
        <v>0.1</v>
      </c>
      <c r="DG503">
        <v>0.1</v>
      </c>
      <c r="DH503">
        <v>0.1</v>
      </c>
      <c r="DI503">
        <v>0.1</v>
      </c>
      <c r="DJ503">
        <v>0.1</v>
      </c>
      <c r="DK503">
        <v>0.1</v>
      </c>
      <c r="DL503">
        <v>0.1</v>
      </c>
      <c r="DM503">
        <v>0.1</v>
      </c>
      <c r="DN503">
        <v>0.1</v>
      </c>
      <c r="DO503">
        <v>0.1</v>
      </c>
      <c r="DP503">
        <v>0.1</v>
      </c>
      <c r="DQ503">
        <v>0.1</v>
      </c>
      <c r="DR503">
        <v>0.1</v>
      </c>
      <c r="DS503">
        <v>0.1</v>
      </c>
      <c r="DT503">
        <v>0.1</v>
      </c>
      <c r="DU503">
        <v>0.1</v>
      </c>
      <c r="DV503">
        <v>0.1</v>
      </c>
      <c r="DW503">
        <v>0.1</v>
      </c>
      <c r="DX503">
        <v>0.1</v>
      </c>
      <c r="DY503">
        <v>0.1</v>
      </c>
      <c r="DZ503">
        <v>0.1</v>
      </c>
      <c r="EA503">
        <v>0.1</v>
      </c>
      <c r="EB503">
        <v>0.1</v>
      </c>
      <c r="EC503">
        <v>0.1</v>
      </c>
      <c r="ED503">
        <v>0.1</v>
      </c>
      <c r="EE503">
        <v>0.1</v>
      </c>
      <c r="EF503">
        <v>0.1</v>
      </c>
    </row>
    <row r="504" spans="71:136" x14ac:dyDescent="0.25">
      <c r="BS504">
        <v>501</v>
      </c>
      <c r="BT504" s="2"/>
      <c r="BU504" s="2"/>
      <c r="BV504" s="2"/>
      <c r="BW504" s="2"/>
      <c r="BX504" s="2"/>
      <c r="BY504">
        <v>0.1</v>
      </c>
      <c r="BZ504">
        <v>0.1</v>
      </c>
      <c r="CA504">
        <v>0.1</v>
      </c>
      <c r="CB504">
        <v>0.1</v>
      </c>
      <c r="CC504">
        <v>0.1</v>
      </c>
      <c r="CD504">
        <v>0.1</v>
      </c>
      <c r="CE504">
        <v>0.1</v>
      </c>
      <c r="CF504">
        <v>0.1</v>
      </c>
      <c r="CG504">
        <v>0.1</v>
      </c>
      <c r="CH504">
        <v>0.1</v>
      </c>
      <c r="CI504">
        <v>0.1</v>
      </c>
      <c r="CJ504">
        <v>0.1</v>
      </c>
      <c r="CK504">
        <v>0.1</v>
      </c>
      <c r="CL504">
        <v>0.1</v>
      </c>
      <c r="CM504">
        <v>0.1</v>
      </c>
      <c r="CN504">
        <v>0.1</v>
      </c>
      <c r="CO504">
        <v>0.1</v>
      </c>
      <c r="CP504">
        <v>0.1</v>
      </c>
      <c r="CQ504">
        <v>0.1</v>
      </c>
      <c r="CR504">
        <v>0.1</v>
      </c>
      <c r="CS504">
        <v>0.1</v>
      </c>
      <c r="CT504">
        <v>0.1</v>
      </c>
      <c r="CU504">
        <v>0.1</v>
      </c>
      <c r="CV504">
        <v>0.1</v>
      </c>
      <c r="CW504">
        <v>0.1</v>
      </c>
      <c r="CX504">
        <v>0.1</v>
      </c>
      <c r="CY504">
        <v>0.1</v>
      </c>
      <c r="CZ504">
        <v>0.1</v>
      </c>
      <c r="DA504">
        <v>0.1</v>
      </c>
      <c r="DB504">
        <v>0.1</v>
      </c>
      <c r="DC504">
        <v>0.1</v>
      </c>
      <c r="DD504">
        <v>0.1</v>
      </c>
      <c r="DE504">
        <v>0.1</v>
      </c>
      <c r="DF504">
        <v>0.1</v>
      </c>
      <c r="DG504">
        <v>0.1</v>
      </c>
      <c r="DH504">
        <v>0.1</v>
      </c>
      <c r="DI504">
        <v>0.1</v>
      </c>
      <c r="DJ504">
        <v>0.1</v>
      </c>
      <c r="DK504">
        <v>0.1</v>
      </c>
      <c r="DL504">
        <v>0.1</v>
      </c>
      <c r="DM504">
        <v>0.1</v>
      </c>
      <c r="DN504">
        <v>0.1</v>
      </c>
      <c r="DO504">
        <v>0.1</v>
      </c>
      <c r="DP504">
        <v>0.1</v>
      </c>
      <c r="DQ504">
        <v>0.1</v>
      </c>
      <c r="DR504">
        <v>0.1</v>
      </c>
      <c r="DS504">
        <v>0.1</v>
      </c>
      <c r="DT504">
        <v>0.1</v>
      </c>
      <c r="DU504">
        <v>0.1</v>
      </c>
      <c r="DV504">
        <v>0.1</v>
      </c>
      <c r="DW504">
        <v>0.1</v>
      </c>
      <c r="DX504">
        <v>0.1</v>
      </c>
      <c r="DY504">
        <v>0.1</v>
      </c>
      <c r="DZ504">
        <v>0.1</v>
      </c>
      <c r="EA504">
        <v>0.1</v>
      </c>
      <c r="EB504">
        <v>0.1</v>
      </c>
      <c r="EC504">
        <v>0.1</v>
      </c>
      <c r="ED504">
        <v>0.1</v>
      </c>
      <c r="EE504">
        <v>0.1</v>
      </c>
      <c r="EF504">
        <v>0.1</v>
      </c>
    </row>
    <row r="505" spans="71:136" x14ac:dyDescent="0.25">
      <c r="BS505">
        <v>502</v>
      </c>
      <c r="BT505" s="2"/>
      <c r="BU505" s="2"/>
      <c r="BV505" s="2"/>
      <c r="BW505" s="2"/>
      <c r="BX505" s="2"/>
      <c r="BY505">
        <v>0.1</v>
      </c>
      <c r="BZ505">
        <v>0.1</v>
      </c>
      <c r="CA505">
        <v>0.1</v>
      </c>
      <c r="CB505">
        <v>0.1</v>
      </c>
      <c r="CC505">
        <v>0.1</v>
      </c>
      <c r="CD505">
        <v>0.1</v>
      </c>
      <c r="CE505">
        <v>0.1</v>
      </c>
      <c r="CF505">
        <v>0.1</v>
      </c>
      <c r="CG505">
        <v>0.1</v>
      </c>
      <c r="CH505">
        <v>0.1</v>
      </c>
      <c r="CI505">
        <v>0.1</v>
      </c>
      <c r="CJ505">
        <v>0.1</v>
      </c>
      <c r="CK505">
        <v>0.1</v>
      </c>
      <c r="CL505">
        <v>0.1</v>
      </c>
      <c r="CM505">
        <v>0.1</v>
      </c>
      <c r="CN505">
        <v>0.1</v>
      </c>
      <c r="CO505">
        <v>0.1</v>
      </c>
      <c r="CP505">
        <v>0.1</v>
      </c>
      <c r="CQ505">
        <v>0.1</v>
      </c>
      <c r="CR505">
        <v>0.1</v>
      </c>
      <c r="CS505">
        <v>0.1</v>
      </c>
      <c r="CT505">
        <v>0.1</v>
      </c>
      <c r="CU505">
        <v>0.1</v>
      </c>
      <c r="CV505">
        <v>0.1</v>
      </c>
      <c r="CW505">
        <v>0.1</v>
      </c>
      <c r="CX505">
        <v>0.1</v>
      </c>
      <c r="CY505">
        <v>0.1</v>
      </c>
      <c r="CZ505">
        <v>0.1</v>
      </c>
      <c r="DA505">
        <v>0.1</v>
      </c>
      <c r="DB505">
        <v>0.1</v>
      </c>
      <c r="DC505">
        <v>0.1</v>
      </c>
      <c r="DD505">
        <v>0.1</v>
      </c>
      <c r="DE505">
        <v>0.1</v>
      </c>
      <c r="DF505">
        <v>0.1</v>
      </c>
      <c r="DG505">
        <v>0.1</v>
      </c>
      <c r="DH505">
        <v>0.1</v>
      </c>
      <c r="DI505">
        <v>0.1</v>
      </c>
      <c r="DJ505">
        <v>0.1</v>
      </c>
      <c r="DK505">
        <v>0.1</v>
      </c>
      <c r="DL505">
        <v>0.1</v>
      </c>
      <c r="DM505">
        <v>0.1</v>
      </c>
      <c r="DN505">
        <v>0.1</v>
      </c>
      <c r="DO505">
        <v>0.1</v>
      </c>
      <c r="DP505">
        <v>0.1</v>
      </c>
      <c r="DQ505">
        <v>0.1</v>
      </c>
      <c r="DR505">
        <v>0.1</v>
      </c>
      <c r="DS505">
        <v>0.1</v>
      </c>
      <c r="DT505">
        <v>0.1</v>
      </c>
      <c r="DU505">
        <v>0.1</v>
      </c>
      <c r="DV505">
        <v>0.1</v>
      </c>
      <c r="DW505">
        <v>0.1</v>
      </c>
      <c r="DX505">
        <v>0.1</v>
      </c>
      <c r="DY505">
        <v>0.1</v>
      </c>
      <c r="DZ505">
        <v>0.1</v>
      </c>
      <c r="EA505">
        <v>0.1</v>
      </c>
      <c r="EB505">
        <v>0.1</v>
      </c>
      <c r="EC505">
        <v>0.1</v>
      </c>
      <c r="ED505">
        <v>0.1</v>
      </c>
      <c r="EE505">
        <v>0.1</v>
      </c>
      <c r="EF505">
        <v>0.1</v>
      </c>
    </row>
    <row r="506" spans="71:136" x14ac:dyDescent="0.25">
      <c r="BS506">
        <v>503</v>
      </c>
      <c r="BT506" s="2"/>
      <c r="BU506" s="2"/>
      <c r="BV506" s="2"/>
      <c r="BW506" s="2"/>
      <c r="BX506" s="2"/>
      <c r="BY506">
        <v>0.1</v>
      </c>
      <c r="BZ506">
        <v>0.1</v>
      </c>
      <c r="CA506">
        <v>0.1</v>
      </c>
      <c r="CB506">
        <v>0.1</v>
      </c>
      <c r="CC506">
        <v>0.1</v>
      </c>
      <c r="CD506">
        <v>0.1</v>
      </c>
      <c r="CE506">
        <v>0.1</v>
      </c>
      <c r="CF506">
        <v>0.1</v>
      </c>
      <c r="CG506">
        <v>0.1</v>
      </c>
      <c r="CH506">
        <v>0.1</v>
      </c>
      <c r="CI506">
        <v>0.1</v>
      </c>
      <c r="CJ506">
        <v>0.1</v>
      </c>
      <c r="CK506">
        <v>0.1</v>
      </c>
      <c r="CL506">
        <v>0.1</v>
      </c>
      <c r="CM506">
        <v>0.1</v>
      </c>
      <c r="CN506">
        <v>0.1</v>
      </c>
      <c r="CO506">
        <v>0.1</v>
      </c>
      <c r="CP506">
        <v>0.1</v>
      </c>
      <c r="CQ506">
        <v>0.1</v>
      </c>
      <c r="CR506">
        <v>0.1</v>
      </c>
      <c r="CS506">
        <v>0.1</v>
      </c>
      <c r="CT506">
        <v>0.1</v>
      </c>
      <c r="CU506">
        <v>0.1</v>
      </c>
      <c r="CV506">
        <v>0.1</v>
      </c>
      <c r="CW506">
        <v>0.1</v>
      </c>
      <c r="CX506">
        <v>0.1</v>
      </c>
      <c r="CY506">
        <v>0.1</v>
      </c>
      <c r="CZ506">
        <v>0.1</v>
      </c>
      <c r="DA506">
        <v>0.1</v>
      </c>
      <c r="DB506">
        <v>0.1</v>
      </c>
      <c r="DC506">
        <v>0.1</v>
      </c>
      <c r="DD506">
        <v>0.1</v>
      </c>
      <c r="DE506">
        <v>0.1</v>
      </c>
      <c r="DF506">
        <v>0.1</v>
      </c>
      <c r="DG506">
        <v>0.1</v>
      </c>
      <c r="DH506">
        <v>0.1</v>
      </c>
      <c r="DI506">
        <v>0.1</v>
      </c>
      <c r="DJ506">
        <v>0.1</v>
      </c>
      <c r="DK506">
        <v>0.1</v>
      </c>
      <c r="DL506">
        <v>0.1</v>
      </c>
      <c r="DM506">
        <v>0.1</v>
      </c>
      <c r="DN506">
        <v>0.1</v>
      </c>
      <c r="DO506">
        <v>0.1</v>
      </c>
      <c r="DP506">
        <v>0.1</v>
      </c>
      <c r="DQ506">
        <v>0.1</v>
      </c>
      <c r="DR506">
        <v>0.1</v>
      </c>
      <c r="DS506">
        <v>0.1</v>
      </c>
      <c r="DT506">
        <v>0.1</v>
      </c>
      <c r="DU506">
        <v>0.1</v>
      </c>
      <c r="DV506">
        <v>0.1</v>
      </c>
      <c r="DW506">
        <v>0.1</v>
      </c>
      <c r="DX506">
        <v>0.1</v>
      </c>
      <c r="DY506">
        <v>0.1</v>
      </c>
      <c r="DZ506">
        <v>0.1</v>
      </c>
      <c r="EA506">
        <v>0.1</v>
      </c>
      <c r="EB506">
        <v>0.1</v>
      </c>
      <c r="EC506">
        <v>0.1</v>
      </c>
      <c r="ED506">
        <v>0.1</v>
      </c>
      <c r="EE506">
        <v>0.1</v>
      </c>
      <c r="EF506">
        <v>0.1</v>
      </c>
    </row>
    <row r="507" spans="71:136" x14ac:dyDescent="0.25">
      <c r="BS507">
        <v>504</v>
      </c>
      <c r="BT507" s="2"/>
      <c r="BU507" s="2"/>
      <c r="BV507" s="2"/>
      <c r="BW507" s="2"/>
      <c r="BX507" s="2"/>
      <c r="BY507">
        <v>0.1</v>
      </c>
      <c r="BZ507">
        <v>0.1</v>
      </c>
      <c r="CA507">
        <v>0.1</v>
      </c>
      <c r="CB507">
        <v>0.1</v>
      </c>
      <c r="CC507">
        <v>0.1</v>
      </c>
      <c r="CD507">
        <v>0.1</v>
      </c>
      <c r="CE507">
        <v>0.1</v>
      </c>
      <c r="CF507">
        <v>0.1</v>
      </c>
      <c r="CG507">
        <v>0.1</v>
      </c>
      <c r="CH507">
        <v>0.1</v>
      </c>
      <c r="CI507">
        <v>0.1</v>
      </c>
      <c r="CJ507">
        <v>0.1</v>
      </c>
      <c r="CK507">
        <v>0.1</v>
      </c>
      <c r="CL507">
        <v>0.1</v>
      </c>
      <c r="CM507">
        <v>0.1</v>
      </c>
      <c r="CN507">
        <v>0.1</v>
      </c>
      <c r="CO507">
        <v>0.1</v>
      </c>
      <c r="CP507">
        <v>0.1</v>
      </c>
      <c r="CQ507">
        <v>0.1</v>
      </c>
      <c r="CR507">
        <v>0.1</v>
      </c>
      <c r="CS507">
        <v>0.1</v>
      </c>
      <c r="CT507">
        <v>0.1</v>
      </c>
      <c r="CU507">
        <v>0.1</v>
      </c>
      <c r="CV507">
        <v>0.1</v>
      </c>
      <c r="CW507">
        <v>0.1</v>
      </c>
      <c r="CX507">
        <v>0.1</v>
      </c>
      <c r="CY507">
        <v>0.1</v>
      </c>
      <c r="CZ507">
        <v>0.1</v>
      </c>
      <c r="DA507">
        <v>0.1</v>
      </c>
      <c r="DB507">
        <v>0.1</v>
      </c>
      <c r="DC507">
        <v>0.1</v>
      </c>
      <c r="DD507">
        <v>0.1</v>
      </c>
      <c r="DE507">
        <v>0.1</v>
      </c>
      <c r="DF507">
        <v>0.1</v>
      </c>
      <c r="DG507">
        <v>0.1</v>
      </c>
      <c r="DH507">
        <v>0.1</v>
      </c>
      <c r="DI507">
        <v>0.1</v>
      </c>
      <c r="DJ507">
        <v>0.1</v>
      </c>
      <c r="DK507">
        <v>0.1</v>
      </c>
      <c r="DL507">
        <v>0.1</v>
      </c>
      <c r="DM507">
        <v>0.1</v>
      </c>
      <c r="DN507">
        <v>0.1</v>
      </c>
      <c r="DO507">
        <v>0.1</v>
      </c>
      <c r="DP507">
        <v>0.1</v>
      </c>
      <c r="DQ507">
        <v>0.1</v>
      </c>
      <c r="DR507">
        <v>0.1</v>
      </c>
      <c r="DS507">
        <v>0.1</v>
      </c>
      <c r="DT507">
        <v>0.1</v>
      </c>
      <c r="DU507">
        <v>0.1</v>
      </c>
      <c r="DV507">
        <v>0.1</v>
      </c>
      <c r="DW507">
        <v>0.1</v>
      </c>
      <c r="DX507">
        <v>0.1</v>
      </c>
      <c r="DY507">
        <v>0.1</v>
      </c>
      <c r="DZ507">
        <v>0.1</v>
      </c>
      <c r="EA507">
        <v>0.1</v>
      </c>
      <c r="EB507">
        <v>0.1</v>
      </c>
      <c r="EC507">
        <v>0.1</v>
      </c>
      <c r="ED507">
        <v>0.1</v>
      </c>
      <c r="EE507">
        <v>0.1</v>
      </c>
      <c r="EF507">
        <v>0.1</v>
      </c>
    </row>
    <row r="508" spans="71:136" x14ac:dyDescent="0.25">
      <c r="BS508">
        <v>505</v>
      </c>
      <c r="BT508" s="2"/>
      <c r="BU508" s="2"/>
      <c r="BV508" s="2"/>
      <c r="BW508" s="2"/>
      <c r="BX508" s="2"/>
      <c r="BY508">
        <v>0.1</v>
      </c>
      <c r="BZ508">
        <v>0.1</v>
      </c>
      <c r="CA508">
        <v>0.1</v>
      </c>
      <c r="CB508">
        <v>0.1</v>
      </c>
      <c r="CC508">
        <v>0.1</v>
      </c>
      <c r="CD508">
        <v>0.1</v>
      </c>
      <c r="CE508">
        <v>0.1</v>
      </c>
      <c r="CF508">
        <v>0.1</v>
      </c>
      <c r="CG508">
        <v>0.1</v>
      </c>
      <c r="CH508">
        <v>0.1</v>
      </c>
      <c r="CI508">
        <v>0.1</v>
      </c>
      <c r="CJ508">
        <v>0.1</v>
      </c>
      <c r="CK508">
        <v>0.1</v>
      </c>
      <c r="CL508">
        <v>0.1</v>
      </c>
      <c r="CM508">
        <v>0.1</v>
      </c>
      <c r="CN508">
        <v>0.1</v>
      </c>
      <c r="CO508">
        <v>0.1</v>
      </c>
      <c r="CP508">
        <v>0.1</v>
      </c>
      <c r="CQ508">
        <v>0.1</v>
      </c>
      <c r="CR508">
        <v>0.1</v>
      </c>
      <c r="CS508">
        <v>0.1</v>
      </c>
      <c r="CT508">
        <v>0.1</v>
      </c>
      <c r="CU508">
        <v>0.1</v>
      </c>
      <c r="CV508">
        <v>0.1</v>
      </c>
      <c r="CW508">
        <v>0.1</v>
      </c>
      <c r="CX508">
        <v>0.1</v>
      </c>
      <c r="CY508">
        <v>0.1</v>
      </c>
      <c r="CZ508">
        <v>0.1</v>
      </c>
      <c r="DA508">
        <v>0.1</v>
      </c>
      <c r="DB508">
        <v>0.1</v>
      </c>
      <c r="DC508">
        <v>0.1</v>
      </c>
      <c r="DD508">
        <v>0.1</v>
      </c>
      <c r="DE508">
        <v>0.1</v>
      </c>
      <c r="DF508">
        <v>0.1</v>
      </c>
      <c r="DG508">
        <v>0.1</v>
      </c>
      <c r="DH508">
        <v>0.1</v>
      </c>
      <c r="DI508">
        <v>0.1</v>
      </c>
      <c r="DJ508">
        <v>0.1</v>
      </c>
      <c r="DK508">
        <v>0.1</v>
      </c>
      <c r="DL508">
        <v>0.1</v>
      </c>
      <c r="DM508">
        <v>0.1</v>
      </c>
      <c r="DN508">
        <v>0.1</v>
      </c>
      <c r="DO508">
        <v>0.1</v>
      </c>
      <c r="DP508">
        <v>0.1</v>
      </c>
      <c r="DQ508">
        <v>0.1</v>
      </c>
      <c r="DR508">
        <v>0.1</v>
      </c>
      <c r="DS508">
        <v>0.1</v>
      </c>
      <c r="DT508">
        <v>0.1</v>
      </c>
      <c r="DU508">
        <v>0.1</v>
      </c>
      <c r="DV508">
        <v>0.1</v>
      </c>
      <c r="DW508">
        <v>0.1</v>
      </c>
      <c r="DX508">
        <v>0.1</v>
      </c>
      <c r="DY508">
        <v>0.1</v>
      </c>
      <c r="DZ508">
        <v>0.1</v>
      </c>
      <c r="EA508">
        <v>0.1</v>
      </c>
      <c r="EB508">
        <v>0.1</v>
      </c>
      <c r="EC508">
        <v>0.1</v>
      </c>
      <c r="ED508">
        <v>0.1</v>
      </c>
      <c r="EE508">
        <v>0.1</v>
      </c>
      <c r="EF508">
        <v>0.1</v>
      </c>
    </row>
    <row r="509" spans="71:136" x14ac:dyDescent="0.25">
      <c r="BS509">
        <v>506</v>
      </c>
      <c r="BT509" s="2"/>
      <c r="BU509" s="2"/>
      <c r="BV509" s="2"/>
      <c r="BW509" s="2"/>
      <c r="BX509" s="2"/>
      <c r="BY509">
        <v>0.1</v>
      </c>
      <c r="BZ509">
        <v>0.1</v>
      </c>
      <c r="CA509">
        <v>0.1</v>
      </c>
      <c r="CB509">
        <v>0.1</v>
      </c>
      <c r="CC509">
        <v>0.1</v>
      </c>
      <c r="CD509">
        <v>0.1</v>
      </c>
      <c r="CE509">
        <v>0.1</v>
      </c>
      <c r="CF509">
        <v>0.1</v>
      </c>
      <c r="CG509">
        <v>0.1</v>
      </c>
      <c r="CH509">
        <v>0.1</v>
      </c>
      <c r="CI509">
        <v>0.1</v>
      </c>
      <c r="CJ509">
        <v>0.1</v>
      </c>
      <c r="CK509">
        <v>0.1</v>
      </c>
      <c r="CL509">
        <v>0.1</v>
      </c>
      <c r="CM509">
        <v>0.1</v>
      </c>
      <c r="CN509">
        <v>0.1</v>
      </c>
      <c r="CO509">
        <v>0.1</v>
      </c>
      <c r="CP509">
        <v>0.1</v>
      </c>
      <c r="CQ509">
        <v>0.1</v>
      </c>
      <c r="CR509">
        <v>0.1</v>
      </c>
      <c r="CS509">
        <v>0.1</v>
      </c>
      <c r="CT509">
        <v>0.1</v>
      </c>
      <c r="CU509">
        <v>0.1</v>
      </c>
      <c r="CV509">
        <v>0.1</v>
      </c>
      <c r="CW509">
        <v>0.1</v>
      </c>
      <c r="CX509">
        <v>0.1</v>
      </c>
      <c r="CY509">
        <v>0.1</v>
      </c>
      <c r="CZ509">
        <v>0.1</v>
      </c>
      <c r="DA509">
        <v>0.1</v>
      </c>
      <c r="DB509">
        <v>0.1</v>
      </c>
      <c r="DC509">
        <v>0.1</v>
      </c>
      <c r="DD509">
        <v>0.1</v>
      </c>
      <c r="DE509">
        <v>0.1</v>
      </c>
      <c r="DF509">
        <v>0.1</v>
      </c>
      <c r="DG509">
        <v>0.1</v>
      </c>
      <c r="DH509">
        <v>0.1</v>
      </c>
      <c r="DI509">
        <v>0.1</v>
      </c>
      <c r="DJ509">
        <v>0.1</v>
      </c>
      <c r="DK509">
        <v>0.1</v>
      </c>
      <c r="DL509">
        <v>0.1</v>
      </c>
      <c r="DM509">
        <v>0.1</v>
      </c>
      <c r="DN509">
        <v>0.1</v>
      </c>
      <c r="DO509">
        <v>0.1</v>
      </c>
      <c r="DP509">
        <v>0.1</v>
      </c>
      <c r="DQ509">
        <v>0.1</v>
      </c>
      <c r="DR509">
        <v>0.1</v>
      </c>
      <c r="DS509">
        <v>0.1</v>
      </c>
      <c r="DT509">
        <v>0.1</v>
      </c>
      <c r="DU509">
        <v>0.1</v>
      </c>
      <c r="DV509">
        <v>0.1</v>
      </c>
      <c r="DW509">
        <v>0.1</v>
      </c>
      <c r="DX509">
        <v>0.1</v>
      </c>
      <c r="DY509">
        <v>0.1</v>
      </c>
      <c r="DZ509">
        <v>0.1</v>
      </c>
      <c r="EA509">
        <v>0.1</v>
      </c>
      <c r="EB509">
        <v>0.1</v>
      </c>
      <c r="EC509">
        <v>0.1</v>
      </c>
      <c r="ED509">
        <v>0.1</v>
      </c>
      <c r="EE509">
        <v>0.1</v>
      </c>
      <c r="EF509">
        <v>0.1</v>
      </c>
    </row>
    <row r="510" spans="71:136" x14ac:dyDescent="0.25">
      <c r="BS510">
        <v>507</v>
      </c>
      <c r="BT510" s="2"/>
      <c r="BU510" s="2"/>
      <c r="BV510" s="2"/>
      <c r="BW510" s="2"/>
      <c r="BX510" s="2"/>
      <c r="BY510">
        <v>0.1</v>
      </c>
      <c r="BZ510">
        <v>0.1</v>
      </c>
      <c r="CA510">
        <v>0.1</v>
      </c>
      <c r="CB510">
        <v>0.1</v>
      </c>
      <c r="CC510">
        <v>0.1</v>
      </c>
      <c r="CD510">
        <v>0.1</v>
      </c>
      <c r="CE510">
        <v>0.1</v>
      </c>
      <c r="CF510">
        <v>0.1</v>
      </c>
      <c r="CG510">
        <v>0.1</v>
      </c>
      <c r="CH510">
        <v>0.1</v>
      </c>
      <c r="CI510">
        <v>0.1</v>
      </c>
      <c r="CJ510">
        <v>0.1</v>
      </c>
      <c r="CK510">
        <v>0.1</v>
      </c>
      <c r="CL510">
        <v>0.1</v>
      </c>
      <c r="CM510">
        <v>0.1</v>
      </c>
      <c r="CN510">
        <v>0.1</v>
      </c>
      <c r="CO510">
        <v>0.1</v>
      </c>
      <c r="CP510">
        <v>0.1</v>
      </c>
      <c r="CQ510">
        <v>0.1</v>
      </c>
      <c r="CR510">
        <v>0.1</v>
      </c>
      <c r="CS510">
        <v>0.1</v>
      </c>
      <c r="CT510">
        <v>0.1</v>
      </c>
      <c r="CU510">
        <v>0.1</v>
      </c>
      <c r="CV510">
        <v>0.1</v>
      </c>
      <c r="CW510">
        <v>0.1</v>
      </c>
      <c r="CX510">
        <v>0.1</v>
      </c>
      <c r="CY510">
        <v>0.1</v>
      </c>
      <c r="CZ510">
        <v>0.1</v>
      </c>
      <c r="DA510">
        <v>0.1</v>
      </c>
      <c r="DB510">
        <v>0.1</v>
      </c>
      <c r="DC510">
        <v>0.1</v>
      </c>
      <c r="DD510">
        <v>0.1</v>
      </c>
      <c r="DE510">
        <v>0.1</v>
      </c>
      <c r="DF510">
        <v>0.1</v>
      </c>
      <c r="DG510">
        <v>0.1</v>
      </c>
      <c r="DH510">
        <v>0.1</v>
      </c>
      <c r="DI510">
        <v>0.1</v>
      </c>
      <c r="DJ510">
        <v>0.1</v>
      </c>
      <c r="DK510">
        <v>0.1</v>
      </c>
      <c r="DL510">
        <v>0.1</v>
      </c>
      <c r="DM510">
        <v>0.1</v>
      </c>
      <c r="DN510">
        <v>0.1</v>
      </c>
      <c r="DO510">
        <v>0.1</v>
      </c>
      <c r="DP510">
        <v>0.1</v>
      </c>
      <c r="DQ510">
        <v>0.1</v>
      </c>
      <c r="DR510">
        <v>0.1</v>
      </c>
      <c r="DS510">
        <v>0.1</v>
      </c>
      <c r="DT510">
        <v>0.1</v>
      </c>
      <c r="DU510">
        <v>0.1</v>
      </c>
      <c r="DV510">
        <v>0.1</v>
      </c>
      <c r="DW510">
        <v>0.1</v>
      </c>
      <c r="DX510">
        <v>0.1</v>
      </c>
      <c r="DY510">
        <v>0.1</v>
      </c>
      <c r="DZ510">
        <v>0.1</v>
      </c>
      <c r="EA510">
        <v>0.1</v>
      </c>
      <c r="EB510">
        <v>0.1</v>
      </c>
      <c r="EC510">
        <v>0.1</v>
      </c>
      <c r="ED510">
        <v>0.1</v>
      </c>
      <c r="EE510">
        <v>0.1</v>
      </c>
      <c r="EF510">
        <v>0.1</v>
      </c>
    </row>
    <row r="511" spans="71:136" x14ac:dyDescent="0.25">
      <c r="BS511">
        <v>508</v>
      </c>
      <c r="BT511" s="2"/>
      <c r="BU511" s="2"/>
      <c r="BV511" s="2"/>
      <c r="BW511" s="2"/>
      <c r="BX511" s="2"/>
      <c r="BY511">
        <v>0.1</v>
      </c>
      <c r="BZ511">
        <v>0.1</v>
      </c>
      <c r="CA511">
        <v>0.1</v>
      </c>
      <c r="CB511">
        <v>0.1</v>
      </c>
      <c r="CC511">
        <v>0.1</v>
      </c>
      <c r="CD511">
        <v>0.1</v>
      </c>
      <c r="CE511">
        <v>0.1</v>
      </c>
      <c r="CF511">
        <v>0.1</v>
      </c>
      <c r="CG511">
        <v>0.1</v>
      </c>
      <c r="CH511">
        <v>0.1</v>
      </c>
      <c r="CI511">
        <v>0.1</v>
      </c>
      <c r="CJ511">
        <v>0.1</v>
      </c>
      <c r="CK511">
        <v>0.1</v>
      </c>
      <c r="CL511">
        <v>0.1</v>
      </c>
      <c r="CM511">
        <v>0.1</v>
      </c>
      <c r="CN511">
        <v>0.1</v>
      </c>
      <c r="CO511">
        <v>0.1</v>
      </c>
      <c r="CP511">
        <v>0.1</v>
      </c>
      <c r="CQ511">
        <v>0.1</v>
      </c>
      <c r="CR511">
        <v>0.1</v>
      </c>
      <c r="CS511">
        <v>0.1</v>
      </c>
      <c r="CT511">
        <v>0.1</v>
      </c>
      <c r="CU511">
        <v>0.1</v>
      </c>
      <c r="CV511">
        <v>0.1</v>
      </c>
      <c r="CW511">
        <v>0.1</v>
      </c>
      <c r="CX511">
        <v>0.1</v>
      </c>
      <c r="CY511">
        <v>0.1</v>
      </c>
      <c r="CZ511">
        <v>0.1</v>
      </c>
      <c r="DA511">
        <v>0.1</v>
      </c>
      <c r="DB511">
        <v>0.1</v>
      </c>
      <c r="DC511">
        <v>0.1</v>
      </c>
      <c r="DD511">
        <v>0.1</v>
      </c>
      <c r="DE511">
        <v>0.1</v>
      </c>
      <c r="DF511">
        <v>0.1</v>
      </c>
      <c r="DG511">
        <v>0.1</v>
      </c>
      <c r="DH511">
        <v>0.1</v>
      </c>
      <c r="DI511">
        <v>0.1</v>
      </c>
      <c r="DJ511">
        <v>0.1</v>
      </c>
      <c r="DK511">
        <v>0.1</v>
      </c>
      <c r="DL511">
        <v>0.1</v>
      </c>
      <c r="DM511">
        <v>0.1</v>
      </c>
      <c r="DN511">
        <v>0.1</v>
      </c>
      <c r="DO511">
        <v>0.1</v>
      </c>
      <c r="DP511">
        <v>0.1</v>
      </c>
      <c r="DQ511">
        <v>0.1</v>
      </c>
      <c r="DR511">
        <v>0.1</v>
      </c>
      <c r="DS511">
        <v>0.1</v>
      </c>
      <c r="DT511">
        <v>0.1</v>
      </c>
      <c r="DU511">
        <v>0.1</v>
      </c>
      <c r="DV511">
        <v>0.1</v>
      </c>
      <c r="DW511">
        <v>0.1</v>
      </c>
      <c r="DX511">
        <v>0.1</v>
      </c>
      <c r="DY511">
        <v>0.1</v>
      </c>
      <c r="DZ511">
        <v>0.1</v>
      </c>
      <c r="EA511">
        <v>0.1</v>
      </c>
      <c r="EB511">
        <v>0.1</v>
      </c>
      <c r="EC511">
        <v>0.1</v>
      </c>
      <c r="ED511">
        <v>0.1</v>
      </c>
      <c r="EE511">
        <v>0.1</v>
      </c>
      <c r="EF511">
        <v>0.1</v>
      </c>
    </row>
    <row r="512" spans="71:136" x14ac:dyDescent="0.25">
      <c r="BS512">
        <v>509</v>
      </c>
      <c r="BT512" s="2"/>
      <c r="BU512" s="2"/>
      <c r="BV512" s="2"/>
      <c r="BW512" s="2"/>
      <c r="BX512" s="2"/>
      <c r="BY512">
        <v>0.1</v>
      </c>
      <c r="BZ512">
        <v>0.1</v>
      </c>
      <c r="CA512">
        <v>0.1</v>
      </c>
      <c r="CB512">
        <v>0.1</v>
      </c>
      <c r="CC512">
        <v>0.1</v>
      </c>
      <c r="CD512">
        <v>0.1</v>
      </c>
      <c r="CE512">
        <v>0.1</v>
      </c>
      <c r="CF512">
        <v>0.1</v>
      </c>
      <c r="CG512">
        <v>0.1</v>
      </c>
      <c r="CH512">
        <v>0.1</v>
      </c>
      <c r="CI512">
        <v>0.1</v>
      </c>
      <c r="CJ512">
        <v>0.1</v>
      </c>
      <c r="CK512">
        <v>0.1</v>
      </c>
      <c r="CL512">
        <v>0.1</v>
      </c>
      <c r="CM512">
        <v>0.1</v>
      </c>
      <c r="CN512">
        <v>0.1</v>
      </c>
      <c r="CO512">
        <v>0.1</v>
      </c>
      <c r="CP512">
        <v>0.1</v>
      </c>
      <c r="CQ512">
        <v>0.1</v>
      </c>
      <c r="CR512">
        <v>0.1</v>
      </c>
      <c r="CS512">
        <v>0.1</v>
      </c>
      <c r="CT512">
        <v>0.1</v>
      </c>
      <c r="CU512">
        <v>0.1</v>
      </c>
      <c r="CV512">
        <v>0.1</v>
      </c>
      <c r="CW512">
        <v>0.1</v>
      </c>
      <c r="CX512">
        <v>0.1</v>
      </c>
      <c r="CY512">
        <v>0.1</v>
      </c>
      <c r="CZ512">
        <v>0.1</v>
      </c>
      <c r="DA512">
        <v>0.1</v>
      </c>
      <c r="DB512">
        <v>0.1</v>
      </c>
      <c r="DC512">
        <v>0.1</v>
      </c>
      <c r="DD512">
        <v>0.1</v>
      </c>
      <c r="DE512">
        <v>0.1</v>
      </c>
      <c r="DF512">
        <v>0.1</v>
      </c>
      <c r="DG512">
        <v>0.1</v>
      </c>
      <c r="DH512">
        <v>0.1</v>
      </c>
      <c r="DI512">
        <v>0.1</v>
      </c>
      <c r="DJ512">
        <v>0.1</v>
      </c>
      <c r="DK512">
        <v>0.1</v>
      </c>
      <c r="DL512">
        <v>0.1</v>
      </c>
      <c r="DM512">
        <v>0.1</v>
      </c>
      <c r="DN512">
        <v>0.1</v>
      </c>
      <c r="DO512">
        <v>0.1</v>
      </c>
      <c r="DP512">
        <v>0.1</v>
      </c>
      <c r="DQ512">
        <v>0.1</v>
      </c>
      <c r="DR512">
        <v>0.1</v>
      </c>
      <c r="DS512">
        <v>0.1</v>
      </c>
      <c r="DT512">
        <v>0.1</v>
      </c>
      <c r="DU512">
        <v>0.1</v>
      </c>
      <c r="DV512">
        <v>0.1</v>
      </c>
      <c r="DW512">
        <v>0.1</v>
      </c>
      <c r="DX512">
        <v>0.1</v>
      </c>
      <c r="DY512">
        <v>0.1</v>
      </c>
      <c r="DZ512">
        <v>0.1</v>
      </c>
      <c r="EA512">
        <v>0.1</v>
      </c>
      <c r="EB512">
        <v>0.1</v>
      </c>
      <c r="EC512">
        <v>0.1</v>
      </c>
      <c r="ED512">
        <v>0.1</v>
      </c>
      <c r="EE512">
        <v>0.1</v>
      </c>
      <c r="EF512">
        <v>0.1</v>
      </c>
    </row>
    <row r="513" spans="71:138" x14ac:dyDescent="0.25">
      <c r="BS513">
        <v>510</v>
      </c>
      <c r="BT513" s="2"/>
      <c r="BU513" s="2"/>
      <c r="BV513" s="2"/>
      <c r="BW513" s="2"/>
      <c r="BX513" s="2"/>
      <c r="BY513">
        <v>0.1</v>
      </c>
      <c r="BZ513">
        <v>0.1</v>
      </c>
      <c r="CA513">
        <v>0.1</v>
      </c>
      <c r="CB513">
        <v>0.1</v>
      </c>
      <c r="CC513">
        <v>0.1</v>
      </c>
      <c r="CD513">
        <v>0.1</v>
      </c>
      <c r="CE513">
        <v>0.1</v>
      </c>
      <c r="CF513">
        <v>0.1</v>
      </c>
      <c r="CG513">
        <v>0.1</v>
      </c>
      <c r="CH513">
        <v>0.1</v>
      </c>
      <c r="CI513">
        <v>0.1</v>
      </c>
      <c r="CJ513">
        <v>0.1</v>
      </c>
      <c r="CK513">
        <v>0.1</v>
      </c>
      <c r="CL513">
        <v>0.1</v>
      </c>
      <c r="CM513">
        <v>0.1</v>
      </c>
      <c r="CN513">
        <v>0.1</v>
      </c>
      <c r="CO513">
        <v>0.1</v>
      </c>
      <c r="CP513">
        <v>0.1</v>
      </c>
      <c r="CQ513">
        <v>0.1</v>
      </c>
      <c r="CR513">
        <v>0.1</v>
      </c>
      <c r="CS513">
        <v>0.1</v>
      </c>
      <c r="CT513">
        <v>0.1</v>
      </c>
      <c r="CU513">
        <v>0.1</v>
      </c>
      <c r="CV513">
        <v>0.1</v>
      </c>
      <c r="CW513">
        <v>0.1</v>
      </c>
      <c r="CX513">
        <v>0.1</v>
      </c>
      <c r="CY513">
        <v>0.1</v>
      </c>
      <c r="CZ513">
        <v>0.1</v>
      </c>
      <c r="DA513">
        <v>0.1</v>
      </c>
      <c r="DB513">
        <v>0.1</v>
      </c>
      <c r="DC513">
        <v>0.1</v>
      </c>
      <c r="DD513">
        <v>0.1</v>
      </c>
      <c r="DE513">
        <v>0.1</v>
      </c>
      <c r="DF513">
        <v>0.1</v>
      </c>
      <c r="DG513">
        <v>0.1</v>
      </c>
      <c r="DH513">
        <v>0.1</v>
      </c>
      <c r="DI513">
        <v>0.1</v>
      </c>
      <c r="DJ513">
        <v>0.1</v>
      </c>
      <c r="DK513">
        <v>0.1</v>
      </c>
      <c r="DL513">
        <v>0.1</v>
      </c>
      <c r="DM513">
        <v>0.1</v>
      </c>
      <c r="DN513">
        <v>0.1</v>
      </c>
      <c r="DO513">
        <v>0.1</v>
      </c>
      <c r="DP513">
        <v>0.1</v>
      </c>
      <c r="DQ513">
        <v>0.1</v>
      </c>
      <c r="DR513">
        <v>0.1</v>
      </c>
      <c r="DS513">
        <v>0.1</v>
      </c>
      <c r="DT513">
        <v>0.1</v>
      </c>
      <c r="DU513">
        <v>0.1</v>
      </c>
      <c r="DV513">
        <v>0.1</v>
      </c>
      <c r="DW513">
        <v>0.1</v>
      </c>
      <c r="DX513">
        <v>0.1</v>
      </c>
      <c r="DY513">
        <v>0.1</v>
      </c>
      <c r="DZ513">
        <v>0.1</v>
      </c>
      <c r="EA513">
        <v>0.1</v>
      </c>
      <c r="EB513">
        <v>0.1</v>
      </c>
      <c r="EC513">
        <v>0.1</v>
      </c>
      <c r="ED513">
        <v>0.1</v>
      </c>
      <c r="EE513">
        <v>0.1</v>
      </c>
      <c r="EF513">
        <v>0.1</v>
      </c>
    </row>
    <row r="514" spans="71:138" x14ac:dyDescent="0.25">
      <c r="BS514">
        <v>511</v>
      </c>
      <c r="BT514" s="2"/>
      <c r="BU514" s="2"/>
      <c r="BV514" s="2"/>
      <c r="BW514" s="2"/>
      <c r="BX514" s="2"/>
      <c r="BY514">
        <v>0.1</v>
      </c>
      <c r="BZ514">
        <v>0.1</v>
      </c>
      <c r="CA514">
        <v>0.1</v>
      </c>
      <c r="CB514">
        <v>0.1</v>
      </c>
      <c r="CC514">
        <v>0.1</v>
      </c>
      <c r="CD514">
        <v>0.1</v>
      </c>
      <c r="CE514">
        <v>0.1</v>
      </c>
      <c r="CF514">
        <v>0.1</v>
      </c>
      <c r="CG514">
        <v>0.1</v>
      </c>
      <c r="CH514">
        <v>0.1</v>
      </c>
      <c r="CI514">
        <v>0.1</v>
      </c>
      <c r="CJ514">
        <v>0.1</v>
      </c>
      <c r="CK514">
        <v>0.1</v>
      </c>
      <c r="CL514">
        <v>0.1</v>
      </c>
      <c r="CM514">
        <v>0.1</v>
      </c>
      <c r="CN514">
        <v>0.1</v>
      </c>
      <c r="CO514">
        <v>0.1</v>
      </c>
      <c r="CP514">
        <v>0.1</v>
      </c>
      <c r="CQ514">
        <v>0.1</v>
      </c>
      <c r="CR514">
        <v>0.1</v>
      </c>
      <c r="CS514">
        <v>0.1</v>
      </c>
      <c r="CT514">
        <v>0.1</v>
      </c>
      <c r="CU514">
        <v>0.1</v>
      </c>
      <c r="CV514">
        <v>0.1</v>
      </c>
      <c r="CW514">
        <v>0.1</v>
      </c>
      <c r="CX514">
        <v>0.1</v>
      </c>
      <c r="CY514">
        <v>0.1</v>
      </c>
      <c r="CZ514">
        <v>0.1</v>
      </c>
      <c r="DA514">
        <v>0.1</v>
      </c>
      <c r="DB514">
        <v>0.1</v>
      </c>
      <c r="DC514">
        <v>0.1</v>
      </c>
      <c r="DD514">
        <v>0.1</v>
      </c>
      <c r="DE514">
        <v>0.1</v>
      </c>
      <c r="DF514">
        <v>0.1</v>
      </c>
      <c r="DG514">
        <v>0.1</v>
      </c>
      <c r="DH514">
        <v>0.1</v>
      </c>
      <c r="DI514">
        <v>0.1</v>
      </c>
      <c r="DJ514">
        <v>0.1</v>
      </c>
      <c r="DK514">
        <v>0.1</v>
      </c>
      <c r="DL514">
        <v>0.1</v>
      </c>
      <c r="DM514">
        <v>0.1</v>
      </c>
      <c r="DN514">
        <v>0.1</v>
      </c>
      <c r="DO514">
        <v>0.1</v>
      </c>
      <c r="DP514">
        <v>0.1</v>
      </c>
      <c r="DQ514">
        <v>0.1</v>
      </c>
      <c r="DR514">
        <v>0.1</v>
      </c>
      <c r="DS514">
        <v>0.1</v>
      </c>
      <c r="DT514">
        <v>0.1</v>
      </c>
      <c r="DU514">
        <v>0.1</v>
      </c>
      <c r="DV514">
        <v>0.1</v>
      </c>
      <c r="DW514">
        <v>0.1</v>
      </c>
      <c r="DX514">
        <v>0.1</v>
      </c>
      <c r="DY514">
        <v>0.1</v>
      </c>
      <c r="DZ514">
        <v>0.1</v>
      </c>
      <c r="EA514">
        <v>0.1</v>
      </c>
      <c r="EB514">
        <v>0.1</v>
      </c>
      <c r="EC514">
        <v>0.1</v>
      </c>
      <c r="ED514">
        <v>0.1</v>
      </c>
      <c r="EE514">
        <v>0.1</v>
      </c>
      <c r="EF514">
        <v>0.1</v>
      </c>
    </row>
    <row r="515" spans="71:138" x14ac:dyDescent="0.25">
      <c r="BS515">
        <v>512</v>
      </c>
      <c r="BT515" s="2"/>
      <c r="BU515" s="2"/>
      <c r="BV515" s="2"/>
      <c r="BW515" s="2"/>
      <c r="BX515" s="2"/>
      <c r="BY515">
        <v>0.1</v>
      </c>
      <c r="BZ515">
        <v>0.1</v>
      </c>
      <c r="CA515">
        <v>0.1</v>
      </c>
      <c r="CB515">
        <v>0.1</v>
      </c>
      <c r="CC515">
        <v>0.1</v>
      </c>
      <c r="CD515">
        <v>0.1</v>
      </c>
      <c r="CE515">
        <v>0.1</v>
      </c>
      <c r="CF515">
        <v>0.1</v>
      </c>
      <c r="CG515">
        <v>0.1</v>
      </c>
      <c r="CH515">
        <v>0.1</v>
      </c>
      <c r="CI515">
        <v>0.1</v>
      </c>
      <c r="CJ515">
        <v>0.1</v>
      </c>
      <c r="CK515">
        <v>0.1</v>
      </c>
      <c r="CL515">
        <v>0.1</v>
      </c>
      <c r="CM515">
        <v>0.1</v>
      </c>
      <c r="CN515">
        <v>0.1</v>
      </c>
      <c r="CO515">
        <v>0.1</v>
      </c>
      <c r="CP515">
        <v>0.1</v>
      </c>
      <c r="CQ515">
        <v>0.1</v>
      </c>
      <c r="CR515">
        <v>0.1</v>
      </c>
      <c r="CS515">
        <v>0.1</v>
      </c>
      <c r="CT515">
        <v>0.1</v>
      </c>
      <c r="CU515">
        <v>0.1</v>
      </c>
      <c r="CV515">
        <v>0.1</v>
      </c>
      <c r="CW515">
        <v>0.1</v>
      </c>
      <c r="CX515">
        <v>0.1</v>
      </c>
      <c r="CY515">
        <v>0.1</v>
      </c>
      <c r="CZ515">
        <v>0.1</v>
      </c>
      <c r="DA515">
        <v>0.1</v>
      </c>
      <c r="DB515">
        <v>0.1</v>
      </c>
      <c r="DC515">
        <v>0.1</v>
      </c>
      <c r="DD515">
        <v>0.1</v>
      </c>
      <c r="DE515">
        <v>0.1</v>
      </c>
      <c r="DF515">
        <v>0.1</v>
      </c>
      <c r="DG515">
        <v>0.1</v>
      </c>
      <c r="DH515">
        <v>0.1</v>
      </c>
      <c r="DI515">
        <v>0.1</v>
      </c>
      <c r="DJ515">
        <v>0.1</v>
      </c>
      <c r="DK515">
        <v>0.1</v>
      </c>
      <c r="DL515">
        <v>0.1</v>
      </c>
      <c r="DM515">
        <v>0.1</v>
      </c>
      <c r="DN515">
        <v>0.1</v>
      </c>
      <c r="DO515">
        <v>0.1</v>
      </c>
      <c r="DP515">
        <v>0.1</v>
      </c>
      <c r="DQ515">
        <v>0.1</v>
      </c>
      <c r="DR515">
        <v>0.1</v>
      </c>
      <c r="DS515">
        <v>0.1</v>
      </c>
      <c r="DT515">
        <v>0.1</v>
      </c>
      <c r="DU515">
        <v>0.1</v>
      </c>
      <c r="DV515">
        <v>0.1</v>
      </c>
      <c r="DW515">
        <v>0.1</v>
      </c>
      <c r="DX515">
        <v>0.1</v>
      </c>
      <c r="DY515">
        <v>0.1</v>
      </c>
      <c r="DZ515">
        <v>0.1</v>
      </c>
      <c r="EA515">
        <v>0.1</v>
      </c>
      <c r="EB515">
        <v>0.1</v>
      </c>
      <c r="EC515">
        <v>0.1</v>
      </c>
      <c r="ED515">
        <v>0.1</v>
      </c>
      <c r="EE515">
        <v>0.1</v>
      </c>
      <c r="EF515">
        <v>0.1</v>
      </c>
    </row>
    <row r="516" spans="71:138" x14ac:dyDescent="0.25">
      <c r="BS516">
        <v>513</v>
      </c>
      <c r="BT516" s="2"/>
      <c r="BU516" s="2"/>
      <c r="BV516" s="2"/>
      <c r="BW516" s="2"/>
      <c r="BX516" s="2"/>
      <c r="BY516">
        <v>0.1</v>
      </c>
      <c r="BZ516">
        <v>0.1</v>
      </c>
      <c r="CA516">
        <v>0.1</v>
      </c>
      <c r="CB516">
        <v>0.1</v>
      </c>
      <c r="CC516">
        <v>0.1</v>
      </c>
      <c r="CD516">
        <v>0.1</v>
      </c>
      <c r="CE516">
        <v>0.1</v>
      </c>
      <c r="CF516">
        <v>0.1</v>
      </c>
      <c r="CG516">
        <v>0.1</v>
      </c>
      <c r="CH516">
        <v>0.1</v>
      </c>
      <c r="CI516">
        <v>0.1</v>
      </c>
      <c r="CJ516">
        <v>0.1</v>
      </c>
      <c r="CK516">
        <v>0.1</v>
      </c>
      <c r="CL516">
        <v>0.1</v>
      </c>
      <c r="CM516">
        <v>0.1</v>
      </c>
      <c r="CN516">
        <v>0.1</v>
      </c>
      <c r="CO516">
        <v>0.1</v>
      </c>
      <c r="CP516">
        <v>0.1</v>
      </c>
      <c r="CQ516">
        <v>0.1</v>
      </c>
      <c r="CR516">
        <v>0.1</v>
      </c>
      <c r="CS516">
        <v>0.1</v>
      </c>
      <c r="CT516">
        <v>0.1</v>
      </c>
      <c r="CU516">
        <v>0.1</v>
      </c>
      <c r="CV516">
        <v>0.1</v>
      </c>
      <c r="CW516">
        <v>0.1</v>
      </c>
      <c r="CX516">
        <v>0.1</v>
      </c>
      <c r="CY516">
        <v>0.1</v>
      </c>
      <c r="CZ516">
        <v>0.1</v>
      </c>
      <c r="DA516">
        <v>0.1</v>
      </c>
      <c r="DB516">
        <v>0.1</v>
      </c>
      <c r="DC516">
        <v>0.1</v>
      </c>
      <c r="DD516">
        <v>0.1</v>
      </c>
      <c r="DE516">
        <v>0.1</v>
      </c>
      <c r="DF516">
        <v>0.1</v>
      </c>
      <c r="DG516">
        <v>0.1</v>
      </c>
      <c r="DH516">
        <v>0.1</v>
      </c>
      <c r="DI516">
        <v>0.1</v>
      </c>
      <c r="DJ516">
        <v>0.1</v>
      </c>
      <c r="DK516">
        <v>0.1</v>
      </c>
      <c r="DL516">
        <v>0.1</v>
      </c>
      <c r="DM516">
        <v>0.1</v>
      </c>
      <c r="DN516">
        <v>0.1</v>
      </c>
      <c r="DO516">
        <v>0.1</v>
      </c>
      <c r="DP516">
        <v>0.1</v>
      </c>
      <c r="DQ516">
        <v>0.1</v>
      </c>
      <c r="DR516">
        <v>0.1</v>
      </c>
      <c r="DS516">
        <v>0.1</v>
      </c>
      <c r="DT516">
        <v>0.1</v>
      </c>
      <c r="DU516">
        <v>0.1</v>
      </c>
      <c r="DV516">
        <v>0.1</v>
      </c>
      <c r="DW516">
        <v>0.1</v>
      </c>
      <c r="DX516">
        <v>0.1</v>
      </c>
      <c r="DY516">
        <v>0.1</v>
      </c>
      <c r="DZ516">
        <v>0.1</v>
      </c>
      <c r="EA516">
        <v>0.1</v>
      </c>
      <c r="EB516">
        <v>0.1</v>
      </c>
      <c r="EC516">
        <v>0.1</v>
      </c>
      <c r="ED516">
        <v>0.1</v>
      </c>
      <c r="EE516">
        <v>0.1</v>
      </c>
      <c r="EF516">
        <v>0.1</v>
      </c>
    </row>
    <row r="517" spans="71:138" x14ac:dyDescent="0.25">
      <c r="BS517">
        <v>514</v>
      </c>
      <c r="BT517" s="2"/>
      <c r="BU517" s="2"/>
      <c r="BV517" s="2"/>
      <c r="BW517" s="2"/>
      <c r="BX517" s="2"/>
      <c r="BY517">
        <v>0.1</v>
      </c>
      <c r="BZ517">
        <v>0.1</v>
      </c>
      <c r="CA517">
        <v>0.1</v>
      </c>
      <c r="CB517">
        <v>0.1</v>
      </c>
      <c r="CC517">
        <v>0.1</v>
      </c>
      <c r="CD517">
        <v>0.1</v>
      </c>
      <c r="CE517">
        <v>0.1</v>
      </c>
      <c r="CF517">
        <v>0.1</v>
      </c>
      <c r="CG517">
        <v>0.1</v>
      </c>
      <c r="CH517">
        <v>0.1</v>
      </c>
      <c r="CI517">
        <v>0.1</v>
      </c>
      <c r="CJ517">
        <v>0.1</v>
      </c>
      <c r="CK517">
        <v>0.1</v>
      </c>
      <c r="CL517">
        <v>0.1</v>
      </c>
      <c r="CM517">
        <v>0.1</v>
      </c>
      <c r="CN517">
        <v>0.1</v>
      </c>
      <c r="CO517">
        <v>0.1</v>
      </c>
      <c r="CP517">
        <v>0.1</v>
      </c>
      <c r="CQ517">
        <v>0.1</v>
      </c>
      <c r="CR517">
        <v>0.1</v>
      </c>
      <c r="CS517">
        <v>0.1</v>
      </c>
      <c r="CT517">
        <v>0.1</v>
      </c>
      <c r="CU517">
        <v>0.1</v>
      </c>
      <c r="CV517">
        <v>0.1</v>
      </c>
      <c r="CW517">
        <v>0.1</v>
      </c>
      <c r="CX517">
        <v>0.1</v>
      </c>
      <c r="CY517">
        <v>0.1</v>
      </c>
      <c r="CZ517">
        <v>0.1</v>
      </c>
      <c r="DA517">
        <v>0.1</v>
      </c>
      <c r="DB517">
        <v>0.1</v>
      </c>
      <c r="DC517">
        <v>0.1</v>
      </c>
      <c r="DD517">
        <v>0.1</v>
      </c>
      <c r="DE517">
        <v>0.1</v>
      </c>
      <c r="DF517">
        <v>0.1</v>
      </c>
      <c r="DG517">
        <v>0.1</v>
      </c>
      <c r="DH517">
        <v>0.1</v>
      </c>
      <c r="DI517">
        <v>0.1</v>
      </c>
      <c r="DJ517">
        <v>0.1</v>
      </c>
      <c r="DK517">
        <v>0.1</v>
      </c>
      <c r="DL517">
        <v>0.1</v>
      </c>
      <c r="DM517">
        <v>0.1</v>
      </c>
      <c r="DN517">
        <v>0.1</v>
      </c>
      <c r="DO517">
        <v>0.1</v>
      </c>
      <c r="DP517">
        <v>0.1</v>
      </c>
      <c r="DQ517">
        <v>0.1</v>
      </c>
      <c r="DR517">
        <v>0.1</v>
      </c>
      <c r="DS517">
        <v>0.1</v>
      </c>
      <c r="DT517">
        <v>0.1</v>
      </c>
      <c r="DU517">
        <v>0.1</v>
      </c>
      <c r="DV517">
        <v>0.1</v>
      </c>
      <c r="DW517">
        <v>0.1</v>
      </c>
      <c r="DX517">
        <v>0.1</v>
      </c>
      <c r="DY517">
        <v>0.1</v>
      </c>
      <c r="DZ517">
        <v>0.1</v>
      </c>
      <c r="EA517">
        <v>0.1</v>
      </c>
      <c r="EB517">
        <v>0.1</v>
      </c>
      <c r="EC517">
        <v>0.1</v>
      </c>
      <c r="ED517">
        <v>0.1</v>
      </c>
      <c r="EE517">
        <v>0.1</v>
      </c>
      <c r="EF517">
        <v>0.1</v>
      </c>
    </row>
    <row r="518" spans="71:138" x14ac:dyDescent="0.25">
      <c r="BS518">
        <v>515</v>
      </c>
      <c r="BT518" s="2"/>
      <c r="BU518" s="2"/>
      <c r="BV518" s="2"/>
      <c r="BW518" s="2"/>
      <c r="BX518" s="2"/>
      <c r="BY518">
        <v>0.1</v>
      </c>
      <c r="BZ518">
        <v>0.1</v>
      </c>
      <c r="CA518">
        <v>0.1</v>
      </c>
      <c r="CB518">
        <v>0.1</v>
      </c>
      <c r="CC518">
        <v>0.1</v>
      </c>
      <c r="CD518">
        <v>0.1</v>
      </c>
      <c r="CE518">
        <v>0.1</v>
      </c>
      <c r="CF518">
        <v>0.1</v>
      </c>
      <c r="CG518">
        <v>0.1</v>
      </c>
      <c r="CH518">
        <v>0.1</v>
      </c>
      <c r="CI518">
        <v>0.1</v>
      </c>
      <c r="CJ518">
        <v>0.1</v>
      </c>
      <c r="CK518">
        <v>0.1</v>
      </c>
      <c r="CL518">
        <v>0.1</v>
      </c>
      <c r="CM518">
        <v>0.1</v>
      </c>
      <c r="CN518">
        <v>0.1</v>
      </c>
      <c r="CO518">
        <v>0.1</v>
      </c>
      <c r="CP518">
        <v>0.1</v>
      </c>
      <c r="CQ518">
        <v>0.1</v>
      </c>
      <c r="CR518">
        <v>0.1</v>
      </c>
      <c r="CS518">
        <v>0.1</v>
      </c>
      <c r="CT518">
        <v>0.1</v>
      </c>
      <c r="CU518">
        <v>0.1</v>
      </c>
      <c r="CV518">
        <v>0.1</v>
      </c>
      <c r="CW518">
        <v>0.1</v>
      </c>
      <c r="CX518">
        <v>0.1</v>
      </c>
      <c r="CY518">
        <v>0.1</v>
      </c>
      <c r="CZ518">
        <v>0.1</v>
      </c>
      <c r="DA518">
        <v>0.1</v>
      </c>
      <c r="DB518">
        <v>0.1</v>
      </c>
      <c r="DC518">
        <v>0.1</v>
      </c>
      <c r="DD518">
        <v>0.1</v>
      </c>
      <c r="DE518">
        <v>0.1</v>
      </c>
      <c r="DF518">
        <v>0.1</v>
      </c>
      <c r="DG518">
        <v>0.1</v>
      </c>
      <c r="DH518">
        <v>0.1</v>
      </c>
      <c r="DI518">
        <v>0.1</v>
      </c>
      <c r="DJ518">
        <v>0.1</v>
      </c>
      <c r="DK518">
        <v>0.1</v>
      </c>
      <c r="DL518">
        <v>0.1</v>
      </c>
      <c r="DM518">
        <v>0.1</v>
      </c>
      <c r="DN518">
        <v>0.1</v>
      </c>
      <c r="DO518">
        <v>0.1</v>
      </c>
      <c r="DP518">
        <v>0.1</v>
      </c>
      <c r="DQ518">
        <v>0.1</v>
      </c>
      <c r="DR518">
        <v>0.1</v>
      </c>
      <c r="DS518">
        <v>0.1</v>
      </c>
      <c r="DT518">
        <v>0.1</v>
      </c>
      <c r="DU518">
        <v>0.1</v>
      </c>
      <c r="DV518">
        <v>0.1</v>
      </c>
      <c r="DW518">
        <v>0.1</v>
      </c>
      <c r="DX518">
        <v>0.1</v>
      </c>
      <c r="DY518">
        <v>0.1</v>
      </c>
      <c r="DZ518">
        <v>0.1</v>
      </c>
      <c r="EA518">
        <v>0.1</v>
      </c>
      <c r="EB518">
        <v>0.1</v>
      </c>
      <c r="EC518">
        <v>0.1</v>
      </c>
      <c r="ED518">
        <v>0.1</v>
      </c>
      <c r="EE518">
        <v>0.1</v>
      </c>
      <c r="EF518">
        <v>0.1</v>
      </c>
    </row>
    <row r="519" spans="71:138" x14ac:dyDescent="0.25">
      <c r="BS519">
        <v>516</v>
      </c>
      <c r="BT519" s="2"/>
      <c r="BU519" s="2"/>
      <c r="BV519" s="2"/>
      <c r="BW519" s="2"/>
      <c r="BX519" s="2"/>
      <c r="BY519">
        <v>0.1</v>
      </c>
      <c r="BZ519">
        <v>0.1</v>
      </c>
      <c r="CA519">
        <v>0.1</v>
      </c>
      <c r="CB519">
        <v>0.1</v>
      </c>
      <c r="CC519">
        <v>0.1</v>
      </c>
      <c r="CD519">
        <v>0.1</v>
      </c>
      <c r="CE519">
        <v>0.1</v>
      </c>
      <c r="CF519">
        <v>0.1</v>
      </c>
      <c r="CG519">
        <v>0.1</v>
      </c>
      <c r="CH519">
        <v>0.1</v>
      </c>
      <c r="CI519">
        <v>0.1</v>
      </c>
      <c r="CJ519">
        <v>0.1</v>
      </c>
      <c r="CK519">
        <v>0.1</v>
      </c>
      <c r="CL519">
        <v>0.1</v>
      </c>
      <c r="CM519">
        <v>0.1</v>
      </c>
      <c r="CN519">
        <v>0.1</v>
      </c>
      <c r="CO519">
        <v>0.1</v>
      </c>
      <c r="CP519">
        <v>0.1</v>
      </c>
      <c r="CQ519">
        <v>0.1</v>
      </c>
      <c r="CR519">
        <v>0.1</v>
      </c>
      <c r="CS519">
        <v>0.1</v>
      </c>
      <c r="CT519">
        <v>0.1</v>
      </c>
      <c r="CU519">
        <v>0.1</v>
      </c>
      <c r="CV519">
        <v>0.1</v>
      </c>
      <c r="CW519">
        <v>0.1</v>
      </c>
      <c r="CX519">
        <v>0.1</v>
      </c>
      <c r="CY519">
        <v>0.1</v>
      </c>
      <c r="CZ519">
        <v>0.1</v>
      </c>
      <c r="DA519">
        <v>0.1</v>
      </c>
      <c r="DB519">
        <v>0.1</v>
      </c>
      <c r="DC519">
        <v>0.1</v>
      </c>
      <c r="DD519">
        <v>0.1</v>
      </c>
      <c r="DE519">
        <v>0.1</v>
      </c>
      <c r="DF519">
        <v>0.1</v>
      </c>
      <c r="DG519">
        <v>0.1</v>
      </c>
      <c r="DH519">
        <v>0.1</v>
      </c>
      <c r="DI519">
        <v>0.1</v>
      </c>
      <c r="DJ519">
        <v>0.1</v>
      </c>
      <c r="DK519">
        <v>0.1</v>
      </c>
      <c r="DL519">
        <v>0.1</v>
      </c>
      <c r="DM519">
        <v>0.1</v>
      </c>
      <c r="DN519">
        <v>0.1</v>
      </c>
      <c r="DO519">
        <v>0.1</v>
      </c>
      <c r="DP519">
        <v>0.1</v>
      </c>
      <c r="DQ519">
        <v>0.1</v>
      </c>
      <c r="DR519">
        <v>0.1</v>
      </c>
      <c r="DS519">
        <v>0.1</v>
      </c>
      <c r="DT519">
        <v>0.1</v>
      </c>
      <c r="DU519">
        <v>0.1</v>
      </c>
      <c r="DV519">
        <v>0.1</v>
      </c>
      <c r="DW519">
        <v>0.1</v>
      </c>
      <c r="DX519">
        <v>0.1</v>
      </c>
      <c r="DY519">
        <v>0.1</v>
      </c>
      <c r="DZ519">
        <v>0.1</v>
      </c>
      <c r="EA519">
        <v>0.1</v>
      </c>
      <c r="EB519">
        <v>0.1</v>
      </c>
      <c r="EC519">
        <v>0.1</v>
      </c>
      <c r="ED519">
        <v>0.1</v>
      </c>
      <c r="EE519">
        <v>0.1</v>
      </c>
      <c r="EF519">
        <v>0.1</v>
      </c>
    </row>
    <row r="520" spans="71:138" x14ac:dyDescent="0.25">
      <c r="BS520">
        <v>517</v>
      </c>
      <c r="BT520" s="2"/>
      <c r="BU520" s="2"/>
      <c r="BV520" s="2"/>
      <c r="BW520" s="2"/>
      <c r="BX520" s="2"/>
      <c r="BY520">
        <v>0.1</v>
      </c>
      <c r="BZ520">
        <v>0.1</v>
      </c>
      <c r="CA520">
        <v>0.1</v>
      </c>
      <c r="CB520">
        <v>0.1</v>
      </c>
      <c r="CC520">
        <v>0.1</v>
      </c>
      <c r="CD520">
        <v>0.1</v>
      </c>
      <c r="CE520">
        <v>0.1</v>
      </c>
      <c r="CF520">
        <v>0.1</v>
      </c>
      <c r="CG520">
        <v>0.1</v>
      </c>
      <c r="CH520">
        <v>0.1</v>
      </c>
      <c r="CI520">
        <v>0.1</v>
      </c>
      <c r="CJ520">
        <v>0.1</v>
      </c>
      <c r="CK520">
        <v>0.1</v>
      </c>
      <c r="CL520">
        <v>0.1</v>
      </c>
      <c r="CM520">
        <v>0.1</v>
      </c>
      <c r="CN520">
        <v>0.1</v>
      </c>
      <c r="CO520">
        <v>0.1</v>
      </c>
      <c r="CP520">
        <v>0.1</v>
      </c>
      <c r="CQ520">
        <v>0.1</v>
      </c>
      <c r="CR520">
        <v>0.1</v>
      </c>
      <c r="CS520">
        <v>0.1</v>
      </c>
      <c r="CT520">
        <v>0.1</v>
      </c>
      <c r="CU520">
        <v>0.1</v>
      </c>
      <c r="CV520">
        <v>0.1</v>
      </c>
      <c r="CW520">
        <v>0.1</v>
      </c>
      <c r="CX520">
        <v>0.1</v>
      </c>
      <c r="CY520">
        <v>0.1</v>
      </c>
      <c r="CZ520">
        <v>0.1</v>
      </c>
      <c r="DA520">
        <v>0.1</v>
      </c>
      <c r="DB520">
        <v>0.1</v>
      </c>
      <c r="DC520">
        <v>0.1</v>
      </c>
      <c r="DD520">
        <v>0.1</v>
      </c>
      <c r="DE520">
        <v>0.1</v>
      </c>
      <c r="DF520">
        <v>0.1</v>
      </c>
      <c r="DG520">
        <v>0.1</v>
      </c>
      <c r="DH520">
        <v>0.1</v>
      </c>
      <c r="DI520">
        <v>0.1</v>
      </c>
      <c r="DJ520">
        <v>0.1</v>
      </c>
      <c r="DK520">
        <v>0.1</v>
      </c>
      <c r="DL520">
        <v>0.1</v>
      </c>
      <c r="DM520">
        <v>0.1</v>
      </c>
      <c r="DN520">
        <v>0.1</v>
      </c>
      <c r="DO520">
        <v>0.1</v>
      </c>
      <c r="DP520">
        <v>0.1</v>
      </c>
      <c r="DQ520">
        <v>0.1</v>
      </c>
      <c r="DR520">
        <v>0.1</v>
      </c>
      <c r="DS520">
        <v>0.1</v>
      </c>
      <c r="DT520">
        <v>0.1</v>
      </c>
      <c r="DU520">
        <v>0.1</v>
      </c>
      <c r="DV520">
        <v>0.1</v>
      </c>
      <c r="DW520">
        <v>0.1</v>
      </c>
      <c r="DX520">
        <v>0.1</v>
      </c>
      <c r="DY520">
        <v>0.1</v>
      </c>
      <c r="DZ520">
        <v>0.1</v>
      </c>
      <c r="EA520">
        <v>0.1</v>
      </c>
      <c r="EB520">
        <v>0.1</v>
      </c>
      <c r="EC520">
        <v>0.1</v>
      </c>
      <c r="ED520">
        <v>0.1</v>
      </c>
      <c r="EE520">
        <v>0.1</v>
      </c>
      <c r="EF520">
        <v>0.1</v>
      </c>
    </row>
    <row r="521" spans="71:138" x14ac:dyDescent="0.25">
      <c r="BS521">
        <v>518</v>
      </c>
      <c r="BT521" s="2"/>
      <c r="BU521" s="2"/>
      <c r="BV521" s="2"/>
      <c r="BW521" s="2"/>
      <c r="BX521" s="2"/>
      <c r="BY521">
        <v>0.1</v>
      </c>
      <c r="BZ521">
        <v>0.1</v>
      </c>
      <c r="CA521">
        <v>0.1</v>
      </c>
      <c r="CB521">
        <v>0.1</v>
      </c>
      <c r="CC521">
        <v>0.1</v>
      </c>
      <c r="CD521">
        <v>0.1</v>
      </c>
      <c r="CE521">
        <v>0.1</v>
      </c>
      <c r="CF521">
        <v>0.1</v>
      </c>
      <c r="CG521">
        <v>0.1</v>
      </c>
      <c r="CH521">
        <v>0.1</v>
      </c>
      <c r="CI521">
        <v>0.1</v>
      </c>
      <c r="CJ521">
        <v>0.1</v>
      </c>
      <c r="CK521">
        <v>0.1</v>
      </c>
      <c r="CL521">
        <v>0.1</v>
      </c>
      <c r="CM521">
        <v>0.1</v>
      </c>
      <c r="CN521">
        <v>0.1</v>
      </c>
      <c r="CO521">
        <v>0.1</v>
      </c>
      <c r="CP521">
        <v>0.1</v>
      </c>
      <c r="CQ521">
        <v>0.1</v>
      </c>
      <c r="CR521">
        <v>0.1</v>
      </c>
      <c r="CS521">
        <v>0.1</v>
      </c>
      <c r="CT521">
        <v>0.1</v>
      </c>
      <c r="CU521">
        <v>0.1</v>
      </c>
      <c r="CV521">
        <v>0.1</v>
      </c>
      <c r="CW521">
        <v>0.1</v>
      </c>
      <c r="CX521">
        <v>0.1</v>
      </c>
      <c r="CY521">
        <v>0.1</v>
      </c>
      <c r="CZ521">
        <v>0.1</v>
      </c>
      <c r="DA521">
        <v>0.1</v>
      </c>
      <c r="DB521">
        <v>0.1</v>
      </c>
      <c r="DC521">
        <v>0.1</v>
      </c>
      <c r="DD521">
        <v>0.1</v>
      </c>
      <c r="DE521">
        <v>0.1</v>
      </c>
      <c r="DF521">
        <v>0.1</v>
      </c>
      <c r="DG521">
        <v>0.1</v>
      </c>
      <c r="DH521">
        <v>0.1</v>
      </c>
      <c r="DI521">
        <v>0.1</v>
      </c>
      <c r="DJ521">
        <v>0.1</v>
      </c>
      <c r="DK521">
        <v>0.1</v>
      </c>
      <c r="DL521">
        <v>0.1</v>
      </c>
      <c r="DM521">
        <v>0.1</v>
      </c>
      <c r="DN521">
        <v>0.1</v>
      </c>
      <c r="DO521">
        <v>0.1</v>
      </c>
      <c r="DP521">
        <v>0.1</v>
      </c>
      <c r="DQ521">
        <v>0.1</v>
      </c>
      <c r="DR521">
        <v>0.1</v>
      </c>
      <c r="DS521">
        <v>0.1</v>
      </c>
      <c r="DT521">
        <v>0.1</v>
      </c>
      <c r="DU521">
        <v>0.1</v>
      </c>
      <c r="DV521">
        <v>0.1</v>
      </c>
      <c r="DW521">
        <v>0.1</v>
      </c>
      <c r="DX521">
        <v>0.1</v>
      </c>
      <c r="DY521">
        <v>0.1</v>
      </c>
      <c r="DZ521">
        <v>0.1</v>
      </c>
      <c r="EA521">
        <v>0.1</v>
      </c>
      <c r="EB521">
        <v>0.1</v>
      </c>
      <c r="EC521">
        <v>0.1</v>
      </c>
      <c r="ED521">
        <v>0.1</v>
      </c>
      <c r="EE521">
        <v>0.1</v>
      </c>
      <c r="EF521">
        <v>0.1</v>
      </c>
    </row>
    <row r="522" spans="71:138" x14ac:dyDescent="0.25">
      <c r="BS522">
        <v>519</v>
      </c>
      <c r="BT522" s="2"/>
      <c r="BU522" s="2"/>
      <c r="BV522" s="2"/>
      <c r="BW522" s="2"/>
      <c r="BX522" s="2"/>
      <c r="BY522">
        <v>0.1</v>
      </c>
      <c r="BZ522">
        <v>0.1</v>
      </c>
      <c r="CA522">
        <v>0.1</v>
      </c>
      <c r="CB522">
        <v>0.1</v>
      </c>
      <c r="CC522">
        <v>0.1</v>
      </c>
      <c r="CD522">
        <v>0.1</v>
      </c>
      <c r="CE522">
        <v>0.1</v>
      </c>
      <c r="CF522">
        <v>0.1</v>
      </c>
      <c r="CG522">
        <v>0.1</v>
      </c>
      <c r="CH522">
        <v>0.1</v>
      </c>
      <c r="CI522">
        <v>0.1</v>
      </c>
      <c r="CJ522">
        <v>0.1</v>
      </c>
      <c r="CK522">
        <v>0.1</v>
      </c>
      <c r="CL522">
        <v>0.1</v>
      </c>
      <c r="CM522">
        <v>0.1</v>
      </c>
      <c r="CN522">
        <v>0.1</v>
      </c>
      <c r="CO522">
        <v>0.1</v>
      </c>
      <c r="CP522">
        <v>0.1</v>
      </c>
      <c r="CQ522">
        <v>0.1</v>
      </c>
      <c r="CR522">
        <v>0.1</v>
      </c>
      <c r="CS522">
        <v>0.1</v>
      </c>
      <c r="CT522">
        <v>0.1</v>
      </c>
      <c r="CU522">
        <v>0.1</v>
      </c>
      <c r="CV522">
        <v>0.1</v>
      </c>
      <c r="CW522">
        <v>0.1</v>
      </c>
      <c r="CX522">
        <v>0.1</v>
      </c>
      <c r="CY522">
        <v>0.1</v>
      </c>
      <c r="CZ522">
        <v>0.1</v>
      </c>
      <c r="DA522">
        <v>0.1</v>
      </c>
      <c r="DB522">
        <v>0.1</v>
      </c>
      <c r="DC522">
        <v>0.1</v>
      </c>
      <c r="DD522">
        <v>0.1</v>
      </c>
      <c r="DE522">
        <v>0.1</v>
      </c>
      <c r="DF522">
        <v>0.1</v>
      </c>
      <c r="DG522">
        <v>0.1</v>
      </c>
      <c r="DH522">
        <v>0.1</v>
      </c>
      <c r="DI522">
        <v>0.1</v>
      </c>
      <c r="DJ522">
        <v>0.1</v>
      </c>
      <c r="DK522">
        <v>0.1</v>
      </c>
      <c r="DL522">
        <v>0.1</v>
      </c>
      <c r="DM522">
        <v>0.1</v>
      </c>
      <c r="DN522">
        <v>0.1</v>
      </c>
      <c r="DO522">
        <v>0.1</v>
      </c>
      <c r="DP522">
        <v>0.1</v>
      </c>
      <c r="DQ522">
        <v>0.1</v>
      </c>
      <c r="DR522">
        <v>0.1</v>
      </c>
      <c r="DS522">
        <v>0.1</v>
      </c>
      <c r="DT522">
        <v>0.1</v>
      </c>
      <c r="DU522">
        <v>0.1</v>
      </c>
      <c r="DV522">
        <v>0.1</v>
      </c>
      <c r="DW522">
        <v>0.1</v>
      </c>
      <c r="DX522">
        <v>0.1</v>
      </c>
      <c r="DY522">
        <v>0.1</v>
      </c>
      <c r="DZ522">
        <v>0.1</v>
      </c>
      <c r="EA522">
        <v>0.1</v>
      </c>
      <c r="EB522">
        <v>0.1</v>
      </c>
      <c r="EC522">
        <v>0.1</v>
      </c>
      <c r="ED522">
        <v>0.1</v>
      </c>
      <c r="EE522">
        <v>0.1</v>
      </c>
      <c r="EF522">
        <v>0.1</v>
      </c>
    </row>
    <row r="523" spans="71:138" x14ac:dyDescent="0.25">
      <c r="BS523">
        <v>520</v>
      </c>
      <c r="BT523" s="2"/>
      <c r="BU523" s="2"/>
      <c r="BV523" s="2"/>
      <c r="BW523" s="2"/>
      <c r="BX523" s="2"/>
      <c r="BY523">
        <v>0.1</v>
      </c>
      <c r="BZ523">
        <v>0.1</v>
      </c>
      <c r="CA523">
        <v>0.1</v>
      </c>
      <c r="CB523">
        <v>0.1</v>
      </c>
      <c r="CC523">
        <v>0.1</v>
      </c>
      <c r="CD523">
        <v>0.1</v>
      </c>
      <c r="CE523">
        <v>0.1</v>
      </c>
      <c r="CF523">
        <v>0.1</v>
      </c>
      <c r="CG523">
        <v>0.1</v>
      </c>
      <c r="CH523">
        <v>0.1</v>
      </c>
      <c r="CI523">
        <v>0.1</v>
      </c>
      <c r="CJ523">
        <v>0.1</v>
      </c>
      <c r="CK523">
        <v>0.1</v>
      </c>
      <c r="CL523">
        <v>0.1</v>
      </c>
      <c r="CM523">
        <v>0.1</v>
      </c>
      <c r="CN523">
        <v>0.1</v>
      </c>
      <c r="CO523">
        <v>0.1</v>
      </c>
      <c r="CP523">
        <v>0.1</v>
      </c>
      <c r="CQ523">
        <v>0.1</v>
      </c>
      <c r="CR523">
        <v>0.1</v>
      </c>
      <c r="CS523">
        <v>0.1</v>
      </c>
      <c r="CT523">
        <v>0.1</v>
      </c>
      <c r="CU523">
        <v>0.1</v>
      </c>
      <c r="CV523">
        <v>0.1</v>
      </c>
      <c r="CW523">
        <v>0.1</v>
      </c>
      <c r="CX523">
        <v>0.1</v>
      </c>
      <c r="CY523">
        <v>0.1</v>
      </c>
      <c r="CZ523">
        <v>0.1</v>
      </c>
      <c r="DA523">
        <v>0.1</v>
      </c>
      <c r="DB523">
        <v>0.1</v>
      </c>
      <c r="DC523">
        <v>0.1</v>
      </c>
      <c r="DD523">
        <v>0.1</v>
      </c>
      <c r="DE523">
        <v>0.1</v>
      </c>
      <c r="DF523">
        <v>0.1</v>
      </c>
      <c r="DG523">
        <v>0.1</v>
      </c>
      <c r="DH523">
        <v>0.1</v>
      </c>
      <c r="DI523">
        <v>0.1</v>
      </c>
      <c r="DJ523">
        <v>0.1</v>
      </c>
      <c r="DK523">
        <v>0.1</v>
      </c>
      <c r="DL523">
        <v>0.1</v>
      </c>
      <c r="DM523">
        <v>0.1</v>
      </c>
      <c r="DN523">
        <v>0.1</v>
      </c>
      <c r="DO523">
        <v>0.1</v>
      </c>
      <c r="DP523">
        <v>0.1</v>
      </c>
      <c r="DQ523">
        <v>0.1</v>
      </c>
      <c r="DR523">
        <v>0.1</v>
      </c>
      <c r="DS523">
        <v>0.1</v>
      </c>
      <c r="DT523">
        <v>0.1</v>
      </c>
      <c r="DU523">
        <v>0.1</v>
      </c>
      <c r="DV523">
        <v>0.1</v>
      </c>
      <c r="DW523">
        <v>0.1</v>
      </c>
      <c r="DX523">
        <v>0.1</v>
      </c>
      <c r="DY523">
        <v>0.1</v>
      </c>
      <c r="DZ523">
        <v>0.1</v>
      </c>
      <c r="EA523">
        <v>0.1</v>
      </c>
      <c r="EB523">
        <v>0.1</v>
      </c>
      <c r="EC523">
        <v>0.1</v>
      </c>
      <c r="ED523">
        <v>0.1</v>
      </c>
      <c r="EE523">
        <v>0.1</v>
      </c>
      <c r="EF523">
        <v>0.1</v>
      </c>
    </row>
    <row r="524" spans="71:138" x14ac:dyDescent="0.25">
      <c r="BS524">
        <v>521</v>
      </c>
      <c r="BT524" s="2"/>
      <c r="BU524" s="2"/>
      <c r="BV524" s="2"/>
      <c r="BW524" s="2"/>
      <c r="BX524" s="2"/>
      <c r="BY524">
        <v>0.1</v>
      </c>
      <c r="BZ524">
        <v>0.1</v>
      </c>
      <c r="CA524">
        <v>0.1</v>
      </c>
      <c r="CB524">
        <v>0.1</v>
      </c>
      <c r="CC524">
        <v>0.1</v>
      </c>
      <c r="CD524">
        <v>0.1</v>
      </c>
      <c r="CE524">
        <v>0.1</v>
      </c>
      <c r="CF524">
        <v>0.1</v>
      </c>
      <c r="CG524">
        <v>0.1</v>
      </c>
      <c r="CH524">
        <v>0.1</v>
      </c>
      <c r="CI524">
        <v>0.1</v>
      </c>
      <c r="CJ524">
        <v>0.1</v>
      </c>
      <c r="CK524">
        <v>0.1</v>
      </c>
      <c r="CL524">
        <v>0.1</v>
      </c>
      <c r="CM524">
        <v>0.1</v>
      </c>
      <c r="CN524">
        <v>0.1</v>
      </c>
      <c r="CO524">
        <v>0.1</v>
      </c>
      <c r="CP524">
        <v>0.1</v>
      </c>
      <c r="CQ524">
        <v>0.1</v>
      </c>
      <c r="CR524">
        <v>0.1</v>
      </c>
      <c r="CS524">
        <v>0.1</v>
      </c>
      <c r="CT524">
        <v>0.1</v>
      </c>
      <c r="CU524">
        <v>0.1</v>
      </c>
      <c r="CV524">
        <v>0.1</v>
      </c>
      <c r="CW524">
        <v>0.1</v>
      </c>
      <c r="CX524">
        <v>0.1</v>
      </c>
      <c r="CY524">
        <v>0.1</v>
      </c>
      <c r="CZ524">
        <v>0.1</v>
      </c>
      <c r="DA524">
        <v>0.1</v>
      </c>
      <c r="DB524">
        <v>0.1</v>
      </c>
      <c r="DC524">
        <v>0.1</v>
      </c>
      <c r="DD524">
        <v>0.1</v>
      </c>
      <c r="DE524">
        <v>0.1</v>
      </c>
      <c r="DF524">
        <v>0.1</v>
      </c>
      <c r="DG524">
        <v>0.1</v>
      </c>
      <c r="DH524">
        <v>0.1</v>
      </c>
      <c r="DI524">
        <v>0.1</v>
      </c>
      <c r="DJ524">
        <v>0.1</v>
      </c>
      <c r="DK524">
        <v>0.1</v>
      </c>
      <c r="DL524">
        <v>0.1</v>
      </c>
      <c r="DM524">
        <v>0.1</v>
      </c>
      <c r="DN524">
        <v>0.1</v>
      </c>
      <c r="DO524">
        <v>0.1</v>
      </c>
      <c r="DP524">
        <v>0.1</v>
      </c>
      <c r="DQ524">
        <v>0.1</v>
      </c>
      <c r="DR524">
        <v>0.1</v>
      </c>
      <c r="DS524">
        <v>0.1</v>
      </c>
      <c r="DT524">
        <v>0.1</v>
      </c>
      <c r="DU524">
        <v>0.1</v>
      </c>
      <c r="DV524">
        <v>0.1</v>
      </c>
      <c r="DW524">
        <v>0.1</v>
      </c>
      <c r="DX524">
        <v>0.1</v>
      </c>
      <c r="DY524">
        <v>0.1</v>
      </c>
      <c r="DZ524">
        <v>0.1</v>
      </c>
      <c r="EA524">
        <v>0.1</v>
      </c>
      <c r="EB524">
        <v>0.1</v>
      </c>
      <c r="EC524">
        <v>0.1</v>
      </c>
      <c r="ED524">
        <v>0.1</v>
      </c>
      <c r="EE524">
        <v>0.1</v>
      </c>
      <c r="EF524">
        <v>0.1</v>
      </c>
    </row>
    <row r="525" spans="71:138" x14ac:dyDescent="0.25">
      <c r="BS525">
        <v>522</v>
      </c>
      <c r="BT525" s="2"/>
      <c r="BU525" s="2"/>
      <c r="BV525" s="2"/>
      <c r="BW525" s="2"/>
      <c r="BX525" s="2"/>
      <c r="BY525">
        <v>0.1</v>
      </c>
      <c r="BZ525">
        <v>0.1</v>
      </c>
      <c r="CA525">
        <v>0.1</v>
      </c>
      <c r="CB525">
        <v>0.1</v>
      </c>
      <c r="CC525">
        <v>0.1</v>
      </c>
      <c r="CD525">
        <v>0.1</v>
      </c>
      <c r="CE525">
        <v>0.1</v>
      </c>
      <c r="CF525">
        <v>0.1</v>
      </c>
      <c r="CG525">
        <v>0.1</v>
      </c>
      <c r="CH525">
        <v>0.1</v>
      </c>
      <c r="CI525">
        <v>0.1</v>
      </c>
      <c r="CJ525">
        <v>0.1</v>
      </c>
      <c r="CK525">
        <v>0.1</v>
      </c>
      <c r="CL525">
        <v>0.1</v>
      </c>
      <c r="CM525">
        <v>0.1</v>
      </c>
      <c r="CN525">
        <v>0.1</v>
      </c>
      <c r="CO525">
        <v>0.1</v>
      </c>
      <c r="CP525">
        <v>0.1</v>
      </c>
      <c r="CQ525">
        <v>0.1</v>
      </c>
      <c r="CR525">
        <v>0.1</v>
      </c>
      <c r="CS525">
        <v>0.1</v>
      </c>
      <c r="CT525">
        <v>0.1</v>
      </c>
      <c r="CU525">
        <v>0.1</v>
      </c>
      <c r="CV525">
        <v>0.1</v>
      </c>
      <c r="CW525">
        <v>0.1</v>
      </c>
      <c r="CX525">
        <v>0.1</v>
      </c>
      <c r="CY525">
        <v>0.1</v>
      </c>
      <c r="CZ525">
        <v>0.1</v>
      </c>
      <c r="DA525">
        <v>0.1</v>
      </c>
      <c r="DB525">
        <v>0.1</v>
      </c>
      <c r="DC525">
        <v>0.1</v>
      </c>
      <c r="DD525">
        <v>0.1</v>
      </c>
      <c r="DE525">
        <v>0.1</v>
      </c>
      <c r="DF525">
        <v>0.1</v>
      </c>
      <c r="DG525">
        <v>0.1</v>
      </c>
      <c r="DH525">
        <v>0.1</v>
      </c>
      <c r="DI525">
        <v>0.1</v>
      </c>
      <c r="DJ525">
        <v>0.1</v>
      </c>
      <c r="DK525">
        <v>0.1</v>
      </c>
      <c r="DL525">
        <v>0.1</v>
      </c>
      <c r="DM525">
        <v>0.1</v>
      </c>
      <c r="DN525">
        <v>0.1</v>
      </c>
      <c r="DO525">
        <v>0.1</v>
      </c>
      <c r="DP525">
        <v>0.1</v>
      </c>
      <c r="DQ525">
        <v>0.1</v>
      </c>
      <c r="DR525">
        <v>0.1</v>
      </c>
      <c r="DS525">
        <v>0.1</v>
      </c>
      <c r="DT525">
        <v>0.1</v>
      </c>
      <c r="DU525">
        <v>0.1</v>
      </c>
      <c r="DV525">
        <v>0.1</v>
      </c>
      <c r="DW525">
        <v>0.1</v>
      </c>
      <c r="DX525">
        <v>0.1</v>
      </c>
      <c r="DY525">
        <v>0.1</v>
      </c>
      <c r="DZ525">
        <v>0.1</v>
      </c>
      <c r="EA525">
        <v>0.1</v>
      </c>
      <c r="EB525">
        <v>0.1</v>
      </c>
      <c r="EC525">
        <v>0.1</v>
      </c>
      <c r="ED525">
        <v>0.1</v>
      </c>
      <c r="EE525">
        <v>0.1</v>
      </c>
      <c r="EF525">
        <v>0.1</v>
      </c>
    </row>
    <row r="526" spans="71:138" x14ac:dyDescent="0.25">
      <c r="BS526">
        <v>523</v>
      </c>
      <c r="BT526" s="2"/>
      <c r="BU526" s="2"/>
      <c r="BV526" s="2"/>
      <c r="BW526" s="2"/>
      <c r="BX526" s="2"/>
      <c r="BY526">
        <v>0.1</v>
      </c>
      <c r="BZ526">
        <v>0.1</v>
      </c>
      <c r="CA526">
        <v>0.1</v>
      </c>
      <c r="CB526">
        <v>0.1</v>
      </c>
      <c r="CC526">
        <v>0.1</v>
      </c>
      <c r="CD526">
        <v>0.1</v>
      </c>
      <c r="CE526">
        <v>0.1</v>
      </c>
      <c r="CF526">
        <v>0.1</v>
      </c>
      <c r="CG526">
        <v>0.1</v>
      </c>
      <c r="CH526">
        <v>0.1</v>
      </c>
      <c r="CI526">
        <v>0.1</v>
      </c>
      <c r="CJ526">
        <v>0.1</v>
      </c>
      <c r="CK526">
        <v>0.1</v>
      </c>
      <c r="CL526">
        <v>0.1</v>
      </c>
      <c r="CM526">
        <v>0.1</v>
      </c>
      <c r="CN526">
        <v>0.1</v>
      </c>
      <c r="CO526">
        <v>0.1</v>
      </c>
      <c r="CP526">
        <v>0.1</v>
      </c>
      <c r="CQ526">
        <v>0.1</v>
      </c>
      <c r="CR526">
        <v>0.1</v>
      </c>
      <c r="CS526">
        <v>0.1</v>
      </c>
      <c r="CT526">
        <v>0.1</v>
      </c>
      <c r="CU526">
        <v>0.1</v>
      </c>
      <c r="CV526">
        <v>0.1</v>
      </c>
      <c r="CW526">
        <v>0.1</v>
      </c>
      <c r="CX526">
        <v>0.1</v>
      </c>
      <c r="CY526">
        <v>0.1</v>
      </c>
      <c r="CZ526">
        <v>0.1</v>
      </c>
      <c r="DA526">
        <v>0.1</v>
      </c>
      <c r="DB526">
        <v>0.1</v>
      </c>
      <c r="DC526">
        <v>0.1</v>
      </c>
      <c r="DD526">
        <v>0.1</v>
      </c>
      <c r="DE526">
        <v>0.1</v>
      </c>
      <c r="DF526">
        <v>0.1</v>
      </c>
      <c r="DG526">
        <v>0.1</v>
      </c>
      <c r="DH526">
        <v>0.1</v>
      </c>
      <c r="DI526">
        <v>0.1</v>
      </c>
      <c r="DJ526">
        <v>0.1</v>
      </c>
      <c r="DK526">
        <v>0.1</v>
      </c>
      <c r="DL526">
        <v>0.1</v>
      </c>
      <c r="DM526">
        <v>0.1</v>
      </c>
      <c r="DN526">
        <v>0.1</v>
      </c>
      <c r="DO526">
        <v>0.1</v>
      </c>
      <c r="DP526">
        <v>0.1</v>
      </c>
      <c r="DQ526">
        <v>0.1</v>
      </c>
      <c r="DR526">
        <v>0.1</v>
      </c>
      <c r="DS526">
        <v>0.1</v>
      </c>
      <c r="DT526">
        <v>0.1</v>
      </c>
      <c r="DU526">
        <v>0.1</v>
      </c>
      <c r="DV526">
        <v>0.1</v>
      </c>
      <c r="DW526">
        <v>0.1</v>
      </c>
      <c r="DX526">
        <v>0.1</v>
      </c>
      <c r="DY526">
        <v>0.1</v>
      </c>
      <c r="DZ526">
        <v>0.1</v>
      </c>
      <c r="EA526">
        <v>0.1</v>
      </c>
      <c r="EB526">
        <v>0.1</v>
      </c>
      <c r="EC526">
        <v>0.1</v>
      </c>
      <c r="ED526">
        <v>0.1</v>
      </c>
      <c r="EE526">
        <v>0.1</v>
      </c>
      <c r="EF526">
        <v>0.1</v>
      </c>
      <c r="EH526" s="2"/>
    </row>
    <row r="527" spans="71:138" x14ac:dyDescent="0.25">
      <c r="BS527">
        <v>524</v>
      </c>
      <c r="BT527" s="2"/>
      <c r="BU527" s="2"/>
      <c r="BV527" s="2"/>
      <c r="BW527" s="2"/>
      <c r="BX527" s="2"/>
      <c r="BY527">
        <v>0.1</v>
      </c>
      <c r="BZ527">
        <v>0.1</v>
      </c>
      <c r="CA527">
        <v>0.1</v>
      </c>
      <c r="CB527">
        <v>0.1</v>
      </c>
      <c r="CC527">
        <v>0.1</v>
      </c>
      <c r="CD527">
        <v>0.1</v>
      </c>
      <c r="CE527">
        <v>0.1</v>
      </c>
      <c r="CF527">
        <v>0.1</v>
      </c>
      <c r="CG527">
        <v>0.1</v>
      </c>
      <c r="CH527">
        <v>0.1</v>
      </c>
      <c r="CI527">
        <v>0.1</v>
      </c>
      <c r="CJ527">
        <v>0.1</v>
      </c>
      <c r="CK527">
        <v>0.1</v>
      </c>
      <c r="CL527">
        <v>0.1</v>
      </c>
      <c r="CM527">
        <v>0.1</v>
      </c>
      <c r="CN527">
        <v>0.1</v>
      </c>
      <c r="CO527">
        <v>0.1</v>
      </c>
      <c r="CP527">
        <v>0.1</v>
      </c>
      <c r="CQ527">
        <v>0.1</v>
      </c>
      <c r="CR527">
        <v>0.1</v>
      </c>
      <c r="CS527">
        <v>0.1</v>
      </c>
      <c r="CT527">
        <v>0.1</v>
      </c>
      <c r="CU527">
        <v>0.1</v>
      </c>
      <c r="CV527">
        <v>0.1</v>
      </c>
      <c r="CW527">
        <v>0.1</v>
      </c>
      <c r="CX527">
        <v>0.1</v>
      </c>
      <c r="CY527">
        <v>0.1</v>
      </c>
      <c r="CZ527">
        <v>0.1</v>
      </c>
      <c r="DA527">
        <v>0.1</v>
      </c>
      <c r="DB527">
        <v>0.1</v>
      </c>
      <c r="DC527">
        <v>0.1</v>
      </c>
      <c r="DD527">
        <v>0.1</v>
      </c>
      <c r="DE527">
        <v>0.1</v>
      </c>
      <c r="DF527">
        <v>0.1</v>
      </c>
      <c r="DG527">
        <v>0.1</v>
      </c>
      <c r="DH527">
        <v>0.1</v>
      </c>
      <c r="DI527">
        <v>0.1</v>
      </c>
      <c r="DJ527">
        <v>0.1</v>
      </c>
      <c r="DK527">
        <v>0.1</v>
      </c>
      <c r="DL527">
        <v>0.1</v>
      </c>
      <c r="DM527">
        <v>0.1</v>
      </c>
      <c r="DN527">
        <v>0.1</v>
      </c>
      <c r="DO527">
        <v>0.1</v>
      </c>
      <c r="DP527">
        <v>0.1</v>
      </c>
      <c r="DQ527">
        <v>0.1</v>
      </c>
      <c r="DR527">
        <v>0.1</v>
      </c>
      <c r="DS527">
        <v>0.1</v>
      </c>
      <c r="DT527">
        <v>0.1</v>
      </c>
      <c r="DU527">
        <v>0.1</v>
      </c>
      <c r="DV527">
        <v>0.1</v>
      </c>
      <c r="DW527">
        <v>0.1</v>
      </c>
      <c r="DX527">
        <v>0.1</v>
      </c>
      <c r="DY527">
        <v>0.1</v>
      </c>
      <c r="DZ527">
        <v>0.1</v>
      </c>
      <c r="EA527">
        <v>0.1</v>
      </c>
      <c r="EB527">
        <v>0.1</v>
      </c>
      <c r="EC527">
        <v>0.1</v>
      </c>
      <c r="ED527">
        <v>0.1</v>
      </c>
      <c r="EE527">
        <v>0.1</v>
      </c>
      <c r="EF527">
        <v>0.1</v>
      </c>
    </row>
    <row r="528" spans="71:138" x14ac:dyDescent="0.25">
      <c r="BS528">
        <v>525</v>
      </c>
      <c r="BT528" s="2"/>
      <c r="BU528" s="2"/>
      <c r="BV528" s="2"/>
      <c r="BW528" s="2"/>
      <c r="BX528" s="2"/>
      <c r="BY528">
        <v>0.1</v>
      </c>
      <c r="BZ528">
        <v>0.1</v>
      </c>
      <c r="CA528">
        <v>0.1</v>
      </c>
      <c r="CB528">
        <v>0.1</v>
      </c>
      <c r="CC528">
        <v>0.1</v>
      </c>
      <c r="CD528">
        <v>0.1</v>
      </c>
      <c r="CE528">
        <v>0.1</v>
      </c>
      <c r="CF528">
        <v>0.1</v>
      </c>
      <c r="CG528">
        <v>0.1</v>
      </c>
      <c r="CH528">
        <v>0.1</v>
      </c>
      <c r="CI528">
        <v>0.1</v>
      </c>
      <c r="CJ528">
        <v>0.1</v>
      </c>
      <c r="CK528">
        <v>0.1</v>
      </c>
      <c r="CL528">
        <v>0.1</v>
      </c>
      <c r="CM528">
        <v>0.1</v>
      </c>
      <c r="CN528">
        <v>0.1</v>
      </c>
      <c r="CO528">
        <v>0.1</v>
      </c>
      <c r="CP528">
        <v>0.1</v>
      </c>
      <c r="CQ528">
        <v>0.1</v>
      </c>
      <c r="CR528">
        <v>0.1</v>
      </c>
      <c r="CS528">
        <v>0.1</v>
      </c>
      <c r="CT528">
        <v>0.1</v>
      </c>
      <c r="CU528">
        <v>0.1</v>
      </c>
      <c r="CV528">
        <v>0.1</v>
      </c>
      <c r="CW528">
        <v>0.1</v>
      </c>
      <c r="CX528">
        <v>0.1</v>
      </c>
      <c r="CY528">
        <v>0.1</v>
      </c>
      <c r="CZ528">
        <v>0.1</v>
      </c>
      <c r="DA528">
        <v>0.1</v>
      </c>
      <c r="DB528">
        <v>0.1</v>
      </c>
      <c r="DC528">
        <v>0.1</v>
      </c>
      <c r="DD528">
        <v>0.1</v>
      </c>
      <c r="DE528">
        <v>0.1</v>
      </c>
      <c r="DF528">
        <v>0.1</v>
      </c>
      <c r="DG528">
        <v>0.1</v>
      </c>
      <c r="DH528">
        <v>0.1</v>
      </c>
      <c r="DI528">
        <v>0.1</v>
      </c>
      <c r="DJ528">
        <v>0.1</v>
      </c>
      <c r="DK528">
        <v>0.1</v>
      </c>
      <c r="DL528">
        <v>0.1</v>
      </c>
      <c r="DM528">
        <v>0.1</v>
      </c>
      <c r="DN528">
        <v>0.1</v>
      </c>
      <c r="DO528">
        <v>0.1</v>
      </c>
      <c r="DP528">
        <v>0.1</v>
      </c>
      <c r="DQ528">
        <v>0.1</v>
      </c>
      <c r="DR528">
        <v>0.1</v>
      </c>
      <c r="DS528">
        <v>0.1</v>
      </c>
      <c r="DT528">
        <v>0.1</v>
      </c>
      <c r="DU528">
        <v>0.1</v>
      </c>
      <c r="DV528">
        <v>0.1</v>
      </c>
      <c r="DW528">
        <v>0.1</v>
      </c>
      <c r="DX528">
        <v>0.1</v>
      </c>
      <c r="DY528">
        <v>0.1</v>
      </c>
      <c r="DZ528">
        <v>0.1</v>
      </c>
      <c r="EA528">
        <v>0.1</v>
      </c>
      <c r="EB528">
        <v>0.1</v>
      </c>
      <c r="EC528">
        <v>0.1</v>
      </c>
      <c r="ED528">
        <v>0.1</v>
      </c>
      <c r="EE528">
        <v>0.1</v>
      </c>
      <c r="EF528">
        <v>0.1</v>
      </c>
    </row>
    <row r="529" spans="71:136" x14ac:dyDescent="0.25">
      <c r="BS529">
        <v>526</v>
      </c>
      <c r="BT529" s="2"/>
      <c r="BU529" s="2"/>
      <c r="BV529" s="2"/>
      <c r="BW529" s="2"/>
      <c r="BX529" s="2"/>
      <c r="BY529">
        <v>0.1</v>
      </c>
      <c r="BZ529">
        <v>0.1</v>
      </c>
      <c r="CA529">
        <v>0.1</v>
      </c>
      <c r="CB529">
        <v>0.1</v>
      </c>
      <c r="CC529">
        <v>0.1</v>
      </c>
      <c r="CD529">
        <v>0.1</v>
      </c>
      <c r="CE529">
        <v>0.1</v>
      </c>
      <c r="CF529">
        <v>0.1</v>
      </c>
      <c r="CG529">
        <v>0.1</v>
      </c>
      <c r="CH529">
        <v>0.1</v>
      </c>
      <c r="CI529">
        <v>0.1</v>
      </c>
      <c r="CJ529">
        <v>0.1</v>
      </c>
      <c r="CK529">
        <v>0.1</v>
      </c>
      <c r="CL529">
        <v>0.1</v>
      </c>
      <c r="CM529">
        <v>0.1</v>
      </c>
      <c r="CN529">
        <v>0.1</v>
      </c>
      <c r="CO529">
        <v>0.1</v>
      </c>
      <c r="CP529">
        <v>0.1</v>
      </c>
      <c r="CQ529">
        <v>0.1</v>
      </c>
      <c r="CR529">
        <v>0.1</v>
      </c>
      <c r="CS529">
        <v>0.1</v>
      </c>
      <c r="CT529">
        <v>0.1</v>
      </c>
      <c r="CU529">
        <v>0.1</v>
      </c>
      <c r="CV529">
        <v>0.1</v>
      </c>
      <c r="CW529">
        <v>0.1</v>
      </c>
      <c r="CX529">
        <v>0.1</v>
      </c>
      <c r="CY529">
        <v>0.1</v>
      </c>
      <c r="CZ529">
        <v>0.1</v>
      </c>
      <c r="DA529">
        <v>0.1</v>
      </c>
      <c r="DB529">
        <v>0.1</v>
      </c>
      <c r="DC529">
        <v>0.1</v>
      </c>
      <c r="DD529">
        <v>0.1</v>
      </c>
      <c r="DE529">
        <v>0.1</v>
      </c>
      <c r="DF529">
        <v>0.1</v>
      </c>
      <c r="DG529">
        <v>0.1</v>
      </c>
      <c r="DH529">
        <v>0.1</v>
      </c>
      <c r="DI529">
        <v>0.1</v>
      </c>
      <c r="DJ529">
        <v>0.1</v>
      </c>
      <c r="DK529">
        <v>0.1</v>
      </c>
      <c r="DL529">
        <v>0.1</v>
      </c>
      <c r="DM529">
        <v>0.1</v>
      </c>
      <c r="DN529">
        <v>0.1</v>
      </c>
      <c r="DO529">
        <v>0.1</v>
      </c>
      <c r="DP529">
        <v>0.1</v>
      </c>
      <c r="DQ529">
        <v>0.1</v>
      </c>
      <c r="DR529">
        <v>0.1</v>
      </c>
      <c r="DS529">
        <v>0.1</v>
      </c>
      <c r="DT529">
        <v>0.1</v>
      </c>
      <c r="DU529">
        <v>0.1</v>
      </c>
      <c r="DV529">
        <v>0.1</v>
      </c>
      <c r="DW529">
        <v>0.1</v>
      </c>
      <c r="DX529">
        <v>0.1</v>
      </c>
      <c r="DY529">
        <v>0.1</v>
      </c>
      <c r="DZ529">
        <v>0.1</v>
      </c>
      <c r="EA529">
        <v>0.1</v>
      </c>
      <c r="EB529">
        <v>0.1</v>
      </c>
      <c r="EC529">
        <v>0.1</v>
      </c>
      <c r="ED529">
        <v>0.1</v>
      </c>
      <c r="EE529">
        <v>0.1</v>
      </c>
      <c r="EF529">
        <v>0.1</v>
      </c>
    </row>
    <row r="530" spans="71:136" x14ac:dyDescent="0.25">
      <c r="BS530">
        <v>527</v>
      </c>
      <c r="BT530" s="2"/>
      <c r="BU530" s="2"/>
      <c r="BV530" s="2"/>
      <c r="BW530" s="2"/>
      <c r="BX530" s="2"/>
      <c r="BY530">
        <v>0.1</v>
      </c>
      <c r="BZ530">
        <v>0.1</v>
      </c>
      <c r="CA530">
        <v>0.1</v>
      </c>
      <c r="CB530">
        <v>0.1</v>
      </c>
      <c r="CC530">
        <v>0.1</v>
      </c>
      <c r="CD530">
        <v>0.1</v>
      </c>
      <c r="CE530">
        <v>0.1</v>
      </c>
      <c r="CF530">
        <v>0.1</v>
      </c>
      <c r="CG530">
        <v>0.1</v>
      </c>
      <c r="CH530">
        <v>0.1</v>
      </c>
      <c r="CI530">
        <v>0.1</v>
      </c>
      <c r="CJ530">
        <v>0.1</v>
      </c>
      <c r="CK530">
        <v>0.1</v>
      </c>
      <c r="CL530">
        <v>0.1</v>
      </c>
      <c r="CM530">
        <v>0.1</v>
      </c>
      <c r="CN530">
        <v>0.1</v>
      </c>
      <c r="CO530">
        <v>0.1</v>
      </c>
      <c r="CP530">
        <v>0.1</v>
      </c>
      <c r="CQ530">
        <v>0.1</v>
      </c>
      <c r="CR530">
        <v>0.1</v>
      </c>
      <c r="CS530">
        <v>0.1</v>
      </c>
      <c r="CT530">
        <v>0.1</v>
      </c>
      <c r="CU530">
        <v>0.1</v>
      </c>
      <c r="CV530">
        <v>0.1</v>
      </c>
      <c r="CW530">
        <v>0.1</v>
      </c>
      <c r="CX530">
        <v>0.1</v>
      </c>
      <c r="CY530">
        <v>0.1</v>
      </c>
      <c r="CZ530">
        <v>0.1</v>
      </c>
      <c r="DA530">
        <v>0.1</v>
      </c>
      <c r="DB530">
        <v>0.1</v>
      </c>
      <c r="DC530">
        <v>0.1</v>
      </c>
      <c r="DD530">
        <v>0.1</v>
      </c>
      <c r="DE530">
        <v>0.1</v>
      </c>
      <c r="DF530">
        <v>0.1</v>
      </c>
      <c r="DG530">
        <v>0.1</v>
      </c>
      <c r="DH530">
        <v>0.1</v>
      </c>
      <c r="DI530">
        <v>0.1</v>
      </c>
      <c r="DJ530">
        <v>0.1</v>
      </c>
      <c r="DK530">
        <v>0.1</v>
      </c>
      <c r="DL530">
        <v>0.1</v>
      </c>
      <c r="DM530">
        <v>0.1</v>
      </c>
      <c r="DN530">
        <v>0.1</v>
      </c>
      <c r="DO530">
        <v>0.1</v>
      </c>
      <c r="DP530">
        <v>0.1</v>
      </c>
      <c r="DQ530">
        <v>0.1</v>
      </c>
      <c r="DR530">
        <v>0.1</v>
      </c>
      <c r="DS530">
        <v>0.1</v>
      </c>
      <c r="DT530">
        <v>0.1</v>
      </c>
      <c r="DU530">
        <v>0.1</v>
      </c>
      <c r="DV530">
        <v>0.1</v>
      </c>
      <c r="DW530">
        <v>0.1</v>
      </c>
      <c r="DX530">
        <v>0.1</v>
      </c>
      <c r="DY530">
        <v>0.1</v>
      </c>
      <c r="DZ530">
        <v>0.1</v>
      </c>
      <c r="EA530">
        <v>0.1</v>
      </c>
      <c r="EB530">
        <v>0.1</v>
      </c>
      <c r="EC530">
        <v>0.1</v>
      </c>
      <c r="ED530">
        <v>0.1</v>
      </c>
      <c r="EE530">
        <v>0.1</v>
      </c>
      <c r="EF530">
        <v>0.1</v>
      </c>
    </row>
    <row r="531" spans="71:136" x14ac:dyDescent="0.25">
      <c r="BS531">
        <v>528</v>
      </c>
      <c r="BT531" s="2"/>
      <c r="BU531" s="2"/>
      <c r="BV531" s="2"/>
      <c r="BW531" s="2"/>
      <c r="BX531" s="2"/>
      <c r="BY531">
        <v>0.1</v>
      </c>
      <c r="BZ531">
        <v>0.1</v>
      </c>
      <c r="CA531">
        <v>0.1</v>
      </c>
      <c r="CB531">
        <v>0.1</v>
      </c>
      <c r="CC531">
        <v>0.1</v>
      </c>
      <c r="CD531">
        <v>0.1</v>
      </c>
      <c r="CE531">
        <v>0.1</v>
      </c>
      <c r="CF531">
        <v>0.1</v>
      </c>
      <c r="CG531">
        <v>0.1</v>
      </c>
      <c r="CH531">
        <v>0.1</v>
      </c>
      <c r="CI531">
        <v>0.1</v>
      </c>
      <c r="CJ531">
        <v>0.1</v>
      </c>
      <c r="CK531">
        <v>0.1</v>
      </c>
      <c r="CL531">
        <v>0.1</v>
      </c>
      <c r="CM531">
        <v>0.1</v>
      </c>
      <c r="CN531">
        <v>0.1</v>
      </c>
      <c r="CO531">
        <v>0.1</v>
      </c>
      <c r="CP531">
        <v>0.1</v>
      </c>
      <c r="CQ531">
        <v>0.1</v>
      </c>
      <c r="CR531">
        <v>0.1</v>
      </c>
      <c r="CS531">
        <v>0.1</v>
      </c>
      <c r="CT531">
        <v>0.1</v>
      </c>
      <c r="CU531">
        <v>0.1</v>
      </c>
      <c r="CV531">
        <v>0.1</v>
      </c>
      <c r="CW531">
        <v>0.1</v>
      </c>
      <c r="CX531">
        <v>0.1</v>
      </c>
      <c r="CY531">
        <v>0.1</v>
      </c>
      <c r="CZ531">
        <v>0.1</v>
      </c>
      <c r="DA531">
        <v>0.1</v>
      </c>
      <c r="DB531">
        <v>0.1</v>
      </c>
      <c r="DC531">
        <v>0.1</v>
      </c>
      <c r="DD531">
        <v>0.1</v>
      </c>
      <c r="DE531">
        <v>0.1</v>
      </c>
      <c r="DF531">
        <v>0.1</v>
      </c>
      <c r="DG531">
        <v>0.1</v>
      </c>
      <c r="DH531">
        <v>0.1</v>
      </c>
      <c r="DI531">
        <v>0.1</v>
      </c>
      <c r="DJ531">
        <v>0.1</v>
      </c>
      <c r="DK531">
        <v>0.1</v>
      </c>
      <c r="DL531">
        <v>0.1</v>
      </c>
      <c r="DM531">
        <v>0.1</v>
      </c>
      <c r="DN531">
        <v>0.1</v>
      </c>
      <c r="DO531">
        <v>0.1</v>
      </c>
      <c r="DP531">
        <v>0.1</v>
      </c>
      <c r="DQ531">
        <v>0.1</v>
      </c>
      <c r="DR531">
        <v>0.1</v>
      </c>
      <c r="DS531">
        <v>0.1</v>
      </c>
      <c r="DT531">
        <v>0.1</v>
      </c>
      <c r="DU531">
        <v>0.1</v>
      </c>
      <c r="DV531">
        <v>0.1</v>
      </c>
      <c r="DW531">
        <v>0.1</v>
      </c>
      <c r="DX531">
        <v>0.1</v>
      </c>
      <c r="DY531">
        <v>0.1</v>
      </c>
      <c r="DZ531">
        <v>0.1</v>
      </c>
      <c r="EA531">
        <v>0.1</v>
      </c>
      <c r="EB531">
        <v>0.1</v>
      </c>
      <c r="EC531">
        <v>0.1</v>
      </c>
      <c r="ED531">
        <v>0.1</v>
      </c>
      <c r="EE531">
        <v>0.1</v>
      </c>
      <c r="EF531">
        <v>0.1</v>
      </c>
    </row>
    <row r="532" spans="71:136" x14ac:dyDescent="0.25">
      <c r="BS532">
        <v>529</v>
      </c>
      <c r="BT532" s="2"/>
      <c r="BU532" s="2"/>
      <c r="BV532" s="2"/>
      <c r="BW532" s="2"/>
      <c r="BX532" s="2"/>
      <c r="BY532">
        <v>0.1</v>
      </c>
      <c r="BZ532">
        <v>0.1</v>
      </c>
      <c r="CA532">
        <v>0.1</v>
      </c>
      <c r="CB532">
        <v>0.1</v>
      </c>
      <c r="CC532">
        <v>0.1</v>
      </c>
      <c r="CD532">
        <v>0.1</v>
      </c>
      <c r="CE532">
        <v>0.1</v>
      </c>
      <c r="CF532">
        <v>0.1</v>
      </c>
      <c r="CG532">
        <v>0.1</v>
      </c>
      <c r="CH532">
        <v>0.1</v>
      </c>
      <c r="CI532">
        <v>0.1</v>
      </c>
      <c r="CJ532">
        <v>0.1</v>
      </c>
      <c r="CK532">
        <v>0.1</v>
      </c>
      <c r="CL532">
        <v>0.1</v>
      </c>
      <c r="CM532">
        <v>0.1</v>
      </c>
      <c r="CN532">
        <v>0.1</v>
      </c>
      <c r="CO532">
        <v>0.1</v>
      </c>
      <c r="CP532">
        <v>0.1</v>
      </c>
      <c r="CQ532">
        <v>0.1</v>
      </c>
      <c r="CR532">
        <v>0.1</v>
      </c>
      <c r="CS532">
        <v>0.1</v>
      </c>
      <c r="CT532">
        <v>0.1</v>
      </c>
      <c r="CU532">
        <v>0.1</v>
      </c>
      <c r="CV532">
        <v>0.1</v>
      </c>
      <c r="CW532">
        <v>0.1</v>
      </c>
      <c r="CX532">
        <v>0.1</v>
      </c>
      <c r="CY532">
        <v>0.1</v>
      </c>
      <c r="CZ532">
        <v>0.1</v>
      </c>
      <c r="DA532">
        <v>0.1</v>
      </c>
      <c r="DB532">
        <v>0.1</v>
      </c>
      <c r="DC532">
        <v>0.1</v>
      </c>
      <c r="DD532">
        <v>0.1</v>
      </c>
      <c r="DE532">
        <v>0.1</v>
      </c>
      <c r="DF532">
        <v>0.1</v>
      </c>
      <c r="DG532">
        <v>0.1</v>
      </c>
      <c r="DH532">
        <v>0.1</v>
      </c>
      <c r="DI532">
        <v>0.1</v>
      </c>
      <c r="DJ532">
        <v>0.1</v>
      </c>
      <c r="DK532">
        <v>0.1</v>
      </c>
      <c r="DL532">
        <v>0.1</v>
      </c>
      <c r="DM532">
        <v>0.1</v>
      </c>
      <c r="DN532">
        <v>0.1</v>
      </c>
      <c r="DO532">
        <v>0.1</v>
      </c>
      <c r="DP532">
        <v>0.1</v>
      </c>
      <c r="DQ532">
        <v>0.1</v>
      </c>
      <c r="DR532">
        <v>0.1</v>
      </c>
      <c r="DS532">
        <v>0.1</v>
      </c>
      <c r="DT532">
        <v>0.1</v>
      </c>
      <c r="DU532">
        <v>0.1</v>
      </c>
      <c r="DV532">
        <v>0.1</v>
      </c>
      <c r="DW532">
        <v>0.1</v>
      </c>
      <c r="DX532">
        <v>0.1</v>
      </c>
      <c r="DY532">
        <v>0.1</v>
      </c>
      <c r="DZ532">
        <v>0.1</v>
      </c>
      <c r="EA532">
        <v>0.1</v>
      </c>
      <c r="EB532">
        <v>0.1</v>
      </c>
      <c r="EC532">
        <v>0.1</v>
      </c>
      <c r="ED532">
        <v>0.1</v>
      </c>
      <c r="EE532">
        <v>0.1</v>
      </c>
      <c r="EF532">
        <v>0.1</v>
      </c>
    </row>
    <row r="533" spans="71:136" x14ac:dyDescent="0.25">
      <c r="BS533">
        <v>530</v>
      </c>
      <c r="BT533" s="2"/>
      <c r="BU533" s="2"/>
      <c r="BV533" s="2"/>
      <c r="BW533" s="2"/>
      <c r="BX533" s="2"/>
      <c r="BY533">
        <v>0.1</v>
      </c>
      <c r="BZ533">
        <v>0.1</v>
      </c>
      <c r="CA533">
        <v>0.1</v>
      </c>
      <c r="CB533">
        <v>0.1</v>
      </c>
      <c r="CC533">
        <v>0.1</v>
      </c>
      <c r="CD533">
        <v>0.1</v>
      </c>
      <c r="CE533">
        <v>0.1</v>
      </c>
      <c r="CF533">
        <v>0.1</v>
      </c>
      <c r="CG533">
        <v>0.1</v>
      </c>
      <c r="CH533">
        <v>0.1</v>
      </c>
      <c r="CI533">
        <v>0.1</v>
      </c>
      <c r="CJ533">
        <v>0.1</v>
      </c>
      <c r="CK533">
        <v>0.1</v>
      </c>
      <c r="CL533">
        <v>0.1</v>
      </c>
      <c r="CM533">
        <v>0.1</v>
      </c>
      <c r="CN533">
        <v>0.1</v>
      </c>
      <c r="CO533">
        <v>0.1</v>
      </c>
      <c r="CP533">
        <v>0.1</v>
      </c>
      <c r="CQ533">
        <v>0.1</v>
      </c>
      <c r="CR533">
        <v>0.1</v>
      </c>
      <c r="CS533">
        <v>0.1</v>
      </c>
      <c r="CT533">
        <v>0.1</v>
      </c>
      <c r="CU533">
        <v>0.1</v>
      </c>
      <c r="CV533">
        <v>0.1</v>
      </c>
      <c r="CW533">
        <v>0.1</v>
      </c>
      <c r="CX533">
        <v>0.1</v>
      </c>
      <c r="CY533">
        <v>0.1</v>
      </c>
      <c r="CZ533">
        <v>0.1</v>
      </c>
      <c r="DA533">
        <v>0.1</v>
      </c>
      <c r="DB533">
        <v>0.1</v>
      </c>
      <c r="DC533">
        <v>0.1</v>
      </c>
      <c r="DD533">
        <v>0.1</v>
      </c>
      <c r="DE533">
        <v>0.1</v>
      </c>
      <c r="DF533">
        <v>0.1</v>
      </c>
      <c r="DG533">
        <v>0.1</v>
      </c>
      <c r="DH533">
        <v>0.1</v>
      </c>
      <c r="DI533">
        <v>0.1</v>
      </c>
      <c r="DJ533">
        <v>0.1</v>
      </c>
      <c r="DK533">
        <v>0.1</v>
      </c>
      <c r="DL533">
        <v>0.1</v>
      </c>
      <c r="DM533">
        <v>0.1</v>
      </c>
      <c r="DN533">
        <v>0.1</v>
      </c>
      <c r="DO533">
        <v>0.1</v>
      </c>
      <c r="DP533">
        <v>0.1</v>
      </c>
      <c r="DQ533">
        <v>0.1</v>
      </c>
      <c r="DR533">
        <v>0.1</v>
      </c>
      <c r="DS533">
        <v>0.1</v>
      </c>
      <c r="DT533">
        <v>0.1</v>
      </c>
      <c r="DU533">
        <v>0.1</v>
      </c>
      <c r="DV533">
        <v>0.1</v>
      </c>
      <c r="DW533">
        <v>0.1</v>
      </c>
      <c r="DX533">
        <v>0.1</v>
      </c>
      <c r="DY533">
        <v>0.1</v>
      </c>
      <c r="DZ533">
        <v>0.1</v>
      </c>
      <c r="EA533">
        <v>0.1</v>
      </c>
      <c r="EB533">
        <v>0.1</v>
      </c>
      <c r="EC533">
        <v>0.1</v>
      </c>
      <c r="ED533">
        <v>0.1</v>
      </c>
      <c r="EE533">
        <v>0.1</v>
      </c>
      <c r="EF533">
        <v>0.1</v>
      </c>
    </row>
    <row r="534" spans="71:136" x14ac:dyDescent="0.25">
      <c r="BS534">
        <v>531</v>
      </c>
      <c r="BT534" s="2"/>
      <c r="BU534" s="2"/>
      <c r="BV534" s="2"/>
      <c r="BW534" s="2"/>
      <c r="BX534" s="2"/>
      <c r="BY534">
        <v>0.1</v>
      </c>
      <c r="BZ534">
        <v>0.1</v>
      </c>
      <c r="CA534">
        <v>0.1</v>
      </c>
      <c r="CB534">
        <v>0.1</v>
      </c>
      <c r="CC534">
        <v>0.1</v>
      </c>
      <c r="CD534">
        <v>0.1</v>
      </c>
      <c r="CE534">
        <v>0.1</v>
      </c>
      <c r="CF534">
        <v>0.1</v>
      </c>
      <c r="CG534">
        <v>0.1</v>
      </c>
      <c r="CH534">
        <v>0.1</v>
      </c>
      <c r="CI534">
        <v>0.1</v>
      </c>
      <c r="CJ534">
        <v>0.1</v>
      </c>
      <c r="CK534">
        <v>0.1</v>
      </c>
      <c r="CL534">
        <v>0.1</v>
      </c>
      <c r="CM534">
        <v>0.1</v>
      </c>
      <c r="CN534">
        <v>0.1</v>
      </c>
      <c r="CO534">
        <v>0.1</v>
      </c>
      <c r="CP534">
        <v>0.1</v>
      </c>
      <c r="CQ534">
        <v>0.1</v>
      </c>
      <c r="CR534">
        <v>0.1</v>
      </c>
      <c r="CS534">
        <v>0.1</v>
      </c>
      <c r="CT534">
        <v>0.1</v>
      </c>
      <c r="CU534">
        <v>0.1</v>
      </c>
      <c r="CV534">
        <v>0.1</v>
      </c>
      <c r="CW534">
        <v>0.1</v>
      </c>
      <c r="CX534">
        <v>0.1</v>
      </c>
      <c r="CY534">
        <v>0.1</v>
      </c>
      <c r="CZ534">
        <v>0.1</v>
      </c>
      <c r="DA534">
        <v>0.1</v>
      </c>
      <c r="DB534">
        <v>0.1</v>
      </c>
      <c r="DC534">
        <v>0.1</v>
      </c>
      <c r="DD534">
        <v>0.1</v>
      </c>
      <c r="DE534">
        <v>0.1</v>
      </c>
      <c r="DF534">
        <v>0.1</v>
      </c>
      <c r="DG534">
        <v>0.1</v>
      </c>
      <c r="DH534">
        <v>0.1</v>
      </c>
      <c r="DI534">
        <v>0.1</v>
      </c>
      <c r="DJ534">
        <v>0.1</v>
      </c>
      <c r="DK534">
        <v>0.1</v>
      </c>
      <c r="DL534">
        <v>0.1</v>
      </c>
      <c r="DM534">
        <v>0.1</v>
      </c>
      <c r="DN534">
        <v>0.1</v>
      </c>
      <c r="DO534">
        <v>0.1</v>
      </c>
      <c r="DP534">
        <v>0.1</v>
      </c>
      <c r="DQ534">
        <v>0.1</v>
      </c>
      <c r="DR534">
        <v>0.1</v>
      </c>
      <c r="DS534">
        <v>0.1</v>
      </c>
      <c r="DT534">
        <v>0.1</v>
      </c>
      <c r="DU534">
        <v>0.1</v>
      </c>
      <c r="DV534">
        <v>0.1</v>
      </c>
      <c r="DW534">
        <v>0.1</v>
      </c>
      <c r="DX534">
        <v>0.1</v>
      </c>
      <c r="DY534">
        <v>0.1</v>
      </c>
      <c r="DZ534">
        <v>0.1</v>
      </c>
      <c r="EA534">
        <v>0.1</v>
      </c>
      <c r="EB534">
        <v>0.1</v>
      </c>
      <c r="EC534">
        <v>0.1</v>
      </c>
      <c r="ED534">
        <v>0.1</v>
      </c>
      <c r="EE534">
        <v>0.1</v>
      </c>
      <c r="EF534">
        <v>0.1</v>
      </c>
    </row>
    <row r="535" spans="71:136" x14ac:dyDescent="0.25">
      <c r="BS535">
        <v>532</v>
      </c>
      <c r="BT535" s="2"/>
      <c r="BU535" s="2"/>
      <c r="BV535" s="2"/>
      <c r="BW535" s="2"/>
      <c r="BX535" s="2"/>
      <c r="BY535">
        <v>0.1</v>
      </c>
      <c r="BZ535">
        <v>0.1</v>
      </c>
      <c r="CA535">
        <v>0.1</v>
      </c>
      <c r="CB535">
        <v>0.1</v>
      </c>
      <c r="CC535">
        <v>0.1</v>
      </c>
      <c r="CD535">
        <v>0.1</v>
      </c>
      <c r="CE535">
        <v>0.1</v>
      </c>
      <c r="CF535">
        <v>0.1</v>
      </c>
      <c r="CG535">
        <v>0.1</v>
      </c>
      <c r="CH535">
        <v>0.1</v>
      </c>
      <c r="CI535">
        <v>0.1</v>
      </c>
      <c r="CJ535">
        <v>0.1</v>
      </c>
      <c r="CK535">
        <v>0.1</v>
      </c>
      <c r="CL535">
        <v>0.1</v>
      </c>
      <c r="CM535">
        <v>0.1</v>
      </c>
      <c r="CN535">
        <v>0.1</v>
      </c>
      <c r="CO535">
        <v>0.1</v>
      </c>
      <c r="CP535">
        <v>0.1</v>
      </c>
      <c r="CQ535">
        <v>0.1</v>
      </c>
      <c r="CR535">
        <v>0.1</v>
      </c>
      <c r="CS535">
        <v>0.1</v>
      </c>
      <c r="CT535">
        <v>0.1</v>
      </c>
      <c r="CU535">
        <v>0.1</v>
      </c>
      <c r="CV535">
        <v>0.1</v>
      </c>
      <c r="CW535">
        <v>0.1</v>
      </c>
      <c r="CX535">
        <v>0.1</v>
      </c>
      <c r="CY535">
        <v>0.1</v>
      </c>
      <c r="CZ535">
        <v>0.1</v>
      </c>
      <c r="DA535">
        <v>0.1</v>
      </c>
      <c r="DB535">
        <v>0.1</v>
      </c>
      <c r="DC535">
        <v>0.1</v>
      </c>
      <c r="DD535">
        <v>0.1</v>
      </c>
      <c r="DE535">
        <v>0.1</v>
      </c>
      <c r="DF535">
        <v>0.1</v>
      </c>
      <c r="DG535">
        <v>0.1</v>
      </c>
      <c r="DH535">
        <v>0.1</v>
      </c>
      <c r="DI535">
        <v>0.1</v>
      </c>
      <c r="DJ535">
        <v>0.1</v>
      </c>
      <c r="DK535">
        <v>0.1</v>
      </c>
      <c r="DL535">
        <v>0.1</v>
      </c>
      <c r="DM535">
        <v>0.1</v>
      </c>
      <c r="DN535">
        <v>0.1</v>
      </c>
      <c r="DO535">
        <v>0.1</v>
      </c>
      <c r="DP535">
        <v>0.1</v>
      </c>
      <c r="DQ535">
        <v>0.1</v>
      </c>
      <c r="DR535">
        <v>0.1</v>
      </c>
      <c r="DS535">
        <v>0.1</v>
      </c>
      <c r="DT535">
        <v>0.1</v>
      </c>
      <c r="DU535">
        <v>0.1</v>
      </c>
      <c r="DV535">
        <v>0.1</v>
      </c>
      <c r="DW535">
        <v>0.1</v>
      </c>
      <c r="DX535">
        <v>0.1</v>
      </c>
      <c r="DY535">
        <v>0.1</v>
      </c>
      <c r="DZ535">
        <v>0.1</v>
      </c>
      <c r="EA535">
        <v>0.1</v>
      </c>
      <c r="EB535">
        <v>0.1</v>
      </c>
      <c r="EC535">
        <v>0.1</v>
      </c>
      <c r="ED535">
        <v>0.1</v>
      </c>
      <c r="EE535">
        <v>0.1</v>
      </c>
      <c r="EF535">
        <v>0.1</v>
      </c>
    </row>
    <row r="536" spans="71:136" x14ac:dyDescent="0.25">
      <c r="BS536">
        <v>533</v>
      </c>
      <c r="BT536" s="2"/>
      <c r="BU536" s="2"/>
      <c r="BV536" s="2"/>
      <c r="BW536" s="2"/>
      <c r="BX536" s="2"/>
      <c r="BY536">
        <v>0.1</v>
      </c>
      <c r="BZ536">
        <v>0.1</v>
      </c>
      <c r="CA536">
        <v>0.1</v>
      </c>
      <c r="CB536">
        <v>0.1</v>
      </c>
      <c r="CC536">
        <v>0.1</v>
      </c>
      <c r="CD536">
        <v>0.1</v>
      </c>
      <c r="CE536">
        <v>0.1</v>
      </c>
      <c r="CF536">
        <v>0.1</v>
      </c>
      <c r="CG536">
        <v>0.1</v>
      </c>
      <c r="CH536">
        <v>0.1</v>
      </c>
      <c r="CI536">
        <v>0.1</v>
      </c>
      <c r="CJ536">
        <v>0.1</v>
      </c>
      <c r="CK536">
        <v>0.1</v>
      </c>
      <c r="CL536">
        <v>0.1</v>
      </c>
      <c r="CM536">
        <v>0.1</v>
      </c>
      <c r="CN536">
        <v>0.1</v>
      </c>
      <c r="CO536">
        <v>0.1</v>
      </c>
      <c r="CP536">
        <v>0.1</v>
      </c>
      <c r="CQ536">
        <v>0.1</v>
      </c>
      <c r="CR536">
        <v>0.1</v>
      </c>
      <c r="CS536">
        <v>0.1</v>
      </c>
      <c r="CT536">
        <v>0.1</v>
      </c>
      <c r="CU536">
        <v>0.1</v>
      </c>
      <c r="CV536">
        <v>0.1</v>
      </c>
      <c r="CW536">
        <v>0.1</v>
      </c>
      <c r="CX536">
        <v>0.1</v>
      </c>
      <c r="CY536">
        <v>0.1</v>
      </c>
      <c r="CZ536">
        <v>0.1</v>
      </c>
      <c r="DA536">
        <v>0.1</v>
      </c>
      <c r="DB536">
        <v>0.1</v>
      </c>
      <c r="DC536">
        <v>0.1</v>
      </c>
      <c r="DD536">
        <v>0.1</v>
      </c>
      <c r="DE536">
        <v>0.1</v>
      </c>
      <c r="DF536">
        <v>0.1</v>
      </c>
      <c r="DG536">
        <v>0.1</v>
      </c>
      <c r="DH536">
        <v>0.1</v>
      </c>
      <c r="DI536">
        <v>0.1</v>
      </c>
      <c r="DJ536">
        <v>0.1</v>
      </c>
      <c r="DK536">
        <v>0.1</v>
      </c>
      <c r="DL536">
        <v>0.1</v>
      </c>
      <c r="DM536">
        <v>0.1</v>
      </c>
      <c r="DN536">
        <v>0.1</v>
      </c>
      <c r="DO536">
        <v>0.1</v>
      </c>
      <c r="DP536">
        <v>0.1</v>
      </c>
      <c r="DQ536">
        <v>0.1</v>
      </c>
      <c r="DR536">
        <v>0.1</v>
      </c>
      <c r="DS536">
        <v>0.1</v>
      </c>
      <c r="DT536">
        <v>0.1</v>
      </c>
      <c r="DU536">
        <v>0.1</v>
      </c>
      <c r="DV536">
        <v>0.1</v>
      </c>
      <c r="DW536">
        <v>0.1</v>
      </c>
      <c r="DX536">
        <v>0.1</v>
      </c>
      <c r="DY536">
        <v>0.1</v>
      </c>
      <c r="DZ536">
        <v>0.1</v>
      </c>
      <c r="EA536">
        <v>0.1</v>
      </c>
      <c r="EB536">
        <v>0.1</v>
      </c>
      <c r="EC536">
        <v>0.1</v>
      </c>
      <c r="ED536">
        <v>0.1</v>
      </c>
      <c r="EE536">
        <v>0.1</v>
      </c>
      <c r="EF536">
        <v>0.1</v>
      </c>
    </row>
    <row r="537" spans="71:136" x14ac:dyDescent="0.25">
      <c r="BS537">
        <v>534</v>
      </c>
      <c r="BT537" s="2"/>
      <c r="BU537" s="2"/>
      <c r="BV537" s="2"/>
      <c r="BW537" s="2"/>
      <c r="BX537" s="2"/>
      <c r="BY537">
        <v>0.1</v>
      </c>
      <c r="BZ537">
        <v>0.1</v>
      </c>
      <c r="CA537">
        <v>0.1</v>
      </c>
      <c r="CB537">
        <v>0.1</v>
      </c>
      <c r="CC537">
        <v>0.1</v>
      </c>
      <c r="CD537">
        <v>0.1</v>
      </c>
      <c r="CE537">
        <v>0.1</v>
      </c>
      <c r="CF537">
        <v>0.1</v>
      </c>
      <c r="CG537">
        <v>0.1</v>
      </c>
      <c r="CH537">
        <v>0.1</v>
      </c>
      <c r="CI537">
        <v>0.1</v>
      </c>
      <c r="CJ537">
        <v>0.1</v>
      </c>
      <c r="CK537">
        <v>0.1</v>
      </c>
      <c r="CL537">
        <v>0.1</v>
      </c>
      <c r="CM537">
        <v>0.1</v>
      </c>
      <c r="CN537">
        <v>0.1</v>
      </c>
      <c r="CO537">
        <v>0.1</v>
      </c>
      <c r="CP537">
        <v>0.1</v>
      </c>
      <c r="CQ537">
        <v>0.1</v>
      </c>
      <c r="CR537">
        <v>0.1</v>
      </c>
      <c r="CS537">
        <v>0.1</v>
      </c>
      <c r="CT537">
        <v>0.1</v>
      </c>
      <c r="CU537">
        <v>0.1</v>
      </c>
      <c r="CV537">
        <v>0.1</v>
      </c>
      <c r="CW537">
        <v>0.1</v>
      </c>
      <c r="CX537">
        <v>0.1</v>
      </c>
      <c r="CY537">
        <v>0.1</v>
      </c>
      <c r="CZ537">
        <v>0.1</v>
      </c>
      <c r="DA537">
        <v>0.1</v>
      </c>
      <c r="DB537">
        <v>0.1</v>
      </c>
      <c r="DC537">
        <v>0.1</v>
      </c>
      <c r="DD537">
        <v>0.1</v>
      </c>
      <c r="DE537">
        <v>0.1</v>
      </c>
      <c r="DF537">
        <v>0.1</v>
      </c>
      <c r="DG537">
        <v>0.1</v>
      </c>
      <c r="DH537">
        <v>0.1</v>
      </c>
      <c r="DI537">
        <v>0.1</v>
      </c>
      <c r="DJ537">
        <v>0.1</v>
      </c>
      <c r="DK537">
        <v>0.1</v>
      </c>
      <c r="DL537">
        <v>0.1</v>
      </c>
      <c r="DM537">
        <v>0.1</v>
      </c>
      <c r="DN537">
        <v>0.1</v>
      </c>
      <c r="DO537">
        <v>0.1</v>
      </c>
      <c r="DP537">
        <v>0.1</v>
      </c>
      <c r="DQ537">
        <v>0.1</v>
      </c>
      <c r="DR537">
        <v>0.1</v>
      </c>
      <c r="DS537">
        <v>0.1</v>
      </c>
      <c r="DT537">
        <v>0.1</v>
      </c>
      <c r="DU537">
        <v>0.1</v>
      </c>
      <c r="DV537">
        <v>0.1</v>
      </c>
      <c r="DW537">
        <v>0.1</v>
      </c>
      <c r="DX537">
        <v>0.1</v>
      </c>
      <c r="DY537">
        <v>0.1</v>
      </c>
      <c r="DZ537">
        <v>0.1</v>
      </c>
      <c r="EA537">
        <v>0.1</v>
      </c>
      <c r="EB537">
        <v>0.1</v>
      </c>
      <c r="EC537">
        <v>0.1</v>
      </c>
      <c r="ED537">
        <v>0.1</v>
      </c>
      <c r="EE537">
        <v>0.1</v>
      </c>
      <c r="EF537">
        <v>0.1</v>
      </c>
    </row>
    <row r="538" spans="71:136" x14ac:dyDescent="0.25">
      <c r="BS538">
        <v>535</v>
      </c>
      <c r="BT538" s="2"/>
      <c r="BU538" s="2"/>
      <c r="BV538" s="2"/>
      <c r="BW538" s="2"/>
      <c r="BX538" s="2"/>
      <c r="BY538">
        <v>0.1</v>
      </c>
      <c r="BZ538">
        <v>0.1</v>
      </c>
      <c r="CA538">
        <v>0.1</v>
      </c>
      <c r="CB538">
        <v>0.1</v>
      </c>
      <c r="CC538">
        <v>0.1</v>
      </c>
      <c r="CD538">
        <v>0.1</v>
      </c>
      <c r="CE538">
        <v>0.1</v>
      </c>
      <c r="CF538">
        <v>0.1</v>
      </c>
      <c r="CG538">
        <v>0.1</v>
      </c>
      <c r="CH538">
        <v>0.1</v>
      </c>
      <c r="CI538">
        <v>0.1</v>
      </c>
      <c r="CJ538">
        <v>0.1</v>
      </c>
      <c r="CK538">
        <v>0.1</v>
      </c>
      <c r="CL538">
        <v>0.1</v>
      </c>
      <c r="CM538">
        <v>0.1</v>
      </c>
      <c r="CN538">
        <v>0.1</v>
      </c>
      <c r="CO538">
        <v>0.1</v>
      </c>
      <c r="CP538">
        <v>0.1</v>
      </c>
      <c r="CQ538">
        <v>0.1</v>
      </c>
      <c r="CR538">
        <v>0.1</v>
      </c>
      <c r="CS538">
        <v>0.1</v>
      </c>
      <c r="CT538">
        <v>0.1</v>
      </c>
      <c r="CU538">
        <v>0.1</v>
      </c>
      <c r="CV538">
        <v>0.1</v>
      </c>
      <c r="CW538">
        <v>0.1</v>
      </c>
      <c r="CX538">
        <v>0.1</v>
      </c>
      <c r="CY538">
        <v>0.1</v>
      </c>
      <c r="CZ538">
        <v>0.1</v>
      </c>
      <c r="DA538">
        <v>0.1</v>
      </c>
      <c r="DB538">
        <v>0.1</v>
      </c>
      <c r="DC538">
        <v>0.1</v>
      </c>
      <c r="DD538">
        <v>0.1</v>
      </c>
      <c r="DE538">
        <v>0.1</v>
      </c>
      <c r="DF538">
        <v>0.1</v>
      </c>
      <c r="DG538">
        <v>0.1</v>
      </c>
      <c r="DH538">
        <v>0.1</v>
      </c>
      <c r="DI538">
        <v>0.1</v>
      </c>
      <c r="DJ538">
        <v>0.1</v>
      </c>
      <c r="DK538">
        <v>0.1</v>
      </c>
      <c r="DL538">
        <v>0.1</v>
      </c>
      <c r="DM538">
        <v>0.1</v>
      </c>
      <c r="DN538">
        <v>0.1</v>
      </c>
      <c r="DO538">
        <v>0.1</v>
      </c>
      <c r="DP538">
        <v>0.1</v>
      </c>
      <c r="DQ538">
        <v>0.1</v>
      </c>
      <c r="DR538">
        <v>0.1</v>
      </c>
      <c r="DS538">
        <v>0.1</v>
      </c>
      <c r="DT538">
        <v>0.1</v>
      </c>
      <c r="DU538">
        <v>0.1</v>
      </c>
      <c r="DV538">
        <v>0.1</v>
      </c>
      <c r="DW538">
        <v>0.1</v>
      </c>
      <c r="DX538">
        <v>0.1</v>
      </c>
      <c r="DY538">
        <v>0.1</v>
      </c>
      <c r="DZ538">
        <v>0.1</v>
      </c>
      <c r="EA538">
        <v>0.1</v>
      </c>
      <c r="EB538">
        <v>0.1</v>
      </c>
      <c r="EC538">
        <v>0.1</v>
      </c>
      <c r="ED538">
        <v>0.1</v>
      </c>
      <c r="EE538">
        <v>0.1</v>
      </c>
      <c r="EF538">
        <v>0.1</v>
      </c>
    </row>
    <row r="539" spans="71:136" x14ac:dyDescent="0.25">
      <c r="BS539">
        <v>536</v>
      </c>
      <c r="BT539" s="2"/>
      <c r="BU539" s="2"/>
      <c r="BV539" s="2"/>
      <c r="BW539" s="2"/>
      <c r="BX539" s="2"/>
      <c r="BY539">
        <v>0.1</v>
      </c>
      <c r="BZ539">
        <v>0.1</v>
      </c>
      <c r="CA539">
        <v>0.1</v>
      </c>
      <c r="CB539">
        <v>0.1</v>
      </c>
      <c r="CC539">
        <v>0.1</v>
      </c>
      <c r="CD539">
        <v>0.1</v>
      </c>
      <c r="CE539">
        <v>0.1</v>
      </c>
      <c r="CF539">
        <v>0.1</v>
      </c>
      <c r="CG539">
        <v>0.1</v>
      </c>
      <c r="CH539">
        <v>0.1</v>
      </c>
      <c r="CI539">
        <v>0.1</v>
      </c>
      <c r="CJ539">
        <v>0.1</v>
      </c>
      <c r="CK539">
        <v>0.1</v>
      </c>
      <c r="CL539">
        <v>0.1</v>
      </c>
      <c r="CM539">
        <v>0.1</v>
      </c>
      <c r="CN539">
        <v>0.1</v>
      </c>
      <c r="CO539">
        <v>0.1</v>
      </c>
      <c r="CP539">
        <v>0.1</v>
      </c>
      <c r="CQ539">
        <v>0.1</v>
      </c>
      <c r="CR539">
        <v>0.1</v>
      </c>
      <c r="CS539">
        <v>0.1</v>
      </c>
      <c r="CT539">
        <v>0.1</v>
      </c>
      <c r="CU539">
        <v>0.1</v>
      </c>
      <c r="CV539">
        <v>0.1</v>
      </c>
      <c r="CW539">
        <v>0.1</v>
      </c>
      <c r="CX539">
        <v>0.1</v>
      </c>
      <c r="CY539">
        <v>0.1</v>
      </c>
      <c r="CZ539">
        <v>0.1</v>
      </c>
      <c r="DA539">
        <v>0.1</v>
      </c>
      <c r="DB539">
        <v>0.1</v>
      </c>
      <c r="DC539">
        <v>0.1</v>
      </c>
      <c r="DD539">
        <v>0.1</v>
      </c>
      <c r="DE539">
        <v>0.1</v>
      </c>
      <c r="DF539">
        <v>0.1</v>
      </c>
      <c r="DG539">
        <v>0.1</v>
      </c>
      <c r="DH539">
        <v>0.1</v>
      </c>
      <c r="DI539">
        <v>0.1</v>
      </c>
      <c r="DJ539">
        <v>0.1</v>
      </c>
      <c r="DK539">
        <v>0.1</v>
      </c>
      <c r="DL539">
        <v>0.1</v>
      </c>
      <c r="DM539">
        <v>0.1</v>
      </c>
      <c r="DN539">
        <v>0.1</v>
      </c>
      <c r="DO539">
        <v>0.1</v>
      </c>
      <c r="DP539">
        <v>0.1</v>
      </c>
      <c r="DQ539">
        <v>0.1</v>
      </c>
      <c r="DR539">
        <v>0.1</v>
      </c>
      <c r="DS539">
        <v>0.1</v>
      </c>
      <c r="DT539">
        <v>0.1</v>
      </c>
      <c r="DU539">
        <v>0.1</v>
      </c>
      <c r="DV539">
        <v>0.1</v>
      </c>
      <c r="DW539">
        <v>0.1</v>
      </c>
      <c r="DX539">
        <v>0.1</v>
      </c>
      <c r="DY539">
        <v>0.1</v>
      </c>
      <c r="DZ539">
        <v>0.1</v>
      </c>
      <c r="EA539">
        <v>0.1</v>
      </c>
      <c r="EB539">
        <v>0.1</v>
      </c>
      <c r="EC539">
        <v>0.1</v>
      </c>
      <c r="ED539">
        <v>0.1</v>
      </c>
      <c r="EE539">
        <v>0.1</v>
      </c>
      <c r="EF539">
        <v>0.1</v>
      </c>
    </row>
    <row r="540" spans="71:136" x14ac:dyDescent="0.25">
      <c r="BS540">
        <v>537</v>
      </c>
      <c r="BT540" s="2"/>
      <c r="BU540" s="2"/>
      <c r="BV540" s="2"/>
      <c r="BW540" s="2"/>
      <c r="BX540" s="2"/>
      <c r="BY540">
        <v>0.1</v>
      </c>
      <c r="BZ540">
        <v>0.1</v>
      </c>
      <c r="CA540">
        <v>0.1</v>
      </c>
      <c r="CB540">
        <v>0.1</v>
      </c>
      <c r="CC540">
        <v>0.1</v>
      </c>
      <c r="CD540">
        <v>0.1</v>
      </c>
      <c r="CE540">
        <v>0.1</v>
      </c>
      <c r="CF540">
        <v>0.1</v>
      </c>
      <c r="CG540">
        <v>0.1</v>
      </c>
      <c r="CH540">
        <v>0.1</v>
      </c>
      <c r="CI540">
        <v>0.1</v>
      </c>
      <c r="CJ540">
        <v>0.1</v>
      </c>
      <c r="CK540">
        <v>0.1</v>
      </c>
      <c r="CL540">
        <v>0.1</v>
      </c>
      <c r="CM540">
        <v>0.1</v>
      </c>
      <c r="CN540">
        <v>0.1</v>
      </c>
      <c r="CO540">
        <v>0.1</v>
      </c>
      <c r="CP540">
        <v>0.1</v>
      </c>
      <c r="CQ540">
        <v>0.1</v>
      </c>
      <c r="CR540">
        <v>0.1</v>
      </c>
      <c r="CS540">
        <v>0.1</v>
      </c>
      <c r="CT540">
        <v>0.1</v>
      </c>
      <c r="CU540">
        <v>0.1</v>
      </c>
      <c r="CV540">
        <v>0.1</v>
      </c>
      <c r="CW540">
        <v>0.1</v>
      </c>
      <c r="CX540">
        <v>0.1</v>
      </c>
      <c r="CY540">
        <v>0.1</v>
      </c>
      <c r="CZ540">
        <v>0.1</v>
      </c>
      <c r="DA540">
        <v>0.1</v>
      </c>
      <c r="DB540">
        <v>0.1</v>
      </c>
      <c r="DC540">
        <v>0.1</v>
      </c>
      <c r="DD540">
        <v>0.1</v>
      </c>
      <c r="DE540">
        <v>0.1</v>
      </c>
      <c r="DF540">
        <v>0.1</v>
      </c>
      <c r="DG540">
        <v>0.1</v>
      </c>
      <c r="DH540">
        <v>0.1</v>
      </c>
      <c r="DI540">
        <v>0.1</v>
      </c>
      <c r="DJ540">
        <v>0.1</v>
      </c>
      <c r="DK540">
        <v>0.1</v>
      </c>
      <c r="DL540">
        <v>0.1</v>
      </c>
      <c r="DM540">
        <v>0.1</v>
      </c>
      <c r="DN540">
        <v>0.1</v>
      </c>
      <c r="DO540">
        <v>0.1</v>
      </c>
      <c r="DP540">
        <v>0.1</v>
      </c>
      <c r="DQ540">
        <v>0.1</v>
      </c>
      <c r="DR540">
        <v>0.1</v>
      </c>
      <c r="DS540">
        <v>0.1</v>
      </c>
      <c r="DT540">
        <v>0.1</v>
      </c>
      <c r="DU540">
        <v>0.1</v>
      </c>
      <c r="DV540">
        <v>0.1</v>
      </c>
      <c r="DW540">
        <v>0.1</v>
      </c>
      <c r="DX540">
        <v>0.1</v>
      </c>
      <c r="DY540">
        <v>0.1</v>
      </c>
      <c r="DZ540">
        <v>0.1</v>
      </c>
      <c r="EA540">
        <v>0.1</v>
      </c>
      <c r="EB540">
        <v>0.1</v>
      </c>
      <c r="EC540">
        <v>0.1</v>
      </c>
      <c r="ED540">
        <v>0.1</v>
      </c>
      <c r="EE540">
        <v>0.1</v>
      </c>
      <c r="EF540">
        <v>0.1</v>
      </c>
    </row>
    <row r="541" spans="71:136" x14ac:dyDescent="0.25">
      <c r="BS541">
        <v>538</v>
      </c>
      <c r="BT541" s="2"/>
      <c r="BU541" s="2"/>
      <c r="BV541" s="2"/>
      <c r="BW541" s="2"/>
      <c r="BX541" s="2"/>
      <c r="BY541">
        <v>0.1</v>
      </c>
      <c r="BZ541">
        <v>0.1</v>
      </c>
      <c r="CA541">
        <v>0.1</v>
      </c>
      <c r="CB541">
        <v>0.1</v>
      </c>
      <c r="CC541">
        <v>0.1</v>
      </c>
      <c r="CD541">
        <v>0.1</v>
      </c>
      <c r="CE541">
        <v>0.1</v>
      </c>
      <c r="CF541">
        <v>0.1</v>
      </c>
      <c r="CG541">
        <v>0.1</v>
      </c>
      <c r="CH541">
        <v>0.1</v>
      </c>
      <c r="CI541">
        <v>0.1</v>
      </c>
      <c r="CJ541">
        <v>0.1</v>
      </c>
      <c r="CK541">
        <v>0.1</v>
      </c>
      <c r="CL541">
        <v>0.1</v>
      </c>
      <c r="CM541">
        <v>0.1</v>
      </c>
      <c r="CN541">
        <v>0.1</v>
      </c>
      <c r="CO541">
        <v>0.1</v>
      </c>
      <c r="CP541">
        <v>0.1</v>
      </c>
      <c r="CQ541">
        <v>0.1</v>
      </c>
      <c r="CR541">
        <v>0.1</v>
      </c>
      <c r="CS541">
        <v>0.1</v>
      </c>
      <c r="CT541">
        <v>0.1</v>
      </c>
      <c r="CU541">
        <v>0.1</v>
      </c>
      <c r="CV541">
        <v>0.1</v>
      </c>
      <c r="CW541">
        <v>0.1</v>
      </c>
      <c r="CX541">
        <v>0.1</v>
      </c>
      <c r="CY541">
        <v>0.1</v>
      </c>
      <c r="CZ541">
        <v>0.1</v>
      </c>
      <c r="DA541">
        <v>0.1</v>
      </c>
      <c r="DB541">
        <v>0.1</v>
      </c>
      <c r="DC541">
        <v>0.1</v>
      </c>
      <c r="DD541">
        <v>0.1</v>
      </c>
      <c r="DE541">
        <v>0.1</v>
      </c>
      <c r="DF541">
        <v>0.1</v>
      </c>
      <c r="DG541">
        <v>0.1</v>
      </c>
      <c r="DH541">
        <v>0.1</v>
      </c>
      <c r="DI541">
        <v>0.1</v>
      </c>
      <c r="DJ541">
        <v>0.1</v>
      </c>
      <c r="DK541">
        <v>0.1</v>
      </c>
      <c r="DL541">
        <v>0.1</v>
      </c>
      <c r="DM541">
        <v>0.1</v>
      </c>
      <c r="DN541">
        <v>0.1</v>
      </c>
      <c r="DO541">
        <v>0.1</v>
      </c>
      <c r="DP541">
        <v>0.1</v>
      </c>
      <c r="DQ541">
        <v>0.1</v>
      </c>
      <c r="DR541">
        <v>0.1</v>
      </c>
      <c r="DS541">
        <v>0.1</v>
      </c>
      <c r="DT541">
        <v>0.1</v>
      </c>
      <c r="DU541">
        <v>0.1</v>
      </c>
      <c r="DV541">
        <v>0.1</v>
      </c>
      <c r="DW541">
        <v>0.1</v>
      </c>
      <c r="DX541">
        <v>0.1</v>
      </c>
      <c r="DY541">
        <v>0.1</v>
      </c>
      <c r="DZ541">
        <v>0.1</v>
      </c>
      <c r="EA541">
        <v>0.1</v>
      </c>
      <c r="EB541">
        <v>0.1</v>
      </c>
      <c r="EC541">
        <v>0.1</v>
      </c>
      <c r="ED541">
        <v>0.1</v>
      </c>
      <c r="EE541">
        <v>0.1</v>
      </c>
      <c r="EF541">
        <v>0.1</v>
      </c>
    </row>
    <row r="542" spans="71:136" x14ac:dyDescent="0.25">
      <c r="BS542">
        <v>539</v>
      </c>
      <c r="BT542" s="2"/>
      <c r="BU542" s="2"/>
      <c r="BV542" s="2"/>
      <c r="BW542" s="2"/>
      <c r="BX542" s="2"/>
      <c r="BY542">
        <v>0.1</v>
      </c>
      <c r="BZ542">
        <v>0.1</v>
      </c>
      <c r="CA542">
        <v>0.1</v>
      </c>
      <c r="CB542">
        <v>0.1</v>
      </c>
      <c r="CC542">
        <v>0.1</v>
      </c>
      <c r="CD542">
        <v>0.1</v>
      </c>
      <c r="CE542">
        <v>0.1</v>
      </c>
      <c r="CF542">
        <v>0.1</v>
      </c>
      <c r="CG542">
        <v>0.1</v>
      </c>
      <c r="CH542">
        <v>0.1</v>
      </c>
      <c r="CI542">
        <v>0.1</v>
      </c>
      <c r="CJ542">
        <v>0.1</v>
      </c>
      <c r="CK542">
        <v>0.1</v>
      </c>
      <c r="CL542">
        <v>0.1</v>
      </c>
      <c r="CM542">
        <v>0.1</v>
      </c>
      <c r="CN542">
        <v>0.1</v>
      </c>
      <c r="CO542">
        <v>0.1</v>
      </c>
      <c r="CP542">
        <v>0.1</v>
      </c>
      <c r="CQ542">
        <v>0.1</v>
      </c>
      <c r="CR542">
        <v>0.1</v>
      </c>
      <c r="CS542">
        <v>0.1</v>
      </c>
      <c r="CT542">
        <v>0.1</v>
      </c>
      <c r="CU542">
        <v>0.1</v>
      </c>
      <c r="CV542">
        <v>0.1</v>
      </c>
      <c r="CW542">
        <v>0.1</v>
      </c>
      <c r="CX542">
        <v>0.1</v>
      </c>
      <c r="CY542">
        <v>0.1</v>
      </c>
      <c r="CZ542">
        <v>0.1</v>
      </c>
      <c r="DA542">
        <v>0.1</v>
      </c>
      <c r="DB542">
        <v>0.1</v>
      </c>
      <c r="DC542">
        <v>0.1</v>
      </c>
      <c r="DD542">
        <v>0.1</v>
      </c>
      <c r="DE542">
        <v>0.1</v>
      </c>
      <c r="DF542">
        <v>0.1</v>
      </c>
      <c r="DG542">
        <v>0.1</v>
      </c>
      <c r="DH542">
        <v>0.1</v>
      </c>
      <c r="DI542">
        <v>0.1</v>
      </c>
      <c r="DJ542">
        <v>0.1</v>
      </c>
      <c r="DK542">
        <v>0.1</v>
      </c>
      <c r="DL542">
        <v>0.1</v>
      </c>
      <c r="DM542">
        <v>0.1</v>
      </c>
      <c r="DN542">
        <v>0.1</v>
      </c>
      <c r="DO542">
        <v>0.1</v>
      </c>
      <c r="DP542">
        <v>0.1</v>
      </c>
      <c r="DQ542">
        <v>0.1</v>
      </c>
      <c r="DR542">
        <v>0.1</v>
      </c>
      <c r="DS542">
        <v>0.1</v>
      </c>
      <c r="DT542">
        <v>0.1</v>
      </c>
      <c r="DU542">
        <v>0.1</v>
      </c>
      <c r="DV542">
        <v>0.1</v>
      </c>
      <c r="DW542">
        <v>0.1</v>
      </c>
      <c r="DX542">
        <v>0.1</v>
      </c>
      <c r="DY542">
        <v>0.1</v>
      </c>
      <c r="DZ542">
        <v>0.1</v>
      </c>
      <c r="EA542">
        <v>0.1</v>
      </c>
      <c r="EB542">
        <v>0.1</v>
      </c>
      <c r="EC542">
        <v>0.1</v>
      </c>
      <c r="ED542">
        <v>0.1</v>
      </c>
      <c r="EE542">
        <v>0.1</v>
      </c>
      <c r="EF542">
        <v>0.1</v>
      </c>
    </row>
    <row r="543" spans="71:136" x14ac:dyDescent="0.25">
      <c r="BS543">
        <v>540</v>
      </c>
      <c r="BT543" s="2"/>
      <c r="BU543" s="2"/>
      <c r="BV543" s="2"/>
      <c r="BW543" s="2"/>
      <c r="BX543" s="2"/>
      <c r="BY543">
        <v>0.1</v>
      </c>
      <c r="BZ543">
        <v>0.1</v>
      </c>
      <c r="CA543">
        <v>0.1</v>
      </c>
      <c r="CB543">
        <v>0.1</v>
      </c>
      <c r="CC543">
        <v>0.1</v>
      </c>
      <c r="CD543">
        <v>0.1</v>
      </c>
      <c r="CE543">
        <v>0.1</v>
      </c>
      <c r="CF543">
        <v>0.1</v>
      </c>
      <c r="CG543">
        <v>0.1</v>
      </c>
      <c r="CH543">
        <v>0.1</v>
      </c>
      <c r="CI543">
        <v>0.1</v>
      </c>
      <c r="CJ543">
        <v>0.1</v>
      </c>
      <c r="CK543">
        <v>0.1</v>
      </c>
      <c r="CL543">
        <v>0.1</v>
      </c>
      <c r="CM543">
        <v>0.1</v>
      </c>
      <c r="CN543">
        <v>0.1</v>
      </c>
      <c r="CO543">
        <v>0.1</v>
      </c>
      <c r="CP543">
        <v>0.1</v>
      </c>
      <c r="CQ543">
        <v>0.1</v>
      </c>
      <c r="CR543">
        <v>0.1</v>
      </c>
      <c r="CS543">
        <v>0.1</v>
      </c>
      <c r="CT543">
        <v>0.1</v>
      </c>
      <c r="CU543">
        <v>0.1</v>
      </c>
      <c r="CV543">
        <v>0.1</v>
      </c>
      <c r="CW543">
        <v>0.1</v>
      </c>
      <c r="CX543">
        <v>0.1</v>
      </c>
      <c r="CY543">
        <v>0.1</v>
      </c>
      <c r="CZ543">
        <v>0.1</v>
      </c>
      <c r="DA543">
        <v>0.1</v>
      </c>
      <c r="DB543">
        <v>0.1</v>
      </c>
      <c r="DC543">
        <v>0.1</v>
      </c>
      <c r="DD543">
        <v>0.1</v>
      </c>
      <c r="DE543">
        <v>0.1</v>
      </c>
      <c r="DF543">
        <v>0.1</v>
      </c>
      <c r="DG543">
        <v>0.1</v>
      </c>
      <c r="DH543">
        <v>0.1</v>
      </c>
      <c r="DI543">
        <v>0.1</v>
      </c>
      <c r="DJ543">
        <v>0.1</v>
      </c>
      <c r="DK543">
        <v>0.1</v>
      </c>
      <c r="DL543">
        <v>0.1</v>
      </c>
      <c r="DM543">
        <v>0.1</v>
      </c>
      <c r="DN543">
        <v>0.1</v>
      </c>
      <c r="DO543">
        <v>0.1</v>
      </c>
      <c r="DP543">
        <v>0.1</v>
      </c>
      <c r="DQ543">
        <v>0.1</v>
      </c>
      <c r="DR543">
        <v>0.1</v>
      </c>
      <c r="DS543">
        <v>0.1</v>
      </c>
      <c r="DT543">
        <v>0.1</v>
      </c>
      <c r="DU543">
        <v>0.1</v>
      </c>
      <c r="DV543">
        <v>0.1</v>
      </c>
      <c r="DW543">
        <v>0.1</v>
      </c>
      <c r="DX543">
        <v>0.1</v>
      </c>
      <c r="DY543">
        <v>0.1</v>
      </c>
      <c r="DZ543">
        <v>0.1</v>
      </c>
      <c r="EA543">
        <v>0.1</v>
      </c>
      <c r="EB543">
        <v>0.1</v>
      </c>
      <c r="EC543">
        <v>0.1</v>
      </c>
      <c r="ED543">
        <v>0.1</v>
      </c>
      <c r="EE543">
        <v>0.1</v>
      </c>
      <c r="EF543">
        <v>0.1</v>
      </c>
    </row>
    <row r="544" spans="71:136" x14ac:dyDescent="0.25">
      <c r="BS544">
        <v>541</v>
      </c>
      <c r="BT544" s="2"/>
      <c r="BU544" s="2"/>
      <c r="BV544" s="2"/>
      <c r="BW544" s="2"/>
      <c r="BX544" s="2"/>
      <c r="BY544">
        <v>0.1</v>
      </c>
      <c r="BZ544">
        <v>0.1</v>
      </c>
      <c r="CA544">
        <v>0.1</v>
      </c>
      <c r="CB544">
        <v>0.1</v>
      </c>
      <c r="CC544">
        <v>0.1</v>
      </c>
      <c r="CD544">
        <v>0.1</v>
      </c>
      <c r="CE544">
        <v>0.1</v>
      </c>
      <c r="CF544">
        <v>0.1</v>
      </c>
      <c r="CG544">
        <v>0.1</v>
      </c>
      <c r="CH544">
        <v>0.1</v>
      </c>
      <c r="CI544">
        <v>0.1</v>
      </c>
      <c r="CJ544">
        <v>0.1</v>
      </c>
      <c r="CK544">
        <v>0.1</v>
      </c>
      <c r="CL544">
        <v>0.1</v>
      </c>
      <c r="CM544">
        <v>0.1</v>
      </c>
      <c r="CN544">
        <v>0.1</v>
      </c>
      <c r="CO544">
        <v>0.1</v>
      </c>
      <c r="CP544">
        <v>0.1</v>
      </c>
      <c r="CQ544">
        <v>0.1</v>
      </c>
      <c r="CR544">
        <v>0.1</v>
      </c>
      <c r="CS544">
        <v>0.1</v>
      </c>
      <c r="CT544">
        <v>0.1</v>
      </c>
      <c r="CU544">
        <v>0.1</v>
      </c>
      <c r="CV544">
        <v>0.1</v>
      </c>
      <c r="CW544">
        <v>0.1</v>
      </c>
      <c r="CX544">
        <v>0.1</v>
      </c>
      <c r="CY544">
        <v>0.1</v>
      </c>
      <c r="CZ544">
        <v>0.1</v>
      </c>
      <c r="DA544">
        <v>0.1</v>
      </c>
      <c r="DB544">
        <v>0.1</v>
      </c>
      <c r="DC544">
        <v>0.1</v>
      </c>
      <c r="DD544">
        <v>0.1</v>
      </c>
      <c r="DE544">
        <v>0.1</v>
      </c>
      <c r="DF544">
        <v>0.1</v>
      </c>
      <c r="DG544">
        <v>0.1</v>
      </c>
      <c r="DH544">
        <v>0.1</v>
      </c>
      <c r="DI544">
        <v>0.1</v>
      </c>
      <c r="DJ544">
        <v>0.1</v>
      </c>
      <c r="DK544">
        <v>0.1</v>
      </c>
      <c r="DL544">
        <v>0.1</v>
      </c>
      <c r="DM544">
        <v>0.1</v>
      </c>
      <c r="DN544">
        <v>0.1</v>
      </c>
      <c r="DO544">
        <v>0.1</v>
      </c>
      <c r="DP544">
        <v>0.1</v>
      </c>
      <c r="DQ544">
        <v>0.1</v>
      </c>
      <c r="DR544">
        <v>0.1</v>
      </c>
      <c r="DS544">
        <v>0.1</v>
      </c>
      <c r="DT544">
        <v>0.1</v>
      </c>
      <c r="DU544">
        <v>0.1</v>
      </c>
      <c r="DV544">
        <v>0.1</v>
      </c>
      <c r="DW544">
        <v>0.1</v>
      </c>
      <c r="DX544">
        <v>0.1</v>
      </c>
      <c r="DY544">
        <v>0.1</v>
      </c>
      <c r="DZ544">
        <v>0.1</v>
      </c>
      <c r="EA544">
        <v>0.1</v>
      </c>
      <c r="EB544">
        <v>0.1</v>
      </c>
      <c r="EC544">
        <v>0.1</v>
      </c>
      <c r="ED544">
        <v>0.1</v>
      </c>
      <c r="EE544">
        <v>0.1</v>
      </c>
      <c r="EF544">
        <v>0.1</v>
      </c>
    </row>
    <row r="545" spans="71:136" x14ac:dyDescent="0.25">
      <c r="BS545">
        <v>542</v>
      </c>
      <c r="BT545" s="2"/>
      <c r="BU545" s="2"/>
      <c r="BV545" s="2"/>
      <c r="BW545" s="2"/>
      <c r="BX545" s="2"/>
      <c r="BY545">
        <v>0.1</v>
      </c>
      <c r="BZ545">
        <v>0.1</v>
      </c>
      <c r="CA545">
        <v>0.1</v>
      </c>
      <c r="CB545">
        <v>0.1</v>
      </c>
      <c r="CC545">
        <v>0.1</v>
      </c>
      <c r="CD545">
        <v>0.1</v>
      </c>
      <c r="CE545">
        <v>0.1</v>
      </c>
      <c r="CF545">
        <v>0.1</v>
      </c>
      <c r="CG545">
        <v>0.1</v>
      </c>
      <c r="CH545">
        <v>0.1</v>
      </c>
      <c r="CI545">
        <v>0.1</v>
      </c>
      <c r="CJ545">
        <v>0.1</v>
      </c>
      <c r="CK545">
        <v>0.1</v>
      </c>
      <c r="CL545">
        <v>0.1</v>
      </c>
      <c r="CM545">
        <v>0.1</v>
      </c>
      <c r="CN545">
        <v>0.1</v>
      </c>
      <c r="CO545">
        <v>0.1</v>
      </c>
      <c r="CP545">
        <v>0.1</v>
      </c>
      <c r="CQ545">
        <v>0.1</v>
      </c>
      <c r="CR545">
        <v>0.1</v>
      </c>
      <c r="CS545">
        <v>0.1</v>
      </c>
      <c r="CT545">
        <v>0.1</v>
      </c>
      <c r="CU545">
        <v>0.1</v>
      </c>
      <c r="CV545">
        <v>0.1</v>
      </c>
      <c r="CW545">
        <v>0.1</v>
      </c>
      <c r="CX545">
        <v>0.1</v>
      </c>
      <c r="CY545">
        <v>0.1</v>
      </c>
      <c r="CZ545">
        <v>0.1</v>
      </c>
      <c r="DA545">
        <v>0.1</v>
      </c>
      <c r="DB545">
        <v>0.1</v>
      </c>
      <c r="DC545">
        <v>0.1</v>
      </c>
      <c r="DD545">
        <v>0.1</v>
      </c>
      <c r="DE545">
        <v>0.1</v>
      </c>
      <c r="DF545">
        <v>0.1</v>
      </c>
      <c r="DG545">
        <v>0.1</v>
      </c>
      <c r="DH545">
        <v>0.1</v>
      </c>
      <c r="DI545">
        <v>0.1</v>
      </c>
      <c r="DJ545">
        <v>0.1</v>
      </c>
      <c r="DK545">
        <v>0.1</v>
      </c>
      <c r="DL545">
        <v>0.1</v>
      </c>
      <c r="DM545">
        <v>0.1</v>
      </c>
      <c r="DN545">
        <v>0.1</v>
      </c>
      <c r="DO545">
        <v>0.1</v>
      </c>
      <c r="DP545">
        <v>0.1</v>
      </c>
      <c r="DQ545">
        <v>0.1</v>
      </c>
      <c r="DR545">
        <v>0.1</v>
      </c>
      <c r="DS545">
        <v>0.1</v>
      </c>
      <c r="DT545">
        <v>0.1</v>
      </c>
      <c r="DU545">
        <v>0.1</v>
      </c>
      <c r="DV545">
        <v>0.1</v>
      </c>
      <c r="DW545">
        <v>0.1</v>
      </c>
      <c r="DX545">
        <v>0.1</v>
      </c>
      <c r="DY545">
        <v>0.1</v>
      </c>
      <c r="DZ545">
        <v>0.1</v>
      </c>
      <c r="EA545">
        <v>0.1</v>
      </c>
      <c r="EB545">
        <v>0.1</v>
      </c>
      <c r="EC545">
        <v>0.1</v>
      </c>
      <c r="ED545">
        <v>0.1</v>
      </c>
      <c r="EE545">
        <v>0.1</v>
      </c>
      <c r="EF545">
        <v>0.1</v>
      </c>
    </row>
    <row r="546" spans="71:136" x14ac:dyDescent="0.25">
      <c r="BS546">
        <v>543</v>
      </c>
      <c r="BT546" s="2"/>
      <c r="BU546" s="2"/>
      <c r="BV546" s="2"/>
      <c r="BW546" s="2"/>
      <c r="BX546" s="2"/>
      <c r="BY546">
        <v>0.1</v>
      </c>
      <c r="BZ546">
        <v>0.1</v>
      </c>
      <c r="CA546">
        <v>0.1</v>
      </c>
      <c r="CB546">
        <v>0.1</v>
      </c>
      <c r="CC546">
        <v>0.1</v>
      </c>
      <c r="CD546">
        <v>0.1</v>
      </c>
      <c r="CE546">
        <v>0.1</v>
      </c>
      <c r="CF546">
        <v>0.1</v>
      </c>
      <c r="CG546">
        <v>0.1</v>
      </c>
      <c r="CH546">
        <v>0.1</v>
      </c>
      <c r="CI546">
        <v>0.1</v>
      </c>
      <c r="CJ546">
        <v>0.1</v>
      </c>
      <c r="CK546">
        <v>0.1</v>
      </c>
      <c r="CL546">
        <v>0.1</v>
      </c>
      <c r="CM546">
        <v>0.1</v>
      </c>
      <c r="CN546">
        <v>0.1</v>
      </c>
      <c r="CO546">
        <v>0.1</v>
      </c>
      <c r="CP546">
        <v>0.1</v>
      </c>
      <c r="CQ546">
        <v>0.1</v>
      </c>
      <c r="CR546">
        <v>0.1</v>
      </c>
      <c r="CS546">
        <v>0.1</v>
      </c>
      <c r="CT546">
        <v>0.1</v>
      </c>
      <c r="CU546">
        <v>0.1</v>
      </c>
      <c r="CV546">
        <v>0.1</v>
      </c>
      <c r="CW546">
        <v>0.1</v>
      </c>
      <c r="CX546">
        <v>0.1</v>
      </c>
      <c r="CY546">
        <v>0.1</v>
      </c>
      <c r="CZ546">
        <v>0.1</v>
      </c>
      <c r="DA546">
        <v>0.1</v>
      </c>
      <c r="DB546">
        <v>0.1</v>
      </c>
      <c r="DC546">
        <v>0.1</v>
      </c>
      <c r="DD546">
        <v>0.1</v>
      </c>
      <c r="DE546">
        <v>0.1</v>
      </c>
      <c r="DF546">
        <v>0.1</v>
      </c>
      <c r="DG546">
        <v>0.1</v>
      </c>
      <c r="DH546">
        <v>0.1</v>
      </c>
      <c r="DI546">
        <v>0.1</v>
      </c>
      <c r="DJ546">
        <v>0.1</v>
      </c>
      <c r="DK546">
        <v>0.1</v>
      </c>
      <c r="DL546">
        <v>0.1</v>
      </c>
      <c r="DM546">
        <v>0.1</v>
      </c>
      <c r="DN546">
        <v>0.1</v>
      </c>
      <c r="DO546">
        <v>0.1</v>
      </c>
      <c r="DP546">
        <v>0.1</v>
      </c>
      <c r="DQ546">
        <v>0.1</v>
      </c>
      <c r="DR546">
        <v>0.1</v>
      </c>
      <c r="DS546">
        <v>0.1</v>
      </c>
      <c r="DT546">
        <v>0.1</v>
      </c>
      <c r="DU546">
        <v>0.1</v>
      </c>
      <c r="DV546">
        <v>0.1</v>
      </c>
      <c r="DW546">
        <v>0.1</v>
      </c>
      <c r="DX546">
        <v>0.1</v>
      </c>
      <c r="DY546">
        <v>0.1</v>
      </c>
      <c r="DZ546">
        <v>0.1</v>
      </c>
      <c r="EA546">
        <v>0.1</v>
      </c>
      <c r="EB546">
        <v>0.1</v>
      </c>
      <c r="EC546">
        <v>0.1</v>
      </c>
      <c r="ED546">
        <v>0.1</v>
      </c>
      <c r="EE546">
        <v>0.1</v>
      </c>
      <c r="EF546">
        <v>0.1</v>
      </c>
    </row>
    <row r="547" spans="71:136" x14ac:dyDescent="0.25">
      <c r="BS547">
        <v>544</v>
      </c>
      <c r="BT547" s="2"/>
      <c r="BU547" s="2"/>
      <c r="BV547" s="2"/>
      <c r="BW547" s="2"/>
      <c r="BX547" s="2"/>
      <c r="BY547">
        <v>0.1</v>
      </c>
      <c r="BZ547">
        <v>0.1</v>
      </c>
      <c r="CA547">
        <v>0.1</v>
      </c>
      <c r="CB547">
        <v>0.1</v>
      </c>
      <c r="CC547">
        <v>0.1</v>
      </c>
      <c r="CD547">
        <v>0.1</v>
      </c>
      <c r="CE547">
        <v>0.1</v>
      </c>
      <c r="CF547">
        <v>0.1</v>
      </c>
      <c r="CG547">
        <v>0.1</v>
      </c>
      <c r="CH547">
        <v>0.1</v>
      </c>
      <c r="CI547">
        <v>0.1</v>
      </c>
      <c r="CJ547">
        <v>0.1</v>
      </c>
      <c r="CK547">
        <v>0.1</v>
      </c>
      <c r="CL547">
        <v>0.1</v>
      </c>
      <c r="CM547">
        <v>0.1</v>
      </c>
      <c r="CN547">
        <v>0.1</v>
      </c>
      <c r="CO547">
        <v>0.1</v>
      </c>
      <c r="CP547">
        <v>0.1</v>
      </c>
      <c r="CQ547">
        <v>0.1</v>
      </c>
      <c r="CR547">
        <v>0.1</v>
      </c>
      <c r="CS547">
        <v>0.1</v>
      </c>
      <c r="CT547">
        <v>0.1</v>
      </c>
      <c r="CU547">
        <v>0.1</v>
      </c>
      <c r="CV547">
        <v>0.1</v>
      </c>
      <c r="CW547">
        <v>0.1</v>
      </c>
      <c r="CX547">
        <v>0.1</v>
      </c>
      <c r="CY547">
        <v>0.1</v>
      </c>
      <c r="CZ547">
        <v>0.1</v>
      </c>
      <c r="DA547">
        <v>0.1</v>
      </c>
      <c r="DB547">
        <v>0.1</v>
      </c>
      <c r="DC547">
        <v>0.1</v>
      </c>
      <c r="DD547">
        <v>0.1</v>
      </c>
      <c r="DE547">
        <v>0.1</v>
      </c>
      <c r="DF547">
        <v>0.1</v>
      </c>
      <c r="DG547">
        <v>0.1</v>
      </c>
      <c r="DH547">
        <v>0.1</v>
      </c>
      <c r="DI547">
        <v>0.1</v>
      </c>
      <c r="DJ547">
        <v>0.1</v>
      </c>
      <c r="DK547">
        <v>0.1</v>
      </c>
      <c r="DL547">
        <v>0.1</v>
      </c>
      <c r="DM547">
        <v>0.1</v>
      </c>
      <c r="DN547">
        <v>0.1</v>
      </c>
      <c r="DO547">
        <v>0.1</v>
      </c>
      <c r="DP547">
        <v>0.1</v>
      </c>
      <c r="DQ547">
        <v>0.1</v>
      </c>
      <c r="DR547">
        <v>0.1</v>
      </c>
      <c r="DS547">
        <v>0.1</v>
      </c>
      <c r="DT547">
        <v>0.1</v>
      </c>
      <c r="DU547">
        <v>0.1</v>
      </c>
      <c r="DV547">
        <v>0.1</v>
      </c>
      <c r="DW547">
        <v>0.1</v>
      </c>
      <c r="DX547">
        <v>0.1</v>
      </c>
      <c r="DY547">
        <v>0.1</v>
      </c>
      <c r="DZ547">
        <v>0.1</v>
      </c>
      <c r="EA547">
        <v>0.1</v>
      </c>
      <c r="EB547">
        <v>0.1</v>
      </c>
      <c r="EC547">
        <v>0.1</v>
      </c>
      <c r="ED547">
        <v>0.1</v>
      </c>
      <c r="EE547">
        <v>0.1</v>
      </c>
      <c r="EF547">
        <v>0.1</v>
      </c>
    </row>
    <row r="548" spans="71:136" x14ac:dyDescent="0.25">
      <c r="BS548">
        <v>545</v>
      </c>
      <c r="BT548" s="2"/>
      <c r="BU548" s="2"/>
      <c r="BV548" s="2"/>
      <c r="BW548" s="2"/>
      <c r="BX548" s="2"/>
      <c r="BY548">
        <v>0.1</v>
      </c>
      <c r="BZ548">
        <v>0.1</v>
      </c>
      <c r="CA548">
        <v>0.1</v>
      </c>
      <c r="CB548">
        <v>0.1</v>
      </c>
      <c r="CC548">
        <v>0.1</v>
      </c>
      <c r="CD548">
        <v>0.1</v>
      </c>
      <c r="CE548">
        <v>0.1</v>
      </c>
      <c r="CF548">
        <v>0.1</v>
      </c>
      <c r="CG548">
        <v>0.1</v>
      </c>
      <c r="CH548">
        <v>0.1</v>
      </c>
      <c r="CI548">
        <v>0.1</v>
      </c>
      <c r="CJ548">
        <v>0.1</v>
      </c>
      <c r="CK548">
        <v>0.1</v>
      </c>
      <c r="CL548">
        <v>0.1</v>
      </c>
      <c r="CM548">
        <v>0.1</v>
      </c>
      <c r="CN548">
        <v>0.1</v>
      </c>
      <c r="CO548">
        <v>0.1</v>
      </c>
      <c r="CP548">
        <v>0.1</v>
      </c>
      <c r="CQ548">
        <v>0.1</v>
      </c>
      <c r="CR548">
        <v>0.1</v>
      </c>
      <c r="CS548">
        <v>0.1</v>
      </c>
      <c r="CT548">
        <v>0.1</v>
      </c>
      <c r="CU548">
        <v>0.1</v>
      </c>
      <c r="CV548">
        <v>0.1</v>
      </c>
      <c r="CW548">
        <v>0.1</v>
      </c>
      <c r="CX548">
        <v>0.1</v>
      </c>
      <c r="CY548">
        <v>0.1</v>
      </c>
      <c r="CZ548">
        <v>0.1</v>
      </c>
      <c r="DA548">
        <v>0.1</v>
      </c>
      <c r="DB548">
        <v>0.1</v>
      </c>
      <c r="DC548">
        <v>0.1</v>
      </c>
      <c r="DD548">
        <v>0.1</v>
      </c>
      <c r="DE548">
        <v>0.1</v>
      </c>
      <c r="DF548">
        <v>0.1</v>
      </c>
      <c r="DG548">
        <v>0.1</v>
      </c>
      <c r="DH548">
        <v>0.1</v>
      </c>
      <c r="DI548">
        <v>0.1</v>
      </c>
      <c r="DJ548">
        <v>0.1</v>
      </c>
      <c r="DK548">
        <v>0.1</v>
      </c>
      <c r="DL548">
        <v>0.1</v>
      </c>
      <c r="DM548">
        <v>0.1</v>
      </c>
      <c r="DN548">
        <v>0.1</v>
      </c>
      <c r="DO548">
        <v>0.1</v>
      </c>
      <c r="DP548">
        <v>0.1</v>
      </c>
      <c r="DQ548">
        <v>0.1</v>
      </c>
      <c r="DR548">
        <v>0.1</v>
      </c>
      <c r="DS548">
        <v>0.1</v>
      </c>
      <c r="DT548">
        <v>0.1</v>
      </c>
      <c r="DU548">
        <v>0.1</v>
      </c>
      <c r="DV548">
        <v>0.1</v>
      </c>
      <c r="DW548">
        <v>0.1</v>
      </c>
      <c r="DX548">
        <v>0.1</v>
      </c>
      <c r="DY548">
        <v>0.1</v>
      </c>
      <c r="DZ548">
        <v>0.1</v>
      </c>
      <c r="EA548">
        <v>0.1</v>
      </c>
      <c r="EB548">
        <v>0.1</v>
      </c>
      <c r="EC548">
        <v>0.1</v>
      </c>
      <c r="ED548">
        <v>0.1</v>
      </c>
      <c r="EE548">
        <v>0.1</v>
      </c>
      <c r="EF548">
        <v>0.1</v>
      </c>
    </row>
    <row r="549" spans="71:136" x14ac:dyDescent="0.25">
      <c r="BS549">
        <v>546</v>
      </c>
      <c r="BT549" s="2"/>
      <c r="BU549" s="2"/>
      <c r="BV549" s="2"/>
      <c r="BW549" s="2"/>
      <c r="BX549" s="2"/>
      <c r="BY549">
        <v>0.1</v>
      </c>
      <c r="BZ549">
        <v>0.1</v>
      </c>
      <c r="CA549">
        <v>0.1</v>
      </c>
      <c r="CB549">
        <v>0.1</v>
      </c>
      <c r="CC549">
        <v>0.1</v>
      </c>
      <c r="CD549">
        <v>0.1</v>
      </c>
      <c r="CE549">
        <v>0.1</v>
      </c>
      <c r="CF549">
        <v>0.1</v>
      </c>
      <c r="CG549">
        <v>0.1</v>
      </c>
      <c r="CH549">
        <v>0.1</v>
      </c>
      <c r="CI549">
        <v>0.1</v>
      </c>
      <c r="CJ549">
        <v>0.1</v>
      </c>
      <c r="CK549">
        <v>0.1</v>
      </c>
      <c r="CL549">
        <v>0.1</v>
      </c>
      <c r="CM549">
        <v>0.1</v>
      </c>
      <c r="CN549">
        <v>0.1</v>
      </c>
      <c r="CO549">
        <v>0.1</v>
      </c>
      <c r="CP549">
        <v>0.1</v>
      </c>
      <c r="CQ549">
        <v>0.1</v>
      </c>
      <c r="CR549">
        <v>0.1</v>
      </c>
      <c r="CS549">
        <v>0.1</v>
      </c>
      <c r="CT549">
        <v>0.1</v>
      </c>
      <c r="CU549">
        <v>0.1</v>
      </c>
      <c r="CV549">
        <v>0.1</v>
      </c>
      <c r="CW549">
        <v>0.1</v>
      </c>
      <c r="CX549">
        <v>0.1</v>
      </c>
      <c r="CY549">
        <v>0.1</v>
      </c>
      <c r="CZ549">
        <v>0.1</v>
      </c>
      <c r="DA549">
        <v>0.1</v>
      </c>
      <c r="DB549">
        <v>0.1</v>
      </c>
      <c r="DC549">
        <v>0.1</v>
      </c>
      <c r="DD549">
        <v>0.1</v>
      </c>
      <c r="DE549">
        <v>0.1</v>
      </c>
      <c r="DF549">
        <v>0.1</v>
      </c>
      <c r="DG549">
        <v>0.1</v>
      </c>
      <c r="DH549">
        <v>0.1</v>
      </c>
      <c r="DI549">
        <v>0.1</v>
      </c>
      <c r="DJ549">
        <v>0.1</v>
      </c>
      <c r="DK549">
        <v>0.1</v>
      </c>
      <c r="DL549">
        <v>0.1</v>
      </c>
      <c r="DM549">
        <v>0.1</v>
      </c>
      <c r="DN549">
        <v>0.1</v>
      </c>
      <c r="DO549">
        <v>0.1</v>
      </c>
      <c r="DP549">
        <v>0.1</v>
      </c>
      <c r="DQ549">
        <v>0.1</v>
      </c>
      <c r="DR549">
        <v>0.1</v>
      </c>
      <c r="DS549">
        <v>0.1</v>
      </c>
      <c r="DT549">
        <v>0.1</v>
      </c>
      <c r="DU549">
        <v>0.1</v>
      </c>
      <c r="DV549">
        <v>0.1</v>
      </c>
      <c r="DW549">
        <v>0.1</v>
      </c>
      <c r="DX549">
        <v>0.1</v>
      </c>
      <c r="DY549">
        <v>0.1</v>
      </c>
      <c r="DZ549">
        <v>0.1</v>
      </c>
      <c r="EA549">
        <v>0.1</v>
      </c>
      <c r="EB549">
        <v>0.1</v>
      </c>
      <c r="EC549">
        <v>0.1</v>
      </c>
      <c r="ED549">
        <v>0.1</v>
      </c>
      <c r="EE549">
        <v>0.1</v>
      </c>
      <c r="EF549">
        <v>0.1</v>
      </c>
    </row>
    <row r="550" spans="71:136" x14ac:dyDescent="0.25">
      <c r="BS550">
        <v>547</v>
      </c>
      <c r="BT550" s="2"/>
      <c r="BU550" s="2"/>
      <c r="BV550" s="2"/>
      <c r="BW550" s="2"/>
      <c r="BX550" s="2"/>
      <c r="BY550">
        <v>0.1</v>
      </c>
      <c r="BZ550">
        <v>0.1</v>
      </c>
      <c r="CA550">
        <v>0.1</v>
      </c>
      <c r="CB550">
        <v>0.1</v>
      </c>
      <c r="CC550">
        <v>0.1</v>
      </c>
      <c r="CD550">
        <v>0.1</v>
      </c>
      <c r="CE550">
        <v>0.1</v>
      </c>
      <c r="CF550">
        <v>0.1</v>
      </c>
      <c r="CG550">
        <v>0.1</v>
      </c>
      <c r="CH550">
        <v>0.1</v>
      </c>
      <c r="CI550">
        <v>0.1</v>
      </c>
      <c r="CJ550">
        <v>0.1</v>
      </c>
      <c r="CK550">
        <v>0.1</v>
      </c>
      <c r="CL550">
        <v>0.1</v>
      </c>
      <c r="CM550">
        <v>0.1</v>
      </c>
      <c r="CN550">
        <v>0.1</v>
      </c>
      <c r="CO550">
        <v>0.1</v>
      </c>
      <c r="CP550">
        <v>0.1</v>
      </c>
      <c r="CQ550">
        <v>0.1</v>
      </c>
      <c r="CR550">
        <v>0.1</v>
      </c>
      <c r="CS550">
        <v>0.1</v>
      </c>
      <c r="CT550">
        <v>0.1</v>
      </c>
      <c r="CU550">
        <v>0.1</v>
      </c>
      <c r="CV550">
        <v>0.1</v>
      </c>
      <c r="CW550">
        <v>0.1</v>
      </c>
      <c r="CX550">
        <v>0.1</v>
      </c>
      <c r="CY550">
        <v>0.1</v>
      </c>
      <c r="CZ550">
        <v>0.1</v>
      </c>
      <c r="DA550">
        <v>0.1</v>
      </c>
      <c r="DB550">
        <v>0.1</v>
      </c>
      <c r="DC550">
        <v>0.1</v>
      </c>
      <c r="DD550">
        <v>0.1</v>
      </c>
      <c r="DE550">
        <v>0.1</v>
      </c>
      <c r="DF550">
        <v>0.1</v>
      </c>
      <c r="DG550">
        <v>0.1</v>
      </c>
      <c r="DH550">
        <v>0.1</v>
      </c>
      <c r="DI550">
        <v>0.1</v>
      </c>
      <c r="DJ550">
        <v>0.1</v>
      </c>
      <c r="DK550">
        <v>0.1</v>
      </c>
      <c r="DL550">
        <v>0.1</v>
      </c>
      <c r="DM550">
        <v>0.1</v>
      </c>
      <c r="DN550">
        <v>0.1</v>
      </c>
      <c r="DO550">
        <v>0.1</v>
      </c>
      <c r="DP550">
        <v>0.1</v>
      </c>
      <c r="DQ550">
        <v>0.1</v>
      </c>
      <c r="DR550">
        <v>0.1</v>
      </c>
      <c r="DS550">
        <v>0.1</v>
      </c>
      <c r="DT550">
        <v>0.1</v>
      </c>
      <c r="DU550">
        <v>0.1</v>
      </c>
      <c r="DV550">
        <v>0.1</v>
      </c>
      <c r="DW550">
        <v>0.1</v>
      </c>
      <c r="DX550">
        <v>0.1</v>
      </c>
      <c r="DY550">
        <v>0.1</v>
      </c>
      <c r="DZ550">
        <v>0.1</v>
      </c>
      <c r="EA550">
        <v>0.1</v>
      </c>
      <c r="EB550">
        <v>0.1</v>
      </c>
      <c r="EC550">
        <v>0.1</v>
      </c>
      <c r="ED550">
        <v>0.1</v>
      </c>
      <c r="EE550">
        <v>0.1</v>
      </c>
      <c r="EF550">
        <v>0.1</v>
      </c>
    </row>
    <row r="551" spans="71:136" x14ac:dyDescent="0.25">
      <c r="BS551">
        <v>548</v>
      </c>
      <c r="BT551" s="2"/>
      <c r="BU551" s="2"/>
      <c r="BV551" s="2"/>
      <c r="BW551" s="2"/>
      <c r="BX551" s="2"/>
      <c r="BY551">
        <v>0.1</v>
      </c>
      <c r="BZ551">
        <v>0.1</v>
      </c>
      <c r="CA551">
        <v>0.1</v>
      </c>
      <c r="CB551">
        <v>0.1</v>
      </c>
      <c r="CC551">
        <v>0.1</v>
      </c>
      <c r="CD551">
        <v>0.1</v>
      </c>
      <c r="CE551">
        <v>0.1</v>
      </c>
      <c r="CF551">
        <v>0.1</v>
      </c>
      <c r="CG551">
        <v>0.1</v>
      </c>
      <c r="CH551">
        <v>0.1</v>
      </c>
      <c r="CI551">
        <v>0.1</v>
      </c>
      <c r="CJ551">
        <v>0.1</v>
      </c>
      <c r="CK551">
        <v>0.1</v>
      </c>
      <c r="CL551">
        <v>0.1</v>
      </c>
      <c r="CM551">
        <v>0.1</v>
      </c>
      <c r="CN551">
        <v>0.1</v>
      </c>
      <c r="CO551">
        <v>0.1</v>
      </c>
      <c r="CP551">
        <v>0.1</v>
      </c>
      <c r="CQ551">
        <v>0.1</v>
      </c>
      <c r="CR551">
        <v>0.1</v>
      </c>
      <c r="CS551">
        <v>0.1</v>
      </c>
      <c r="CT551">
        <v>0.1</v>
      </c>
      <c r="CU551">
        <v>0.1</v>
      </c>
      <c r="CV551">
        <v>0.1</v>
      </c>
      <c r="CW551">
        <v>0.1</v>
      </c>
      <c r="CX551">
        <v>0.1</v>
      </c>
      <c r="CY551">
        <v>0.1</v>
      </c>
      <c r="CZ551">
        <v>0.1</v>
      </c>
      <c r="DA551">
        <v>0.1</v>
      </c>
      <c r="DB551">
        <v>0.1</v>
      </c>
      <c r="DC551">
        <v>0.1</v>
      </c>
      <c r="DD551">
        <v>0.1</v>
      </c>
      <c r="DE551">
        <v>0.1</v>
      </c>
      <c r="DF551">
        <v>0.1</v>
      </c>
      <c r="DG551">
        <v>0.1</v>
      </c>
      <c r="DH551">
        <v>0.1</v>
      </c>
      <c r="DI551">
        <v>0.1</v>
      </c>
      <c r="DJ551">
        <v>0.1</v>
      </c>
      <c r="DK551">
        <v>0.1</v>
      </c>
      <c r="DL551">
        <v>0.1</v>
      </c>
      <c r="DM551">
        <v>0.1</v>
      </c>
      <c r="DN551">
        <v>0.1</v>
      </c>
      <c r="DO551">
        <v>0.1</v>
      </c>
      <c r="DP551">
        <v>0.1</v>
      </c>
      <c r="DQ551">
        <v>0.1</v>
      </c>
      <c r="DR551">
        <v>0.1</v>
      </c>
      <c r="DS551">
        <v>0.1</v>
      </c>
      <c r="DT551">
        <v>0.1</v>
      </c>
      <c r="DU551">
        <v>0.1</v>
      </c>
      <c r="DV551">
        <v>0.1</v>
      </c>
      <c r="DW551">
        <v>0.1</v>
      </c>
      <c r="DX551">
        <v>0.1</v>
      </c>
      <c r="DY551">
        <v>0.1</v>
      </c>
      <c r="DZ551">
        <v>0.1</v>
      </c>
      <c r="EA551">
        <v>0.1</v>
      </c>
      <c r="EB551">
        <v>0.1</v>
      </c>
      <c r="EC551">
        <v>0.1</v>
      </c>
      <c r="ED551">
        <v>0.1</v>
      </c>
      <c r="EE551">
        <v>0.1</v>
      </c>
      <c r="EF551">
        <v>0.1</v>
      </c>
    </row>
    <row r="552" spans="71:136" x14ac:dyDescent="0.25">
      <c r="BS552">
        <v>549</v>
      </c>
      <c r="BT552" s="2"/>
      <c r="BU552" s="2"/>
      <c r="BV552" s="2"/>
      <c r="BW552" s="2"/>
      <c r="BX552" s="2"/>
      <c r="BY552">
        <v>0.1</v>
      </c>
      <c r="BZ552">
        <v>0.1</v>
      </c>
      <c r="CA552">
        <v>0.1</v>
      </c>
      <c r="CB552">
        <v>0.1</v>
      </c>
      <c r="CC552">
        <v>0.1</v>
      </c>
      <c r="CD552">
        <v>0.1</v>
      </c>
      <c r="CE552">
        <v>0.1</v>
      </c>
      <c r="CF552">
        <v>0.1</v>
      </c>
      <c r="CG552">
        <v>0.1</v>
      </c>
      <c r="CH552">
        <v>0.1</v>
      </c>
      <c r="CI552">
        <v>0.1</v>
      </c>
      <c r="CJ552">
        <v>0.1</v>
      </c>
      <c r="CK552">
        <v>0.1</v>
      </c>
      <c r="CL552">
        <v>0.1</v>
      </c>
      <c r="CM552">
        <v>0.1</v>
      </c>
      <c r="CN552">
        <v>0.1</v>
      </c>
      <c r="CO552">
        <v>0.1</v>
      </c>
      <c r="CP552">
        <v>0.1</v>
      </c>
      <c r="CQ552">
        <v>0.1</v>
      </c>
      <c r="CR552">
        <v>0.1</v>
      </c>
      <c r="CS552">
        <v>0.1</v>
      </c>
      <c r="CT552">
        <v>0.1</v>
      </c>
      <c r="CU552">
        <v>0.1</v>
      </c>
      <c r="CV552">
        <v>0.1</v>
      </c>
      <c r="CW552">
        <v>0.1</v>
      </c>
      <c r="CX552">
        <v>0.1</v>
      </c>
      <c r="CY552">
        <v>0.1</v>
      </c>
      <c r="CZ552">
        <v>0.1</v>
      </c>
      <c r="DA552">
        <v>0.1</v>
      </c>
      <c r="DB552">
        <v>0.1</v>
      </c>
      <c r="DC552">
        <v>0.1</v>
      </c>
      <c r="DD552">
        <v>0.1</v>
      </c>
      <c r="DE552">
        <v>0.1</v>
      </c>
      <c r="DF552">
        <v>0.1</v>
      </c>
      <c r="DG552">
        <v>0.1</v>
      </c>
      <c r="DH552">
        <v>0.1</v>
      </c>
      <c r="DI552">
        <v>0.1</v>
      </c>
      <c r="DJ552">
        <v>0.1</v>
      </c>
      <c r="DK552">
        <v>0.1</v>
      </c>
      <c r="DL552">
        <v>0.1</v>
      </c>
      <c r="DM552">
        <v>0.1</v>
      </c>
      <c r="DN552">
        <v>0.1</v>
      </c>
      <c r="DO552">
        <v>0.1</v>
      </c>
      <c r="DP552">
        <v>0.1</v>
      </c>
      <c r="DQ552">
        <v>0.1</v>
      </c>
      <c r="DR552">
        <v>0.1</v>
      </c>
      <c r="DS552">
        <v>0.1</v>
      </c>
      <c r="DT552">
        <v>0.1</v>
      </c>
      <c r="DU552">
        <v>0.1</v>
      </c>
      <c r="DV552">
        <v>0.1</v>
      </c>
      <c r="DW552">
        <v>0.1</v>
      </c>
      <c r="DX552">
        <v>0.1</v>
      </c>
      <c r="DY552">
        <v>0.1</v>
      </c>
      <c r="DZ552">
        <v>0.1</v>
      </c>
      <c r="EA552">
        <v>0.1</v>
      </c>
      <c r="EB552">
        <v>0.1</v>
      </c>
      <c r="EC552">
        <v>0.1</v>
      </c>
      <c r="ED552">
        <v>0.1</v>
      </c>
      <c r="EE552">
        <v>0.1</v>
      </c>
      <c r="EF552">
        <v>0.1</v>
      </c>
    </row>
    <row r="553" spans="71:136" x14ac:dyDescent="0.25">
      <c r="BS553">
        <v>550</v>
      </c>
      <c r="BT553" s="2"/>
      <c r="BU553" s="2"/>
      <c r="BV553" s="2"/>
      <c r="BW553" s="2"/>
      <c r="BX553" s="2"/>
      <c r="BY553">
        <v>0.1</v>
      </c>
      <c r="BZ553">
        <v>0.1</v>
      </c>
      <c r="CA553">
        <v>0.1</v>
      </c>
      <c r="CB553">
        <v>0.1</v>
      </c>
      <c r="CC553">
        <v>0.1</v>
      </c>
      <c r="CD553">
        <v>0.1</v>
      </c>
      <c r="CE553">
        <v>0.1</v>
      </c>
      <c r="CF553">
        <v>0.1</v>
      </c>
      <c r="CG553">
        <v>0.1</v>
      </c>
      <c r="CH553">
        <v>0.1</v>
      </c>
      <c r="CI553">
        <v>0.1</v>
      </c>
      <c r="CJ553">
        <v>0.1</v>
      </c>
      <c r="CK553">
        <v>0.1</v>
      </c>
      <c r="CL553">
        <v>0.1</v>
      </c>
      <c r="CM553">
        <v>0.1</v>
      </c>
      <c r="CN553">
        <v>0.1</v>
      </c>
      <c r="CO553">
        <v>0.1</v>
      </c>
      <c r="CP553">
        <v>0.1</v>
      </c>
      <c r="CQ553">
        <v>0.1</v>
      </c>
      <c r="CR553">
        <v>0.1</v>
      </c>
      <c r="CS553">
        <v>0.1</v>
      </c>
      <c r="CT553">
        <v>0.1</v>
      </c>
      <c r="CU553">
        <v>0.1</v>
      </c>
      <c r="CV553">
        <v>0.1</v>
      </c>
      <c r="CW553">
        <v>0.1</v>
      </c>
      <c r="CX553">
        <v>0.1</v>
      </c>
      <c r="CY553">
        <v>0.1</v>
      </c>
      <c r="CZ553">
        <v>0.1</v>
      </c>
      <c r="DA553">
        <v>0.1</v>
      </c>
      <c r="DB553">
        <v>0.1</v>
      </c>
      <c r="DC553">
        <v>0.1</v>
      </c>
      <c r="DD553">
        <v>0.1</v>
      </c>
      <c r="DE553">
        <v>0.1</v>
      </c>
      <c r="DF553">
        <v>0.1</v>
      </c>
      <c r="DG553">
        <v>0.1</v>
      </c>
      <c r="DH553">
        <v>0.1</v>
      </c>
      <c r="DI553">
        <v>0.1</v>
      </c>
      <c r="DJ553">
        <v>0.1</v>
      </c>
      <c r="DK553">
        <v>0.1</v>
      </c>
      <c r="DL553">
        <v>0.1</v>
      </c>
      <c r="DM553">
        <v>0.1</v>
      </c>
      <c r="DN553">
        <v>0.1</v>
      </c>
      <c r="DO553">
        <v>0.1</v>
      </c>
      <c r="DP553">
        <v>0.1</v>
      </c>
      <c r="DQ553">
        <v>0.1</v>
      </c>
      <c r="DR553">
        <v>0.1</v>
      </c>
      <c r="DS553">
        <v>0.1</v>
      </c>
      <c r="DT553">
        <v>0.1</v>
      </c>
      <c r="DU553">
        <v>0.1</v>
      </c>
      <c r="DV553">
        <v>0.1</v>
      </c>
      <c r="DW553">
        <v>0.1</v>
      </c>
      <c r="DX553">
        <v>0.1</v>
      </c>
      <c r="DY553">
        <v>0.1</v>
      </c>
      <c r="DZ553">
        <v>0.1</v>
      </c>
      <c r="EA553">
        <v>0.1</v>
      </c>
      <c r="EB553">
        <v>0.1</v>
      </c>
      <c r="EC553">
        <v>0.1</v>
      </c>
      <c r="ED553">
        <v>0.1</v>
      </c>
      <c r="EE553">
        <v>0.1</v>
      </c>
      <c r="EF553">
        <v>0.1</v>
      </c>
    </row>
    <row r="554" spans="71:136" x14ac:dyDescent="0.25">
      <c r="BS554">
        <v>551</v>
      </c>
      <c r="BT554" s="2"/>
      <c r="BU554" s="2"/>
      <c r="BV554" s="2"/>
      <c r="BW554" s="2"/>
      <c r="BX554" s="2"/>
      <c r="BY554">
        <v>0.1</v>
      </c>
      <c r="BZ554">
        <v>0.1</v>
      </c>
      <c r="CA554">
        <v>0.1</v>
      </c>
      <c r="CB554">
        <v>0.1</v>
      </c>
      <c r="CC554">
        <v>0.1</v>
      </c>
      <c r="CD554">
        <v>0.1</v>
      </c>
      <c r="CE554">
        <v>0.1</v>
      </c>
      <c r="CF554">
        <v>0.1</v>
      </c>
      <c r="CG554">
        <v>0.1</v>
      </c>
      <c r="CH554">
        <v>0.1</v>
      </c>
      <c r="CI554">
        <v>0.1</v>
      </c>
      <c r="CJ554">
        <v>0.1</v>
      </c>
      <c r="CK554">
        <v>0.1</v>
      </c>
      <c r="CL554">
        <v>0.1</v>
      </c>
      <c r="CM554">
        <v>0.1</v>
      </c>
      <c r="CN554">
        <v>0.1</v>
      </c>
      <c r="CO554">
        <v>0.1</v>
      </c>
      <c r="CP554">
        <v>0.1</v>
      </c>
      <c r="CQ554">
        <v>0.1</v>
      </c>
      <c r="CR554">
        <v>0.1</v>
      </c>
      <c r="CS554">
        <v>0.1</v>
      </c>
      <c r="CT554">
        <v>0.1</v>
      </c>
      <c r="CU554">
        <v>0.1</v>
      </c>
      <c r="CV554">
        <v>0.1</v>
      </c>
      <c r="CW554">
        <v>0.1</v>
      </c>
      <c r="CX554">
        <v>0.1</v>
      </c>
      <c r="CY554">
        <v>0.1</v>
      </c>
      <c r="CZ554">
        <v>0.1</v>
      </c>
      <c r="DA554">
        <v>0.1</v>
      </c>
      <c r="DB554">
        <v>0.1</v>
      </c>
      <c r="DC554">
        <v>0.1</v>
      </c>
      <c r="DD554">
        <v>0.1</v>
      </c>
      <c r="DE554">
        <v>0.1</v>
      </c>
      <c r="DF554">
        <v>0.1</v>
      </c>
      <c r="DG554">
        <v>0.1</v>
      </c>
      <c r="DH554">
        <v>0.1</v>
      </c>
      <c r="DI554">
        <v>0.1</v>
      </c>
      <c r="DJ554">
        <v>0.1</v>
      </c>
      <c r="DK554">
        <v>0.1</v>
      </c>
      <c r="DL554">
        <v>0.1</v>
      </c>
      <c r="DM554">
        <v>0.1</v>
      </c>
      <c r="DN554">
        <v>0.1</v>
      </c>
      <c r="DO554">
        <v>0.1</v>
      </c>
      <c r="DP554">
        <v>0.1</v>
      </c>
      <c r="DQ554">
        <v>0.1</v>
      </c>
      <c r="DR554">
        <v>0.1</v>
      </c>
      <c r="DS554">
        <v>0.1</v>
      </c>
      <c r="DT554">
        <v>0.1</v>
      </c>
      <c r="DU554">
        <v>0.1</v>
      </c>
      <c r="DV554">
        <v>0.1</v>
      </c>
      <c r="DW554">
        <v>0.1</v>
      </c>
      <c r="DX554">
        <v>0.1</v>
      </c>
      <c r="DY554">
        <v>0.1</v>
      </c>
      <c r="DZ554">
        <v>0.1</v>
      </c>
      <c r="EA554">
        <v>0.1</v>
      </c>
      <c r="EB554">
        <v>0.1</v>
      </c>
      <c r="EC554">
        <v>0.1</v>
      </c>
      <c r="ED554">
        <v>0.1</v>
      </c>
      <c r="EE554">
        <v>0.1</v>
      </c>
      <c r="EF554">
        <v>0.1</v>
      </c>
    </row>
    <row r="555" spans="71:136" x14ac:dyDescent="0.25">
      <c r="BS555">
        <v>552</v>
      </c>
      <c r="BT555" s="2"/>
      <c r="BU555" s="2"/>
      <c r="BV555" s="2"/>
      <c r="BW555" s="2"/>
      <c r="BX555" s="2"/>
      <c r="BY555">
        <v>0.1</v>
      </c>
      <c r="BZ555">
        <v>0.1</v>
      </c>
      <c r="CA555">
        <v>0.1</v>
      </c>
      <c r="CB555">
        <v>0.1</v>
      </c>
      <c r="CC555">
        <v>0.1</v>
      </c>
      <c r="CD555">
        <v>0.1</v>
      </c>
      <c r="CE555">
        <v>0.1</v>
      </c>
      <c r="CF555">
        <v>0.1</v>
      </c>
      <c r="CG555">
        <v>0.1</v>
      </c>
      <c r="CH555">
        <v>0.1</v>
      </c>
      <c r="CI555">
        <v>0.1</v>
      </c>
      <c r="CJ555">
        <v>0.1</v>
      </c>
      <c r="CK555">
        <v>0.1</v>
      </c>
      <c r="CL555">
        <v>0.1</v>
      </c>
      <c r="CM555">
        <v>0.1</v>
      </c>
      <c r="CN555">
        <v>0.1</v>
      </c>
      <c r="CO555">
        <v>0.1</v>
      </c>
      <c r="CP555">
        <v>0.1</v>
      </c>
      <c r="CQ555">
        <v>0.1</v>
      </c>
      <c r="CR555">
        <v>0.1</v>
      </c>
      <c r="CS555">
        <v>0.1</v>
      </c>
      <c r="CT555">
        <v>0.1</v>
      </c>
      <c r="CU555">
        <v>0.1</v>
      </c>
      <c r="CV555">
        <v>0.1</v>
      </c>
      <c r="CW555">
        <v>0.1</v>
      </c>
      <c r="CX555">
        <v>0.1</v>
      </c>
      <c r="CY555">
        <v>0.1</v>
      </c>
      <c r="CZ555">
        <v>0.1</v>
      </c>
      <c r="DA555">
        <v>0.1</v>
      </c>
      <c r="DB555">
        <v>0.1</v>
      </c>
      <c r="DC555">
        <v>0.1</v>
      </c>
      <c r="DD555">
        <v>0.1</v>
      </c>
      <c r="DE555">
        <v>0.1</v>
      </c>
      <c r="DF555">
        <v>0.1</v>
      </c>
      <c r="DG555">
        <v>0.1</v>
      </c>
      <c r="DH555">
        <v>0.1</v>
      </c>
      <c r="DI555">
        <v>0.1</v>
      </c>
      <c r="DJ555">
        <v>0.1</v>
      </c>
      <c r="DK555">
        <v>0.1</v>
      </c>
      <c r="DL555">
        <v>0.1</v>
      </c>
      <c r="DM555">
        <v>0.1</v>
      </c>
      <c r="DN555">
        <v>0.1</v>
      </c>
      <c r="DO555">
        <v>0.1</v>
      </c>
      <c r="DP555">
        <v>0.1</v>
      </c>
      <c r="DQ555">
        <v>0.1</v>
      </c>
      <c r="DR555">
        <v>0.1</v>
      </c>
      <c r="DS555">
        <v>0.1</v>
      </c>
      <c r="DT555">
        <v>0.1</v>
      </c>
      <c r="DU555">
        <v>0.1</v>
      </c>
      <c r="DV555">
        <v>0.1</v>
      </c>
      <c r="DW555">
        <v>0.1</v>
      </c>
      <c r="DX555">
        <v>0.1</v>
      </c>
      <c r="DY555">
        <v>0.1</v>
      </c>
      <c r="DZ555">
        <v>0.1</v>
      </c>
      <c r="EA555">
        <v>0.1</v>
      </c>
      <c r="EB555">
        <v>0.1</v>
      </c>
      <c r="EC555">
        <v>0.1</v>
      </c>
      <c r="ED555">
        <v>0.1</v>
      </c>
      <c r="EE555">
        <v>0.1</v>
      </c>
      <c r="EF555">
        <v>0.1</v>
      </c>
    </row>
    <row r="556" spans="71:136" x14ac:dyDescent="0.25">
      <c r="BS556">
        <v>553</v>
      </c>
      <c r="BT556" s="2"/>
      <c r="BU556" s="2"/>
      <c r="BV556" s="2"/>
      <c r="BW556" s="2"/>
      <c r="BX556" s="2"/>
      <c r="BY556">
        <v>0.1</v>
      </c>
      <c r="BZ556">
        <v>0.1</v>
      </c>
      <c r="CA556">
        <v>0.1</v>
      </c>
      <c r="CB556">
        <v>0.1</v>
      </c>
      <c r="CC556">
        <v>0.1</v>
      </c>
      <c r="CD556">
        <v>0.1</v>
      </c>
      <c r="CE556">
        <v>0.1</v>
      </c>
      <c r="CF556">
        <v>0.1</v>
      </c>
      <c r="CG556">
        <v>0.1</v>
      </c>
      <c r="CH556">
        <v>0.1</v>
      </c>
      <c r="CI556">
        <v>0.1</v>
      </c>
      <c r="CJ556">
        <v>0.1</v>
      </c>
      <c r="CK556">
        <v>0.1</v>
      </c>
      <c r="CL556">
        <v>0.1</v>
      </c>
      <c r="CM556">
        <v>0.1</v>
      </c>
      <c r="CN556">
        <v>0.1</v>
      </c>
      <c r="CO556">
        <v>0.1</v>
      </c>
      <c r="CP556">
        <v>0.1</v>
      </c>
      <c r="CQ556">
        <v>0.1</v>
      </c>
      <c r="CR556">
        <v>0.1</v>
      </c>
      <c r="CS556">
        <v>0.1</v>
      </c>
      <c r="CT556">
        <v>0.1</v>
      </c>
      <c r="CU556">
        <v>0.1</v>
      </c>
      <c r="CV556">
        <v>0.1</v>
      </c>
      <c r="CW556">
        <v>0.1</v>
      </c>
      <c r="CX556">
        <v>0.1</v>
      </c>
      <c r="CY556">
        <v>0.1</v>
      </c>
      <c r="CZ556">
        <v>0.1</v>
      </c>
      <c r="DA556">
        <v>0.1</v>
      </c>
      <c r="DB556">
        <v>0.1</v>
      </c>
      <c r="DC556">
        <v>0.1</v>
      </c>
      <c r="DD556">
        <v>0.1</v>
      </c>
      <c r="DE556">
        <v>0.1</v>
      </c>
      <c r="DF556">
        <v>0.1</v>
      </c>
      <c r="DG556">
        <v>0.1</v>
      </c>
      <c r="DH556">
        <v>0.1</v>
      </c>
      <c r="DI556">
        <v>0.1</v>
      </c>
      <c r="DJ556">
        <v>0.1</v>
      </c>
      <c r="DK556">
        <v>0.1</v>
      </c>
      <c r="DL556">
        <v>0.1</v>
      </c>
      <c r="DM556">
        <v>0.1</v>
      </c>
      <c r="DN556">
        <v>0.1</v>
      </c>
      <c r="DO556">
        <v>0.1</v>
      </c>
      <c r="DP556">
        <v>0.1</v>
      </c>
      <c r="DQ556">
        <v>0.1</v>
      </c>
      <c r="DR556">
        <v>0.1</v>
      </c>
      <c r="DS556">
        <v>0.1</v>
      </c>
      <c r="DT556">
        <v>0.1</v>
      </c>
      <c r="DU556">
        <v>0.1</v>
      </c>
      <c r="DV556">
        <v>0.1</v>
      </c>
      <c r="DW556">
        <v>0.1</v>
      </c>
      <c r="DX556">
        <v>0.1</v>
      </c>
      <c r="DY556">
        <v>0.1</v>
      </c>
      <c r="DZ556">
        <v>0.1</v>
      </c>
      <c r="EA556">
        <v>0.1</v>
      </c>
      <c r="EB556">
        <v>0.1</v>
      </c>
      <c r="EC556">
        <v>0.1</v>
      </c>
      <c r="ED556">
        <v>0.1</v>
      </c>
      <c r="EE556">
        <v>0.1</v>
      </c>
      <c r="EF556">
        <v>0.1</v>
      </c>
    </row>
    <row r="557" spans="71:136" x14ac:dyDescent="0.25">
      <c r="BS557">
        <v>554</v>
      </c>
      <c r="BT557" s="2"/>
      <c r="BU557" s="2"/>
      <c r="BV557" s="2"/>
      <c r="BW557" s="2"/>
      <c r="BX557" s="2"/>
      <c r="BY557">
        <v>0.1</v>
      </c>
      <c r="BZ557">
        <v>0.1</v>
      </c>
      <c r="CA557">
        <v>0.1</v>
      </c>
      <c r="CB557">
        <v>0.1</v>
      </c>
      <c r="CC557">
        <v>0.1</v>
      </c>
      <c r="CD557">
        <v>0.1</v>
      </c>
      <c r="CE557">
        <v>0.1</v>
      </c>
      <c r="CF557">
        <v>0.1</v>
      </c>
      <c r="CG557">
        <v>0.1</v>
      </c>
      <c r="CH557">
        <v>0.1</v>
      </c>
      <c r="CI557">
        <v>0.1</v>
      </c>
      <c r="CJ557">
        <v>0.1</v>
      </c>
      <c r="CK557">
        <v>0.1</v>
      </c>
      <c r="CL557">
        <v>0.1</v>
      </c>
      <c r="CM557">
        <v>0.1</v>
      </c>
      <c r="CN557">
        <v>0.1</v>
      </c>
      <c r="CO557">
        <v>0.1</v>
      </c>
      <c r="CP557">
        <v>0.1</v>
      </c>
      <c r="CQ557">
        <v>0.1</v>
      </c>
      <c r="CR557">
        <v>0.1</v>
      </c>
      <c r="CS557">
        <v>0.1</v>
      </c>
      <c r="CT557">
        <v>0.1</v>
      </c>
      <c r="CU557">
        <v>0.1</v>
      </c>
      <c r="CV557">
        <v>0.1</v>
      </c>
      <c r="CW557">
        <v>0.1</v>
      </c>
      <c r="CX557">
        <v>0.1</v>
      </c>
      <c r="CY557">
        <v>0.1</v>
      </c>
      <c r="CZ557">
        <v>0.1</v>
      </c>
      <c r="DA557">
        <v>0.1</v>
      </c>
      <c r="DB557">
        <v>0.1</v>
      </c>
      <c r="DC557">
        <v>0.1</v>
      </c>
      <c r="DD557">
        <v>0.1</v>
      </c>
      <c r="DE557">
        <v>0.1</v>
      </c>
      <c r="DF557">
        <v>0.1</v>
      </c>
      <c r="DG557">
        <v>0.1</v>
      </c>
      <c r="DH557">
        <v>0.1</v>
      </c>
      <c r="DI557">
        <v>0.1</v>
      </c>
      <c r="DJ557">
        <v>0.1</v>
      </c>
      <c r="DK557">
        <v>0.1</v>
      </c>
      <c r="DL557">
        <v>0.1</v>
      </c>
      <c r="DM557">
        <v>0.1</v>
      </c>
      <c r="DN557">
        <v>0.1</v>
      </c>
      <c r="DO557">
        <v>0.1</v>
      </c>
      <c r="DP557">
        <v>0.1</v>
      </c>
      <c r="DQ557">
        <v>0.1</v>
      </c>
      <c r="DR557">
        <v>0.1</v>
      </c>
      <c r="DS557">
        <v>0.1</v>
      </c>
      <c r="DT557">
        <v>0.1</v>
      </c>
      <c r="DU557">
        <v>0.1</v>
      </c>
      <c r="DV557">
        <v>0.1</v>
      </c>
      <c r="DW557">
        <v>0.1</v>
      </c>
      <c r="DX557">
        <v>0.1</v>
      </c>
      <c r="DY557">
        <v>0.1</v>
      </c>
      <c r="DZ557">
        <v>0.1</v>
      </c>
      <c r="EA557">
        <v>0.1</v>
      </c>
      <c r="EB557">
        <v>0.1</v>
      </c>
      <c r="EC557">
        <v>0.1</v>
      </c>
      <c r="ED557">
        <v>0.1</v>
      </c>
      <c r="EE557">
        <v>0.1</v>
      </c>
      <c r="EF557">
        <v>0.1</v>
      </c>
    </row>
    <row r="558" spans="71:136" x14ac:dyDescent="0.25">
      <c r="BS558">
        <v>555</v>
      </c>
      <c r="BT558" s="2"/>
      <c r="BU558" s="2"/>
      <c r="BV558" s="2"/>
      <c r="BW558" s="2"/>
      <c r="BX558" s="2"/>
      <c r="BY558">
        <v>0.1</v>
      </c>
      <c r="BZ558">
        <v>0.1</v>
      </c>
      <c r="CA558">
        <v>0.1</v>
      </c>
      <c r="CB558">
        <v>0.1</v>
      </c>
      <c r="CC558">
        <v>0.1</v>
      </c>
      <c r="CD558">
        <v>0.1</v>
      </c>
      <c r="CE558">
        <v>0.1</v>
      </c>
      <c r="CF558">
        <v>0.1</v>
      </c>
      <c r="CG558">
        <v>0.1</v>
      </c>
      <c r="CH558">
        <v>0.1</v>
      </c>
      <c r="CI558">
        <v>0.1</v>
      </c>
      <c r="CJ558">
        <v>0.1</v>
      </c>
      <c r="CK558">
        <v>0.1</v>
      </c>
      <c r="CL558">
        <v>0.1</v>
      </c>
      <c r="CM558">
        <v>0.1</v>
      </c>
      <c r="CN558">
        <v>0.1</v>
      </c>
      <c r="CO558">
        <v>0.1</v>
      </c>
      <c r="CP558">
        <v>0.1</v>
      </c>
      <c r="CQ558">
        <v>0.1</v>
      </c>
      <c r="CR558">
        <v>0.1</v>
      </c>
      <c r="CS558">
        <v>0.1</v>
      </c>
      <c r="CT558">
        <v>0.1</v>
      </c>
      <c r="CU558">
        <v>0.1</v>
      </c>
      <c r="CV558">
        <v>0.1</v>
      </c>
      <c r="CW558">
        <v>0.1</v>
      </c>
      <c r="CX558">
        <v>0.1</v>
      </c>
      <c r="CY558">
        <v>0.1</v>
      </c>
      <c r="CZ558">
        <v>0.1</v>
      </c>
      <c r="DA558">
        <v>0.1</v>
      </c>
      <c r="DB558">
        <v>0.1</v>
      </c>
      <c r="DC558">
        <v>0.1</v>
      </c>
      <c r="DD558">
        <v>0.1</v>
      </c>
      <c r="DE558">
        <v>0.1</v>
      </c>
      <c r="DF558">
        <v>0.1</v>
      </c>
      <c r="DG558">
        <v>0.1</v>
      </c>
      <c r="DH558">
        <v>0.1</v>
      </c>
      <c r="DI558">
        <v>0.1</v>
      </c>
      <c r="DJ558">
        <v>0.1</v>
      </c>
      <c r="DK558">
        <v>0.1</v>
      </c>
      <c r="DL558">
        <v>0.1</v>
      </c>
      <c r="DM558">
        <v>0.1</v>
      </c>
      <c r="DN558">
        <v>0.1</v>
      </c>
      <c r="DO558">
        <v>0.1</v>
      </c>
      <c r="DP558">
        <v>0.1</v>
      </c>
      <c r="DQ558">
        <v>0.1</v>
      </c>
      <c r="DR558">
        <v>0.1</v>
      </c>
      <c r="DS558">
        <v>0.1</v>
      </c>
      <c r="DT558">
        <v>0.1</v>
      </c>
      <c r="DU558">
        <v>0.1</v>
      </c>
      <c r="DV558">
        <v>0.1</v>
      </c>
      <c r="DW558">
        <v>0.1</v>
      </c>
      <c r="DX558">
        <v>0.1</v>
      </c>
      <c r="DY558">
        <v>0.1</v>
      </c>
      <c r="DZ558">
        <v>0.1</v>
      </c>
      <c r="EA558">
        <v>0.1</v>
      </c>
      <c r="EB558">
        <v>0.1</v>
      </c>
      <c r="EC558">
        <v>0.1</v>
      </c>
      <c r="ED558">
        <v>0.1</v>
      </c>
      <c r="EE558">
        <v>0.1</v>
      </c>
      <c r="EF558">
        <v>0.1</v>
      </c>
    </row>
    <row r="559" spans="71:136" x14ac:dyDescent="0.25">
      <c r="BS559">
        <v>556</v>
      </c>
      <c r="BT559" s="2"/>
      <c r="BU559" s="2"/>
      <c r="BV559" s="2"/>
      <c r="BW559" s="2"/>
      <c r="BX559" s="2"/>
      <c r="BY559">
        <v>0.1</v>
      </c>
      <c r="BZ559">
        <v>0.1</v>
      </c>
      <c r="CA559">
        <v>0.1</v>
      </c>
      <c r="CB559">
        <v>0.1</v>
      </c>
      <c r="CC559">
        <v>0.1</v>
      </c>
      <c r="CD559">
        <v>0.1</v>
      </c>
      <c r="CE559">
        <v>0.1</v>
      </c>
      <c r="CF559">
        <v>0.1</v>
      </c>
      <c r="CG559">
        <v>0.1</v>
      </c>
      <c r="CH559">
        <v>0.1</v>
      </c>
      <c r="CI559">
        <v>0.1</v>
      </c>
      <c r="CJ559">
        <v>0.1</v>
      </c>
      <c r="CK559">
        <v>0.1</v>
      </c>
      <c r="CL559">
        <v>0.1</v>
      </c>
      <c r="CM559">
        <v>0.1</v>
      </c>
      <c r="CN559">
        <v>0.1</v>
      </c>
      <c r="CO559">
        <v>0.1</v>
      </c>
      <c r="CP559">
        <v>0.1</v>
      </c>
      <c r="CQ559">
        <v>0.1</v>
      </c>
      <c r="CR559">
        <v>0.1</v>
      </c>
      <c r="CS559">
        <v>0.1</v>
      </c>
      <c r="CT559">
        <v>0.1</v>
      </c>
      <c r="CU559">
        <v>0.1</v>
      </c>
      <c r="CV559">
        <v>0.1</v>
      </c>
      <c r="CW559">
        <v>0.1</v>
      </c>
      <c r="CX559">
        <v>0.1</v>
      </c>
      <c r="CY559">
        <v>0.1</v>
      </c>
      <c r="CZ559">
        <v>0.1</v>
      </c>
      <c r="DA559">
        <v>0.1</v>
      </c>
      <c r="DB559">
        <v>0.1</v>
      </c>
      <c r="DC559">
        <v>0.1</v>
      </c>
      <c r="DD559">
        <v>0.1</v>
      </c>
      <c r="DE559">
        <v>0.1</v>
      </c>
      <c r="DF559">
        <v>0.1</v>
      </c>
      <c r="DG559">
        <v>0.1</v>
      </c>
      <c r="DH559">
        <v>0.1</v>
      </c>
      <c r="DI559">
        <v>0.1</v>
      </c>
      <c r="DJ559">
        <v>0.1</v>
      </c>
      <c r="DK559">
        <v>0.1</v>
      </c>
      <c r="DL559">
        <v>0.1</v>
      </c>
      <c r="DM559">
        <v>0.1</v>
      </c>
      <c r="DN559">
        <v>0.1</v>
      </c>
      <c r="DO559">
        <v>0.1</v>
      </c>
      <c r="DP559">
        <v>0.1</v>
      </c>
      <c r="DQ559">
        <v>0.1</v>
      </c>
      <c r="DR559">
        <v>0.1</v>
      </c>
      <c r="DS559">
        <v>0.1</v>
      </c>
      <c r="DT559">
        <v>0.1</v>
      </c>
      <c r="DU559">
        <v>0.1</v>
      </c>
      <c r="DV559">
        <v>0.1</v>
      </c>
      <c r="DW559">
        <v>0.1</v>
      </c>
      <c r="DX559">
        <v>0.1</v>
      </c>
      <c r="DY559">
        <v>0.1</v>
      </c>
      <c r="DZ559">
        <v>0.1</v>
      </c>
      <c r="EA559">
        <v>0.1</v>
      </c>
      <c r="EB559">
        <v>0.1</v>
      </c>
      <c r="EC559">
        <v>0.1</v>
      </c>
      <c r="ED559">
        <v>0.1</v>
      </c>
      <c r="EE559">
        <v>0.1</v>
      </c>
      <c r="EF559">
        <v>0.1</v>
      </c>
    </row>
    <row r="560" spans="71:136" x14ac:dyDescent="0.25">
      <c r="BS560">
        <v>557</v>
      </c>
      <c r="BT560" s="2"/>
      <c r="BU560" s="2"/>
      <c r="BV560" s="2"/>
      <c r="BW560" s="2"/>
      <c r="BX560" s="2"/>
      <c r="BY560">
        <v>0.1</v>
      </c>
      <c r="BZ560">
        <v>0.1</v>
      </c>
      <c r="CA560">
        <v>0.1</v>
      </c>
      <c r="CB560">
        <v>0.1</v>
      </c>
      <c r="CC560">
        <v>0.1</v>
      </c>
      <c r="CD560">
        <v>0.1</v>
      </c>
      <c r="CE560">
        <v>0.1</v>
      </c>
      <c r="CF560">
        <v>0.1</v>
      </c>
      <c r="CG560">
        <v>0.1</v>
      </c>
      <c r="CH560">
        <v>0.1</v>
      </c>
      <c r="CI560">
        <v>0.1</v>
      </c>
      <c r="CJ560">
        <v>0.1</v>
      </c>
      <c r="CK560">
        <v>0.1</v>
      </c>
      <c r="CL560">
        <v>0.1</v>
      </c>
      <c r="CM560">
        <v>0.1</v>
      </c>
      <c r="CN560">
        <v>0.1</v>
      </c>
      <c r="CO560">
        <v>0.1</v>
      </c>
      <c r="CP560">
        <v>0.1</v>
      </c>
      <c r="CQ560">
        <v>0.1</v>
      </c>
      <c r="CR560">
        <v>0.1</v>
      </c>
      <c r="CS560">
        <v>0.1</v>
      </c>
      <c r="CT560">
        <v>0.1</v>
      </c>
      <c r="CU560">
        <v>0.1</v>
      </c>
      <c r="CV560">
        <v>0.1</v>
      </c>
      <c r="CW560">
        <v>0.1</v>
      </c>
      <c r="CX560">
        <v>0.1</v>
      </c>
      <c r="CY560">
        <v>0.1</v>
      </c>
      <c r="CZ560">
        <v>0.1</v>
      </c>
      <c r="DA560">
        <v>0.1</v>
      </c>
      <c r="DB560">
        <v>0.1</v>
      </c>
      <c r="DC560">
        <v>0.1</v>
      </c>
      <c r="DD560">
        <v>0.1</v>
      </c>
      <c r="DE560">
        <v>0.1</v>
      </c>
      <c r="DF560">
        <v>0.1</v>
      </c>
      <c r="DG560">
        <v>0.1</v>
      </c>
      <c r="DH560">
        <v>0.1</v>
      </c>
      <c r="DI560">
        <v>0.1</v>
      </c>
      <c r="DJ560">
        <v>0.1</v>
      </c>
      <c r="DK560">
        <v>0.1</v>
      </c>
      <c r="DL560">
        <v>0.1</v>
      </c>
      <c r="DM560">
        <v>0.1</v>
      </c>
      <c r="DN560">
        <v>0.1</v>
      </c>
      <c r="DO560">
        <v>0.1</v>
      </c>
      <c r="DP560">
        <v>0.1</v>
      </c>
      <c r="DQ560">
        <v>0.1</v>
      </c>
      <c r="DR560">
        <v>0.1</v>
      </c>
      <c r="DS560">
        <v>0.1</v>
      </c>
      <c r="DT560">
        <v>0.1</v>
      </c>
      <c r="DU560">
        <v>0.1</v>
      </c>
      <c r="DV560">
        <v>0.1</v>
      </c>
      <c r="DW560">
        <v>0.1</v>
      </c>
      <c r="DX560">
        <v>0.1</v>
      </c>
      <c r="DY560">
        <v>0.1</v>
      </c>
      <c r="DZ560">
        <v>0.1</v>
      </c>
      <c r="EA560">
        <v>0.1</v>
      </c>
      <c r="EB560">
        <v>0.1</v>
      </c>
      <c r="EC560">
        <v>0.1</v>
      </c>
      <c r="ED560">
        <v>0.1</v>
      </c>
      <c r="EE560">
        <v>0.1</v>
      </c>
      <c r="EF560">
        <v>0.1</v>
      </c>
    </row>
    <row r="561" spans="71:136" x14ac:dyDescent="0.25">
      <c r="BS561">
        <v>558</v>
      </c>
      <c r="BT561" s="2"/>
      <c r="BU561" s="2"/>
      <c r="BV561" s="2"/>
      <c r="BW561" s="2"/>
      <c r="BX561" s="2"/>
      <c r="BY561">
        <v>0.1</v>
      </c>
      <c r="BZ561">
        <v>0.1</v>
      </c>
      <c r="CA561">
        <v>0.1</v>
      </c>
      <c r="CB561">
        <v>0.1</v>
      </c>
      <c r="CC561">
        <v>0.1</v>
      </c>
      <c r="CD561">
        <v>0.1</v>
      </c>
      <c r="CE561">
        <v>0.1</v>
      </c>
      <c r="CF561">
        <v>0.1</v>
      </c>
      <c r="CG561">
        <v>0.1</v>
      </c>
      <c r="CH561">
        <v>0.1</v>
      </c>
      <c r="CI561">
        <v>0.1</v>
      </c>
      <c r="CJ561">
        <v>0.1</v>
      </c>
      <c r="CK561">
        <v>0.1</v>
      </c>
      <c r="CL561">
        <v>0.1</v>
      </c>
      <c r="CM561">
        <v>0.1</v>
      </c>
      <c r="CN561">
        <v>0.1</v>
      </c>
      <c r="CO561">
        <v>0.1</v>
      </c>
      <c r="CP561">
        <v>0.1</v>
      </c>
      <c r="CQ561">
        <v>0.1</v>
      </c>
      <c r="CR561">
        <v>0.1</v>
      </c>
      <c r="CS561">
        <v>0.1</v>
      </c>
      <c r="CT561">
        <v>0.1</v>
      </c>
      <c r="CU561">
        <v>0.1</v>
      </c>
      <c r="CV561">
        <v>0.1</v>
      </c>
      <c r="CW561">
        <v>0.1</v>
      </c>
      <c r="CX561">
        <v>0.1</v>
      </c>
      <c r="CY561">
        <v>0.1</v>
      </c>
      <c r="CZ561">
        <v>0.1</v>
      </c>
      <c r="DA561">
        <v>0.1</v>
      </c>
      <c r="DB561">
        <v>0.1</v>
      </c>
      <c r="DC561">
        <v>0.1</v>
      </c>
      <c r="DD561">
        <v>0.1</v>
      </c>
      <c r="DE561">
        <v>0.1</v>
      </c>
      <c r="DF561">
        <v>0.1</v>
      </c>
      <c r="DG561">
        <v>0.1</v>
      </c>
      <c r="DH561">
        <v>0.1</v>
      </c>
      <c r="DI561">
        <v>0.1</v>
      </c>
      <c r="DJ561">
        <v>0.1</v>
      </c>
      <c r="DK561">
        <v>0.1</v>
      </c>
      <c r="DL561">
        <v>0.1</v>
      </c>
      <c r="DM561">
        <v>0.1</v>
      </c>
      <c r="DN561">
        <v>0.1</v>
      </c>
      <c r="DO561">
        <v>0.1</v>
      </c>
      <c r="DP561">
        <v>0.1</v>
      </c>
      <c r="DQ561">
        <v>0.1</v>
      </c>
      <c r="DR561">
        <v>0.1</v>
      </c>
      <c r="DS561">
        <v>0.1</v>
      </c>
      <c r="DT561">
        <v>0.1</v>
      </c>
      <c r="DU561">
        <v>0.1</v>
      </c>
      <c r="DV561">
        <v>0.1</v>
      </c>
      <c r="DW561">
        <v>0.1</v>
      </c>
      <c r="DX561">
        <v>0.1</v>
      </c>
      <c r="DY561">
        <v>0.1</v>
      </c>
      <c r="DZ561">
        <v>0.1</v>
      </c>
      <c r="EA561">
        <v>0.1</v>
      </c>
      <c r="EB561">
        <v>0.1</v>
      </c>
      <c r="EC561">
        <v>0.1</v>
      </c>
      <c r="ED561">
        <v>0.1</v>
      </c>
      <c r="EE561">
        <v>0.1</v>
      </c>
      <c r="EF561">
        <v>0.1</v>
      </c>
    </row>
    <row r="562" spans="71:136" x14ac:dyDescent="0.25">
      <c r="BS562">
        <v>559</v>
      </c>
      <c r="BT562" s="2"/>
      <c r="BU562" s="2"/>
      <c r="BV562" s="2"/>
      <c r="BW562" s="2"/>
      <c r="BX562" s="2"/>
      <c r="BY562">
        <v>0.1</v>
      </c>
      <c r="BZ562">
        <v>0.1</v>
      </c>
      <c r="CA562">
        <v>0.1</v>
      </c>
      <c r="CB562">
        <v>0.1</v>
      </c>
      <c r="CC562">
        <v>0.1</v>
      </c>
      <c r="CD562">
        <v>0.1</v>
      </c>
      <c r="CE562">
        <v>0.1</v>
      </c>
      <c r="CF562">
        <v>0.1</v>
      </c>
      <c r="CG562">
        <v>0.1</v>
      </c>
      <c r="CH562">
        <v>0.1</v>
      </c>
      <c r="CI562">
        <v>0.1</v>
      </c>
      <c r="CJ562">
        <v>0.1</v>
      </c>
      <c r="CK562">
        <v>0.1</v>
      </c>
      <c r="CL562">
        <v>0.1</v>
      </c>
      <c r="CM562">
        <v>0.1</v>
      </c>
      <c r="CN562">
        <v>0.1</v>
      </c>
      <c r="CO562">
        <v>0.1</v>
      </c>
      <c r="CP562">
        <v>0.1</v>
      </c>
      <c r="CQ562">
        <v>0.1</v>
      </c>
      <c r="CR562">
        <v>0.1</v>
      </c>
      <c r="CS562">
        <v>0.1</v>
      </c>
      <c r="CT562">
        <v>0.1</v>
      </c>
      <c r="CU562">
        <v>0.1</v>
      </c>
      <c r="CV562">
        <v>0.1</v>
      </c>
      <c r="CW562">
        <v>0.1</v>
      </c>
      <c r="CX562">
        <v>0.1</v>
      </c>
      <c r="CY562">
        <v>0.1</v>
      </c>
      <c r="CZ562">
        <v>0.1</v>
      </c>
      <c r="DA562">
        <v>0.1</v>
      </c>
      <c r="DB562">
        <v>0.1</v>
      </c>
      <c r="DC562">
        <v>0.1</v>
      </c>
      <c r="DD562">
        <v>0.1</v>
      </c>
      <c r="DE562">
        <v>0.1</v>
      </c>
      <c r="DF562">
        <v>0.1</v>
      </c>
      <c r="DG562">
        <v>0.1</v>
      </c>
      <c r="DH562">
        <v>0.1</v>
      </c>
      <c r="DI562">
        <v>0.1</v>
      </c>
      <c r="DJ562">
        <v>0.1</v>
      </c>
      <c r="DK562">
        <v>0.1</v>
      </c>
      <c r="DL562">
        <v>0.1</v>
      </c>
      <c r="DM562">
        <v>0.1</v>
      </c>
      <c r="DN562">
        <v>0.1</v>
      </c>
      <c r="DO562">
        <v>0.1</v>
      </c>
      <c r="DP562">
        <v>0.1</v>
      </c>
      <c r="DQ562">
        <v>0.1</v>
      </c>
      <c r="DR562">
        <v>0.1</v>
      </c>
      <c r="DS562">
        <v>0.1</v>
      </c>
      <c r="DT562">
        <v>0.1</v>
      </c>
      <c r="DU562">
        <v>0.1</v>
      </c>
      <c r="DV562">
        <v>0.1</v>
      </c>
      <c r="DW562">
        <v>0.1</v>
      </c>
      <c r="DX562">
        <v>0.1</v>
      </c>
      <c r="DY562">
        <v>0.1</v>
      </c>
      <c r="DZ562">
        <v>0.1</v>
      </c>
      <c r="EA562">
        <v>0.1</v>
      </c>
      <c r="EB562">
        <v>0.1</v>
      </c>
      <c r="EC562">
        <v>0.1</v>
      </c>
      <c r="ED562">
        <v>0.1</v>
      </c>
      <c r="EE562">
        <v>0.1</v>
      </c>
      <c r="EF562">
        <v>0.1</v>
      </c>
    </row>
    <row r="563" spans="71:136" x14ac:dyDescent="0.25">
      <c r="BS563">
        <v>560</v>
      </c>
      <c r="BT563" s="2"/>
      <c r="BU563" s="2"/>
      <c r="BV563" s="2"/>
      <c r="BW563" s="2"/>
      <c r="BX563" s="2"/>
      <c r="BY563">
        <v>0.1</v>
      </c>
      <c r="BZ563">
        <v>0.1</v>
      </c>
      <c r="CA563">
        <v>0.1</v>
      </c>
      <c r="CB563">
        <v>0.1</v>
      </c>
      <c r="CC563">
        <v>0.1</v>
      </c>
      <c r="CD563">
        <v>0.1</v>
      </c>
      <c r="CE563">
        <v>0.1</v>
      </c>
      <c r="CF563">
        <v>0.1</v>
      </c>
      <c r="CG563">
        <v>0.1</v>
      </c>
      <c r="CH563">
        <v>0.1</v>
      </c>
      <c r="CI563">
        <v>0.1</v>
      </c>
      <c r="CJ563">
        <v>0.1</v>
      </c>
      <c r="CK563">
        <v>0.1</v>
      </c>
      <c r="CL563">
        <v>0.1</v>
      </c>
      <c r="CM563">
        <v>0.1</v>
      </c>
      <c r="CN563">
        <v>0.1</v>
      </c>
      <c r="CO563">
        <v>0.1</v>
      </c>
      <c r="CP563">
        <v>0.1</v>
      </c>
      <c r="CQ563">
        <v>0.1</v>
      </c>
      <c r="CR563">
        <v>0.1</v>
      </c>
      <c r="CS563">
        <v>0.1</v>
      </c>
      <c r="CT563">
        <v>0.1</v>
      </c>
      <c r="CU563">
        <v>0.1</v>
      </c>
      <c r="CV563">
        <v>0.1</v>
      </c>
      <c r="CW563">
        <v>0.1</v>
      </c>
      <c r="CX563">
        <v>0.1</v>
      </c>
      <c r="CY563">
        <v>0.1</v>
      </c>
      <c r="CZ563">
        <v>0.1</v>
      </c>
      <c r="DA563">
        <v>0.1</v>
      </c>
      <c r="DB563">
        <v>0.1</v>
      </c>
      <c r="DC563">
        <v>0.1</v>
      </c>
      <c r="DD563">
        <v>0.1</v>
      </c>
      <c r="DE563">
        <v>0.1</v>
      </c>
      <c r="DF563">
        <v>0.1</v>
      </c>
      <c r="DG563">
        <v>0.1</v>
      </c>
      <c r="DH563">
        <v>0.1</v>
      </c>
      <c r="DI563">
        <v>0.1</v>
      </c>
      <c r="DJ563">
        <v>0.1</v>
      </c>
      <c r="DK563">
        <v>0.1</v>
      </c>
      <c r="DL563">
        <v>0.1</v>
      </c>
      <c r="DM563">
        <v>0.1</v>
      </c>
      <c r="DN563">
        <v>0.1</v>
      </c>
      <c r="DO563">
        <v>0.1</v>
      </c>
      <c r="DP563">
        <v>0.1</v>
      </c>
      <c r="DQ563">
        <v>0.1</v>
      </c>
      <c r="DR563">
        <v>0.1</v>
      </c>
      <c r="DS563">
        <v>0.1</v>
      </c>
      <c r="DT563">
        <v>0.1</v>
      </c>
      <c r="DU563">
        <v>0.1</v>
      </c>
      <c r="DV563">
        <v>0.1</v>
      </c>
      <c r="DW563">
        <v>0.1</v>
      </c>
      <c r="DX563">
        <v>0.1</v>
      </c>
      <c r="DY563">
        <v>0.1</v>
      </c>
      <c r="DZ563">
        <v>0.1</v>
      </c>
      <c r="EA563">
        <v>0.1</v>
      </c>
      <c r="EB563">
        <v>0.1</v>
      </c>
      <c r="EC563">
        <v>0.1</v>
      </c>
      <c r="ED563">
        <v>0.1</v>
      </c>
      <c r="EE563">
        <v>0.1</v>
      </c>
      <c r="EF563">
        <v>0.1</v>
      </c>
    </row>
    <row r="564" spans="71:136" x14ac:dyDescent="0.25">
      <c r="BS564">
        <v>561</v>
      </c>
      <c r="BT564" s="2"/>
      <c r="BU564" s="2"/>
      <c r="BV564" s="2"/>
      <c r="BW564" s="2"/>
      <c r="BX564" s="2"/>
      <c r="BY564">
        <v>0.1</v>
      </c>
      <c r="BZ564">
        <v>0.1</v>
      </c>
      <c r="CA564">
        <v>0.1</v>
      </c>
      <c r="CB564">
        <v>0.1</v>
      </c>
      <c r="CC564">
        <v>0.1</v>
      </c>
      <c r="CD564">
        <v>0.1</v>
      </c>
      <c r="CE564">
        <v>0.1</v>
      </c>
      <c r="CF564">
        <v>0.1</v>
      </c>
      <c r="CG564">
        <v>0.1</v>
      </c>
      <c r="CH564">
        <v>0.1</v>
      </c>
      <c r="CI564">
        <v>0.1</v>
      </c>
      <c r="CJ564">
        <v>0.1</v>
      </c>
      <c r="CK564">
        <v>0.1</v>
      </c>
      <c r="CL564">
        <v>0.1</v>
      </c>
      <c r="CM564">
        <v>0.1</v>
      </c>
      <c r="CN564">
        <v>0.1</v>
      </c>
      <c r="CO564">
        <v>0.1</v>
      </c>
      <c r="CP564">
        <v>0.1</v>
      </c>
      <c r="CQ564">
        <v>0.1</v>
      </c>
      <c r="CR564">
        <v>0.1</v>
      </c>
      <c r="CS564">
        <v>0.1</v>
      </c>
      <c r="CT564">
        <v>0.1</v>
      </c>
      <c r="CU564">
        <v>0.1</v>
      </c>
      <c r="CV564">
        <v>0.1</v>
      </c>
      <c r="CW564">
        <v>0.1</v>
      </c>
      <c r="CX564">
        <v>0.1</v>
      </c>
      <c r="CY564">
        <v>0.1</v>
      </c>
      <c r="CZ564">
        <v>0.1</v>
      </c>
      <c r="DA564">
        <v>0.1</v>
      </c>
      <c r="DB564">
        <v>0.1</v>
      </c>
      <c r="DC564">
        <v>0.1</v>
      </c>
      <c r="DD564">
        <v>0.1</v>
      </c>
      <c r="DE564">
        <v>0.1</v>
      </c>
      <c r="DF564">
        <v>0.1</v>
      </c>
      <c r="DG564">
        <v>0.1</v>
      </c>
      <c r="DH564">
        <v>0.1</v>
      </c>
      <c r="DI564">
        <v>0.1</v>
      </c>
      <c r="DJ564">
        <v>0.1</v>
      </c>
      <c r="DK564">
        <v>0.1</v>
      </c>
      <c r="DL564">
        <v>0.1</v>
      </c>
      <c r="DM564">
        <v>0.1</v>
      </c>
      <c r="DN564">
        <v>0.1</v>
      </c>
      <c r="DO564">
        <v>0.1</v>
      </c>
      <c r="DP564">
        <v>0.1</v>
      </c>
      <c r="DQ564">
        <v>0.1</v>
      </c>
      <c r="DR564">
        <v>0.1</v>
      </c>
      <c r="DS564">
        <v>0.1</v>
      </c>
      <c r="DT564">
        <v>0.1</v>
      </c>
      <c r="DU564">
        <v>0.1</v>
      </c>
      <c r="DV564">
        <v>0.1</v>
      </c>
      <c r="DW564">
        <v>0.1</v>
      </c>
      <c r="DX564">
        <v>0.1</v>
      </c>
      <c r="DY564">
        <v>0.1</v>
      </c>
      <c r="DZ564">
        <v>0.1</v>
      </c>
      <c r="EA564">
        <v>0.1</v>
      </c>
      <c r="EB564">
        <v>0.1</v>
      </c>
      <c r="EC564">
        <v>0.1</v>
      </c>
      <c r="ED564">
        <v>0.1</v>
      </c>
      <c r="EE564">
        <v>0.1</v>
      </c>
      <c r="EF564">
        <v>0.1</v>
      </c>
    </row>
    <row r="565" spans="71:136" x14ac:dyDescent="0.25">
      <c r="BS565">
        <v>562</v>
      </c>
      <c r="BT565" s="2"/>
      <c r="BU565" s="2"/>
      <c r="BV565" s="2"/>
      <c r="BW565" s="2"/>
      <c r="BX565" s="2"/>
      <c r="BY565">
        <v>0.1</v>
      </c>
      <c r="BZ565">
        <v>0.1</v>
      </c>
      <c r="CA565">
        <v>0.1</v>
      </c>
      <c r="CB565">
        <v>0.1</v>
      </c>
      <c r="CC565">
        <v>0.1</v>
      </c>
      <c r="CD565">
        <v>0.1</v>
      </c>
      <c r="CE565">
        <v>0.1</v>
      </c>
      <c r="CF565">
        <v>0.1</v>
      </c>
      <c r="CG565">
        <v>0.1</v>
      </c>
      <c r="CH565">
        <v>0.1</v>
      </c>
      <c r="CI565">
        <v>0.1</v>
      </c>
      <c r="CJ565">
        <v>0.1</v>
      </c>
      <c r="CK565">
        <v>0.1</v>
      </c>
      <c r="CL565">
        <v>0.1</v>
      </c>
      <c r="CM565">
        <v>0.1</v>
      </c>
      <c r="CN565">
        <v>0.1</v>
      </c>
      <c r="CO565">
        <v>0.1</v>
      </c>
      <c r="CP565">
        <v>0.1</v>
      </c>
      <c r="CQ565">
        <v>0.1</v>
      </c>
      <c r="CR565">
        <v>0.1</v>
      </c>
      <c r="CS565">
        <v>0.1</v>
      </c>
      <c r="CT565">
        <v>0.1</v>
      </c>
      <c r="CU565">
        <v>0.1</v>
      </c>
      <c r="CV565">
        <v>0.1</v>
      </c>
      <c r="CW565">
        <v>0.1</v>
      </c>
      <c r="CX565">
        <v>0.1</v>
      </c>
      <c r="CY565">
        <v>0.1</v>
      </c>
      <c r="CZ565">
        <v>0.1</v>
      </c>
      <c r="DA565">
        <v>0.1</v>
      </c>
      <c r="DB565">
        <v>0.1</v>
      </c>
      <c r="DC565">
        <v>0.1</v>
      </c>
      <c r="DD565">
        <v>0.1</v>
      </c>
      <c r="DE565">
        <v>0.1</v>
      </c>
      <c r="DF565">
        <v>0.1</v>
      </c>
      <c r="DG565">
        <v>0.1</v>
      </c>
      <c r="DH565">
        <v>0.1</v>
      </c>
      <c r="DI565">
        <v>0.1</v>
      </c>
      <c r="DJ565">
        <v>0.1</v>
      </c>
      <c r="DK565">
        <v>0.1</v>
      </c>
      <c r="DL565">
        <v>0.1</v>
      </c>
      <c r="DM565">
        <v>0.1</v>
      </c>
      <c r="DN565">
        <v>0.1</v>
      </c>
      <c r="DO565">
        <v>0.1</v>
      </c>
      <c r="DP565">
        <v>0.1</v>
      </c>
      <c r="DQ565">
        <v>0.1</v>
      </c>
      <c r="DR565">
        <v>0.1</v>
      </c>
      <c r="DS565">
        <v>0.1</v>
      </c>
      <c r="DT565">
        <v>0.1</v>
      </c>
      <c r="DU565">
        <v>0.1</v>
      </c>
      <c r="DV565">
        <v>0.1</v>
      </c>
      <c r="DW565">
        <v>0.1</v>
      </c>
      <c r="DX565">
        <v>0.1</v>
      </c>
      <c r="DY565">
        <v>0.1</v>
      </c>
      <c r="DZ565">
        <v>0.1</v>
      </c>
      <c r="EA565">
        <v>0.1</v>
      </c>
      <c r="EB565">
        <v>0.1</v>
      </c>
      <c r="EC565">
        <v>0.1</v>
      </c>
      <c r="ED565">
        <v>0.1</v>
      </c>
      <c r="EE565">
        <v>0.1</v>
      </c>
      <c r="EF565">
        <v>0.1</v>
      </c>
    </row>
    <row r="566" spans="71:136" x14ac:dyDescent="0.25">
      <c r="BS566">
        <v>563</v>
      </c>
      <c r="BT566" s="2"/>
      <c r="BU566" s="2"/>
      <c r="BV566" s="2"/>
      <c r="BW566" s="2"/>
      <c r="BX566" s="2"/>
      <c r="BY566">
        <v>0.1</v>
      </c>
      <c r="BZ566">
        <v>0.1</v>
      </c>
      <c r="CA566">
        <v>0.1</v>
      </c>
      <c r="CB566">
        <v>0.1</v>
      </c>
      <c r="CC566">
        <v>0.1</v>
      </c>
      <c r="CD566">
        <v>0.1</v>
      </c>
      <c r="CE566">
        <v>0.1</v>
      </c>
      <c r="CF566">
        <v>0.1</v>
      </c>
      <c r="CG566">
        <v>0.1</v>
      </c>
      <c r="CH566">
        <v>0.1</v>
      </c>
      <c r="CI566">
        <v>0.1</v>
      </c>
      <c r="CJ566">
        <v>0.1</v>
      </c>
      <c r="CK566">
        <v>0.1</v>
      </c>
      <c r="CL566">
        <v>0.1</v>
      </c>
      <c r="CM566">
        <v>0.1</v>
      </c>
      <c r="CN566">
        <v>0.1</v>
      </c>
      <c r="CO566">
        <v>0.1</v>
      </c>
      <c r="CP566">
        <v>0.1</v>
      </c>
      <c r="CQ566">
        <v>0.1</v>
      </c>
      <c r="CR566">
        <v>0.1</v>
      </c>
      <c r="CS566">
        <v>0.1</v>
      </c>
      <c r="CT566">
        <v>0.1</v>
      </c>
      <c r="CU566">
        <v>0.1</v>
      </c>
      <c r="CV566">
        <v>0.1</v>
      </c>
      <c r="CW566">
        <v>0.1</v>
      </c>
      <c r="CX566">
        <v>0.1</v>
      </c>
      <c r="CY566">
        <v>0.1</v>
      </c>
      <c r="CZ566">
        <v>0.1</v>
      </c>
      <c r="DA566">
        <v>0.1</v>
      </c>
      <c r="DB566">
        <v>0.1</v>
      </c>
      <c r="DC566">
        <v>0.1</v>
      </c>
      <c r="DD566">
        <v>0.1</v>
      </c>
      <c r="DE566">
        <v>0.1</v>
      </c>
      <c r="DF566">
        <v>0.1</v>
      </c>
      <c r="DG566">
        <v>0.1</v>
      </c>
      <c r="DH566">
        <v>0.1</v>
      </c>
      <c r="DI566">
        <v>0.1</v>
      </c>
      <c r="DJ566">
        <v>0.1</v>
      </c>
      <c r="DK566">
        <v>0.1</v>
      </c>
      <c r="DL566">
        <v>0.1</v>
      </c>
      <c r="DM566">
        <v>0.1</v>
      </c>
      <c r="DN566">
        <v>0.1</v>
      </c>
      <c r="DO566">
        <v>0.1</v>
      </c>
      <c r="DP566">
        <v>0.1</v>
      </c>
      <c r="DQ566">
        <v>0.1</v>
      </c>
      <c r="DR566">
        <v>0.1</v>
      </c>
      <c r="DS566">
        <v>0.1</v>
      </c>
      <c r="DT566">
        <v>0.1</v>
      </c>
      <c r="DU566">
        <v>0.1</v>
      </c>
      <c r="DV566">
        <v>0.1</v>
      </c>
      <c r="DW566">
        <v>0.1</v>
      </c>
      <c r="DX566">
        <v>0.1</v>
      </c>
      <c r="DY566">
        <v>0.1</v>
      </c>
      <c r="DZ566">
        <v>0.1</v>
      </c>
      <c r="EA566">
        <v>0.1</v>
      </c>
      <c r="EB566">
        <v>0.1</v>
      </c>
      <c r="EC566">
        <v>0.1</v>
      </c>
      <c r="ED566">
        <v>0.1</v>
      </c>
      <c r="EE566">
        <v>0.1</v>
      </c>
      <c r="EF566">
        <v>0.1</v>
      </c>
    </row>
    <row r="567" spans="71:136" x14ac:dyDescent="0.25">
      <c r="BS567">
        <v>564</v>
      </c>
      <c r="BT567" s="2"/>
      <c r="BU567" s="2"/>
      <c r="BV567" s="2"/>
      <c r="BW567" s="2"/>
      <c r="BX567" s="2"/>
      <c r="BY567">
        <v>0.1</v>
      </c>
      <c r="BZ567">
        <v>0.1</v>
      </c>
      <c r="CA567">
        <v>0.1</v>
      </c>
      <c r="CB567">
        <v>0.1</v>
      </c>
      <c r="CC567">
        <v>0.1</v>
      </c>
      <c r="CD567">
        <v>0.1</v>
      </c>
      <c r="CE567">
        <v>0.1</v>
      </c>
      <c r="CF567">
        <v>0.1</v>
      </c>
      <c r="CG567">
        <v>0.1</v>
      </c>
      <c r="CH567">
        <v>0.1</v>
      </c>
      <c r="CI567">
        <v>0.1</v>
      </c>
      <c r="CJ567">
        <v>0.1</v>
      </c>
      <c r="CK567">
        <v>0.1</v>
      </c>
      <c r="CL567">
        <v>0.1</v>
      </c>
      <c r="CM567">
        <v>0.1</v>
      </c>
      <c r="CN567">
        <v>0.1</v>
      </c>
      <c r="CO567">
        <v>0.1</v>
      </c>
      <c r="CP567">
        <v>0.1</v>
      </c>
      <c r="CQ567">
        <v>0.1</v>
      </c>
      <c r="CR567">
        <v>0.1</v>
      </c>
      <c r="CS567">
        <v>0.1</v>
      </c>
      <c r="CT567">
        <v>0.1</v>
      </c>
      <c r="CU567">
        <v>0.1</v>
      </c>
      <c r="CV567">
        <v>0.1</v>
      </c>
      <c r="CW567">
        <v>0.1</v>
      </c>
      <c r="CX567">
        <v>0.1</v>
      </c>
      <c r="CY567">
        <v>0.1</v>
      </c>
      <c r="CZ567">
        <v>0.1</v>
      </c>
      <c r="DA567">
        <v>0.1</v>
      </c>
      <c r="DB567">
        <v>0.1</v>
      </c>
      <c r="DC567">
        <v>0.1</v>
      </c>
      <c r="DD567">
        <v>0.1</v>
      </c>
      <c r="DE567">
        <v>0.1</v>
      </c>
      <c r="DF567">
        <v>0.1</v>
      </c>
      <c r="DG567">
        <v>0.1</v>
      </c>
      <c r="DH567">
        <v>0.1</v>
      </c>
      <c r="DI567">
        <v>0.1</v>
      </c>
      <c r="DJ567">
        <v>0.1</v>
      </c>
      <c r="DK567">
        <v>0.1</v>
      </c>
      <c r="DL567">
        <v>0.1</v>
      </c>
      <c r="DM567">
        <v>0.1</v>
      </c>
      <c r="DN567">
        <v>0.1</v>
      </c>
      <c r="DO567">
        <v>0.1</v>
      </c>
      <c r="DP567">
        <v>0.1</v>
      </c>
      <c r="DQ567">
        <v>0.1</v>
      </c>
      <c r="DR567">
        <v>0.1</v>
      </c>
      <c r="DS567">
        <v>0.1</v>
      </c>
      <c r="DT567">
        <v>0.1</v>
      </c>
      <c r="DU567">
        <v>0.1</v>
      </c>
      <c r="DV567">
        <v>0.1</v>
      </c>
      <c r="DW567">
        <v>0.1</v>
      </c>
      <c r="DX567">
        <v>0.1</v>
      </c>
      <c r="DY567">
        <v>0.1</v>
      </c>
      <c r="DZ567">
        <v>0.1</v>
      </c>
      <c r="EA567">
        <v>0.1</v>
      </c>
      <c r="EB567">
        <v>0.1</v>
      </c>
      <c r="EC567">
        <v>0.1</v>
      </c>
      <c r="ED567">
        <v>0.1</v>
      </c>
      <c r="EE567">
        <v>0.1</v>
      </c>
      <c r="EF567">
        <v>0.1</v>
      </c>
    </row>
    <row r="568" spans="71:136" x14ac:dyDescent="0.25">
      <c r="BS568">
        <v>565</v>
      </c>
      <c r="BT568" s="2"/>
      <c r="BU568" s="2"/>
      <c r="BV568" s="2"/>
      <c r="BW568" s="2"/>
      <c r="BX568" s="2"/>
      <c r="BY568">
        <v>0.1</v>
      </c>
      <c r="BZ568">
        <v>0.1</v>
      </c>
      <c r="CA568">
        <v>0.1</v>
      </c>
      <c r="CB568">
        <v>0.1</v>
      </c>
      <c r="CC568">
        <v>0.1</v>
      </c>
      <c r="CD568">
        <v>0.1</v>
      </c>
      <c r="CE568">
        <v>0.1</v>
      </c>
      <c r="CF568">
        <v>0.1</v>
      </c>
      <c r="CG568">
        <v>0.1</v>
      </c>
      <c r="CH568">
        <v>0.1</v>
      </c>
      <c r="CI568">
        <v>0.1</v>
      </c>
      <c r="CJ568">
        <v>0.1</v>
      </c>
      <c r="CK568">
        <v>0.1</v>
      </c>
      <c r="CL568">
        <v>0.1</v>
      </c>
      <c r="CM568">
        <v>0.1</v>
      </c>
      <c r="CN568">
        <v>0.1</v>
      </c>
      <c r="CO568">
        <v>0.1</v>
      </c>
      <c r="CP568">
        <v>0.1</v>
      </c>
      <c r="CQ568">
        <v>0.1</v>
      </c>
      <c r="CR568">
        <v>0.1</v>
      </c>
      <c r="CS568">
        <v>0.1</v>
      </c>
      <c r="CT568">
        <v>0.1</v>
      </c>
      <c r="CU568">
        <v>0.1</v>
      </c>
      <c r="CV568">
        <v>0.1</v>
      </c>
      <c r="CW568">
        <v>0.1</v>
      </c>
      <c r="CX568">
        <v>0.1</v>
      </c>
      <c r="CY568">
        <v>0.1</v>
      </c>
      <c r="CZ568">
        <v>0.1</v>
      </c>
      <c r="DA568">
        <v>0.1</v>
      </c>
      <c r="DB568">
        <v>0.1</v>
      </c>
      <c r="DC568">
        <v>0.1</v>
      </c>
      <c r="DD568">
        <v>0.1</v>
      </c>
      <c r="DE568">
        <v>0.1</v>
      </c>
      <c r="DF568">
        <v>0.1</v>
      </c>
      <c r="DG568">
        <v>0.1</v>
      </c>
      <c r="DH568">
        <v>0.1</v>
      </c>
      <c r="DI568">
        <v>0.1</v>
      </c>
      <c r="DJ568">
        <v>0.1</v>
      </c>
      <c r="DK568">
        <v>0.1</v>
      </c>
      <c r="DL568">
        <v>0.1</v>
      </c>
      <c r="DM568">
        <v>0.1</v>
      </c>
      <c r="DN568">
        <v>0.1</v>
      </c>
      <c r="DO568">
        <v>0.1</v>
      </c>
      <c r="DP568">
        <v>0.1</v>
      </c>
      <c r="DQ568">
        <v>0.1</v>
      </c>
      <c r="DR568">
        <v>0.1</v>
      </c>
      <c r="DS568">
        <v>0.1</v>
      </c>
      <c r="DT568">
        <v>0.1</v>
      </c>
      <c r="DU568">
        <v>0.1</v>
      </c>
      <c r="DV568">
        <v>0.1</v>
      </c>
      <c r="DW568">
        <v>0.1</v>
      </c>
      <c r="DX568">
        <v>0.1</v>
      </c>
      <c r="DY568">
        <v>0.1</v>
      </c>
      <c r="DZ568">
        <v>0.1</v>
      </c>
      <c r="EA568">
        <v>0.1</v>
      </c>
      <c r="EB568">
        <v>0.1</v>
      </c>
      <c r="EC568">
        <v>0.1</v>
      </c>
      <c r="ED568">
        <v>0.1</v>
      </c>
      <c r="EE568">
        <v>0.1</v>
      </c>
      <c r="EF568">
        <v>0.1</v>
      </c>
    </row>
    <row r="569" spans="71:136" x14ac:dyDescent="0.25">
      <c r="BS569">
        <v>566</v>
      </c>
      <c r="BT569" s="2"/>
      <c r="BU569" s="2"/>
      <c r="BV569" s="2"/>
      <c r="BW569" s="2"/>
      <c r="BX569" s="2"/>
      <c r="BY569">
        <v>0.1</v>
      </c>
      <c r="BZ569">
        <v>0.1</v>
      </c>
      <c r="CA569">
        <v>0.1</v>
      </c>
      <c r="CB569">
        <v>0.1</v>
      </c>
      <c r="CC569">
        <v>0.1</v>
      </c>
      <c r="CD569">
        <v>0.1</v>
      </c>
      <c r="CE569">
        <v>0.1</v>
      </c>
      <c r="CF569">
        <v>0.1</v>
      </c>
      <c r="CG569">
        <v>0.1</v>
      </c>
      <c r="CH569">
        <v>0.1</v>
      </c>
      <c r="CI569">
        <v>0.1</v>
      </c>
      <c r="CJ569">
        <v>0.1</v>
      </c>
      <c r="CK569">
        <v>0.1</v>
      </c>
      <c r="CL569">
        <v>0.1</v>
      </c>
      <c r="CM569">
        <v>0.1</v>
      </c>
      <c r="CN569">
        <v>0.1</v>
      </c>
      <c r="CO569">
        <v>0.1</v>
      </c>
      <c r="CP569">
        <v>0.1</v>
      </c>
      <c r="CQ569">
        <v>0.1</v>
      </c>
      <c r="CR569">
        <v>0.1</v>
      </c>
      <c r="CS569">
        <v>0.1</v>
      </c>
      <c r="CT569">
        <v>0.1</v>
      </c>
      <c r="CU569">
        <v>0.1</v>
      </c>
      <c r="CV569">
        <v>0.1</v>
      </c>
      <c r="CW569">
        <v>0.1</v>
      </c>
      <c r="CX569">
        <v>0.1</v>
      </c>
      <c r="CY569">
        <v>0.1</v>
      </c>
      <c r="CZ569">
        <v>0.1</v>
      </c>
      <c r="DA569">
        <v>0.1</v>
      </c>
      <c r="DB569">
        <v>0.1</v>
      </c>
      <c r="DC569">
        <v>0.1</v>
      </c>
      <c r="DD569">
        <v>0.1</v>
      </c>
      <c r="DE569">
        <v>0.1</v>
      </c>
      <c r="DF569">
        <v>0.1</v>
      </c>
      <c r="DG569">
        <v>0.1</v>
      </c>
      <c r="DH569">
        <v>0.1</v>
      </c>
      <c r="DI569">
        <v>0.1</v>
      </c>
      <c r="DJ569">
        <v>0.1</v>
      </c>
      <c r="DK569">
        <v>0.1</v>
      </c>
      <c r="DL569">
        <v>0.1</v>
      </c>
      <c r="DM569">
        <v>0.1</v>
      </c>
      <c r="DN569">
        <v>0.1</v>
      </c>
      <c r="DO569">
        <v>0.1</v>
      </c>
      <c r="DP569">
        <v>0.1</v>
      </c>
      <c r="DQ569">
        <v>0.1</v>
      </c>
      <c r="DR569">
        <v>0.1</v>
      </c>
      <c r="DS569">
        <v>0.1</v>
      </c>
      <c r="DT569">
        <v>0.1</v>
      </c>
      <c r="DU569">
        <v>0.1</v>
      </c>
      <c r="DV569">
        <v>0.1</v>
      </c>
      <c r="DW569">
        <v>0.1</v>
      </c>
      <c r="DX569">
        <v>0.1</v>
      </c>
      <c r="DY569">
        <v>0.1</v>
      </c>
      <c r="DZ569">
        <v>0.1</v>
      </c>
      <c r="EA569">
        <v>0.1</v>
      </c>
      <c r="EB569">
        <v>0.1</v>
      </c>
      <c r="EC569">
        <v>0.1</v>
      </c>
      <c r="ED569">
        <v>0.1</v>
      </c>
      <c r="EE569">
        <v>0.1</v>
      </c>
      <c r="EF569">
        <v>0.1</v>
      </c>
    </row>
    <row r="570" spans="71:136" x14ac:dyDescent="0.25">
      <c r="BS570">
        <v>567</v>
      </c>
      <c r="BT570" s="2"/>
      <c r="BU570" s="2"/>
      <c r="BV570" s="2"/>
      <c r="BW570" s="2"/>
      <c r="BX570" s="2"/>
      <c r="BY570">
        <v>0.1</v>
      </c>
      <c r="BZ570">
        <v>0.1</v>
      </c>
      <c r="CA570">
        <v>0.1</v>
      </c>
      <c r="CB570">
        <v>0.1</v>
      </c>
      <c r="CC570">
        <v>0.1</v>
      </c>
      <c r="CD570">
        <v>0.1</v>
      </c>
      <c r="CE570">
        <v>0.1</v>
      </c>
      <c r="CF570">
        <v>0.1</v>
      </c>
      <c r="CG570">
        <v>0.1</v>
      </c>
      <c r="CH570">
        <v>0.1</v>
      </c>
      <c r="CI570">
        <v>0.1</v>
      </c>
      <c r="CJ570">
        <v>0.1</v>
      </c>
      <c r="CK570">
        <v>0.1</v>
      </c>
      <c r="CL570">
        <v>0.1</v>
      </c>
      <c r="CM570">
        <v>0.1</v>
      </c>
      <c r="CN570">
        <v>0.1</v>
      </c>
      <c r="CO570">
        <v>0.1</v>
      </c>
      <c r="CP570">
        <v>0.1</v>
      </c>
      <c r="CQ570">
        <v>0.1</v>
      </c>
      <c r="CR570">
        <v>0.1</v>
      </c>
      <c r="CS570">
        <v>0.1</v>
      </c>
      <c r="CT570">
        <v>0.1</v>
      </c>
      <c r="CU570">
        <v>0.1</v>
      </c>
      <c r="CV570">
        <v>0.1</v>
      </c>
      <c r="CW570">
        <v>0.1</v>
      </c>
      <c r="CX570">
        <v>0.1</v>
      </c>
      <c r="CY570">
        <v>0.1</v>
      </c>
      <c r="CZ570">
        <v>0.1</v>
      </c>
      <c r="DA570">
        <v>0.1</v>
      </c>
      <c r="DB570">
        <v>0.1</v>
      </c>
      <c r="DC570">
        <v>0.1</v>
      </c>
      <c r="DD570">
        <v>0.1</v>
      </c>
      <c r="DE570">
        <v>0.1</v>
      </c>
      <c r="DF570">
        <v>0.1</v>
      </c>
      <c r="DG570">
        <v>0.1</v>
      </c>
      <c r="DH570">
        <v>0.1</v>
      </c>
      <c r="DI570">
        <v>0.1</v>
      </c>
      <c r="DJ570">
        <v>0.1</v>
      </c>
      <c r="DK570">
        <v>0.1</v>
      </c>
      <c r="DL570">
        <v>0.1</v>
      </c>
      <c r="DM570">
        <v>0.1</v>
      </c>
      <c r="DN570">
        <v>0.1</v>
      </c>
      <c r="DO570">
        <v>0.1</v>
      </c>
      <c r="DP570">
        <v>0.1</v>
      </c>
      <c r="DQ570">
        <v>0.1</v>
      </c>
      <c r="DR570">
        <v>0.1</v>
      </c>
      <c r="DS570">
        <v>0.1</v>
      </c>
      <c r="DT570">
        <v>0.1</v>
      </c>
      <c r="DU570">
        <v>0.1</v>
      </c>
      <c r="DV570">
        <v>0.1</v>
      </c>
      <c r="DW570">
        <v>0.1</v>
      </c>
      <c r="DX570">
        <v>0.1</v>
      </c>
      <c r="DY570">
        <v>0.1</v>
      </c>
      <c r="DZ570">
        <v>0.1</v>
      </c>
      <c r="EA570">
        <v>0.1</v>
      </c>
      <c r="EB570">
        <v>0.1</v>
      </c>
      <c r="EC570">
        <v>0.1</v>
      </c>
      <c r="ED570">
        <v>0.1</v>
      </c>
      <c r="EE570">
        <v>0.1</v>
      </c>
      <c r="EF570">
        <v>0.1</v>
      </c>
    </row>
    <row r="571" spans="71:136" x14ac:dyDescent="0.25">
      <c r="BS571">
        <v>568</v>
      </c>
      <c r="BT571" s="2"/>
      <c r="BU571" s="2"/>
      <c r="BV571" s="2"/>
      <c r="BW571" s="2"/>
      <c r="BX571" s="2"/>
      <c r="BY571">
        <v>0.1</v>
      </c>
      <c r="BZ571">
        <v>0.1</v>
      </c>
      <c r="CA571">
        <v>0.1</v>
      </c>
      <c r="CB571">
        <v>0.1</v>
      </c>
      <c r="CC571">
        <v>0.1</v>
      </c>
      <c r="CD571">
        <v>0.1</v>
      </c>
      <c r="CE571">
        <v>0.1</v>
      </c>
      <c r="CF571">
        <v>0.1</v>
      </c>
      <c r="CG571">
        <v>0.1</v>
      </c>
      <c r="CH571">
        <v>0.1</v>
      </c>
      <c r="CI571">
        <v>0.1</v>
      </c>
      <c r="CJ571">
        <v>0.1</v>
      </c>
      <c r="CK571">
        <v>0.1</v>
      </c>
      <c r="CL571">
        <v>0.1</v>
      </c>
      <c r="CM571">
        <v>0.1</v>
      </c>
      <c r="CN571">
        <v>0.1</v>
      </c>
      <c r="CO571">
        <v>0.1</v>
      </c>
      <c r="CP571">
        <v>0.1</v>
      </c>
      <c r="CQ571">
        <v>0.1</v>
      </c>
      <c r="CR571">
        <v>0.1</v>
      </c>
      <c r="CS571">
        <v>0.1</v>
      </c>
      <c r="CT571">
        <v>0.1</v>
      </c>
      <c r="CU571">
        <v>0.1</v>
      </c>
      <c r="CV571">
        <v>0.1</v>
      </c>
      <c r="CW571">
        <v>0.1</v>
      </c>
      <c r="CX571">
        <v>0.1</v>
      </c>
      <c r="CY571">
        <v>0.1</v>
      </c>
      <c r="CZ571">
        <v>0.1</v>
      </c>
      <c r="DA571">
        <v>0.1</v>
      </c>
      <c r="DB571">
        <v>0.1</v>
      </c>
      <c r="DC571">
        <v>0.1</v>
      </c>
      <c r="DD571">
        <v>0.1</v>
      </c>
      <c r="DE571">
        <v>0.1</v>
      </c>
      <c r="DF571">
        <v>0.1</v>
      </c>
      <c r="DG571">
        <v>0.1</v>
      </c>
      <c r="DH571">
        <v>0.1</v>
      </c>
      <c r="DI571">
        <v>0.1</v>
      </c>
      <c r="DJ571">
        <v>0.1</v>
      </c>
      <c r="DK571">
        <v>0.1</v>
      </c>
      <c r="DL571">
        <v>0.1</v>
      </c>
      <c r="DM571">
        <v>0.1</v>
      </c>
      <c r="DN571">
        <v>0.1</v>
      </c>
      <c r="DO571">
        <v>0.1</v>
      </c>
      <c r="DP571">
        <v>0.1</v>
      </c>
      <c r="DQ571">
        <v>0.1</v>
      </c>
      <c r="DR571">
        <v>0.1</v>
      </c>
      <c r="DS571">
        <v>0.1</v>
      </c>
      <c r="DT571">
        <v>0.1</v>
      </c>
      <c r="DU571">
        <v>0.1</v>
      </c>
      <c r="DV571">
        <v>0.1</v>
      </c>
      <c r="DW571">
        <v>0.1</v>
      </c>
      <c r="DX571">
        <v>0.1</v>
      </c>
      <c r="DY571">
        <v>0.1</v>
      </c>
      <c r="DZ571">
        <v>0.1</v>
      </c>
      <c r="EA571">
        <v>0.1</v>
      </c>
      <c r="EB571">
        <v>0.1</v>
      </c>
      <c r="EC571">
        <v>0.1</v>
      </c>
      <c r="ED571">
        <v>0.1</v>
      </c>
      <c r="EE571">
        <v>0.1</v>
      </c>
      <c r="EF571">
        <v>0.1</v>
      </c>
    </row>
    <row r="572" spans="71:136" x14ac:dyDescent="0.25">
      <c r="BS572">
        <v>569</v>
      </c>
      <c r="BT572" s="2"/>
      <c r="BU572" s="2"/>
      <c r="BV572" s="2"/>
      <c r="BW572" s="2"/>
      <c r="BX572" s="2"/>
      <c r="BY572">
        <v>0.1</v>
      </c>
      <c r="BZ572">
        <v>0.1</v>
      </c>
      <c r="CA572">
        <v>0.1</v>
      </c>
      <c r="CB572">
        <v>0.1</v>
      </c>
      <c r="CC572">
        <v>0.1</v>
      </c>
      <c r="CD572">
        <v>0.1</v>
      </c>
      <c r="CE572">
        <v>0.1</v>
      </c>
      <c r="CF572">
        <v>0.1</v>
      </c>
      <c r="CG572">
        <v>0.1</v>
      </c>
      <c r="CH572">
        <v>0.1</v>
      </c>
      <c r="CI572">
        <v>0.1</v>
      </c>
      <c r="CJ572">
        <v>0.1</v>
      </c>
      <c r="CK572">
        <v>0.1</v>
      </c>
      <c r="CL572">
        <v>0.1</v>
      </c>
      <c r="CM572">
        <v>0.1</v>
      </c>
      <c r="CN572">
        <v>0.1</v>
      </c>
      <c r="CO572">
        <v>0.1</v>
      </c>
      <c r="CP572">
        <v>0.1</v>
      </c>
      <c r="CQ572">
        <v>0.1</v>
      </c>
      <c r="CR572">
        <v>0.1</v>
      </c>
      <c r="CS572">
        <v>0.1</v>
      </c>
      <c r="CT572">
        <v>0.1</v>
      </c>
      <c r="CU572">
        <v>0.1</v>
      </c>
      <c r="CV572">
        <v>0.1</v>
      </c>
      <c r="CW572">
        <v>0.1</v>
      </c>
      <c r="CX572">
        <v>0.1</v>
      </c>
      <c r="CY572">
        <v>0.1</v>
      </c>
      <c r="CZ572">
        <v>0.1</v>
      </c>
      <c r="DA572">
        <v>0.1</v>
      </c>
      <c r="DB572">
        <v>0.1</v>
      </c>
      <c r="DC572">
        <v>0.1</v>
      </c>
      <c r="DD572">
        <v>0.1</v>
      </c>
      <c r="DE572">
        <v>0.1</v>
      </c>
      <c r="DF572">
        <v>0.1</v>
      </c>
      <c r="DG572">
        <v>0.1</v>
      </c>
      <c r="DH572">
        <v>0.1</v>
      </c>
      <c r="DI572">
        <v>0.1</v>
      </c>
      <c r="DJ572">
        <v>0.1</v>
      </c>
      <c r="DK572">
        <v>0.1</v>
      </c>
      <c r="DL572">
        <v>0.1</v>
      </c>
      <c r="DM572">
        <v>0.1</v>
      </c>
      <c r="DN572">
        <v>0.1</v>
      </c>
      <c r="DO572">
        <v>0.1</v>
      </c>
      <c r="DP572">
        <v>0.1</v>
      </c>
      <c r="DQ572">
        <v>0.1</v>
      </c>
      <c r="DR572">
        <v>0.1</v>
      </c>
      <c r="DS572">
        <v>0.1</v>
      </c>
      <c r="DT572">
        <v>0.1</v>
      </c>
      <c r="DU572">
        <v>0.1</v>
      </c>
      <c r="DV572">
        <v>0.1</v>
      </c>
      <c r="DW572">
        <v>0.1</v>
      </c>
      <c r="DX572">
        <v>0.1</v>
      </c>
      <c r="DY572">
        <v>0.1</v>
      </c>
      <c r="DZ572">
        <v>0.1</v>
      </c>
      <c r="EA572">
        <v>0.1</v>
      </c>
      <c r="EB572">
        <v>0.1</v>
      </c>
      <c r="EC572">
        <v>0.1</v>
      </c>
      <c r="ED572">
        <v>0.1</v>
      </c>
      <c r="EE572">
        <v>0.1</v>
      </c>
      <c r="EF572">
        <v>0.1</v>
      </c>
    </row>
    <row r="573" spans="71:136" x14ac:dyDescent="0.25">
      <c r="BS573">
        <v>570</v>
      </c>
      <c r="BT573" s="2"/>
      <c r="BU573" s="2"/>
      <c r="BV573" s="2"/>
      <c r="BW573" s="2"/>
      <c r="BX573" s="2"/>
      <c r="BY573">
        <v>0.1</v>
      </c>
      <c r="BZ573">
        <v>0.1</v>
      </c>
      <c r="CA573">
        <v>0.1</v>
      </c>
      <c r="CB573">
        <v>0.1</v>
      </c>
      <c r="CC573">
        <v>0.1</v>
      </c>
      <c r="CD573">
        <v>0.1</v>
      </c>
      <c r="CE573">
        <v>0.1</v>
      </c>
      <c r="CF573">
        <v>0.1</v>
      </c>
      <c r="CG573">
        <v>0.1</v>
      </c>
      <c r="CH573">
        <v>0.1</v>
      </c>
      <c r="CI573">
        <v>0.1</v>
      </c>
      <c r="CJ573">
        <v>0.1</v>
      </c>
      <c r="CK573">
        <v>0.1</v>
      </c>
      <c r="CL573">
        <v>0.1</v>
      </c>
      <c r="CM573">
        <v>0.1</v>
      </c>
      <c r="CN573">
        <v>0.1</v>
      </c>
      <c r="CO573">
        <v>0.1</v>
      </c>
      <c r="CP573">
        <v>0.1</v>
      </c>
      <c r="CQ573">
        <v>0.1</v>
      </c>
      <c r="CR573">
        <v>0.1</v>
      </c>
      <c r="CS573">
        <v>0.1</v>
      </c>
      <c r="CT573">
        <v>0.1</v>
      </c>
      <c r="CU573">
        <v>0.1</v>
      </c>
      <c r="CV573">
        <v>0.1</v>
      </c>
      <c r="CW573">
        <v>0.1</v>
      </c>
      <c r="CX573">
        <v>0.1</v>
      </c>
      <c r="CY573">
        <v>0.1</v>
      </c>
      <c r="CZ573">
        <v>0.1</v>
      </c>
      <c r="DA573">
        <v>0.1</v>
      </c>
      <c r="DB573">
        <v>0.1</v>
      </c>
      <c r="DC573">
        <v>0.1</v>
      </c>
      <c r="DD573">
        <v>0.1</v>
      </c>
      <c r="DE573">
        <v>0.1</v>
      </c>
      <c r="DF573">
        <v>0.1</v>
      </c>
      <c r="DG573">
        <v>0.1</v>
      </c>
      <c r="DH573">
        <v>0.1</v>
      </c>
      <c r="DI573">
        <v>0.1</v>
      </c>
      <c r="DJ573">
        <v>0.1</v>
      </c>
      <c r="DK573">
        <v>0.1</v>
      </c>
      <c r="DL573">
        <v>0.1</v>
      </c>
      <c r="DM573">
        <v>0.1</v>
      </c>
      <c r="DN573">
        <v>0.1</v>
      </c>
      <c r="DO573">
        <v>0.1</v>
      </c>
      <c r="DP573">
        <v>0.1</v>
      </c>
      <c r="DQ573">
        <v>0.1</v>
      </c>
      <c r="DR573">
        <v>0.1</v>
      </c>
      <c r="DS573">
        <v>0.1</v>
      </c>
      <c r="DT573">
        <v>0.1</v>
      </c>
      <c r="DU573">
        <v>0.1</v>
      </c>
      <c r="DV573">
        <v>0.1</v>
      </c>
      <c r="DW573">
        <v>0.1</v>
      </c>
      <c r="DX573">
        <v>0.1</v>
      </c>
      <c r="DY573">
        <v>0.1</v>
      </c>
      <c r="DZ573">
        <v>0.1</v>
      </c>
      <c r="EA573">
        <v>0.1</v>
      </c>
      <c r="EB573">
        <v>0.1</v>
      </c>
      <c r="EC573">
        <v>0.1</v>
      </c>
      <c r="ED573">
        <v>0.1</v>
      </c>
      <c r="EE573">
        <v>0.1</v>
      </c>
      <c r="EF573">
        <v>0.1</v>
      </c>
    </row>
    <row r="574" spans="71:136" x14ac:dyDescent="0.25">
      <c r="BS574">
        <v>571</v>
      </c>
      <c r="BT574" s="2"/>
      <c r="BU574" s="2"/>
      <c r="BV574" s="2"/>
      <c r="BW574" s="2"/>
      <c r="BX574" s="2"/>
      <c r="BY574">
        <v>0.1</v>
      </c>
      <c r="BZ574">
        <v>0.1</v>
      </c>
      <c r="CA574">
        <v>0.1</v>
      </c>
      <c r="CB574">
        <v>0.1</v>
      </c>
      <c r="CC574">
        <v>0.1</v>
      </c>
      <c r="CD574">
        <v>0.1</v>
      </c>
      <c r="CE574">
        <v>0.1</v>
      </c>
      <c r="CF574">
        <v>0.1</v>
      </c>
      <c r="CG574">
        <v>0.1</v>
      </c>
      <c r="CH574">
        <v>0.1</v>
      </c>
      <c r="CI574">
        <v>0.1</v>
      </c>
      <c r="CJ574">
        <v>0.1</v>
      </c>
      <c r="CK574">
        <v>0.1</v>
      </c>
      <c r="CL574">
        <v>0.1</v>
      </c>
      <c r="CM574">
        <v>0.1</v>
      </c>
      <c r="CN574">
        <v>0.1</v>
      </c>
      <c r="CO574">
        <v>0.1</v>
      </c>
      <c r="CP574">
        <v>0.1</v>
      </c>
      <c r="CQ574">
        <v>0.1</v>
      </c>
      <c r="CR574">
        <v>0.1</v>
      </c>
      <c r="CS574">
        <v>0.1</v>
      </c>
      <c r="CT574">
        <v>0.1</v>
      </c>
      <c r="CU574">
        <v>0.1</v>
      </c>
      <c r="CV574">
        <v>0.1</v>
      </c>
      <c r="CW574">
        <v>0.1</v>
      </c>
      <c r="CX574">
        <v>0.1</v>
      </c>
      <c r="CY574">
        <v>0.1</v>
      </c>
      <c r="CZ574">
        <v>0.1</v>
      </c>
      <c r="DA574">
        <v>0.1</v>
      </c>
      <c r="DB574">
        <v>0.1</v>
      </c>
      <c r="DC574">
        <v>0.1</v>
      </c>
      <c r="DD574">
        <v>0.1</v>
      </c>
      <c r="DE574">
        <v>0.1</v>
      </c>
      <c r="DF574">
        <v>0.1</v>
      </c>
      <c r="DG574">
        <v>0.1</v>
      </c>
      <c r="DH574">
        <v>0.1</v>
      </c>
      <c r="DI574">
        <v>0.1</v>
      </c>
      <c r="DJ574">
        <v>0.1</v>
      </c>
      <c r="DK574">
        <v>0.1</v>
      </c>
      <c r="DL574">
        <v>0.1</v>
      </c>
      <c r="DM574">
        <v>0.1</v>
      </c>
      <c r="DN574">
        <v>0.1</v>
      </c>
      <c r="DO574">
        <v>0.1</v>
      </c>
      <c r="DP574">
        <v>0.1</v>
      </c>
      <c r="DQ574">
        <v>0.1</v>
      </c>
      <c r="DR574">
        <v>0.1</v>
      </c>
      <c r="DS574">
        <v>0.1</v>
      </c>
      <c r="DT574">
        <v>0.1</v>
      </c>
      <c r="DU574">
        <v>0.1</v>
      </c>
      <c r="DV574">
        <v>0.1</v>
      </c>
      <c r="DW574">
        <v>0.1</v>
      </c>
      <c r="DX574">
        <v>0.1</v>
      </c>
      <c r="DY574">
        <v>0.1</v>
      </c>
      <c r="DZ574">
        <v>0.1</v>
      </c>
      <c r="EA574">
        <v>0.1</v>
      </c>
      <c r="EB574">
        <v>0.1</v>
      </c>
      <c r="EC574">
        <v>0.1</v>
      </c>
      <c r="ED574">
        <v>0.1</v>
      </c>
      <c r="EE574">
        <v>0.1</v>
      </c>
      <c r="EF574">
        <v>0.1</v>
      </c>
    </row>
    <row r="575" spans="71:136" x14ac:dyDescent="0.25">
      <c r="BS575">
        <v>572</v>
      </c>
      <c r="BT575" s="2"/>
      <c r="BU575" s="2"/>
      <c r="BV575" s="2"/>
      <c r="BW575" s="2"/>
      <c r="BX575" s="2"/>
      <c r="BY575">
        <v>0.1</v>
      </c>
      <c r="BZ575">
        <v>0.1</v>
      </c>
      <c r="CA575">
        <v>0.1</v>
      </c>
      <c r="CB575">
        <v>0.1</v>
      </c>
      <c r="CC575">
        <v>0.1</v>
      </c>
      <c r="CD575">
        <v>0.1</v>
      </c>
      <c r="CE575">
        <v>0.1</v>
      </c>
      <c r="CF575">
        <v>0.1</v>
      </c>
      <c r="CG575">
        <v>0.1</v>
      </c>
      <c r="CH575">
        <v>0.1</v>
      </c>
      <c r="CI575">
        <v>0.1</v>
      </c>
      <c r="CJ575">
        <v>0.1</v>
      </c>
      <c r="CK575">
        <v>0.1</v>
      </c>
      <c r="CL575">
        <v>0.1</v>
      </c>
      <c r="CM575">
        <v>0.1</v>
      </c>
      <c r="CN575">
        <v>0.1</v>
      </c>
      <c r="CO575">
        <v>0.1</v>
      </c>
      <c r="CP575">
        <v>0.1</v>
      </c>
      <c r="CQ575">
        <v>0.1</v>
      </c>
      <c r="CR575">
        <v>0.1</v>
      </c>
      <c r="CS575">
        <v>0.1</v>
      </c>
      <c r="CT575">
        <v>0.1</v>
      </c>
      <c r="CU575">
        <v>0.1</v>
      </c>
      <c r="CV575">
        <v>0.1</v>
      </c>
      <c r="CW575">
        <v>0.1</v>
      </c>
      <c r="CX575">
        <v>0.1</v>
      </c>
      <c r="CY575">
        <v>0.1</v>
      </c>
      <c r="CZ575">
        <v>0.1</v>
      </c>
      <c r="DA575">
        <v>0.1</v>
      </c>
      <c r="DB575">
        <v>0.1</v>
      </c>
      <c r="DC575">
        <v>0.1</v>
      </c>
      <c r="DD575">
        <v>0.1</v>
      </c>
      <c r="DE575">
        <v>0.1</v>
      </c>
      <c r="DF575">
        <v>0.1</v>
      </c>
      <c r="DG575">
        <v>0.1</v>
      </c>
      <c r="DH575">
        <v>0.1</v>
      </c>
      <c r="DI575">
        <v>0.1</v>
      </c>
      <c r="DJ575">
        <v>0.1</v>
      </c>
      <c r="DK575">
        <v>0.1</v>
      </c>
      <c r="DL575">
        <v>0.1</v>
      </c>
      <c r="DM575">
        <v>0.1</v>
      </c>
      <c r="DN575">
        <v>0.1</v>
      </c>
      <c r="DO575">
        <v>0.1</v>
      </c>
      <c r="DP575">
        <v>0.1</v>
      </c>
      <c r="DQ575">
        <v>0.1</v>
      </c>
      <c r="DR575">
        <v>0.1</v>
      </c>
      <c r="DS575">
        <v>0.1</v>
      </c>
      <c r="DT575">
        <v>0.1</v>
      </c>
      <c r="DU575">
        <v>0.1</v>
      </c>
      <c r="DV575">
        <v>0.1</v>
      </c>
      <c r="DW575">
        <v>0.1</v>
      </c>
      <c r="DX575">
        <v>0.1</v>
      </c>
      <c r="DY575">
        <v>0.1</v>
      </c>
      <c r="DZ575">
        <v>0.1</v>
      </c>
      <c r="EA575">
        <v>0.1</v>
      </c>
      <c r="EB575">
        <v>0.1</v>
      </c>
      <c r="EC575">
        <v>0.1</v>
      </c>
      <c r="ED575">
        <v>0.1</v>
      </c>
      <c r="EE575">
        <v>0.1</v>
      </c>
      <c r="EF575">
        <v>0.1</v>
      </c>
    </row>
    <row r="576" spans="71:136" x14ac:dyDescent="0.25">
      <c r="BS576">
        <v>573</v>
      </c>
      <c r="BT576" s="2"/>
      <c r="BU576" s="2"/>
      <c r="BV576" s="2"/>
      <c r="BW576" s="2"/>
      <c r="BX576" s="2"/>
      <c r="BY576">
        <v>0.1</v>
      </c>
      <c r="BZ576">
        <v>0.1</v>
      </c>
      <c r="CA576">
        <v>0.1</v>
      </c>
      <c r="CB576">
        <v>0.1</v>
      </c>
      <c r="CC576">
        <v>0.1</v>
      </c>
      <c r="CD576">
        <v>0.1</v>
      </c>
      <c r="CE576">
        <v>0.1</v>
      </c>
      <c r="CF576">
        <v>0.1</v>
      </c>
      <c r="CG576">
        <v>0.1</v>
      </c>
      <c r="CH576">
        <v>0.1</v>
      </c>
      <c r="CI576">
        <v>0.1</v>
      </c>
      <c r="CJ576">
        <v>0.1</v>
      </c>
      <c r="CK576">
        <v>0.1</v>
      </c>
      <c r="CL576">
        <v>0.1</v>
      </c>
      <c r="CM576">
        <v>0.1</v>
      </c>
      <c r="CN576">
        <v>0.1</v>
      </c>
      <c r="CO576">
        <v>0.1</v>
      </c>
      <c r="CP576">
        <v>0.1</v>
      </c>
      <c r="CQ576">
        <v>0.1</v>
      </c>
      <c r="CR576">
        <v>0.1</v>
      </c>
      <c r="CS576">
        <v>0.1</v>
      </c>
      <c r="CT576">
        <v>0.1</v>
      </c>
      <c r="CU576">
        <v>0.1</v>
      </c>
      <c r="CV576">
        <v>0.1</v>
      </c>
      <c r="CW576">
        <v>0.1</v>
      </c>
      <c r="CX576">
        <v>0.1</v>
      </c>
      <c r="CY576">
        <v>0.1</v>
      </c>
      <c r="CZ576">
        <v>0.1</v>
      </c>
      <c r="DA576">
        <v>0.1</v>
      </c>
      <c r="DB576">
        <v>0.1</v>
      </c>
      <c r="DC576">
        <v>0.1</v>
      </c>
      <c r="DD576">
        <v>0.1</v>
      </c>
      <c r="DE576">
        <v>0.1</v>
      </c>
      <c r="DF576">
        <v>0.1</v>
      </c>
      <c r="DG576">
        <v>0.1</v>
      </c>
      <c r="DH576">
        <v>0.1</v>
      </c>
      <c r="DI576">
        <v>0.1</v>
      </c>
      <c r="DJ576">
        <v>0.1</v>
      </c>
      <c r="DK576">
        <v>0.1</v>
      </c>
      <c r="DL576">
        <v>0.1</v>
      </c>
      <c r="DM576">
        <v>0.1</v>
      </c>
      <c r="DN576">
        <v>0.1</v>
      </c>
      <c r="DO576">
        <v>0.1</v>
      </c>
      <c r="DP576">
        <v>0.1</v>
      </c>
      <c r="DQ576">
        <v>0.1</v>
      </c>
      <c r="DR576">
        <v>0.1</v>
      </c>
      <c r="DS576">
        <v>0.1</v>
      </c>
      <c r="DT576">
        <v>0.1</v>
      </c>
      <c r="DU576">
        <v>0.1</v>
      </c>
      <c r="DV576">
        <v>0.1</v>
      </c>
      <c r="DW576">
        <v>0.1</v>
      </c>
      <c r="DX576">
        <v>0.1</v>
      </c>
      <c r="DY576">
        <v>0.1</v>
      </c>
      <c r="DZ576">
        <v>0.1</v>
      </c>
      <c r="EA576">
        <v>0.1</v>
      </c>
      <c r="EB576">
        <v>0.1</v>
      </c>
      <c r="EC576">
        <v>0.1</v>
      </c>
      <c r="ED576">
        <v>0.1</v>
      </c>
      <c r="EE576">
        <v>0.1</v>
      </c>
      <c r="EF576">
        <v>0.1</v>
      </c>
    </row>
    <row r="577" spans="71:136" x14ac:dyDescent="0.25">
      <c r="BS577">
        <v>574</v>
      </c>
      <c r="BT577" s="2"/>
      <c r="BU577" s="2"/>
      <c r="BV577" s="2"/>
      <c r="BW577" s="2"/>
      <c r="BX577" s="2"/>
      <c r="BY577">
        <v>0.1</v>
      </c>
      <c r="BZ577">
        <v>0.1</v>
      </c>
      <c r="CA577">
        <v>0.1</v>
      </c>
      <c r="CB577">
        <v>0.1</v>
      </c>
      <c r="CC577">
        <v>0.1</v>
      </c>
      <c r="CD577">
        <v>0.1</v>
      </c>
      <c r="CE577">
        <v>0.1</v>
      </c>
      <c r="CF577">
        <v>0.1</v>
      </c>
      <c r="CG577">
        <v>0.1</v>
      </c>
      <c r="CH577">
        <v>0.1</v>
      </c>
      <c r="CI577">
        <v>0.1</v>
      </c>
      <c r="CJ577">
        <v>0.1</v>
      </c>
      <c r="CK577">
        <v>0.1</v>
      </c>
      <c r="CL577">
        <v>0.1</v>
      </c>
      <c r="CM577">
        <v>0.1</v>
      </c>
      <c r="CN577">
        <v>0.1</v>
      </c>
      <c r="CO577">
        <v>0.1</v>
      </c>
      <c r="CP577">
        <v>0.1</v>
      </c>
      <c r="CQ577">
        <v>0.1</v>
      </c>
      <c r="CR577">
        <v>0.1</v>
      </c>
      <c r="CS577">
        <v>0.1</v>
      </c>
      <c r="CT577">
        <v>0.1</v>
      </c>
      <c r="CU577">
        <v>0.1</v>
      </c>
      <c r="CV577">
        <v>0.1</v>
      </c>
      <c r="CW577">
        <v>0.1</v>
      </c>
      <c r="CX577">
        <v>0.1</v>
      </c>
      <c r="CY577">
        <v>0.1</v>
      </c>
      <c r="CZ577">
        <v>0.1</v>
      </c>
      <c r="DA577">
        <v>0.1</v>
      </c>
      <c r="DB577">
        <v>0.1</v>
      </c>
      <c r="DC577">
        <v>0.1</v>
      </c>
      <c r="DD577">
        <v>0.1</v>
      </c>
      <c r="DE577">
        <v>0.1</v>
      </c>
      <c r="DF577">
        <v>0.1</v>
      </c>
      <c r="DG577">
        <v>0.1</v>
      </c>
      <c r="DH577">
        <v>0.1</v>
      </c>
      <c r="DI577">
        <v>0.1</v>
      </c>
      <c r="DJ577">
        <v>0.1</v>
      </c>
      <c r="DK577">
        <v>0.1</v>
      </c>
      <c r="DL577">
        <v>0.1</v>
      </c>
      <c r="DM577">
        <v>0.1</v>
      </c>
      <c r="DN577">
        <v>0.1</v>
      </c>
      <c r="DO577">
        <v>0.1</v>
      </c>
      <c r="DP577">
        <v>0.1</v>
      </c>
      <c r="DQ577">
        <v>0.1</v>
      </c>
      <c r="DR577">
        <v>0.1</v>
      </c>
      <c r="DS577">
        <v>0.1</v>
      </c>
      <c r="DT577">
        <v>0.1</v>
      </c>
      <c r="DU577">
        <v>0.1</v>
      </c>
      <c r="DV577">
        <v>0.1</v>
      </c>
      <c r="DW577">
        <v>0.1</v>
      </c>
      <c r="DX577">
        <v>0.1</v>
      </c>
      <c r="DY577">
        <v>0.1</v>
      </c>
      <c r="DZ577">
        <v>0.1</v>
      </c>
      <c r="EA577">
        <v>0.1</v>
      </c>
      <c r="EB577">
        <v>0.1</v>
      </c>
      <c r="EC577">
        <v>0.1</v>
      </c>
      <c r="ED577">
        <v>0.1</v>
      </c>
      <c r="EE577">
        <v>0.1</v>
      </c>
      <c r="EF577">
        <v>0.1</v>
      </c>
    </row>
    <row r="578" spans="71:136" x14ac:dyDescent="0.25">
      <c r="BS578">
        <v>575</v>
      </c>
      <c r="BT578" s="2"/>
      <c r="BU578" s="2"/>
      <c r="BV578" s="2"/>
      <c r="BW578" s="2"/>
      <c r="BX578" s="2"/>
      <c r="BY578">
        <v>0.1</v>
      </c>
      <c r="BZ578">
        <v>0.1</v>
      </c>
      <c r="CA578">
        <v>0.1</v>
      </c>
      <c r="CB578">
        <v>0.1</v>
      </c>
      <c r="CC578">
        <v>0.1</v>
      </c>
      <c r="CD578">
        <v>0.1</v>
      </c>
      <c r="CE578">
        <v>0.1</v>
      </c>
      <c r="CF578">
        <v>0.1</v>
      </c>
      <c r="CG578">
        <v>0.1</v>
      </c>
      <c r="CH578">
        <v>0.1</v>
      </c>
      <c r="CI578">
        <v>0.1</v>
      </c>
      <c r="CJ578">
        <v>0.1</v>
      </c>
      <c r="CK578">
        <v>0.1</v>
      </c>
      <c r="CL578">
        <v>0.1</v>
      </c>
      <c r="CM578">
        <v>0.1</v>
      </c>
      <c r="CN578">
        <v>0.1</v>
      </c>
      <c r="CO578">
        <v>0.1</v>
      </c>
      <c r="CP578">
        <v>0.1</v>
      </c>
      <c r="CQ578">
        <v>0.1</v>
      </c>
      <c r="CR578">
        <v>0.1</v>
      </c>
      <c r="CS578">
        <v>0.1</v>
      </c>
      <c r="CT578">
        <v>0.1</v>
      </c>
      <c r="CU578">
        <v>0.1</v>
      </c>
      <c r="CV578">
        <v>0.1</v>
      </c>
      <c r="CW578">
        <v>0.1</v>
      </c>
      <c r="CX578">
        <v>0.1</v>
      </c>
      <c r="CY578">
        <v>0.1</v>
      </c>
      <c r="CZ578">
        <v>0.1</v>
      </c>
      <c r="DA578">
        <v>0.1</v>
      </c>
      <c r="DB578">
        <v>0.1</v>
      </c>
      <c r="DC578">
        <v>0.1</v>
      </c>
      <c r="DD578">
        <v>0.1</v>
      </c>
      <c r="DE578">
        <v>0.1</v>
      </c>
      <c r="DF578">
        <v>0.1</v>
      </c>
      <c r="DG578">
        <v>0.1</v>
      </c>
      <c r="DH578">
        <v>0.1</v>
      </c>
      <c r="DI578">
        <v>0.1</v>
      </c>
      <c r="DJ578">
        <v>0.1</v>
      </c>
      <c r="DK578">
        <v>0.1</v>
      </c>
      <c r="DL578">
        <v>0.1</v>
      </c>
      <c r="DM578">
        <v>0.1</v>
      </c>
      <c r="DN578">
        <v>0.1</v>
      </c>
      <c r="DO578">
        <v>0.1</v>
      </c>
      <c r="DP578">
        <v>0.1</v>
      </c>
      <c r="DQ578">
        <v>0.1</v>
      </c>
      <c r="DR578">
        <v>0.1</v>
      </c>
      <c r="DS578">
        <v>0.1</v>
      </c>
      <c r="DT578">
        <v>0.1</v>
      </c>
      <c r="DU578">
        <v>0.1</v>
      </c>
      <c r="DV578">
        <v>0.1</v>
      </c>
      <c r="DW578">
        <v>0.1</v>
      </c>
      <c r="DX578">
        <v>0.1</v>
      </c>
      <c r="DY578">
        <v>0.1</v>
      </c>
      <c r="DZ578">
        <v>0.1</v>
      </c>
      <c r="EA578">
        <v>0.1</v>
      </c>
      <c r="EB578">
        <v>0.1</v>
      </c>
      <c r="EC578">
        <v>0.1</v>
      </c>
      <c r="ED578">
        <v>0.1</v>
      </c>
      <c r="EE578">
        <v>0.1</v>
      </c>
      <c r="EF578">
        <v>0.1</v>
      </c>
    </row>
    <row r="579" spans="71:136" x14ac:dyDescent="0.25">
      <c r="BS579">
        <v>576</v>
      </c>
      <c r="BT579" s="2"/>
      <c r="BU579" s="2"/>
      <c r="BV579" s="2"/>
      <c r="BW579" s="2"/>
      <c r="BX579" s="2"/>
      <c r="BY579">
        <v>0.1</v>
      </c>
      <c r="BZ579">
        <v>0.1</v>
      </c>
      <c r="CA579">
        <v>0.1</v>
      </c>
      <c r="CB579">
        <v>0.1</v>
      </c>
      <c r="CC579">
        <v>0.1</v>
      </c>
      <c r="CD579">
        <v>0.1</v>
      </c>
      <c r="CE579">
        <v>0.1</v>
      </c>
      <c r="CF579">
        <v>0.1</v>
      </c>
      <c r="CG579">
        <v>0.1</v>
      </c>
      <c r="CH579">
        <v>0.1</v>
      </c>
      <c r="CI579">
        <v>0.1</v>
      </c>
      <c r="CJ579">
        <v>0.1</v>
      </c>
      <c r="CK579">
        <v>0.1</v>
      </c>
      <c r="CL579">
        <v>0.1</v>
      </c>
      <c r="CM579">
        <v>0.1</v>
      </c>
      <c r="CN579">
        <v>0.1</v>
      </c>
      <c r="CO579">
        <v>0.1</v>
      </c>
      <c r="CP579">
        <v>0.1</v>
      </c>
      <c r="CQ579">
        <v>0.1</v>
      </c>
      <c r="CR579">
        <v>0.1</v>
      </c>
      <c r="CS579">
        <v>0.1</v>
      </c>
      <c r="CT579">
        <v>0.1</v>
      </c>
      <c r="CU579">
        <v>0.1</v>
      </c>
      <c r="CV579">
        <v>0.1</v>
      </c>
      <c r="CW579">
        <v>0.1</v>
      </c>
      <c r="CX579">
        <v>0.1</v>
      </c>
      <c r="CY579">
        <v>0.1</v>
      </c>
      <c r="CZ579">
        <v>0.1</v>
      </c>
      <c r="DA579">
        <v>0.1</v>
      </c>
      <c r="DB579">
        <v>0.1</v>
      </c>
      <c r="DC579">
        <v>0.1</v>
      </c>
      <c r="DD579">
        <v>0.1</v>
      </c>
      <c r="DE579">
        <v>0.1</v>
      </c>
      <c r="DF579">
        <v>0.1</v>
      </c>
      <c r="DG579">
        <v>0.1</v>
      </c>
      <c r="DH579">
        <v>0.1</v>
      </c>
      <c r="DI579">
        <v>0.1</v>
      </c>
      <c r="DJ579">
        <v>0.1</v>
      </c>
      <c r="DK579">
        <v>0.1</v>
      </c>
      <c r="DL579">
        <v>0.1</v>
      </c>
      <c r="DM579">
        <v>0.1</v>
      </c>
      <c r="DN579">
        <v>0.1</v>
      </c>
      <c r="DO579">
        <v>0.1</v>
      </c>
      <c r="DP579">
        <v>0.1</v>
      </c>
      <c r="DQ579">
        <v>0.1</v>
      </c>
      <c r="DR579">
        <v>0.1</v>
      </c>
      <c r="DS579">
        <v>0.1</v>
      </c>
      <c r="DT579">
        <v>0.1</v>
      </c>
      <c r="DU579">
        <v>0.1</v>
      </c>
      <c r="DV579">
        <v>0.1</v>
      </c>
      <c r="DW579">
        <v>0.1</v>
      </c>
      <c r="DX579">
        <v>0.1</v>
      </c>
      <c r="DY579">
        <v>0.1</v>
      </c>
      <c r="DZ579">
        <v>0.1</v>
      </c>
      <c r="EA579">
        <v>0.1</v>
      </c>
      <c r="EB579">
        <v>0.1</v>
      </c>
      <c r="EC579">
        <v>0.1</v>
      </c>
      <c r="ED579">
        <v>0.1</v>
      </c>
      <c r="EE579">
        <v>0.1</v>
      </c>
      <c r="EF579">
        <v>0.1</v>
      </c>
    </row>
    <row r="580" spans="71:136" x14ac:dyDescent="0.25">
      <c r="BS580">
        <v>577</v>
      </c>
      <c r="BT580" s="2"/>
      <c r="BU580" s="2"/>
      <c r="BV580" s="2"/>
      <c r="BW580" s="2"/>
      <c r="BX580" s="2"/>
      <c r="BY580">
        <v>0.1</v>
      </c>
      <c r="BZ580">
        <v>0.1</v>
      </c>
      <c r="CA580">
        <v>0.1</v>
      </c>
      <c r="CB580">
        <v>0.1</v>
      </c>
      <c r="CC580">
        <v>0.1</v>
      </c>
      <c r="CD580">
        <v>0.1</v>
      </c>
      <c r="CE580">
        <v>0.1</v>
      </c>
      <c r="CF580">
        <v>0.1</v>
      </c>
      <c r="CG580">
        <v>0.1</v>
      </c>
      <c r="CH580">
        <v>0.1</v>
      </c>
      <c r="CI580">
        <v>0.1</v>
      </c>
      <c r="CJ580">
        <v>0.1</v>
      </c>
      <c r="CK580">
        <v>0.1</v>
      </c>
      <c r="CL580">
        <v>0.1</v>
      </c>
      <c r="CM580">
        <v>0.1</v>
      </c>
      <c r="CN580">
        <v>0.1</v>
      </c>
      <c r="CO580">
        <v>0.1</v>
      </c>
      <c r="CP580">
        <v>0.1</v>
      </c>
      <c r="CQ580">
        <v>0.1</v>
      </c>
      <c r="CR580">
        <v>0.1</v>
      </c>
      <c r="CS580">
        <v>0.1</v>
      </c>
      <c r="CT580">
        <v>0.1</v>
      </c>
      <c r="CU580">
        <v>0.1</v>
      </c>
      <c r="CV580">
        <v>0.1</v>
      </c>
      <c r="CW580">
        <v>0.1</v>
      </c>
      <c r="CX580">
        <v>0.1</v>
      </c>
      <c r="CY580">
        <v>0.1</v>
      </c>
      <c r="CZ580">
        <v>0.1</v>
      </c>
      <c r="DA580">
        <v>0.1</v>
      </c>
      <c r="DB580">
        <v>0.1</v>
      </c>
      <c r="DC580">
        <v>0.1</v>
      </c>
      <c r="DD580">
        <v>0.1</v>
      </c>
      <c r="DE580">
        <v>0.1</v>
      </c>
      <c r="DF580">
        <v>0.1</v>
      </c>
      <c r="DG580">
        <v>0.1</v>
      </c>
      <c r="DH580">
        <v>0.1</v>
      </c>
      <c r="DI580">
        <v>0.1</v>
      </c>
      <c r="DJ580">
        <v>0.1</v>
      </c>
      <c r="DK580">
        <v>0.1</v>
      </c>
      <c r="DL580">
        <v>0.1</v>
      </c>
      <c r="DM580">
        <v>0.1</v>
      </c>
      <c r="DN580">
        <v>0.1</v>
      </c>
      <c r="DO580">
        <v>0.1</v>
      </c>
      <c r="DP580">
        <v>0.1</v>
      </c>
      <c r="DQ580">
        <v>0.1</v>
      </c>
      <c r="DR580">
        <v>0.1</v>
      </c>
      <c r="DS580">
        <v>0.1</v>
      </c>
      <c r="DT580">
        <v>0.1</v>
      </c>
      <c r="DU580">
        <v>0.1</v>
      </c>
      <c r="DV580">
        <v>0.1</v>
      </c>
      <c r="DW580">
        <v>0.1</v>
      </c>
      <c r="DX580">
        <v>0.1</v>
      </c>
      <c r="DY580">
        <v>0.1</v>
      </c>
      <c r="DZ580">
        <v>0.1</v>
      </c>
      <c r="EA580">
        <v>0.1</v>
      </c>
      <c r="EB580">
        <v>0.1</v>
      </c>
      <c r="EC580">
        <v>0.1</v>
      </c>
      <c r="ED580">
        <v>0.1</v>
      </c>
      <c r="EE580">
        <v>0.1</v>
      </c>
      <c r="EF580">
        <v>0.1</v>
      </c>
    </row>
    <row r="581" spans="71:136" x14ac:dyDescent="0.25">
      <c r="BS581">
        <v>578</v>
      </c>
      <c r="BT581" s="2"/>
      <c r="BU581" s="2"/>
      <c r="BV581" s="2"/>
      <c r="BW581" s="2"/>
      <c r="BX581" s="2"/>
      <c r="BY581">
        <v>0.1</v>
      </c>
      <c r="BZ581">
        <v>0.1</v>
      </c>
      <c r="CA581">
        <v>0.1</v>
      </c>
      <c r="CB581">
        <v>0.1</v>
      </c>
      <c r="CC581">
        <v>0.1</v>
      </c>
      <c r="CD581">
        <v>0.1</v>
      </c>
      <c r="CE581">
        <v>0.1</v>
      </c>
      <c r="CF581">
        <v>0.1</v>
      </c>
      <c r="CG581">
        <v>0.1</v>
      </c>
      <c r="CH581">
        <v>0.1</v>
      </c>
      <c r="CI581">
        <v>0.1</v>
      </c>
      <c r="CJ581">
        <v>0.1</v>
      </c>
      <c r="CK581">
        <v>0.1</v>
      </c>
      <c r="CL581">
        <v>0.1</v>
      </c>
      <c r="CM581">
        <v>0.1</v>
      </c>
      <c r="CN581">
        <v>0.1</v>
      </c>
      <c r="CO581">
        <v>0.1</v>
      </c>
      <c r="CP581">
        <v>0.1</v>
      </c>
      <c r="CQ581">
        <v>0.1</v>
      </c>
      <c r="CR581">
        <v>0.1</v>
      </c>
      <c r="CS581">
        <v>0.1</v>
      </c>
      <c r="CT581">
        <v>0.1</v>
      </c>
      <c r="CU581">
        <v>0.1</v>
      </c>
      <c r="CV581">
        <v>0.1</v>
      </c>
      <c r="CW581">
        <v>0.1</v>
      </c>
      <c r="CX581">
        <v>0.1</v>
      </c>
      <c r="CY581">
        <v>0.1</v>
      </c>
      <c r="CZ581">
        <v>0.1</v>
      </c>
      <c r="DA581">
        <v>0.1</v>
      </c>
      <c r="DB581">
        <v>0.1</v>
      </c>
      <c r="DC581">
        <v>0.1</v>
      </c>
      <c r="DD581">
        <v>0.1</v>
      </c>
      <c r="DE581">
        <v>0.1</v>
      </c>
      <c r="DF581">
        <v>0.1</v>
      </c>
      <c r="DG581">
        <v>0.1</v>
      </c>
      <c r="DH581">
        <v>0.1</v>
      </c>
      <c r="DI581">
        <v>0.1</v>
      </c>
      <c r="DJ581">
        <v>0.1</v>
      </c>
      <c r="DK581">
        <v>0.1</v>
      </c>
      <c r="DL581">
        <v>0.1</v>
      </c>
      <c r="DM581">
        <v>0.1</v>
      </c>
      <c r="DN581">
        <v>0.1</v>
      </c>
      <c r="DO581">
        <v>0.1</v>
      </c>
      <c r="DP581">
        <v>0.1</v>
      </c>
      <c r="DQ581">
        <v>0.1</v>
      </c>
      <c r="DR581">
        <v>0.1</v>
      </c>
      <c r="DS581">
        <v>0.1</v>
      </c>
      <c r="DT581">
        <v>0.1</v>
      </c>
      <c r="DU581">
        <v>0.1</v>
      </c>
      <c r="DV581">
        <v>0.1</v>
      </c>
      <c r="DW581">
        <v>0.1</v>
      </c>
      <c r="DX581">
        <v>0.1</v>
      </c>
      <c r="DY581">
        <v>0.1</v>
      </c>
      <c r="DZ581">
        <v>0.1</v>
      </c>
      <c r="EA581">
        <v>0.1</v>
      </c>
      <c r="EB581">
        <v>0.1</v>
      </c>
      <c r="EC581">
        <v>0.1</v>
      </c>
      <c r="ED581">
        <v>0.1</v>
      </c>
      <c r="EE581">
        <v>0.1</v>
      </c>
      <c r="EF581">
        <v>0.1</v>
      </c>
    </row>
    <row r="582" spans="71:136" x14ac:dyDescent="0.25">
      <c r="BS582">
        <v>579</v>
      </c>
      <c r="BT582" s="2"/>
      <c r="BU582" s="2"/>
      <c r="BV582" s="2"/>
      <c r="BW582" s="2"/>
      <c r="BX582" s="2"/>
      <c r="BY582">
        <v>0.1</v>
      </c>
      <c r="BZ582">
        <v>0.1</v>
      </c>
      <c r="CA582">
        <v>0.1</v>
      </c>
      <c r="CB582">
        <v>0.1</v>
      </c>
      <c r="CC582">
        <v>0.1</v>
      </c>
      <c r="CD582">
        <v>0.1</v>
      </c>
      <c r="CE582">
        <v>0.1</v>
      </c>
      <c r="CF582">
        <v>0.1</v>
      </c>
      <c r="CG582">
        <v>0.1</v>
      </c>
      <c r="CH582">
        <v>0.1</v>
      </c>
      <c r="CI582">
        <v>0.1</v>
      </c>
      <c r="CJ582">
        <v>0.1</v>
      </c>
      <c r="CK582">
        <v>0.1</v>
      </c>
      <c r="CL582">
        <v>0.1</v>
      </c>
      <c r="CM582">
        <v>0.1</v>
      </c>
      <c r="CN582">
        <v>0.1</v>
      </c>
      <c r="CO582">
        <v>0.1</v>
      </c>
      <c r="CP582">
        <v>0.1</v>
      </c>
      <c r="CQ582">
        <v>0.1</v>
      </c>
      <c r="CR582">
        <v>0.1</v>
      </c>
      <c r="CS582">
        <v>0.1</v>
      </c>
      <c r="CT582">
        <v>0.1</v>
      </c>
      <c r="CU582">
        <v>0.1</v>
      </c>
      <c r="CV582">
        <v>0.1</v>
      </c>
      <c r="CW582">
        <v>0.1</v>
      </c>
      <c r="CX582">
        <v>0.1</v>
      </c>
      <c r="CY582">
        <v>0.1</v>
      </c>
      <c r="CZ582">
        <v>0.1</v>
      </c>
      <c r="DA582">
        <v>0.1</v>
      </c>
      <c r="DB582">
        <v>0.1</v>
      </c>
      <c r="DC582">
        <v>0.1</v>
      </c>
      <c r="DD582">
        <v>0.1</v>
      </c>
      <c r="DE582">
        <v>0.1</v>
      </c>
      <c r="DF582">
        <v>0.1</v>
      </c>
      <c r="DG582">
        <v>0.1</v>
      </c>
      <c r="DH582">
        <v>0.1</v>
      </c>
      <c r="DI582">
        <v>0.1</v>
      </c>
      <c r="DJ582">
        <v>0.1</v>
      </c>
      <c r="DK582">
        <v>0.1</v>
      </c>
      <c r="DL582">
        <v>0.1</v>
      </c>
      <c r="DM582">
        <v>0.1</v>
      </c>
      <c r="DN582">
        <v>0.1</v>
      </c>
      <c r="DO582">
        <v>0.1</v>
      </c>
      <c r="DP582">
        <v>0.1</v>
      </c>
      <c r="DQ582">
        <v>0.1</v>
      </c>
      <c r="DR582">
        <v>0.1</v>
      </c>
      <c r="DS582">
        <v>0.1</v>
      </c>
      <c r="DT582">
        <v>0.1</v>
      </c>
      <c r="DU582">
        <v>0.1</v>
      </c>
      <c r="DV582">
        <v>0.1</v>
      </c>
      <c r="DW582">
        <v>0.1</v>
      </c>
      <c r="DX582">
        <v>0.1</v>
      </c>
      <c r="DY582">
        <v>0.1</v>
      </c>
      <c r="DZ582">
        <v>0.1</v>
      </c>
      <c r="EA582">
        <v>0.1</v>
      </c>
      <c r="EB582">
        <v>0.1</v>
      </c>
      <c r="EC582">
        <v>0.1</v>
      </c>
      <c r="ED582">
        <v>0.1</v>
      </c>
      <c r="EE582">
        <v>0.1</v>
      </c>
      <c r="EF582">
        <v>0.1</v>
      </c>
    </row>
    <row r="583" spans="71:136" x14ac:dyDescent="0.25">
      <c r="BS583">
        <v>580</v>
      </c>
      <c r="BT583" s="2"/>
      <c r="BU583" s="2"/>
      <c r="BV583" s="2"/>
      <c r="BW583" s="2"/>
      <c r="BX583" s="2"/>
      <c r="BY583">
        <v>0.1</v>
      </c>
      <c r="BZ583">
        <v>0.1</v>
      </c>
      <c r="CA583">
        <v>0.1</v>
      </c>
      <c r="CB583">
        <v>0.1</v>
      </c>
      <c r="CC583">
        <v>0.1</v>
      </c>
      <c r="CD583">
        <v>0.1</v>
      </c>
      <c r="CE583">
        <v>0.1</v>
      </c>
      <c r="CF583">
        <v>0.1</v>
      </c>
      <c r="CG583">
        <v>0.1</v>
      </c>
      <c r="CH583">
        <v>0.1</v>
      </c>
      <c r="CI583">
        <v>0.1</v>
      </c>
      <c r="CJ583">
        <v>0.1</v>
      </c>
      <c r="CK583">
        <v>0.1</v>
      </c>
      <c r="CL583">
        <v>0.1</v>
      </c>
      <c r="CM583">
        <v>0.1</v>
      </c>
      <c r="CN583">
        <v>0.1</v>
      </c>
      <c r="CO583">
        <v>0.1</v>
      </c>
      <c r="CP583">
        <v>0.1</v>
      </c>
      <c r="CQ583">
        <v>0.1</v>
      </c>
      <c r="CR583">
        <v>0.1</v>
      </c>
      <c r="CS583">
        <v>0.1</v>
      </c>
      <c r="CT583">
        <v>0.1</v>
      </c>
      <c r="CU583">
        <v>0.1</v>
      </c>
      <c r="CV583">
        <v>0.1</v>
      </c>
      <c r="CW583">
        <v>0.1</v>
      </c>
      <c r="CX583">
        <v>0.1</v>
      </c>
      <c r="CY583">
        <v>0.1</v>
      </c>
      <c r="CZ583">
        <v>0.1</v>
      </c>
      <c r="DA583">
        <v>0.1</v>
      </c>
      <c r="DB583">
        <v>0.1</v>
      </c>
      <c r="DC583">
        <v>0.1</v>
      </c>
      <c r="DD583">
        <v>0.1</v>
      </c>
      <c r="DE583">
        <v>0.1</v>
      </c>
      <c r="DF583">
        <v>0.1</v>
      </c>
      <c r="DG583">
        <v>0.1</v>
      </c>
      <c r="DH583">
        <v>0.1</v>
      </c>
      <c r="DI583">
        <v>0.1</v>
      </c>
      <c r="DJ583">
        <v>0.1</v>
      </c>
      <c r="DK583">
        <v>0.1</v>
      </c>
      <c r="DL583">
        <v>0.1</v>
      </c>
      <c r="DM583">
        <v>0.1</v>
      </c>
      <c r="DN583">
        <v>0.1</v>
      </c>
      <c r="DO583">
        <v>0.1</v>
      </c>
      <c r="DP583">
        <v>0.1</v>
      </c>
      <c r="DQ583">
        <v>0.1</v>
      </c>
      <c r="DR583">
        <v>0.1</v>
      </c>
      <c r="DS583">
        <v>0.1</v>
      </c>
      <c r="DT583">
        <v>0.1</v>
      </c>
      <c r="DU583">
        <v>0.1</v>
      </c>
      <c r="DV583">
        <v>0.1</v>
      </c>
      <c r="DW583">
        <v>0.1</v>
      </c>
      <c r="DX583">
        <v>0.1</v>
      </c>
      <c r="DY583">
        <v>0.1</v>
      </c>
      <c r="DZ583">
        <v>0.1</v>
      </c>
      <c r="EA583">
        <v>0.1</v>
      </c>
      <c r="EB583">
        <v>0.1</v>
      </c>
      <c r="EC583">
        <v>0.1</v>
      </c>
      <c r="ED583">
        <v>0.1</v>
      </c>
      <c r="EE583">
        <v>0.1</v>
      </c>
      <c r="EF583">
        <v>0.1</v>
      </c>
    </row>
    <row r="584" spans="71:136" x14ac:dyDescent="0.25">
      <c r="BS584">
        <v>581</v>
      </c>
      <c r="BT584" s="2"/>
      <c r="BU584" s="2"/>
      <c r="BV584" s="2"/>
      <c r="BW584" s="2"/>
      <c r="BX584" s="2"/>
      <c r="BY584">
        <v>0.1</v>
      </c>
      <c r="BZ584">
        <v>0.1</v>
      </c>
      <c r="CA584">
        <v>0.1</v>
      </c>
      <c r="CB584">
        <v>0.1</v>
      </c>
      <c r="CC584">
        <v>0.1</v>
      </c>
      <c r="CD584">
        <v>0.1</v>
      </c>
      <c r="CE584">
        <v>0.1</v>
      </c>
      <c r="CF584">
        <v>0.1</v>
      </c>
      <c r="CG584">
        <v>0.1</v>
      </c>
      <c r="CH584">
        <v>0.1</v>
      </c>
      <c r="CI584">
        <v>0.1</v>
      </c>
      <c r="CJ584">
        <v>0.1</v>
      </c>
      <c r="CK584">
        <v>0.1</v>
      </c>
      <c r="CL584">
        <v>0.1</v>
      </c>
      <c r="CM584">
        <v>0.1</v>
      </c>
      <c r="CN584">
        <v>0.1</v>
      </c>
      <c r="CO584">
        <v>0.1</v>
      </c>
      <c r="CP584">
        <v>0.1</v>
      </c>
      <c r="CQ584">
        <v>0.1</v>
      </c>
      <c r="CR584">
        <v>0.1</v>
      </c>
      <c r="CS584">
        <v>0.1</v>
      </c>
      <c r="CT584">
        <v>0.1</v>
      </c>
      <c r="CU584">
        <v>0.1</v>
      </c>
      <c r="CV584">
        <v>0.1</v>
      </c>
      <c r="CW584">
        <v>0.1</v>
      </c>
      <c r="CX584">
        <v>0.1</v>
      </c>
      <c r="CY584">
        <v>0.1</v>
      </c>
      <c r="CZ584">
        <v>0.1</v>
      </c>
      <c r="DA584">
        <v>0.1</v>
      </c>
      <c r="DB584">
        <v>0.1</v>
      </c>
      <c r="DC584">
        <v>0.1</v>
      </c>
      <c r="DD584">
        <v>0.1</v>
      </c>
      <c r="DE584">
        <v>0.1</v>
      </c>
      <c r="DF584">
        <v>0.1</v>
      </c>
      <c r="DG584">
        <v>0.1</v>
      </c>
      <c r="DH584">
        <v>0.1</v>
      </c>
      <c r="DI584">
        <v>0.1</v>
      </c>
      <c r="DJ584">
        <v>0.1</v>
      </c>
      <c r="DK584">
        <v>0.1</v>
      </c>
      <c r="DL584">
        <v>0.1</v>
      </c>
      <c r="DM584">
        <v>0.1</v>
      </c>
      <c r="DN584">
        <v>0.1</v>
      </c>
      <c r="DO584">
        <v>0.1</v>
      </c>
      <c r="DP584">
        <v>0.1</v>
      </c>
      <c r="DQ584">
        <v>0.1</v>
      </c>
      <c r="DR584">
        <v>0.1</v>
      </c>
      <c r="DS584">
        <v>0.1</v>
      </c>
      <c r="DT584">
        <v>0.1</v>
      </c>
      <c r="DU584">
        <v>0.1</v>
      </c>
      <c r="DV584">
        <v>0.1</v>
      </c>
      <c r="DW584">
        <v>0.1</v>
      </c>
      <c r="DX584">
        <v>0.1</v>
      </c>
      <c r="DY584">
        <v>0.1</v>
      </c>
      <c r="DZ584">
        <v>0.1</v>
      </c>
      <c r="EA584">
        <v>0.1</v>
      </c>
      <c r="EB584">
        <v>0.1</v>
      </c>
      <c r="EC584">
        <v>0.1</v>
      </c>
      <c r="ED584">
        <v>0.1</v>
      </c>
      <c r="EE584">
        <v>0.1</v>
      </c>
      <c r="EF584">
        <v>0.1</v>
      </c>
    </row>
    <row r="585" spans="71:136" x14ac:dyDescent="0.25">
      <c r="BS585">
        <v>582</v>
      </c>
      <c r="BT585" s="2"/>
      <c r="BU585" s="2"/>
      <c r="BV585" s="2"/>
      <c r="BW585" s="2"/>
      <c r="BX585" s="2"/>
      <c r="BY585">
        <v>0.1</v>
      </c>
      <c r="BZ585">
        <v>0.1</v>
      </c>
      <c r="CA585">
        <v>0.1</v>
      </c>
      <c r="CB585">
        <v>0.1</v>
      </c>
      <c r="CC585">
        <v>0.1</v>
      </c>
      <c r="CD585">
        <v>0.1</v>
      </c>
      <c r="CE585">
        <v>0.1</v>
      </c>
      <c r="CF585">
        <v>0.1</v>
      </c>
      <c r="CG585">
        <v>0.1</v>
      </c>
      <c r="CH585">
        <v>0.1</v>
      </c>
      <c r="CI585">
        <v>0.1</v>
      </c>
      <c r="CJ585">
        <v>0.1</v>
      </c>
      <c r="CK585">
        <v>0.1</v>
      </c>
      <c r="CL585">
        <v>0.1</v>
      </c>
      <c r="CM585">
        <v>0.1</v>
      </c>
      <c r="CN585">
        <v>0.1</v>
      </c>
      <c r="CO585">
        <v>0.1</v>
      </c>
      <c r="CP585">
        <v>0.1</v>
      </c>
      <c r="CQ585">
        <v>0.1</v>
      </c>
      <c r="CR585">
        <v>0.1</v>
      </c>
      <c r="CS585">
        <v>0.1</v>
      </c>
      <c r="CT585">
        <v>0.1</v>
      </c>
      <c r="CU585">
        <v>0.1</v>
      </c>
      <c r="CV585">
        <v>0.1</v>
      </c>
      <c r="CW585">
        <v>0.1</v>
      </c>
      <c r="CX585">
        <v>0.1</v>
      </c>
      <c r="CY585">
        <v>0.1</v>
      </c>
      <c r="CZ585">
        <v>0.1</v>
      </c>
      <c r="DA585">
        <v>0.1</v>
      </c>
      <c r="DB585">
        <v>0.1</v>
      </c>
      <c r="DC585">
        <v>0.1</v>
      </c>
      <c r="DD585">
        <v>0.1</v>
      </c>
      <c r="DE585">
        <v>0.1</v>
      </c>
      <c r="DF585">
        <v>0.1</v>
      </c>
      <c r="DG585">
        <v>0.1</v>
      </c>
      <c r="DH585">
        <v>0.1</v>
      </c>
      <c r="DI585">
        <v>0.1</v>
      </c>
      <c r="DJ585">
        <v>0.1</v>
      </c>
      <c r="DK585">
        <v>0.1</v>
      </c>
      <c r="DL585">
        <v>0.1</v>
      </c>
      <c r="DM585">
        <v>0.1</v>
      </c>
      <c r="DN585">
        <v>0.1</v>
      </c>
      <c r="DO585">
        <v>0.1</v>
      </c>
      <c r="DP585">
        <v>0.1</v>
      </c>
      <c r="DQ585">
        <v>0.1</v>
      </c>
      <c r="DR585">
        <v>0.1</v>
      </c>
      <c r="DS585">
        <v>0.1</v>
      </c>
      <c r="DT585">
        <v>0.1</v>
      </c>
      <c r="DU585">
        <v>0.1</v>
      </c>
      <c r="DV585">
        <v>0.1</v>
      </c>
      <c r="DW585">
        <v>0.1</v>
      </c>
      <c r="DX585">
        <v>0.1</v>
      </c>
      <c r="DY585">
        <v>0.1</v>
      </c>
      <c r="DZ585">
        <v>0.1</v>
      </c>
      <c r="EA585">
        <v>0.1</v>
      </c>
      <c r="EB585">
        <v>0.1</v>
      </c>
      <c r="EC585">
        <v>0.1</v>
      </c>
      <c r="ED585">
        <v>0.1</v>
      </c>
      <c r="EE585">
        <v>0.1</v>
      </c>
      <c r="EF585">
        <v>0.1</v>
      </c>
    </row>
    <row r="586" spans="71:136" x14ac:dyDescent="0.25">
      <c r="BS586">
        <v>583</v>
      </c>
      <c r="BT586" s="2"/>
      <c r="BU586" s="2"/>
      <c r="BV586" s="2"/>
      <c r="BW586" s="2"/>
      <c r="BX586" s="2"/>
      <c r="BY586">
        <v>0.1</v>
      </c>
      <c r="BZ586">
        <v>0.1</v>
      </c>
      <c r="CA586">
        <v>0.1</v>
      </c>
      <c r="CB586">
        <v>0.1</v>
      </c>
      <c r="CC586">
        <v>0.1</v>
      </c>
      <c r="CD586">
        <v>0.1</v>
      </c>
      <c r="CE586">
        <v>0.1</v>
      </c>
      <c r="CF586">
        <v>0.1</v>
      </c>
      <c r="CG586">
        <v>0.1</v>
      </c>
      <c r="CH586">
        <v>0.1</v>
      </c>
      <c r="CI586">
        <v>0.1</v>
      </c>
      <c r="CJ586">
        <v>0.1</v>
      </c>
      <c r="CK586">
        <v>0.1</v>
      </c>
      <c r="CL586">
        <v>0.1</v>
      </c>
      <c r="CM586">
        <v>0.1</v>
      </c>
      <c r="CN586">
        <v>0.1</v>
      </c>
      <c r="CO586">
        <v>0.1</v>
      </c>
      <c r="CP586">
        <v>0.1</v>
      </c>
      <c r="CQ586">
        <v>0.1</v>
      </c>
      <c r="CR586">
        <v>0.1</v>
      </c>
      <c r="CS586">
        <v>0.1</v>
      </c>
      <c r="CT586">
        <v>0.1</v>
      </c>
      <c r="CU586">
        <v>0.1</v>
      </c>
      <c r="CV586">
        <v>0.1</v>
      </c>
      <c r="CW586">
        <v>0.1</v>
      </c>
      <c r="CX586">
        <v>0.1</v>
      </c>
      <c r="CY586">
        <v>0.1</v>
      </c>
      <c r="CZ586">
        <v>0.1</v>
      </c>
      <c r="DA586">
        <v>0.1</v>
      </c>
      <c r="DB586">
        <v>0.1</v>
      </c>
      <c r="DC586">
        <v>0.1</v>
      </c>
      <c r="DD586">
        <v>0.1</v>
      </c>
      <c r="DE586">
        <v>0.1</v>
      </c>
      <c r="DF586">
        <v>0.1</v>
      </c>
      <c r="DG586">
        <v>0.1</v>
      </c>
      <c r="DH586">
        <v>0.1</v>
      </c>
      <c r="DI586">
        <v>0.1</v>
      </c>
      <c r="DJ586">
        <v>0.1</v>
      </c>
      <c r="DK586">
        <v>0.1</v>
      </c>
      <c r="DL586">
        <v>0.1</v>
      </c>
      <c r="DM586">
        <v>0.1</v>
      </c>
      <c r="DN586">
        <v>0.1</v>
      </c>
      <c r="DO586">
        <v>0.1</v>
      </c>
      <c r="DP586">
        <v>0.1</v>
      </c>
      <c r="DQ586">
        <v>0.1</v>
      </c>
      <c r="DR586">
        <v>0.1</v>
      </c>
      <c r="DS586">
        <v>0.1</v>
      </c>
      <c r="DT586">
        <v>0.1</v>
      </c>
      <c r="DU586">
        <v>0.1</v>
      </c>
      <c r="DV586">
        <v>0.1</v>
      </c>
      <c r="DW586">
        <v>0.1</v>
      </c>
      <c r="DX586">
        <v>0.1</v>
      </c>
      <c r="DY586">
        <v>0.1</v>
      </c>
      <c r="DZ586">
        <v>0.1</v>
      </c>
      <c r="EA586">
        <v>0.1</v>
      </c>
      <c r="EB586">
        <v>0.1</v>
      </c>
      <c r="EC586">
        <v>0.1</v>
      </c>
      <c r="ED586">
        <v>0.1</v>
      </c>
      <c r="EE586">
        <v>0.1</v>
      </c>
      <c r="EF586">
        <v>0.1</v>
      </c>
    </row>
    <row r="587" spans="71:136" x14ac:dyDescent="0.25">
      <c r="BS587">
        <v>584</v>
      </c>
      <c r="BT587" s="2"/>
      <c r="BU587" s="2"/>
      <c r="BV587" s="2"/>
      <c r="BW587" s="2"/>
      <c r="BX587" s="2"/>
      <c r="BY587">
        <v>0.1</v>
      </c>
      <c r="BZ587">
        <v>0.1</v>
      </c>
      <c r="CA587">
        <v>0.1</v>
      </c>
      <c r="CB587">
        <v>0.1</v>
      </c>
      <c r="CC587">
        <v>0.1</v>
      </c>
      <c r="CD587">
        <v>0.1</v>
      </c>
      <c r="CE587">
        <v>0.1</v>
      </c>
      <c r="CF587">
        <v>0.1</v>
      </c>
      <c r="CG587">
        <v>0.1</v>
      </c>
      <c r="CH587">
        <v>0.1</v>
      </c>
      <c r="CI587">
        <v>0.1</v>
      </c>
      <c r="CJ587">
        <v>0.1</v>
      </c>
      <c r="CK587">
        <v>0.1</v>
      </c>
      <c r="CL587">
        <v>0.1</v>
      </c>
      <c r="CM587">
        <v>0.1</v>
      </c>
      <c r="CN587">
        <v>0.1</v>
      </c>
      <c r="CO587">
        <v>0.1</v>
      </c>
      <c r="CP587">
        <v>0.1</v>
      </c>
      <c r="CQ587">
        <v>0.1</v>
      </c>
      <c r="CR587">
        <v>0.1</v>
      </c>
      <c r="CS587">
        <v>0.1</v>
      </c>
      <c r="CT587">
        <v>0.1</v>
      </c>
      <c r="CU587">
        <v>0.1</v>
      </c>
      <c r="CV587">
        <v>0.1</v>
      </c>
      <c r="CW587">
        <v>0.1</v>
      </c>
      <c r="CX587">
        <v>0.1</v>
      </c>
      <c r="CY587">
        <v>0.1</v>
      </c>
      <c r="CZ587">
        <v>0.1</v>
      </c>
      <c r="DA587">
        <v>0.1</v>
      </c>
      <c r="DB587">
        <v>0.1</v>
      </c>
      <c r="DC587">
        <v>0.1</v>
      </c>
      <c r="DD587">
        <v>0.1</v>
      </c>
      <c r="DE587">
        <v>0.1</v>
      </c>
      <c r="DF587">
        <v>0.1</v>
      </c>
      <c r="DG587">
        <v>0.1</v>
      </c>
      <c r="DH587">
        <v>0.1</v>
      </c>
      <c r="DI587">
        <v>0.1</v>
      </c>
      <c r="DJ587">
        <v>0.1</v>
      </c>
      <c r="DK587">
        <v>0.1</v>
      </c>
      <c r="DL587">
        <v>0.1</v>
      </c>
      <c r="DM587">
        <v>0.1</v>
      </c>
      <c r="DN587">
        <v>0.1</v>
      </c>
      <c r="DO587">
        <v>0.1</v>
      </c>
      <c r="DP587">
        <v>0.1</v>
      </c>
      <c r="DQ587">
        <v>0.1</v>
      </c>
      <c r="DR587">
        <v>0.1</v>
      </c>
      <c r="DS587">
        <v>0.1</v>
      </c>
      <c r="DT587">
        <v>0.1</v>
      </c>
      <c r="DU587">
        <v>0.1</v>
      </c>
      <c r="DV587">
        <v>0.1</v>
      </c>
      <c r="DW587">
        <v>0.1</v>
      </c>
      <c r="DX587">
        <v>0.1</v>
      </c>
      <c r="DY587">
        <v>0.1</v>
      </c>
      <c r="DZ587">
        <v>0.1</v>
      </c>
      <c r="EA587">
        <v>0.1</v>
      </c>
      <c r="EB587">
        <v>0.1</v>
      </c>
      <c r="EC587">
        <v>0.1</v>
      </c>
      <c r="ED587">
        <v>0.1</v>
      </c>
      <c r="EE587">
        <v>0.1</v>
      </c>
      <c r="EF587">
        <v>0.1</v>
      </c>
    </row>
    <row r="588" spans="71:136" x14ac:dyDescent="0.25">
      <c r="BS588">
        <v>585</v>
      </c>
      <c r="BT588" s="2"/>
      <c r="BU588" s="2"/>
      <c r="BV588" s="2"/>
      <c r="BW588" s="2"/>
      <c r="BX588" s="2"/>
      <c r="BY588">
        <v>0.1</v>
      </c>
      <c r="BZ588">
        <v>0.1</v>
      </c>
      <c r="CA588">
        <v>0.1</v>
      </c>
      <c r="CB588">
        <v>0.1</v>
      </c>
      <c r="CC588">
        <v>0.1</v>
      </c>
      <c r="CD588">
        <v>0.1</v>
      </c>
      <c r="CE588">
        <v>0.1</v>
      </c>
      <c r="CF588">
        <v>0.1</v>
      </c>
      <c r="CG588">
        <v>0.1</v>
      </c>
      <c r="CH588">
        <v>0.1</v>
      </c>
      <c r="CI588">
        <v>0.1</v>
      </c>
      <c r="CJ588">
        <v>0.1</v>
      </c>
      <c r="CK588">
        <v>0.1</v>
      </c>
      <c r="CL588">
        <v>0.1</v>
      </c>
      <c r="CM588">
        <v>0.1</v>
      </c>
      <c r="CN588">
        <v>0.1</v>
      </c>
      <c r="CO588">
        <v>0.1</v>
      </c>
      <c r="CP588">
        <v>0.1</v>
      </c>
      <c r="CQ588">
        <v>0.1</v>
      </c>
      <c r="CR588">
        <v>0.1</v>
      </c>
      <c r="CS588">
        <v>0.1</v>
      </c>
      <c r="CT588">
        <v>0.1</v>
      </c>
      <c r="CU588">
        <v>0.1</v>
      </c>
      <c r="CV588">
        <v>0.1</v>
      </c>
      <c r="CW588">
        <v>0.1</v>
      </c>
      <c r="CX588">
        <v>0.1</v>
      </c>
      <c r="CY588">
        <v>0.1</v>
      </c>
      <c r="CZ588">
        <v>0.1</v>
      </c>
      <c r="DA588">
        <v>0.1</v>
      </c>
      <c r="DB588">
        <v>0.1</v>
      </c>
      <c r="DC588">
        <v>0.1</v>
      </c>
      <c r="DD588">
        <v>0.1</v>
      </c>
      <c r="DE588">
        <v>0.1</v>
      </c>
      <c r="DF588">
        <v>0.1</v>
      </c>
      <c r="DG588">
        <v>0.1</v>
      </c>
      <c r="DH588">
        <v>0.1</v>
      </c>
      <c r="DI588">
        <v>0.1</v>
      </c>
      <c r="DJ588">
        <v>0.1</v>
      </c>
      <c r="DK588">
        <v>0.1</v>
      </c>
      <c r="DL588">
        <v>0.1</v>
      </c>
      <c r="DM588">
        <v>0.1</v>
      </c>
      <c r="DN588">
        <v>0.1</v>
      </c>
      <c r="DO588">
        <v>0.1</v>
      </c>
      <c r="DP588">
        <v>0.1</v>
      </c>
      <c r="DQ588">
        <v>0.1</v>
      </c>
      <c r="DR588">
        <v>0.1</v>
      </c>
      <c r="DS588">
        <v>0.1</v>
      </c>
      <c r="DT588">
        <v>0.1</v>
      </c>
      <c r="DU588">
        <v>0.1</v>
      </c>
      <c r="DV588">
        <v>0.1</v>
      </c>
      <c r="DW588">
        <v>0.1</v>
      </c>
      <c r="DX588">
        <v>0.1</v>
      </c>
      <c r="DY588">
        <v>0.1</v>
      </c>
      <c r="DZ588">
        <v>0.1</v>
      </c>
      <c r="EA588">
        <v>0.1</v>
      </c>
      <c r="EB588">
        <v>0.1</v>
      </c>
      <c r="EC588">
        <v>0.1</v>
      </c>
      <c r="ED588">
        <v>0.1</v>
      </c>
      <c r="EE588">
        <v>0.1</v>
      </c>
      <c r="EF588">
        <v>0.1</v>
      </c>
    </row>
    <row r="589" spans="71:136" x14ac:dyDescent="0.25">
      <c r="BS589">
        <v>586</v>
      </c>
      <c r="BT589" s="2"/>
      <c r="BU589" s="2"/>
      <c r="BV589" s="2"/>
      <c r="BW589" s="2"/>
      <c r="BX589" s="2"/>
      <c r="BY589">
        <v>0.1</v>
      </c>
      <c r="BZ589">
        <v>0.1</v>
      </c>
      <c r="CA589">
        <v>0.1</v>
      </c>
      <c r="CB589">
        <v>0.1</v>
      </c>
      <c r="CC589">
        <v>0.1</v>
      </c>
      <c r="CD589">
        <v>0.1</v>
      </c>
      <c r="CE589">
        <v>0.1</v>
      </c>
      <c r="CF589">
        <v>0.1</v>
      </c>
      <c r="CG589">
        <v>0.1</v>
      </c>
      <c r="CH589">
        <v>0.1</v>
      </c>
      <c r="CI589">
        <v>0.1</v>
      </c>
      <c r="CJ589">
        <v>0.1</v>
      </c>
      <c r="CK589">
        <v>0.1</v>
      </c>
      <c r="CL589">
        <v>0.1</v>
      </c>
      <c r="CM589">
        <v>0.1</v>
      </c>
      <c r="CN589">
        <v>0.1</v>
      </c>
      <c r="CO589">
        <v>0.1</v>
      </c>
      <c r="CP589">
        <v>0.1</v>
      </c>
      <c r="CQ589">
        <v>0.1</v>
      </c>
      <c r="CR589">
        <v>0.1</v>
      </c>
      <c r="CS589">
        <v>0.1</v>
      </c>
      <c r="CT589">
        <v>0.1</v>
      </c>
      <c r="CU589">
        <v>0.1</v>
      </c>
      <c r="CV589">
        <v>0.1</v>
      </c>
      <c r="CW589">
        <v>0.1</v>
      </c>
      <c r="CX589">
        <v>0.1</v>
      </c>
      <c r="CY589">
        <v>0.1</v>
      </c>
      <c r="CZ589">
        <v>0.1</v>
      </c>
      <c r="DA589">
        <v>0.1</v>
      </c>
      <c r="DB589">
        <v>0.1</v>
      </c>
      <c r="DC589">
        <v>0.1</v>
      </c>
      <c r="DD589">
        <v>0.1</v>
      </c>
      <c r="DE589">
        <v>0.1</v>
      </c>
      <c r="DF589">
        <v>0.1</v>
      </c>
      <c r="DG589">
        <v>0.1</v>
      </c>
      <c r="DH589">
        <v>0.1</v>
      </c>
      <c r="DI589">
        <v>0.1</v>
      </c>
      <c r="DJ589">
        <v>0.1</v>
      </c>
      <c r="DK589">
        <v>0.1</v>
      </c>
      <c r="DL589">
        <v>0.1</v>
      </c>
      <c r="DM589">
        <v>0.1</v>
      </c>
      <c r="DN589">
        <v>0.1</v>
      </c>
      <c r="DO589">
        <v>0.1</v>
      </c>
      <c r="DP589">
        <v>0.1</v>
      </c>
      <c r="DQ589">
        <v>0.1</v>
      </c>
      <c r="DR589">
        <v>0.1</v>
      </c>
      <c r="DS589">
        <v>0.1</v>
      </c>
      <c r="DT589">
        <v>0.1</v>
      </c>
      <c r="DU589">
        <v>0.1</v>
      </c>
      <c r="DV589">
        <v>0.1</v>
      </c>
      <c r="DW589">
        <v>0.1</v>
      </c>
      <c r="DX589">
        <v>0.1</v>
      </c>
      <c r="DY589">
        <v>0.1</v>
      </c>
      <c r="DZ589">
        <v>0.1</v>
      </c>
      <c r="EA589">
        <v>0.1</v>
      </c>
      <c r="EB589">
        <v>0.1</v>
      </c>
      <c r="EC589">
        <v>0.1</v>
      </c>
      <c r="ED589">
        <v>0.1</v>
      </c>
      <c r="EE589">
        <v>0.1</v>
      </c>
      <c r="EF589">
        <v>0.1</v>
      </c>
    </row>
    <row r="590" spans="71:136" x14ac:dyDescent="0.25">
      <c r="BS590">
        <v>587</v>
      </c>
      <c r="BT590" s="2"/>
      <c r="BU590" s="2"/>
      <c r="BV590" s="2"/>
      <c r="BW590" s="2"/>
      <c r="BX590" s="2"/>
      <c r="BY590">
        <v>0.1</v>
      </c>
      <c r="BZ590">
        <v>0.1</v>
      </c>
      <c r="CA590">
        <v>0.1</v>
      </c>
      <c r="CB590">
        <v>0.1</v>
      </c>
      <c r="CC590">
        <v>0.1</v>
      </c>
      <c r="CD590">
        <v>0.1</v>
      </c>
      <c r="CE590">
        <v>0.1</v>
      </c>
      <c r="CF590">
        <v>0.1</v>
      </c>
      <c r="CG590">
        <v>0.1</v>
      </c>
      <c r="CH590">
        <v>0.1</v>
      </c>
      <c r="CI590">
        <v>0.1</v>
      </c>
      <c r="CJ590">
        <v>0.1</v>
      </c>
      <c r="CK590">
        <v>0.1</v>
      </c>
      <c r="CL590">
        <v>0.1</v>
      </c>
      <c r="CM590">
        <v>0.1</v>
      </c>
      <c r="CN590">
        <v>0.1</v>
      </c>
      <c r="CO590">
        <v>0.1</v>
      </c>
      <c r="CP590">
        <v>0.1</v>
      </c>
      <c r="CQ590">
        <v>0.1</v>
      </c>
      <c r="CR590">
        <v>0.1</v>
      </c>
      <c r="CS590">
        <v>0.1</v>
      </c>
      <c r="CT590">
        <v>0.1</v>
      </c>
      <c r="CU590">
        <v>0.1</v>
      </c>
      <c r="CV590">
        <v>0.1</v>
      </c>
      <c r="CW590">
        <v>0.1</v>
      </c>
      <c r="CX590">
        <v>0.1</v>
      </c>
      <c r="CY590">
        <v>0.1</v>
      </c>
      <c r="CZ590">
        <v>0.1</v>
      </c>
      <c r="DA590">
        <v>0.1</v>
      </c>
      <c r="DB590">
        <v>0.1</v>
      </c>
      <c r="DC590">
        <v>0.1</v>
      </c>
      <c r="DD590">
        <v>0.1</v>
      </c>
      <c r="DE590">
        <v>0.1</v>
      </c>
      <c r="DF590">
        <v>0.1</v>
      </c>
      <c r="DG590">
        <v>0.1</v>
      </c>
      <c r="DH590">
        <v>0.1</v>
      </c>
      <c r="DI590">
        <v>0.1</v>
      </c>
      <c r="DJ590">
        <v>0.1</v>
      </c>
      <c r="DK590">
        <v>0.1</v>
      </c>
      <c r="DL590">
        <v>0.1</v>
      </c>
      <c r="DM590">
        <v>0.1</v>
      </c>
      <c r="DN590">
        <v>0.1</v>
      </c>
      <c r="DO590">
        <v>0.1</v>
      </c>
      <c r="DP590">
        <v>0.1</v>
      </c>
      <c r="DQ590">
        <v>0.1</v>
      </c>
      <c r="DR590">
        <v>0.1</v>
      </c>
      <c r="DS590">
        <v>0.1</v>
      </c>
      <c r="DT590">
        <v>0.1</v>
      </c>
      <c r="DU590">
        <v>0.1</v>
      </c>
      <c r="DV590">
        <v>0.1</v>
      </c>
      <c r="DW590">
        <v>0.1</v>
      </c>
      <c r="DX590">
        <v>0.1</v>
      </c>
      <c r="DY590">
        <v>0.1</v>
      </c>
      <c r="DZ590">
        <v>0.1</v>
      </c>
      <c r="EA590">
        <v>0.1</v>
      </c>
      <c r="EB590">
        <v>0.1</v>
      </c>
      <c r="EC590">
        <v>0.1</v>
      </c>
      <c r="ED590">
        <v>0.1</v>
      </c>
      <c r="EE590">
        <v>0.1</v>
      </c>
      <c r="EF590">
        <v>0.1</v>
      </c>
    </row>
    <row r="591" spans="71:136" x14ac:dyDescent="0.25">
      <c r="BS591">
        <v>588</v>
      </c>
      <c r="BT591" s="2"/>
      <c r="BU591" s="2"/>
      <c r="BV591" s="2"/>
      <c r="BW591" s="2"/>
      <c r="BX591" s="2"/>
      <c r="BY591">
        <v>0.1</v>
      </c>
      <c r="BZ591">
        <v>0.1</v>
      </c>
      <c r="CA591">
        <v>0.1</v>
      </c>
      <c r="CB591">
        <v>0.1</v>
      </c>
      <c r="CC591">
        <v>0.1</v>
      </c>
      <c r="CD591">
        <v>0.1</v>
      </c>
      <c r="CE591">
        <v>0.1</v>
      </c>
      <c r="CF591">
        <v>0.1</v>
      </c>
      <c r="CG591">
        <v>0.1</v>
      </c>
      <c r="CH591">
        <v>0.1</v>
      </c>
      <c r="CI591">
        <v>0.1</v>
      </c>
      <c r="CJ591">
        <v>0.1</v>
      </c>
      <c r="CK591">
        <v>0.1</v>
      </c>
      <c r="CL591">
        <v>0.1</v>
      </c>
      <c r="CM591">
        <v>0.1</v>
      </c>
      <c r="CN591">
        <v>0.1</v>
      </c>
      <c r="CO591">
        <v>0.1</v>
      </c>
      <c r="CP591">
        <v>0.1</v>
      </c>
      <c r="CQ591">
        <v>0.1</v>
      </c>
      <c r="CR591">
        <v>0.1</v>
      </c>
      <c r="CS591">
        <v>0.1</v>
      </c>
      <c r="CT591">
        <v>0.1</v>
      </c>
      <c r="CU591">
        <v>0.1</v>
      </c>
      <c r="CV591">
        <v>0.1</v>
      </c>
      <c r="CW591">
        <v>0.1</v>
      </c>
      <c r="CX591">
        <v>0.1</v>
      </c>
      <c r="CY591">
        <v>0.1</v>
      </c>
      <c r="CZ591">
        <v>0.1</v>
      </c>
      <c r="DA591">
        <v>0.1</v>
      </c>
      <c r="DB591">
        <v>0.1</v>
      </c>
      <c r="DC591">
        <v>0.1</v>
      </c>
      <c r="DD591">
        <v>0.1</v>
      </c>
      <c r="DE591">
        <v>0.1</v>
      </c>
      <c r="DF591">
        <v>0.1</v>
      </c>
      <c r="DG591">
        <v>0.1</v>
      </c>
      <c r="DH591">
        <v>0.1</v>
      </c>
      <c r="DI591">
        <v>0.1</v>
      </c>
      <c r="DJ591">
        <v>0.1</v>
      </c>
      <c r="DK591">
        <v>0.1</v>
      </c>
      <c r="DL591">
        <v>0.1</v>
      </c>
      <c r="DM591">
        <v>0.1</v>
      </c>
      <c r="DN591">
        <v>0.1</v>
      </c>
      <c r="DO591">
        <v>0.1</v>
      </c>
      <c r="DP591">
        <v>0.1</v>
      </c>
      <c r="DQ591">
        <v>0.1</v>
      </c>
      <c r="DR591">
        <v>0.1</v>
      </c>
      <c r="DS591">
        <v>0.1</v>
      </c>
      <c r="DT591">
        <v>0.1</v>
      </c>
      <c r="DU591">
        <v>0.1</v>
      </c>
      <c r="DV591">
        <v>0.1</v>
      </c>
      <c r="DW591">
        <v>0.1</v>
      </c>
      <c r="DX591">
        <v>0.1</v>
      </c>
      <c r="DY591">
        <v>0.1</v>
      </c>
      <c r="DZ591">
        <v>0.1</v>
      </c>
      <c r="EA591">
        <v>0.1</v>
      </c>
      <c r="EB591">
        <v>0.1</v>
      </c>
      <c r="EC591">
        <v>0.1</v>
      </c>
      <c r="ED591">
        <v>0.1</v>
      </c>
      <c r="EE591">
        <v>0.1</v>
      </c>
      <c r="EF591">
        <v>0.1</v>
      </c>
    </row>
    <row r="592" spans="71:136" x14ac:dyDescent="0.25">
      <c r="BS592">
        <v>589</v>
      </c>
      <c r="BT592" s="2"/>
      <c r="BU592" s="2"/>
      <c r="BV592" s="2"/>
      <c r="BW592" s="2"/>
      <c r="BX592" s="2"/>
      <c r="BY592">
        <v>0.1</v>
      </c>
      <c r="BZ592">
        <v>0.1</v>
      </c>
      <c r="CA592">
        <v>0.1</v>
      </c>
      <c r="CB592">
        <v>0.1</v>
      </c>
      <c r="CC592">
        <v>0.1</v>
      </c>
      <c r="CD592">
        <v>0.1</v>
      </c>
      <c r="CE592">
        <v>0.1</v>
      </c>
      <c r="CF592">
        <v>0.1</v>
      </c>
      <c r="CG592">
        <v>0.1</v>
      </c>
      <c r="CH592">
        <v>0.1</v>
      </c>
      <c r="CI592">
        <v>0.1</v>
      </c>
      <c r="CJ592">
        <v>0.1</v>
      </c>
      <c r="CK592">
        <v>0.1</v>
      </c>
      <c r="CL592">
        <v>0.1</v>
      </c>
      <c r="CM592">
        <v>0.1</v>
      </c>
      <c r="CN592">
        <v>0.1</v>
      </c>
      <c r="CO592">
        <v>0.1</v>
      </c>
      <c r="CP592">
        <v>0.1</v>
      </c>
      <c r="CQ592">
        <v>0.1</v>
      </c>
      <c r="CR592">
        <v>0.1</v>
      </c>
      <c r="CS592">
        <v>0.1</v>
      </c>
      <c r="CT592">
        <v>0.1</v>
      </c>
      <c r="CU592">
        <v>0.1</v>
      </c>
      <c r="CV592">
        <v>0.1</v>
      </c>
      <c r="CW592">
        <v>0.1</v>
      </c>
      <c r="CX592">
        <v>0.1</v>
      </c>
      <c r="CY592">
        <v>0.1</v>
      </c>
      <c r="CZ592">
        <v>0.1</v>
      </c>
      <c r="DA592">
        <v>0.1</v>
      </c>
      <c r="DB592">
        <v>0.1</v>
      </c>
      <c r="DC592">
        <v>0.1</v>
      </c>
      <c r="DD592">
        <v>0.1</v>
      </c>
      <c r="DE592">
        <v>0.1</v>
      </c>
      <c r="DF592">
        <v>0.1</v>
      </c>
      <c r="DG592">
        <v>0.1</v>
      </c>
      <c r="DH592">
        <v>0.1</v>
      </c>
      <c r="DI592">
        <v>0.1</v>
      </c>
      <c r="DJ592">
        <v>0.1</v>
      </c>
      <c r="DK592">
        <v>0.1</v>
      </c>
      <c r="DL592">
        <v>0.1</v>
      </c>
      <c r="DM592">
        <v>0.1</v>
      </c>
      <c r="DN592">
        <v>0.1</v>
      </c>
      <c r="DO592">
        <v>0.1</v>
      </c>
      <c r="DP592">
        <v>0.1</v>
      </c>
      <c r="DQ592">
        <v>0.1</v>
      </c>
      <c r="DR592">
        <v>0.1</v>
      </c>
      <c r="DS592">
        <v>0.1</v>
      </c>
      <c r="DT592">
        <v>0.1</v>
      </c>
      <c r="DU592">
        <v>0.1</v>
      </c>
      <c r="DV592">
        <v>0.1</v>
      </c>
      <c r="DW592">
        <v>0.1</v>
      </c>
      <c r="DX592">
        <v>0.1</v>
      </c>
      <c r="DY592">
        <v>0.1</v>
      </c>
      <c r="DZ592">
        <v>0.1</v>
      </c>
      <c r="EA592">
        <v>0.1</v>
      </c>
      <c r="EB592">
        <v>0.1</v>
      </c>
      <c r="EC592">
        <v>0.1</v>
      </c>
      <c r="ED592">
        <v>0.1</v>
      </c>
      <c r="EE592">
        <v>0.1</v>
      </c>
      <c r="EF592">
        <v>0.1</v>
      </c>
    </row>
    <row r="593" spans="71:136" x14ac:dyDescent="0.25">
      <c r="BS593">
        <v>590</v>
      </c>
      <c r="BT593" s="2"/>
      <c r="BU593" s="2"/>
      <c r="BV593" s="2"/>
      <c r="BW593" s="2"/>
      <c r="BX593" s="2"/>
      <c r="BY593">
        <v>0.1</v>
      </c>
      <c r="BZ593">
        <v>0.1</v>
      </c>
      <c r="CA593">
        <v>0.1</v>
      </c>
      <c r="CB593">
        <v>0.1</v>
      </c>
      <c r="CC593">
        <v>0.1</v>
      </c>
      <c r="CD593">
        <v>0.1</v>
      </c>
      <c r="CE593">
        <v>0.1</v>
      </c>
      <c r="CF593">
        <v>0.1</v>
      </c>
      <c r="CG593">
        <v>0.1</v>
      </c>
      <c r="CH593">
        <v>0.1</v>
      </c>
      <c r="CI593">
        <v>0.1</v>
      </c>
      <c r="CJ593">
        <v>0.1</v>
      </c>
      <c r="CK593">
        <v>0.1</v>
      </c>
      <c r="CL593">
        <v>0.1</v>
      </c>
      <c r="CM593">
        <v>0.1</v>
      </c>
      <c r="CN593">
        <v>0.1</v>
      </c>
      <c r="CO593">
        <v>0.1</v>
      </c>
      <c r="CP593">
        <v>0.1</v>
      </c>
      <c r="CQ593">
        <v>0.1</v>
      </c>
      <c r="CR593">
        <v>0.1</v>
      </c>
      <c r="CS593">
        <v>0.1</v>
      </c>
      <c r="CT593">
        <v>0.1</v>
      </c>
      <c r="CU593">
        <v>0.1</v>
      </c>
      <c r="CV593">
        <v>0.1</v>
      </c>
      <c r="CW593">
        <v>0.1</v>
      </c>
      <c r="CX593">
        <v>0.1</v>
      </c>
      <c r="CY593">
        <v>0.1</v>
      </c>
      <c r="CZ593">
        <v>0.1</v>
      </c>
      <c r="DA593">
        <v>0.1</v>
      </c>
      <c r="DB593">
        <v>0.1</v>
      </c>
      <c r="DC593">
        <v>0.1</v>
      </c>
      <c r="DD593">
        <v>0.1</v>
      </c>
      <c r="DE593">
        <v>0.1</v>
      </c>
      <c r="DF593">
        <v>0.1</v>
      </c>
      <c r="DG593">
        <v>0.1</v>
      </c>
      <c r="DH593">
        <v>0.1</v>
      </c>
      <c r="DI593">
        <v>0.1</v>
      </c>
      <c r="DJ593">
        <v>0.1</v>
      </c>
      <c r="DK593">
        <v>0.1</v>
      </c>
      <c r="DL593">
        <v>0.1</v>
      </c>
      <c r="DM593">
        <v>0.1</v>
      </c>
      <c r="DN593">
        <v>0.1</v>
      </c>
      <c r="DO593">
        <v>0.1</v>
      </c>
      <c r="DP593">
        <v>0.1</v>
      </c>
      <c r="DQ593">
        <v>0.1</v>
      </c>
      <c r="DR593">
        <v>0.1</v>
      </c>
      <c r="DS593">
        <v>0.1</v>
      </c>
      <c r="DT593">
        <v>0.1</v>
      </c>
      <c r="DU593">
        <v>0.1</v>
      </c>
      <c r="DV593">
        <v>0.1</v>
      </c>
      <c r="DW593">
        <v>0.1</v>
      </c>
      <c r="DX593">
        <v>0.1</v>
      </c>
      <c r="DY593">
        <v>0.1</v>
      </c>
      <c r="DZ593">
        <v>0.1</v>
      </c>
      <c r="EA593">
        <v>0.1</v>
      </c>
      <c r="EB593">
        <v>0.1</v>
      </c>
      <c r="EC593">
        <v>0.1</v>
      </c>
      <c r="ED593">
        <v>0.1</v>
      </c>
      <c r="EE593">
        <v>0.1</v>
      </c>
      <c r="EF593">
        <v>0.1</v>
      </c>
    </row>
    <row r="594" spans="71:136" x14ac:dyDescent="0.25">
      <c r="BS594">
        <v>591</v>
      </c>
      <c r="BT594" s="2"/>
      <c r="BU594" s="2"/>
      <c r="BV594" s="2"/>
      <c r="BW594" s="2"/>
      <c r="BX594" s="2"/>
      <c r="BY594">
        <v>0.1</v>
      </c>
      <c r="BZ594">
        <v>0.1</v>
      </c>
      <c r="CA594">
        <v>0.1</v>
      </c>
      <c r="CB594">
        <v>0.1</v>
      </c>
      <c r="CC594">
        <v>0.1</v>
      </c>
      <c r="CD594">
        <v>0.1</v>
      </c>
      <c r="CE594">
        <v>0.1</v>
      </c>
      <c r="CF594">
        <v>0.1</v>
      </c>
      <c r="CG594">
        <v>0.1</v>
      </c>
      <c r="CH594">
        <v>0.1</v>
      </c>
      <c r="CI594">
        <v>0.1</v>
      </c>
      <c r="CJ594">
        <v>0.1</v>
      </c>
      <c r="CK594">
        <v>0.1</v>
      </c>
      <c r="CL594">
        <v>0.1</v>
      </c>
      <c r="CM594">
        <v>0.1</v>
      </c>
      <c r="CN594">
        <v>0.1</v>
      </c>
      <c r="CO594">
        <v>0.1</v>
      </c>
      <c r="CP594">
        <v>0.1</v>
      </c>
      <c r="CQ594">
        <v>0.1</v>
      </c>
      <c r="CR594">
        <v>0.1</v>
      </c>
      <c r="CS594">
        <v>0.1</v>
      </c>
      <c r="CT594">
        <v>0.1</v>
      </c>
      <c r="CU594">
        <v>0.1</v>
      </c>
      <c r="CV594">
        <v>0.1</v>
      </c>
      <c r="CW594">
        <v>0.1</v>
      </c>
      <c r="CX594">
        <v>0.1</v>
      </c>
      <c r="CY594">
        <v>0.1</v>
      </c>
      <c r="CZ594">
        <v>0.1</v>
      </c>
      <c r="DA594">
        <v>0.1</v>
      </c>
      <c r="DB594">
        <v>0.1</v>
      </c>
      <c r="DC594">
        <v>0.1</v>
      </c>
      <c r="DD594">
        <v>0.1</v>
      </c>
      <c r="DE594">
        <v>0.1</v>
      </c>
      <c r="DF594">
        <v>0.1</v>
      </c>
      <c r="DG594">
        <v>0.1</v>
      </c>
      <c r="DH594">
        <v>0.1</v>
      </c>
      <c r="DI594">
        <v>0.1</v>
      </c>
      <c r="DJ594">
        <v>0.1</v>
      </c>
      <c r="DK594">
        <v>0.1</v>
      </c>
      <c r="DL594">
        <v>0.1</v>
      </c>
      <c r="DM594">
        <v>0.1</v>
      </c>
      <c r="DN594">
        <v>0.1</v>
      </c>
      <c r="DO594">
        <v>0.1</v>
      </c>
      <c r="DP594">
        <v>0.1</v>
      </c>
      <c r="DQ594">
        <v>0.1</v>
      </c>
      <c r="DR594">
        <v>0.1</v>
      </c>
      <c r="DS594">
        <v>0.1</v>
      </c>
      <c r="DT594">
        <v>0.1</v>
      </c>
      <c r="DU594">
        <v>0.1</v>
      </c>
      <c r="DV594">
        <v>0.1</v>
      </c>
      <c r="DW594">
        <v>0.1</v>
      </c>
      <c r="DX594">
        <v>0.1</v>
      </c>
      <c r="DY594">
        <v>0.1</v>
      </c>
      <c r="DZ594">
        <v>0.1</v>
      </c>
      <c r="EA594">
        <v>0.1</v>
      </c>
      <c r="EB594">
        <v>0.1</v>
      </c>
      <c r="EC594">
        <v>0.1</v>
      </c>
      <c r="ED594">
        <v>0.1</v>
      </c>
      <c r="EE594">
        <v>0.1</v>
      </c>
      <c r="EF594">
        <v>0.1</v>
      </c>
    </row>
    <row r="595" spans="71:136" x14ac:dyDescent="0.25">
      <c r="BS595">
        <v>592</v>
      </c>
      <c r="BT595" s="2"/>
      <c r="BU595" s="2"/>
      <c r="BV595" s="2"/>
      <c r="BW595" s="2"/>
      <c r="BX595" s="2"/>
      <c r="BY595">
        <v>0.1</v>
      </c>
      <c r="BZ595">
        <v>0.1</v>
      </c>
      <c r="CA595">
        <v>0.1</v>
      </c>
      <c r="CB595">
        <v>0.1</v>
      </c>
      <c r="CC595">
        <v>0.1</v>
      </c>
      <c r="CD595">
        <v>0.1</v>
      </c>
      <c r="CE595">
        <v>0.1</v>
      </c>
      <c r="CF595">
        <v>0.1</v>
      </c>
      <c r="CG595">
        <v>0.1</v>
      </c>
      <c r="CH595">
        <v>0.1</v>
      </c>
      <c r="CI595">
        <v>0.1</v>
      </c>
      <c r="CJ595">
        <v>0.1</v>
      </c>
      <c r="CK595">
        <v>0.1</v>
      </c>
      <c r="CL595">
        <v>0.1</v>
      </c>
      <c r="CM595">
        <v>0.1</v>
      </c>
      <c r="CN595">
        <v>0.1</v>
      </c>
      <c r="CO595">
        <v>0.1</v>
      </c>
      <c r="CP595">
        <v>0.1</v>
      </c>
      <c r="CQ595">
        <v>0.1</v>
      </c>
      <c r="CR595">
        <v>0.1</v>
      </c>
      <c r="CS595">
        <v>0.1</v>
      </c>
      <c r="CT595">
        <v>0.1</v>
      </c>
      <c r="CU595">
        <v>0.1</v>
      </c>
      <c r="CV595">
        <v>0.1</v>
      </c>
      <c r="CW595">
        <v>0.1</v>
      </c>
      <c r="CX595">
        <v>0.1</v>
      </c>
      <c r="CY595">
        <v>0.1</v>
      </c>
      <c r="CZ595">
        <v>0.1</v>
      </c>
      <c r="DA595">
        <v>0.1</v>
      </c>
      <c r="DB595">
        <v>0.1</v>
      </c>
      <c r="DC595">
        <v>0.1</v>
      </c>
      <c r="DD595">
        <v>0.1</v>
      </c>
      <c r="DE595">
        <v>0.1</v>
      </c>
      <c r="DF595">
        <v>0.1</v>
      </c>
      <c r="DG595">
        <v>0.1</v>
      </c>
      <c r="DH595">
        <v>0.1</v>
      </c>
      <c r="DI595">
        <v>0.1</v>
      </c>
      <c r="DJ595">
        <v>0.1</v>
      </c>
      <c r="DK595">
        <v>0.1</v>
      </c>
      <c r="DL595">
        <v>0.1</v>
      </c>
      <c r="DM595">
        <v>0.1</v>
      </c>
      <c r="DN595">
        <v>0.1</v>
      </c>
      <c r="DO595">
        <v>0.1</v>
      </c>
      <c r="DP595">
        <v>0.1</v>
      </c>
      <c r="DQ595">
        <v>0.1</v>
      </c>
      <c r="DR595">
        <v>0.1</v>
      </c>
      <c r="DS595">
        <v>0.1</v>
      </c>
      <c r="DT595">
        <v>0.1</v>
      </c>
      <c r="DU595">
        <v>0.1</v>
      </c>
      <c r="DV595">
        <v>0.1</v>
      </c>
      <c r="DW595">
        <v>0.1</v>
      </c>
      <c r="DX595">
        <v>0.1</v>
      </c>
      <c r="DY595">
        <v>0.1</v>
      </c>
      <c r="DZ595">
        <v>0.1</v>
      </c>
      <c r="EA595">
        <v>0.1</v>
      </c>
      <c r="EB595">
        <v>0.1</v>
      </c>
      <c r="EC595">
        <v>0.1</v>
      </c>
      <c r="ED595">
        <v>0.1</v>
      </c>
      <c r="EE595">
        <v>0.1</v>
      </c>
      <c r="EF595">
        <v>0.1</v>
      </c>
    </row>
    <row r="596" spans="71:136" x14ac:dyDescent="0.25">
      <c r="BS596">
        <v>593</v>
      </c>
      <c r="BT596" s="2"/>
      <c r="BU596" s="2"/>
      <c r="BV596" s="2"/>
      <c r="BW596" s="2"/>
      <c r="BX596" s="2"/>
      <c r="BY596">
        <v>0.1</v>
      </c>
      <c r="BZ596">
        <v>0.1</v>
      </c>
      <c r="CA596">
        <v>0.1</v>
      </c>
      <c r="CB596">
        <v>0.1</v>
      </c>
      <c r="CC596">
        <v>0.1</v>
      </c>
      <c r="CD596">
        <v>0.1</v>
      </c>
      <c r="CE596">
        <v>0.1</v>
      </c>
      <c r="CF596">
        <v>0.1</v>
      </c>
      <c r="CG596">
        <v>0.1</v>
      </c>
      <c r="CH596">
        <v>0.1</v>
      </c>
      <c r="CI596">
        <v>0.1</v>
      </c>
      <c r="CJ596">
        <v>0.1</v>
      </c>
      <c r="CK596">
        <v>0.1</v>
      </c>
      <c r="CL596">
        <v>0.1</v>
      </c>
      <c r="CM596">
        <v>0.1</v>
      </c>
      <c r="CN596">
        <v>0.1</v>
      </c>
      <c r="CO596">
        <v>0.1</v>
      </c>
      <c r="CP596">
        <v>0.1</v>
      </c>
      <c r="CQ596">
        <v>0.1</v>
      </c>
      <c r="CR596">
        <v>0.1</v>
      </c>
      <c r="CS596">
        <v>0.1</v>
      </c>
      <c r="CT596">
        <v>0.1</v>
      </c>
      <c r="CU596">
        <v>0.1</v>
      </c>
      <c r="CV596">
        <v>0.1</v>
      </c>
      <c r="CW596">
        <v>0.1</v>
      </c>
      <c r="CX596">
        <v>0.1</v>
      </c>
      <c r="CY596">
        <v>0.1</v>
      </c>
      <c r="CZ596">
        <v>0.1</v>
      </c>
      <c r="DA596">
        <v>0.1</v>
      </c>
      <c r="DB596">
        <v>0.1</v>
      </c>
      <c r="DC596">
        <v>0.1</v>
      </c>
      <c r="DD596">
        <v>0.1</v>
      </c>
      <c r="DE596">
        <v>0.1</v>
      </c>
      <c r="DF596">
        <v>0.1</v>
      </c>
      <c r="DG596">
        <v>0.1</v>
      </c>
      <c r="DH596">
        <v>0.1</v>
      </c>
      <c r="DI596">
        <v>0.1</v>
      </c>
      <c r="DJ596">
        <v>0.1</v>
      </c>
      <c r="DK596">
        <v>0.1</v>
      </c>
      <c r="DL596">
        <v>0.1</v>
      </c>
      <c r="DM596">
        <v>0.1</v>
      </c>
      <c r="DN596">
        <v>0.1</v>
      </c>
      <c r="DO596">
        <v>0.1</v>
      </c>
      <c r="DP596">
        <v>0.1</v>
      </c>
      <c r="DQ596">
        <v>0.1</v>
      </c>
      <c r="DR596">
        <v>0.1</v>
      </c>
      <c r="DS596">
        <v>0.1</v>
      </c>
      <c r="DT596">
        <v>0.1</v>
      </c>
      <c r="DU596">
        <v>0.1</v>
      </c>
      <c r="DV596">
        <v>0.1</v>
      </c>
      <c r="DW596">
        <v>0.1</v>
      </c>
      <c r="DX596">
        <v>0.1</v>
      </c>
      <c r="DY596">
        <v>0.1</v>
      </c>
      <c r="DZ596">
        <v>0.1</v>
      </c>
      <c r="EA596">
        <v>0.1</v>
      </c>
      <c r="EB596">
        <v>0.1</v>
      </c>
      <c r="EC596">
        <v>0.1</v>
      </c>
      <c r="ED596">
        <v>0.1</v>
      </c>
      <c r="EE596">
        <v>0.1</v>
      </c>
      <c r="EF596">
        <v>0.1</v>
      </c>
    </row>
    <row r="597" spans="71:136" x14ac:dyDescent="0.25">
      <c r="BS597">
        <v>594</v>
      </c>
      <c r="BT597" s="2"/>
      <c r="BU597" s="2"/>
      <c r="BV597" s="2"/>
      <c r="BW597" s="2"/>
      <c r="BX597" s="2"/>
      <c r="BY597">
        <v>0.1</v>
      </c>
      <c r="BZ597">
        <v>0.1</v>
      </c>
      <c r="CA597">
        <v>0.1</v>
      </c>
      <c r="CB597">
        <v>0.1</v>
      </c>
      <c r="CC597">
        <v>0.1</v>
      </c>
      <c r="CD597">
        <v>0.1</v>
      </c>
      <c r="CE597">
        <v>0.1</v>
      </c>
      <c r="CF597">
        <v>0.1</v>
      </c>
      <c r="CG597">
        <v>0.1</v>
      </c>
      <c r="CH597">
        <v>0.1</v>
      </c>
      <c r="CI597">
        <v>0.1</v>
      </c>
      <c r="CJ597">
        <v>0.1</v>
      </c>
      <c r="CK597">
        <v>0.1</v>
      </c>
      <c r="CL597">
        <v>0.1</v>
      </c>
      <c r="CM597">
        <v>0.1</v>
      </c>
      <c r="CN597">
        <v>0.1</v>
      </c>
      <c r="CO597">
        <v>0.1</v>
      </c>
      <c r="CP597">
        <v>0.1</v>
      </c>
      <c r="CQ597">
        <v>0.1</v>
      </c>
      <c r="CR597">
        <v>0.1</v>
      </c>
      <c r="CS597">
        <v>0.1</v>
      </c>
      <c r="CT597">
        <v>0.1</v>
      </c>
      <c r="CU597">
        <v>0.1</v>
      </c>
      <c r="CV597">
        <v>0.1</v>
      </c>
      <c r="CW597">
        <v>0.1</v>
      </c>
      <c r="CX597">
        <v>0.1</v>
      </c>
      <c r="CY597">
        <v>0.1</v>
      </c>
      <c r="CZ597">
        <v>0.1</v>
      </c>
      <c r="DA597">
        <v>0.1</v>
      </c>
      <c r="DB597">
        <v>0.1</v>
      </c>
      <c r="DC597">
        <v>0.1</v>
      </c>
      <c r="DD597">
        <v>0.1</v>
      </c>
      <c r="DE597">
        <v>0.1</v>
      </c>
      <c r="DF597">
        <v>0.1</v>
      </c>
      <c r="DG597">
        <v>0.1</v>
      </c>
      <c r="DH597">
        <v>0.1</v>
      </c>
      <c r="DI597">
        <v>0.1</v>
      </c>
      <c r="DJ597">
        <v>0.1</v>
      </c>
      <c r="DK597">
        <v>0.1</v>
      </c>
      <c r="DL597">
        <v>0.1</v>
      </c>
      <c r="DM597">
        <v>0.1</v>
      </c>
      <c r="DN597">
        <v>0.1</v>
      </c>
      <c r="DO597">
        <v>0.1</v>
      </c>
      <c r="DP597">
        <v>0.1</v>
      </c>
      <c r="DQ597">
        <v>0.1</v>
      </c>
      <c r="DR597">
        <v>0.1</v>
      </c>
      <c r="DS597">
        <v>0.1</v>
      </c>
      <c r="DT597">
        <v>0.1</v>
      </c>
      <c r="DU597">
        <v>0.1</v>
      </c>
      <c r="DV597">
        <v>0.1</v>
      </c>
      <c r="DW597">
        <v>0.1</v>
      </c>
      <c r="DX597">
        <v>0.1</v>
      </c>
      <c r="DY597">
        <v>0.1</v>
      </c>
      <c r="DZ597">
        <v>0.1</v>
      </c>
      <c r="EA597">
        <v>0.1</v>
      </c>
      <c r="EB597">
        <v>0.1</v>
      </c>
      <c r="EC597">
        <v>0.1</v>
      </c>
      <c r="ED597">
        <v>0.1</v>
      </c>
      <c r="EE597">
        <v>0.1</v>
      </c>
      <c r="EF597">
        <v>0.1</v>
      </c>
    </row>
    <row r="598" spans="71:136" x14ac:dyDescent="0.25">
      <c r="BS598">
        <v>595</v>
      </c>
      <c r="BT598" s="2"/>
      <c r="BU598" s="2"/>
      <c r="BV598" s="2"/>
      <c r="BW598" s="2"/>
      <c r="BX598" s="2"/>
      <c r="BY598">
        <v>0.1</v>
      </c>
      <c r="BZ598">
        <v>0.1</v>
      </c>
      <c r="CA598">
        <v>0.1</v>
      </c>
      <c r="CB598">
        <v>0.1</v>
      </c>
      <c r="CC598">
        <v>0.1</v>
      </c>
      <c r="CD598">
        <v>0.1</v>
      </c>
      <c r="CE598">
        <v>0.1</v>
      </c>
      <c r="CF598">
        <v>0.1</v>
      </c>
      <c r="CG598">
        <v>0.1</v>
      </c>
      <c r="CH598">
        <v>0.1</v>
      </c>
      <c r="CI598">
        <v>0.1</v>
      </c>
      <c r="CJ598">
        <v>0.1</v>
      </c>
      <c r="CK598">
        <v>0.1</v>
      </c>
      <c r="CL598">
        <v>0.1</v>
      </c>
      <c r="CM598">
        <v>0.1</v>
      </c>
      <c r="CN598">
        <v>0.1</v>
      </c>
      <c r="CO598">
        <v>0.1</v>
      </c>
      <c r="CP598">
        <v>0.1</v>
      </c>
      <c r="CQ598">
        <v>0.1</v>
      </c>
      <c r="CR598">
        <v>0.1</v>
      </c>
      <c r="CS598">
        <v>0.1</v>
      </c>
      <c r="CT598">
        <v>0.1</v>
      </c>
      <c r="CU598">
        <v>0.1</v>
      </c>
      <c r="CV598">
        <v>0.1</v>
      </c>
      <c r="CW598">
        <v>0.1</v>
      </c>
      <c r="CX598">
        <v>0.1</v>
      </c>
      <c r="CY598">
        <v>0.1</v>
      </c>
      <c r="CZ598">
        <v>0.1</v>
      </c>
      <c r="DA598">
        <v>0.1</v>
      </c>
      <c r="DB598">
        <v>0.1</v>
      </c>
      <c r="DC598">
        <v>0.1</v>
      </c>
      <c r="DD598">
        <v>0.1</v>
      </c>
      <c r="DE598">
        <v>0.1</v>
      </c>
      <c r="DF598">
        <v>0.1</v>
      </c>
      <c r="DG598">
        <v>0.1</v>
      </c>
      <c r="DH598">
        <v>0.1</v>
      </c>
      <c r="DI598">
        <v>0.1</v>
      </c>
      <c r="DJ598">
        <v>0.1</v>
      </c>
      <c r="DK598">
        <v>0.1</v>
      </c>
      <c r="DL598">
        <v>0.1</v>
      </c>
      <c r="DM598">
        <v>0.1</v>
      </c>
      <c r="DN598">
        <v>0.1</v>
      </c>
      <c r="DO598">
        <v>0.1</v>
      </c>
      <c r="DP598">
        <v>0.1</v>
      </c>
      <c r="DQ598">
        <v>0.1</v>
      </c>
      <c r="DR598">
        <v>0.1</v>
      </c>
      <c r="DS598">
        <v>0.1</v>
      </c>
      <c r="DT598">
        <v>0.1</v>
      </c>
      <c r="DU598">
        <v>0.1</v>
      </c>
      <c r="DV598">
        <v>0.1</v>
      </c>
      <c r="DW598">
        <v>0.1</v>
      </c>
      <c r="DX598">
        <v>0.1</v>
      </c>
      <c r="DY598">
        <v>0.1</v>
      </c>
      <c r="DZ598">
        <v>0.1</v>
      </c>
      <c r="EA598">
        <v>0.1</v>
      </c>
      <c r="EB598">
        <v>0.1</v>
      </c>
      <c r="EC598">
        <v>0.1</v>
      </c>
      <c r="ED598">
        <v>0.1</v>
      </c>
      <c r="EE598">
        <v>0.1</v>
      </c>
      <c r="EF598">
        <v>0.1</v>
      </c>
    </row>
    <row r="599" spans="71:136" x14ac:dyDescent="0.25">
      <c r="BS599">
        <v>596</v>
      </c>
      <c r="BT599" s="2"/>
      <c r="BU599" s="2"/>
      <c r="BV599" s="2"/>
      <c r="BW599" s="2"/>
      <c r="BX599" s="2"/>
      <c r="BY599">
        <v>0.1</v>
      </c>
      <c r="BZ599">
        <v>0.1</v>
      </c>
      <c r="CA599">
        <v>0.1</v>
      </c>
      <c r="CB599">
        <v>0.1</v>
      </c>
      <c r="CC599">
        <v>0.1</v>
      </c>
      <c r="CD599">
        <v>0.1</v>
      </c>
      <c r="CE599">
        <v>0.1</v>
      </c>
      <c r="CF599">
        <v>0.1</v>
      </c>
      <c r="CG599">
        <v>0.1</v>
      </c>
      <c r="CH599">
        <v>0.1</v>
      </c>
      <c r="CI599">
        <v>0.1</v>
      </c>
      <c r="CJ599">
        <v>0.1</v>
      </c>
      <c r="CK599">
        <v>0.1</v>
      </c>
      <c r="CL599">
        <v>0.1</v>
      </c>
      <c r="CM599">
        <v>0.1</v>
      </c>
      <c r="CN599">
        <v>0.1</v>
      </c>
      <c r="CO599">
        <v>0.1</v>
      </c>
      <c r="CP599">
        <v>0.1</v>
      </c>
      <c r="CQ599">
        <v>0.1</v>
      </c>
      <c r="CR599">
        <v>0.1</v>
      </c>
      <c r="CS599">
        <v>0.1</v>
      </c>
      <c r="CT599">
        <v>0.1</v>
      </c>
      <c r="CU599">
        <v>0.1</v>
      </c>
      <c r="CV599">
        <v>0.1</v>
      </c>
      <c r="CW599">
        <v>0.1</v>
      </c>
      <c r="CX599">
        <v>0.1</v>
      </c>
      <c r="CY599">
        <v>0.1</v>
      </c>
      <c r="CZ599">
        <v>0.1</v>
      </c>
      <c r="DA599">
        <v>0.1</v>
      </c>
      <c r="DB599">
        <v>0.1</v>
      </c>
      <c r="DC599">
        <v>0.1</v>
      </c>
      <c r="DD599">
        <v>0.1</v>
      </c>
      <c r="DE599">
        <v>0.1</v>
      </c>
      <c r="DF599">
        <v>0.1</v>
      </c>
      <c r="DG599">
        <v>0.1</v>
      </c>
      <c r="DH599">
        <v>0.1</v>
      </c>
      <c r="DI599">
        <v>0.1</v>
      </c>
      <c r="DJ599">
        <v>0.1</v>
      </c>
      <c r="DK599">
        <v>0.1</v>
      </c>
      <c r="DL599">
        <v>0.1</v>
      </c>
      <c r="DM599">
        <v>0.1</v>
      </c>
      <c r="DN599">
        <v>0.1</v>
      </c>
      <c r="DO599">
        <v>0.1</v>
      </c>
      <c r="DP599">
        <v>0.1</v>
      </c>
      <c r="DQ599">
        <v>0.1</v>
      </c>
      <c r="DR599">
        <v>0.1</v>
      </c>
      <c r="DS599">
        <v>0.1</v>
      </c>
      <c r="DT599">
        <v>0.1</v>
      </c>
      <c r="DU599">
        <v>0.1</v>
      </c>
      <c r="DV599">
        <v>0.1</v>
      </c>
      <c r="DW599">
        <v>0.1</v>
      </c>
      <c r="DX599">
        <v>0.1</v>
      </c>
      <c r="DY599">
        <v>0.1</v>
      </c>
      <c r="DZ599">
        <v>0.1</v>
      </c>
      <c r="EA599">
        <v>0.1</v>
      </c>
      <c r="EB599">
        <v>0.1</v>
      </c>
      <c r="EC599">
        <v>0.1</v>
      </c>
      <c r="ED599">
        <v>0.1</v>
      </c>
      <c r="EE599">
        <v>0.1</v>
      </c>
      <c r="EF599">
        <v>0.1</v>
      </c>
    </row>
    <row r="600" spans="71:136" x14ac:dyDescent="0.25">
      <c r="BS600">
        <v>597</v>
      </c>
      <c r="BT600" s="2"/>
      <c r="BU600" s="2"/>
      <c r="BV600" s="2"/>
      <c r="BW600" s="2"/>
      <c r="BX600" s="2"/>
      <c r="BY600">
        <v>0.1</v>
      </c>
      <c r="BZ600">
        <v>0.1</v>
      </c>
      <c r="CA600">
        <v>0.1</v>
      </c>
      <c r="CB600">
        <v>0.1</v>
      </c>
      <c r="CC600">
        <v>0.1</v>
      </c>
      <c r="CD600">
        <v>0.1</v>
      </c>
      <c r="CE600">
        <v>0.1</v>
      </c>
      <c r="CF600">
        <v>0.1</v>
      </c>
      <c r="CG600">
        <v>0.1</v>
      </c>
      <c r="CH600">
        <v>0.1</v>
      </c>
      <c r="CI600">
        <v>0.1</v>
      </c>
      <c r="CJ600">
        <v>0.1</v>
      </c>
      <c r="CK600">
        <v>0.1</v>
      </c>
      <c r="CL600">
        <v>0.1</v>
      </c>
      <c r="CM600">
        <v>0.1</v>
      </c>
      <c r="CN600">
        <v>0.1</v>
      </c>
      <c r="CO600">
        <v>0.1</v>
      </c>
      <c r="CP600">
        <v>0.1</v>
      </c>
      <c r="CQ600">
        <v>0.1</v>
      </c>
      <c r="CR600">
        <v>0.1</v>
      </c>
      <c r="CS600">
        <v>0.1</v>
      </c>
      <c r="CT600">
        <v>0.1</v>
      </c>
      <c r="CU600">
        <v>0.1</v>
      </c>
      <c r="CV600">
        <v>0.1</v>
      </c>
      <c r="CW600">
        <v>0.1</v>
      </c>
      <c r="CX600">
        <v>0.1</v>
      </c>
      <c r="CY600">
        <v>0.1</v>
      </c>
      <c r="CZ600">
        <v>0.1</v>
      </c>
      <c r="DA600">
        <v>0.1</v>
      </c>
      <c r="DB600">
        <v>0.1</v>
      </c>
      <c r="DC600">
        <v>0.1</v>
      </c>
      <c r="DD600">
        <v>0.1</v>
      </c>
      <c r="DE600">
        <v>0.1</v>
      </c>
      <c r="DF600">
        <v>0.1</v>
      </c>
      <c r="DG600">
        <v>0.1</v>
      </c>
      <c r="DH600">
        <v>0.1</v>
      </c>
      <c r="DI600">
        <v>0.1</v>
      </c>
      <c r="DJ600">
        <v>0.1</v>
      </c>
      <c r="DK600">
        <v>0.1</v>
      </c>
      <c r="DL600">
        <v>0.1</v>
      </c>
      <c r="DM600">
        <v>0.1</v>
      </c>
      <c r="DN600">
        <v>0.1</v>
      </c>
      <c r="DO600">
        <v>0.1</v>
      </c>
      <c r="DP600">
        <v>0.1</v>
      </c>
      <c r="DQ600">
        <v>0.1</v>
      </c>
      <c r="DR600">
        <v>0.1</v>
      </c>
      <c r="DS600">
        <v>0.1</v>
      </c>
      <c r="DT600">
        <v>0.1</v>
      </c>
      <c r="DU600">
        <v>0.1</v>
      </c>
      <c r="DV600">
        <v>0.1</v>
      </c>
      <c r="DW600">
        <v>0.1</v>
      </c>
      <c r="DX600">
        <v>0.1</v>
      </c>
      <c r="DY600">
        <v>0.1</v>
      </c>
      <c r="DZ600">
        <v>0.1</v>
      </c>
      <c r="EA600">
        <v>0.1</v>
      </c>
      <c r="EB600">
        <v>0.1</v>
      </c>
      <c r="EC600">
        <v>0.1</v>
      </c>
      <c r="ED600">
        <v>0.1</v>
      </c>
      <c r="EE600">
        <v>0.1</v>
      </c>
      <c r="EF600">
        <v>0.1</v>
      </c>
    </row>
    <row r="601" spans="71:136" x14ac:dyDescent="0.25">
      <c r="BS601">
        <v>598</v>
      </c>
      <c r="BT601" s="2"/>
      <c r="BU601" s="2"/>
      <c r="BV601" s="2"/>
      <c r="BW601" s="2"/>
      <c r="BX601" s="2"/>
      <c r="BY601">
        <v>0.1</v>
      </c>
      <c r="BZ601">
        <v>0.1</v>
      </c>
      <c r="CA601">
        <v>0.1</v>
      </c>
      <c r="CB601">
        <v>0.1</v>
      </c>
      <c r="CC601">
        <v>0.1</v>
      </c>
      <c r="CD601">
        <v>0.1</v>
      </c>
      <c r="CE601">
        <v>0.1</v>
      </c>
      <c r="CF601">
        <v>0.1</v>
      </c>
      <c r="CG601">
        <v>0.1</v>
      </c>
      <c r="CH601">
        <v>0.1</v>
      </c>
      <c r="CI601">
        <v>0.1</v>
      </c>
      <c r="CJ601">
        <v>0.1</v>
      </c>
      <c r="CK601">
        <v>0.1</v>
      </c>
      <c r="CL601">
        <v>0.1</v>
      </c>
      <c r="CM601">
        <v>0.1</v>
      </c>
      <c r="CN601">
        <v>0.1</v>
      </c>
      <c r="CO601">
        <v>0.1</v>
      </c>
      <c r="CP601">
        <v>0.1</v>
      </c>
      <c r="CQ601">
        <v>0.1</v>
      </c>
      <c r="CR601">
        <v>0.1</v>
      </c>
      <c r="CS601">
        <v>0.1</v>
      </c>
      <c r="CT601">
        <v>0.1</v>
      </c>
      <c r="CU601">
        <v>0.1</v>
      </c>
      <c r="CV601">
        <v>0.1</v>
      </c>
      <c r="CW601">
        <v>0.1</v>
      </c>
      <c r="CX601">
        <v>0.1</v>
      </c>
      <c r="CY601">
        <v>0.1</v>
      </c>
      <c r="CZ601">
        <v>0.1</v>
      </c>
      <c r="DA601">
        <v>0.1</v>
      </c>
      <c r="DB601">
        <v>0.1</v>
      </c>
      <c r="DC601">
        <v>0.1</v>
      </c>
      <c r="DD601">
        <v>0.1</v>
      </c>
      <c r="DE601">
        <v>0.1</v>
      </c>
      <c r="DF601">
        <v>0.1</v>
      </c>
      <c r="DG601">
        <v>0.1</v>
      </c>
      <c r="DH601">
        <v>0.1</v>
      </c>
      <c r="DI601">
        <v>0.1</v>
      </c>
      <c r="DJ601">
        <v>0.1</v>
      </c>
      <c r="DK601">
        <v>0.1</v>
      </c>
      <c r="DL601">
        <v>0.1</v>
      </c>
      <c r="DM601">
        <v>0.1</v>
      </c>
      <c r="DN601">
        <v>0.1</v>
      </c>
      <c r="DO601">
        <v>0.1</v>
      </c>
      <c r="DP601">
        <v>0.1</v>
      </c>
      <c r="DQ601">
        <v>0.1</v>
      </c>
      <c r="DR601">
        <v>0.1</v>
      </c>
      <c r="DS601">
        <v>0.1</v>
      </c>
      <c r="DT601">
        <v>0.1</v>
      </c>
      <c r="DU601">
        <v>0.1</v>
      </c>
      <c r="DV601">
        <v>0.1</v>
      </c>
      <c r="DW601">
        <v>0.1</v>
      </c>
      <c r="DX601">
        <v>0.1</v>
      </c>
      <c r="DY601">
        <v>0.1</v>
      </c>
      <c r="DZ601">
        <v>0.1</v>
      </c>
      <c r="EA601">
        <v>0.1</v>
      </c>
      <c r="EB601">
        <v>0.1</v>
      </c>
      <c r="EC601">
        <v>0.1</v>
      </c>
      <c r="ED601">
        <v>0.1</v>
      </c>
      <c r="EE601">
        <v>0.1</v>
      </c>
      <c r="EF601">
        <v>0.1</v>
      </c>
    </row>
    <row r="602" spans="71:136" x14ac:dyDescent="0.25">
      <c r="BS602">
        <v>599</v>
      </c>
      <c r="BY602">
        <v>0.1</v>
      </c>
      <c r="BZ602">
        <v>0.1</v>
      </c>
      <c r="CA602">
        <v>0.1</v>
      </c>
      <c r="CB602">
        <v>0.1</v>
      </c>
      <c r="CC602">
        <v>0.1</v>
      </c>
      <c r="CD602">
        <v>0.1</v>
      </c>
      <c r="CE602">
        <v>0.1</v>
      </c>
      <c r="CF602">
        <v>0.1</v>
      </c>
      <c r="CG602">
        <v>0.1</v>
      </c>
      <c r="CH602">
        <v>0.1</v>
      </c>
      <c r="CI602">
        <v>0.1</v>
      </c>
      <c r="CJ602">
        <v>0.1</v>
      </c>
      <c r="CK602">
        <v>0.1</v>
      </c>
      <c r="CL602">
        <v>0.1</v>
      </c>
      <c r="CM602">
        <v>0.1</v>
      </c>
      <c r="CN602">
        <v>0.1</v>
      </c>
      <c r="CO602">
        <v>0.1</v>
      </c>
      <c r="CP602">
        <v>0.1</v>
      </c>
      <c r="CQ602">
        <v>0.1</v>
      </c>
      <c r="CR602">
        <v>0.1</v>
      </c>
      <c r="CS602">
        <v>0.1</v>
      </c>
      <c r="CT602">
        <v>0.1</v>
      </c>
      <c r="CU602">
        <v>0.1</v>
      </c>
      <c r="CV602">
        <v>0.1</v>
      </c>
      <c r="CW602">
        <v>0.1</v>
      </c>
      <c r="CX602">
        <v>0.1</v>
      </c>
      <c r="CY602">
        <v>0.1</v>
      </c>
      <c r="CZ602">
        <v>0.1</v>
      </c>
      <c r="DA602">
        <v>0.1</v>
      </c>
      <c r="DB602">
        <v>0.1</v>
      </c>
      <c r="DC602">
        <v>0.1</v>
      </c>
      <c r="DD602">
        <v>0.1</v>
      </c>
      <c r="DE602">
        <v>0.1</v>
      </c>
      <c r="DF602">
        <v>0.1</v>
      </c>
      <c r="DG602">
        <v>0.1</v>
      </c>
      <c r="DH602">
        <v>0.1</v>
      </c>
      <c r="DI602">
        <v>0.1</v>
      </c>
      <c r="DJ602">
        <v>0.1</v>
      </c>
      <c r="DK602">
        <v>0.1</v>
      </c>
      <c r="DL602">
        <v>0.1</v>
      </c>
      <c r="DM602">
        <v>0.1</v>
      </c>
      <c r="DN602">
        <v>0.1</v>
      </c>
      <c r="DO602">
        <v>0.1</v>
      </c>
      <c r="DP602">
        <v>0.1</v>
      </c>
      <c r="DQ602">
        <v>0.1</v>
      </c>
      <c r="DR602">
        <v>0.1</v>
      </c>
      <c r="DS602">
        <v>0.1</v>
      </c>
      <c r="DT602">
        <v>0.1</v>
      </c>
      <c r="DU602">
        <v>0.1</v>
      </c>
      <c r="DV602">
        <v>0.1</v>
      </c>
      <c r="DW602">
        <v>0.1</v>
      </c>
      <c r="DX602">
        <v>0.1</v>
      </c>
      <c r="DY602">
        <v>0.1</v>
      </c>
      <c r="DZ602">
        <v>0.1</v>
      </c>
      <c r="EA602">
        <v>0.1</v>
      </c>
      <c r="EB602">
        <v>0.1</v>
      </c>
      <c r="EC602">
        <v>0.1</v>
      </c>
      <c r="ED602">
        <v>0.1</v>
      </c>
      <c r="EE602">
        <v>0.1</v>
      </c>
      <c r="EF602">
        <v>0.1</v>
      </c>
    </row>
    <row r="603" spans="71:136" x14ac:dyDescent="0.25">
      <c r="BS603">
        <v>600</v>
      </c>
      <c r="BY603">
        <v>0.1</v>
      </c>
      <c r="BZ603">
        <v>0.1</v>
      </c>
      <c r="CA603">
        <v>0.1</v>
      </c>
      <c r="CB603">
        <v>0.1</v>
      </c>
      <c r="CC603">
        <v>0.1</v>
      </c>
      <c r="CD603">
        <v>0.1</v>
      </c>
      <c r="CE603">
        <v>0.1</v>
      </c>
      <c r="CF603">
        <v>0.1</v>
      </c>
      <c r="CG603">
        <v>0.1</v>
      </c>
      <c r="CH603">
        <v>0.1</v>
      </c>
      <c r="CI603">
        <v>0.1</v>
      </c>
      <c r="CJ603">
        <v>0.1</v>
      </c>
      <c r="CK603">
        <v>0.1</v>
      </c>
      <c r="CL603">
        <v>0.1</v>
      </c>
      <c r="CM603">
        <v>0.1</v>
      </c>
      <c r="CN603">
        <v>0.1</v>
      </c>
      <c r="CO603">
        <v>0.1</v>
      </c>
      <c r="CP603">
        <v>0.1</v>
      </c>
      <c r="CQ603">
        <v>0.1</v>
      </c>
      <c r="CR603">
        <v>0.1</v>
      </c>
      <c r="CS603">
        <v>0.1</v>
      </c>
      <c r="CT603">
        <v>0.1</v>
      </c>
      <c r="CU603">
        <v>0.1</v>
      </c>
      <c r="CV603">
        <v>0.1</v>
      </c>
      <c r="CW603">
        <v>0.1</v>
      </c>
      <c r="CX603">
        <v>0.1</v>
      </c>
      <c r="CY603">
        <v>0.1</v>
      </c>
      <c r="CZ603">
        <v>0.1</v>
      </c>
      <c r="DA603">
        <v>0.1</v>
      </c>
      <c r="DB603">
        <v>0.1</v>
      </c>
      <c r="DC603">
        <v>0.1</v>
      </c>
      <c r="DD603">
        <v>0.1</v>
      </c>
      <c r="DE603">
        <v>0.1</v>
      </c>
      <c r="DF603">
        <v>0.1</v>
      </c>
      <c r="DG603">
        <v>0.1</v>
      </c>
      <c r="DH603">
        <v>0.1</v>
      </c>
      <c r="DI603">
        <v>0.1</v>
      </c>
      <c r="DJ603">
        <v>0.1</v>
      </c>
      <c r="DK603">
        <v>0.1</v>
      </c>
      <c r="DL603">
        <v>0.1</v>
      </c>
      <c r="DM603">
        <v>0.1</v>
      </c>
      <c r="DN603">
        <v>0.1</v>
      </c>
      <c r="DO603">
        <v>0.1</v>
      </c>
      <c r="DP603">
        <v>0.1</v>
      </c>
      <c r="DQ603">
        <v>0.1</v>
      </c>
      <c r="DR603">
        <v>0.1</v>
      </c>
      <c r="DS603">
        <v>0.1</v>
      </c>
      <c r="DT603">
        <v>0.1</v>
      </c>
      <c r="DU603">
        <v>0.1</v>
      </c>
      <c r="DV603">
        <v>0.1</v>
      </c>
      <c r="DW603">
        <v>0.1</v>
      </c>
      <c r="DX603">
        <v>0.1</v>
      </c>
      <c r="DY603">
        <v>0.1</v>
      </c>
      <c r="DZ603">
        <v>0.1</v>
      </c>
      <c r="EA603">
        <v>0.1</v>
      </c>
      <c r="EB603">
        <v>0.1</v>
      </c>
      <c r="EC603">
        <v>0.1</v>
      </c>
      <c r="ED603">
        <v>0.1</v>
      </c>
      <c r="EE603">
        <v>0.1</v>
      </c>
      <c r="EF603">
        <v>0.1</v>
      </c>
    </row>
    <row r="604" spans="71:136" x14ac:dyDescent="0.25">
      <c r="BS604">
        <v>601</v>
      </c>
      <c r="BY604">
        <v>0.1</v>
      </c>
      <c r="BZ604">
        <v>0.1</v>
      </c>
      <c r="CA604">
        <v>0.1</v>
      </c>
      <c r="CB604">
        <v>0.1</v>
      </c>
      <c r="CC604">
        <v>0.1</v>
      </c>
      <c r="CD604">
        <v>0.1</v>
      </c>
      <c r="CE604">
        <v>0.1</v>
      </c>
      <c r="CF604">
        <v>0.1</v>
      </c>
      <c r="CG604">
        <v>0.1</v>
      </c>
      <c r="CH604">
        <v>0.1</v>
      </c>
      <c r="CI604">
        <v>0.1</v>
      </c>
      <c r="CJ604">
        <v>0.1</v>
      </c>
      <c r="CK604">
        <v>0.1</v>
      </c>
      <c r="CL604">
        <v>0.1</v>
      </c>
      <c r="CM604">
        <v>0.1</v>
      </c>
      <c r="CN604">
        <v>0.1</v>
      </c>
      <c r="CO604">
        <v>0.1</v>
      </c>
      <c r="CP604">
        <v>0.1</v>
      </c>
      <c r="CQ604">
        <v>0.1</v>
      </c>
      <c r="CR604">
        <v>0.1</v>
      </c>
      <c r="CS604">
        <v>0.1</v>
      </c>
      <c r="CT604">
        <v>0.1</v>
      </c>
      <c r="CU604">
        <v>0.1</v>
      </c>
      <c r="CV604">
        <v>0.1</v>
      </c>
      <c r="CW604">
        <v>0.1</v>
      </c>
      <c r="CX604">
        <v>0.1</v>
      </c>
      <c r="CY604">
        <v>0.1</v>
      </c>
      <c r="CZ604">
        <v>0.1</v>
      </c>
      <c r="DA604">
        <v>0.1</v>
      </c>
      <c r="DB604">
        <v>0.1</v>
      </c>
      <c r="DC604">
        <v>0.1</v>
      </c>
      <c r="DD604">
        <v>0.1</v>
      </c>
      <c r="DE604">
        <v>0.1</v>
      </c>
      <c r="DF604">
        <v>0.1</v>
      </c>
      <c r="DG604">
        <v>0.1</v>
      </c>
      <c r="DH604">
        <v>0.1</v>
      </c>
      <c r="DI604">
        <v>0.1</v>
      </c>
      <c r="DJ604">
        <v>0.1</v>
      </c>
      <c r="DK604">
        <v>0.1</v>
      </c>
      <c r="DL604">
        <v>0.1</v>
      </c>
      <c r="DM604">
        <v>0.1</v>
      </c>
      <c r="DN604">
        <v>0.1</v>
      </c>
      <c r="DO604">
        <v>0.1</v>
      </c>
      <c r="DP604">
        <v>0.1</v>
      </c>
      <c r="DQ604">
        <v>0.1</v>
      </c>
      <c r="DR604">
        <v>0.1</v>
      </c>
      <c r="DS604">
        <v>0.1</v>
      </c>
      <c r="DT604">
        <v>0.1</v>
      </c>
      <c r="DU604">
        <v>0.1</v>
      </c>
      <c r="DV604">
        <v>0.1</v>
      </c>
      <c r="DW604">
        <v>0.1</v>
      </c>
      <c r="DX604">
        <v>0.1</v>
      </c>
      <c r="DY604">
        <v>0.1</v>
      </c>
      <c r="DZ604">
        <v>0.1</v>
      </c>
      <c r="EA604">
        <v>0.1</v>
      </c>
      <c r="EB604">
        <v>0.1</v>
      </c>
      <c r="EC604">
        <v>0.1</v>
      </c>
      <c r="ED604">
        <v>0.1</v>
      </c>
      <c r="EE604">
        <v>0.1</v>
      </c>
      <c r="EF604">
        <v>0.1</v>
      </c>
    </row>
    <row r="605" spans="71:136" x14ac:dyDescent="0.25">
      <c r="BS605">
        <v>602</v>
      </c>
      <c r="BY605">
        <v>0.1</v>
      </c>
      <c r="BZ605">
        <v>0.1</v>
      </c>
      <c r="CA605">
        <v>0.1</v>
      </c>
      <c r="CB605">
        <v>0.1</v>
      </c>
      <c r="CC605">
        <v>0.1</v>
      </c>
      <c r="CD605">
        <v>0.1</v>
      </c>
      <c r="CE605">
        <v>0.1</v>
      </c>
      <c r="CF605">
        <v>0.1</v>
      </c>
      <c r="CG605">
        <v>0.1</v>
      </c>
      <c r="CH605">
        <v>0.1</v>
      </c>
      <c r="CI605">
        <v>0.1</v>
      </c>
      <c r="CJ605">
        <v>0.1</v>
      </c>
      <c r="CK605">
        <v>0.1</v>
      </c>
      <c r="CL605">
        <v>0.1</v>
      </c>
      <c r="CM605">
        <v>0.1</v>
      </c>
      <c r="CN605">
        <v>0.1</v>
      </c>
      <c r="CO605">
        <v>0.1</v>
      </c>
      <c r="CP605">
        <v>0.1</v>
      </c>
      <c r="CQ605">
        <v>0.1</v>
      </c>
      <c r="CR605">
        <v>0.1</v>
      </c>
      <c r="CS605">
        <v>0.1</v>
      </c>
      <c r="CT605">
        <v>0.1</v>
      </c>
      <c r="CU605">
        <v>0.1</v>
      </c>
      <c r="CV605">
        <v>0.1</v>
      </c>
      <c r="CW605">
        <v>0.1</v>
      </c>
      <c r="CX605">
        <v>0.1</v>
      </c>
      <c r="CY605">
        <v>0.1</v>
      </c>
      <c r="CZ605">
        <v>0.1</v>
      </c>
      <c r="DA605">
        <v>0.1</v>
      </c>
      <c r="DB605">
        <v>0.1</v>
      </c>
      <c r="DC605">
        <v>0.1</v>
      </c>
      <c r="DD605">
        <v>0.1</v>
      </c>
      <c r="DE605">
        <v>0.1</v>
      </c>
      <c r="DF605">
        <v>0.1</v>
      </c>
      <c r="DG605">
        <v>0.1</v>
      </c>
      <c r="DH605">
        <v>0.1</v>
      </c>
      <c r="DI605">
        <v>0.1</v>
      </c>
      <c r="DJ605">
        <v>0.1</v>
      </c>
      <c r="DK605">
        <v>0.1</v>
      </c>
      <c r="DL605">
        <v>0.1</v>
      </c>
      <c r="DM605">
        <v>0.1</v>
      </c>
      <c r="DN605">
        <v>0.1</v>
      </c>
      <c r="DO605">
        <v>0.1</v>
      </c>
      <c r="DP605">
        <v>0.1</v>
      </c>
      <c r="DQ605">
        <v>0.1</v>
      </c>
      <c r="DR605">
        <v>0.1</v>
      </c>
      <c r="DS605">
        <v>0.1</v>
      </c>
      <c r="DT605">
        <v>0.1</v>
      </c>
      <c r="DU605">
        <v>0.1</v>
      </c>
      <c r="DV605">
        <v>0.1</v>
      </c>
      <c r="DW605">
        <v>0.1</v>
      </c>
      <c r="DX605">
        <v>0.1</v>
      </c>
      <c r="DY605">
        <v>0.1</v>
      </c>
      <c r="DZ605">
        <v>0.1</v>
      </c>
      <c r="EA605">
        <v>0.1</v>
      </c>
      <c r="EB605">
        <v>0.1</v>
      </c>
      <c r="EC605">
        <v>0.1</v>
      </c>
      <c r="ED605">
        <v>0.1</v>
      </c>
      <c r="EE605">
        <v>0.1</v>
      </c>
      <c r="EF605">
        <v>0.1</v>
      </c>
    </row>
    <row r="606" spans="71:136" x14ac:dyDescent="0.25">
      <c r="BS606">
        <v>603</v>
      </c>
      <c r="BY606">
        <v>0.1</v>
      </c>
      <c r="BZ606">
        <v>0.1</v>
      </c>
      <c r="CA606">
        <v>0.1</v>
      </c>
      <c r="CB606">
        <v>0.1</v>
      </c>
      <c r="CC606">
        <v>0.1</v>
      </c>
      <c r="CD606">
        <v>0.1</v>
      </c>
      <c r="CE606">
        <v>0.1</v>
      </c>
      <c r="CF606">
        <v>0.1</v>
      </c>
      <c r="CG606">
        <v>0.1</v>
      </c>
      <c r="CH606">
        <v>0.1</v>
      </c>
      <c r="CI606">
        <v>0.1</v>
      </c>
      <c r="CJ606">
        <v>0.1</v>
      </c>
      <c r="CK606">
        <v>0.1</v>
      </c>
      <c r="CL606">
        <v>0.1</v>
      </c>
      <c r="CM606">
        <v>0.1</v>
      </c>
      <c r="CN606">
        <v>0.1</v>
      </c>
      <c r="CO606">
        <v>0.1</v>
      </c>
      <c r="CP606">
        <v>0.1</v>
      </c>
      <c r="CQ606">
        <v>0.1</v>
      </c>
      <c r="CR606">
        <v>0.1</v>
      </c>
      <c r="CS606">
        <v>0.1</v>
      </c>
      <c r="CT606">
        <v>0.1</v>
      </c>
      <c r="CU606">
        <v>0.1</v>
      </c>
      <c r="CV606">
        <v>0.1</v>
      </c>
      <c r="CW606">
        <v>0.1</v>
      </c>
      <c r="CX606">
        <v>0.1</v>
      </c>
      <c r="CY606">
        <v>0.1</v>
      </c>
      <c r="CZ606">
        <v>0.1</v>
      </c>
      <c r="DA606">
        <v>0.1</v>
      </c>
      <c r="DB606">
        <v>0.1</v>
      </c>
      <c r="DC606">
        <v>0.1</v>
      </c>
      <c r="DD606">
        <v>0.1</v>
      </c>
      <c r="DE606">
        <v>0.1</v>
      </c>
      <c r="DF606">
        <v>0.1</v>
      </c>
      <c r="DG606">
        <v>0.1</v>
      </c>
      <c r="DH606">
        <v>0.1</v>
      </c>
      <c r="DI606">
        <v>0.1</v>
      </c>
      <c r="DJ606">
        <v>0.1</v>
      </c>
      <c r="DK606">
        <v>0.1</v>
      </c>
      <c r="DL606">
        <v>0.1</v>
      </c>
      <c r="DM606">
        <v>0.1</v>
      </c>
      <c r="DN606">
        <v>0.1</v>
      </c>
      <c r="DO606">
        <v>0.1</v>
      </c>
      <c r="DP606">
        <v>0.1</v>
      </c>
      <c r="DQ606">
        <v>0.1</v>
      </c>
      <c r="DR606">
        <v>0.1</v>
      </c>
      <c r="DS606">
        <v>0.1</v>
      </c>
      <c r="DT606">
        <v>0.1</v>
      </c>
      <c r="DU606">
        <v>0.1</v>
      </c>
      <c r="DV606">
        <v>0.1</v>
      </c>
      <c r="DW606">
        <v>0.1</v>
      </c>
      <c r="DX606">
        <v>0.1</v>
      </c>
      <c r="DY606">
        <v>0.1</v>
      </c>
      <c r="DZ606">
        <v>0.1</v>
      </c>
      <c r="EA606">
        <v>0.1</v>
      </c>
      <c r="EB606">
        <v>0.1</v>
      </c>
      <c r="EC606">
        <v>0.1</v>
      </c>
      <c r="ED606">
        <v>0.1</v>
      </c>
      <c r="EE606">
        <v>0.1</v>
      </c>
      <c r="EF606">
        <v>0.1</v>
      </c>
    </row>
    <row r="607" spans="71:136" x14ac:dyDescent="0.25">
      <c r="BS607">
        <v>604</v>
      </c>
      <c r="BY607">
        <v>0.1</v>
      </c>
      <c r="BZ607">
        <v>0.1</v>
      </c>
      <c r="CA607">
        <v>0.1</v>
      </c>
      <c r="CB607">
        <v>0.1</v>
      </c>
      <c r="CC607">
        <v>0.1</v>
      </c>
      <c r="CD607">
        <v>0.1</v>
      </c>
      <c r="CE607">
        <v>0.1</v>
      </c>
      <c r="CF607">
        <v>0.1</v>
      </c>
      <c r="CG607">
        <v>0.1</v>
      </c>
      <c r="CH607">
        <v>0.1</v>
      </c>
      <c r="CI607">
        <v>0.1</v>
      </c>
      <c r="CJ607">
        <v>0.1</v>
      </c>
      <c r="CK607">
        <v>0.1</v>
      </c>
      <c r="CL607">
        <v>0.1</v>
      </c>
      <c r="CM607">
        <v>0.1</v>
      </c>
      <c r="CN607">
        <v>0.1</v>
      </c>
      <c r="CO607">
        <v>0.1</v>
      </c>
      <c r="CP607">
        <v>0.1</v>
      </c>
      <c r="CQ607">
        <v>0.1</v>
      </c>
      <c r="CR607">
        <v>0.1</v>
      </c>
      <c r="CS607">
        <v>0.1</v>
      </c>
      <c r="CT607">
        <v>0.1</v>
      </c>
      <c r="CU607">
        <v>0.1</v>
      </c>
      <c r="CV607">
        <v>0.1</v>
      </c>
      <c r="CW607">
        <v>0.1</v>
      </c>
      <c r="CX607">
        <v>0.1</v>
      </c>
      <c r="CY607">
        <v>0.1</v>
      </c>
      <c r="CZ607">
        <v>0.1</v>
      </c>
      <c r="DA607">
        <v>0.1</v>
      </c>
      <c r="DB607">
        <v>0.1</v>
      </c>
      <c r="DC607">
        <v>0.1</v>
      </c>
      <c r="DD607">
        <v>0.1</v>
      </c>
      <c r="DE607">
        <v>0.1</v>
      </c>
      <c r="DF607">
        <v>0.1</v>
      </c>
      <c r="DG607">
        <v>0.1</v>
      </c>
      <c r="DH607">
        <v>0.1</v>
      </c>
      <c r="DI607">
        <v>0.1</v>
      </c>
      <c r="DJ607">
        <v>0.1</v>
      </c>
      <c r="DK607">
        <v>0.1</v>
      </c>
      <c r="DL607">
        <v>0.1</v>
      </c>
      <c r="DM607">
        <v>0.1</v>
      </c>
      <c r="DN607">
        <v>0.1</v>
      </c>
      <c r="DO607">
        <v>0.1</v>
      </c>
      <c r="DP607">
        <v>0.1</v>
      </c>
      <c r="DQ607">
        <v>0.1</v>
      </c>
      <c r="DR607">
        <v>0.1</v>
      </c>
      <c r="DS607">
        <v>0.1</v>
      </c>
      <c r="DT607">
        <v>0.1</v>
      </c>
      <c r="DU607">
        <v>0.1</v>
      </c>
      <c r="DV607">
        <v>0.1</v>
      </c>
      <c r="DW607">
        <v>0.1</v>
      </c>
      <c r="DX607">
        <v>0.1</v>
      </c>
      <c r="DY607">
        <v>0.1</v>
      </c>
      <c r="DZ607">
        <v>0.1</v>
      </c>
      <c r="EA607">
        <v>0.1</v>
      </c>
      <c r="EB607">
        <v>0.1</v>
      </c>
      <c r="EC607">
        <v>0.1</v>
      </c>
      <c r="ED607">
        <v>0.1</v>
      </c>
      <c r="EE607">
        <v>0.1</v>
      </c>
      <c r="EF607">
        <v>0.1</v>
      </c>
    </row>
    <row r="608" spans="71:136" x14ac:dyDescent="0.25">
      <c r="BS608">
        <v>605</v>
      </c>
      <c r="BY608">
        <v>0.1</v>
      </c>
      <c r="BZ608">
        <v>0.1</v>
      </c>
      <c r="CA608">
        <v>0.1</v>
      </c>
      <c r="CB608">
        <v>0.1</v>
      </c>
      <c r="CC608">
        <v>0.1</v>
      </c>
      <c r="CD608">
        <v>0.1</v>
      </c>
      <c r="CE608">
        <v>0.1</v>
      </c>
      <c r="CF608">
        <v>0.1</v>
      </c>
      <c r="CG608">
        <v>0.1</v>
      </c>
      <c r="CH608">
        <v>0.1</v>
      </c>
      <c r="CI608">
        <v>0.1</v>
      </c>
      <c r="CJ608">
        <v>0.1</v>
      </c>
      <c r="CK608">
        <v>0.1</v>
      </c>
      <c r="CL608">
        <v>0.1</v>
      </c>
      <c r="CM608">
        <v>0.1</v>
      </c>
      <c r="CN608">
        <v>0.1</v>
      </c>
      <c r="CO608">
        <v>0.1</v>
      </c>
      <c r="CP608">
        <v>0.1</v>
      </c>
      <c r="CQ608">
        <v>0.1</v>
      </c>
      <c r="CR608">
        <v>0.1</v>
      </c>
      <c r="CS608">
        <v>0.1</v>
      </c>
      <c r="CT608">
        <v>0.1</v>
      </c>
      <c r="CU608">
        <v>0.1</v>
      </c>
      <c r="CV608">
        <v>0.1</v>
      </c>
      <c r="CW608">
        <v>0.1</v>
      </c>
      <c r="CX608">
        <v>0.1</v>
      </c>
      <c r="CY608">
        <v>0.1</v>
      </c>
      <c r="CZ608">
        <v>0.1</v>
      </c>
      <c r="DA608">
        <v>0.1</v>
      </c>
      <c r="DB608">
        <v>0.1</v>
      </c>
      <c r="DC608">
        <v>0.1</v>
      </c>
      <c r="DD608">
        <v>0.1</v>
      </c>
      <c r="DE608">
        <v>0.1</v>
      </c>
      <c r="DF608">
        <v>0.1</v>
      </c>
      <c r="DG608">
        <v>0.1</v>
      </c>
      <c r="DH608">
        <v>0.1</v>
      </c>
      <c r="DI608">
        <v>0.1</v>
      </c>
      <c r="DJ608">
        <v>0.1</v>
      </c>
      <c r="DK608">
        <v>0.1</v>
      </c>
      <c r="DL608">
        <v>0.1</v>
      </c>
      <c r="DM608">
        <v>0.1</v>
      </c>
      <c r="DN608">
        <v>0.1</v>
      </c>
      <c r="DO608">
        <v>0.1</v>
      </c>
      <c r="DP608">
        <v>0.1</v>
      </c>
      <c r="DQ608">
        <v>0.1</v>
      </c>
      <c r="DR608">
        <v>0.1</v>
      </c>
      <c r="DS608">
        <v>0.1</v>
      </c>
      <c r="DT608">
        <v>0.1</v>
      </c>
      <c r="DU608">
        <v>0.1</v>
      </c>
      <c r="DV608">
        <v>0.1</v>
      </c>
      <c r="DW608">
        <v>0.1</v>
      </c>
      <c r="DX608">
        <v>0.1</v>
      </c>
      <c r="DY608">
        <v>0.1</v>
      </c>
      <c r="DZ608">
        <v>0.1</v>
      </c>
      <c r="EA608">
        <v>0.1</v>
      </c>
      <c r="EB608">
        <v>0.1</v>
      </c>
      <c r="EC608">
        <v>0.1</v>
      </c>
      <c r="ED608">
        <v>0.1</v>
      </c>
      <c r="EE608">
        <v>0.1</v>
      </c>
      <c r="EF608">
        <v>0.1</v>
      </c>
    </row>
    <row r="609" spans="71:136" x14ac:dyDescent="0.25">
      <c r="BS609">
        <v>606</v>
      </c>
      <c r="BY609">
        <v>0.1</v>
      </c>
      <c r="BZ609">
        <v>0.1</v>
      </c>
      <c r="CA609">
        <v>0.1</v>
      </c>
      <c r="CB609">
        <v>0.1</v>
      </c>
      <c r="CC609">
        <v>0.1</v>
      </c>
      <c r="CD609">
        <v>0.1</v>
      </c>
      <c r="CE609">
        <v>0.1</v>
      </c>
      <c r="CF609">
        <v>0.1</v>
      </c>
      <c r="CG609">
        <v>0.1</v>
      </c>
      <c r="CH609">
        <v>0.1</v>
      </c>
      <c r="CI609">
        <v>0.1</v>
      </c>
      <c r="CJ609">
        <v>0.1</v>
      </c>
      <c r="CK609">
        <v>0.1</v>
      </c>
      <c r="CL609">
        <v>0.1</v>
      </c>
      <c r="CM609">
        <v>0.1</v>
      </c>
      <c r="CN609">
        <v>0.1</v>
      </c>
      <c r="CO609">
        <v>0.1</v>
      </c>
      <c r="CP609">
        <v>0.1</v>
      </c>
      <c r="CQ609">
        <v>0.1</v>
      </c>
      <c r="CR609">
        <v>0.1</v>
      </c>
      <c r="CS609">
        <v>0.1</v>
      </c>
      <c r="CT609">
        <v>0.1</v>
      </c>
      <c r="CU609">
        <v>0.1</v>
      </c>
      <c r="CV609">
        <v>0.1</v>
      </c>
      <c r="CW609">
        <v>0.1</v>
      </c>
      <c r="CX609">
        <v>0.1</v>
      </c>
      <c r="CY609">
        <v>0.1</v>
      </c>
      <c r="CZ609">
        <v>0.1</v>
      </c>
      <c r="DA609">
        <v>0.1</v>
      </c>
      <c r="DB609">
        <v>0.1</v>
      </c>
      <c r="DC609">
        <v>0.1</v>
      </c>
      <c r="DD609">
        <v>0.1</v>
      </c>
      <c r="DE609">
        <v>0.1</v>
      </c>
      <c r="DF609">
        <v>0.1</v>
      </c>
      <c r="DG609">
        <v>0.1</v>
      </c>
      <c r="DH609">
        <v>0.1</v>
      </c>
      <c r="DI609">
        <v>0.1</v>
      </c>
      <c r="DJ609">
        <v>0.1</v>
      </c>
      <c r="DK609">
        <v>0.1</v>
      </c>
      <c r="DL609">
        <v>0.1</v>
      </c>
      <c r="DM609">
        <v>0.1</v>
      </c>
      <c r="DN609">
        <v>0.1</v>
      </c>
      <c r="DO609">
        <v>0.1</v>
      </c>
      <c r="DP609">
        <v>0.1</v>
      </c>
      <c r="DQ609">
        <v>0.1</v>
      </c>
      <c r="DR609">
        <v>0.1</v>
      </c>
      <c r="DS609">
        <v>0.1</v>
      </c>
      <c r="DT609">
        <v>0.1</v>
      </c>
      <c r="DU609">
        <v>0.1</v>
      </c>
      <c r="DV609">
        <v>0.1</v>
      </c>
      <c r="DW609">
        <v>0.1</v>
      </c>
      <c r="DX609">
        <v>0.1</v>
      </c>
      <c r="DY609">
        <v>0.1</v>
      </c>
      <c r="DZ609">
        <v>0.1</v>
      </c>
      <c r="EA609">
        <v>0.1</v>
      </c>
      <c r="EB609">
        <v>0.1</v>
      </c>
      <c r="EC609">
        <v>0.1</v>
      </c>
      <c r="ED609">
        <v>0.1</v>
      </c>
      <c r="EE609">
        <v>0.1</v>
      </c>
      <c r="EF609">
        <v>0.1</v>
      </c>
    </row>
    <row r="610" spans="71:136" x14ac:dyDescent="0.25">
      <c r="BS610">
        <v>607</v>
      </c>
      <c r="BY610">
        <v>0.1</v>
      </c>
      <c r="BZ610">
        <v>0.1</v>
      </c>
      <c r="CA610">
        <v>0.1</v>
      </c>
      <c r="CB610">
        <v>0.1</v>
      </c>
      <c r="CC610">
        <v>0.1</v>
      </c>
      <c r="CD610">
        <v>0.1</v>
      </c>
      <c r="CE610">
        <v>0.1</v>
      </c>
      <c r="CF610">
        <v>0.1</v>
      </c>
      <c r="CG610">
        <v>0.1</v>
      </c>
      <c r="CH610">
        <v>0.1</v>
      </c>
      <c r="CI610">
        <v>0.1</v>
      </c>
      <c r="CJ610">
        <v>0.1</v>
      </c>
      <c r="CK610">
        <v>0.1</v>
      </c>
      <c r="CL610">
        <v>0.1</v>
      </c>
      <c r="CM610">
        <v>0.1</v>
      </c>
      <c r="CN610">
        <v>0.1</v>
      </c>
      <c r="CO610">
        <v>0.1</v>
      </c>
      <c r="CP610">
        <v>0.1</v>
      </c>
      <c r="CQ610">
        <v>0.1</v>
      </c>
      <c r="CR610">
        <v>0.1</v>
      </c>
      <c r="CS610">
        <v>0.1</v>
      </c>
      <c r="CT610">
        <v>0.1</v>
      </c>
      <c r="CU610">
        <v>0.1</v>
      </c>
      <c r="CV610">
        <v>0.1</v>
      </c>
      <c r="CW610">
        <v>0.1</v>
      </c>
      <c r="CX610">
        <v>0.1</v>
      </c>
      <c r="CY610">
        <v>0.1</v>
      </c>
      <c r="CZ610">
        <v>0.1</v>
      </c>
      <c r="DA610">
        <v>0.1</v>
      </c>
      <c r="DB610">
        <v>0.1</v>
      </c>
      <c r="DC610">
        <v>0.1</v>
      </c>
      <c r="DD610">
        <v>0.1</v>
      </c>
      <c r="DE610">
        <v>0.1</v>
      </c>
      <c r="DF610">
        <v>0.1</v>
      </c>
      <c r="DG610">
        <v>0.1</v>
      </c>
      <c r="DH610">
        <v>0.1</v>
      </c>
      <c r="DI610">
        <v>0.1</v>
      </c>
      <c r="DJ610">
        <v>0.1</v>
      </c>
      <c r="DK610">
        <v>0.1</v>
      </c>
      <c r="DL610">
        <v>0.1</v>
      </c>
      <c r="DM610">
        <v>0.1</v>
      </c>
      <c r="DN610">
        <v>0.1</v>
      </c>
      <c r="DO610">
        <v>0.1</v>
      </c>
      <c r="DP610">
        <v>0.1</v>
      </c>
      <c r="DQ610">
        <v>0.1</v>
      </c>
      <c r="DR610">
        <v>0.1</v>
      </c>
      <c r="DS610">
        <v>0.1</v>
      </c>
      <c r="DT610">
        <v>0.1</v>
      </c>
      <c r="DU610">
        <v>0.1</v>
      </c>
      <c r="DV610">
        <v>0.1</v>
      </c>
      <c r="DW610">
        <v>0.1</v>
      </c>
      <c r="DX610">
        <v>0.1</v>
      </c>
      <c r="DY610">
        <v>0.1</v>
      </c>
      <c r="DZ610">
        <v>0.1</v>
      </c>
      <c r="EA610">
        <v>0.1</v>
      </c>
      <c r="EB610">
        <v>0.1</v>
      </c>
      <c r="EC610">
        <v>0.1</v>
      </c>
      <c r="ED610">
        <v>0.1</v>
      </c>
      <c r="EE610">
        <v>0.1</v>
      </c>
      <c r="EF610">
        <v>0.1</v>
      </c>
    </row>
    <row r="611" spans="71:136" x14ac:dyDescent="0.25">
      <c r="BS611">
        <v>608</v>
      </c>
      <c r="BY611">
        <v>0.1</v>
      </c>
      <c r="BZ611">
        <v>0.1</v>
      </c>
      <c r="CA611">
        <v>0.1</v>
      </c>
      <c r="CB611">
        <v>0.1</v>
      </c>
      <c r="CC611">
        <v>0.1</v>
      </c>
      <c r="CD611">
        <v>0.1</v>
      </c>
      <c r="CE611">
        <v>0.1</v>
      </c>
      <c r="CF611">
        <v>0.1</v>
      </c>
      <c r="CG611">
        <v>0.1</v>
      </c>
      <c r="CH611">
        <v>0.1</v>
      </c>
      <c r="CI611">
        <v>0.1</v>
      </c>
      <c r="CJ611">
        <v>0.1</v>
      </c>
      <c r="CK611">
        <v>0.1</v>
      </c>
      <c r="CL611">
        <v>0.1</v>
      </c>
      <c r="CM611">
        <v>0.1</v>
      </c>
      <c r="CN611">
        <v>0.1</v>
      </c>
      <c r="CO611">
        <v>0.1</v>
      </c>
      <c r="CP611">
        <v>0.1</v>
      </c>
      <c r="CQ611">
        <v>0.1</v>
      </c>
      <c r="CR611">
        <v>0.1</v>
      </c>
      <c r="CS611">
        <v>0.1</v>
      </c>
      <c r="CT611">
        <v>0.1</v>
      </c>
      <c r="CU611">
        <v>0.1</v>
      </c>
      <c r="CV611">
        <v>0.1</v>
      </c>
      <c r="CW611">
        <v>0.1</v>
      </c>
      <c r="CX611">
        <v>0.1</v>
      </c>
      <c r="CY611">
        <v>0.1</v>
      </c>
      <c r="CZ611">
        <v>0.1</v>
      </c>
      <c r="DA611">
        <v>0.1</v>
      </c>
      <c r="DB611">
        <v>0.1</v>
      </c>
      <c r="DC611">
        <v>0.1</v>
      </c>
      <c r="DD611">
        <v>0.1</v>
      </c>
      <c r="DE611">
        <v>0.1</v>
      </c>
      <c r="DF611">
        <v>0.1</v>
      </c>
      <c r="DG611">
        <v>0.1</v>
      </c>
      <c r="DH611">
        <v>0.1</v>
      </c>
      <c r="DI611">
        <v>0.1</v>
      </c>
      <c r="DJ611">
        <v>0.1</v>
      </c>
      <c r="DK611">
        <v>0.1</v>
      </c>
      <c r="DL611">
        <v>0.1</v>
      </c>
      <c r="DM611">
        <v>0.1</v>
      </c>
      <c r="DN611">
        <v>0.1</v>
      </c>
      <c r="DO611">
        <v>0.1</v>
      </c>
      <c r="DP611">
        <v>0.1</v>
      </c>
      <c r="DQ611">
        <v>0.1</v>
      </c>
      <c r="DR611">
        <v>0.1</v>
      </c>
      <c r="DS611">
        <v>0.1</v>
      </c>
      <c r="DT611">
        <v>0.1</v>
      </c>
      <c r="DU611">
        <v>0.1</v>
      </c>
      <c r="DV611">
        <v>0.1</v>
      </c>
      <c r="DW611">
        <v>0.1</v>
      </c>
      <c r="DX611">
        <v>0.1</v>
      </c>
      <c r="DY611">
        <v>0.1</v>
      </c>
      <c r="DZ611">
        <v>0.1</v>
      </c>
      <c r="EA611">
        <v>0.1</v>
      </c>
      <c r="EB611">
        <v>0.1</v>
      </c>
      <c r="EC611">
        <v>0.1</v>
      </c>
      <c r="ED611">
        <v>0.1</v>
      </c>
      <c r="EE611">
        <v>0.1</v>
      </c>
      <c r="EF611">
        <v>0.1</v>
      </c>
    </row>
    <row r="612" spans="71:136" x14ac:dyDescent="0.25">
      <c r="BS612">
        <v>609</v>
      </c>
      <c r="BY612">
        <v>0.1</v>
      </c>
      <c r="BZ612">
        <v>0.1</v>
      </c>
      <c r="CA612">
        <v>0.1</v>
      </c>
      <c r="CB612">
        <v>0.1</v>
      </c>
      <c r="CC612">
        <v>0.1</v>
      </c>
      <c r="CD612">
        <v>0.1</v>
      </c>
      <c r="CE612">
        <v>0.1</v>
      </c>
      <c r="CF612">
        <v>0.1</v>
      </c>
      <c r="CG612">
        <v>0.1</v>
      </c>
      <c r="CH612">
        <v>0.1</v>
      </c>
      <c r="CI612">
        <v>0.1</v>
      </c>
      <c r="CJ612">
        <v>0.1</v>
      </c>
      <c r="CK612">
        <v>0.1</v>
      </c>
      <c r="CL612">
        <v>0.1</v>
      </c>
      <c r="CM612">
        <v>0.1</v>
      </c>
      <c r="CN612">
        <v>0.1</v>
      </c>
      <c r="CO612">
        <v>0.1</v>
      </c>
      <c r="CP612">
        <v>0.1</v>
      </c>
      <c r="CQ612">
        <v>0.1</v>
      </c>
      <c r="CR612">
        <v>0.1</v>
      </c>
      <c r="CS612">
        <v>0.1</v>
      </c>
      <c r="CT612">
        <v>0.1</v>
      </c>
      <c r="CU612">
        <v>0.1</v>
      </c>
      <c r="CV612">
        <v>0.1</v>
      </c>
      <c r="CW612">
        <v>0.1</v>
      </c>
      <c r="CX612">
        <v>0.1</v>
      </c>
      <c r="CY612">
        <v>0.1</v>
      </c>
      <c r="CZ612">
        <v>0.1</v>
      </c>
      <c r="DA612">
        <v>0.1</v>
      </c>
      <c r="DB612">
        <v>0.1</v>
      </c>
      <c r="DC612">
        <v>0.1</v>
      </c>
      <c r="DD612">
        <v>0.1</v>
      </c>
      <c r="DE612">
        <v>0.1</v>
      </c>
      <c r="DF612">
        <v>0.1</v>
      </c>
      <c r="DG612">
        <v>0.1</v>
      </c>
      <c r="DH612">
        <v>0.1</v>
      </c>
      <c r="DI612">
        <v>0.1</v>
      </c>
      <c r="DJ612">
        <v>0.1</v>
      </c>
      <c r="DK612">
        <v>0.1</v>
      </c>
      <c r="DL612">
        <v>0.1</v>
      </c>
      <c r="DM612">
        <v>0.1</v>
      </c>
      <c r="DN612">
        <v>0.1</v>
      </c>
      <c r="DO612">
        <v>0.1</v>
      </c>
      <c r="DP612">
        <v>0.1</v>
      </c>
      <c r="DQ612">
        <v>0.1</v>
      </c>
      <c r="DR612">
        <v>0.1</v>
      </c>
      <c r="DS612">
        <v>0.1</v>
      </c>
      <c r="DT612">
        <v>0.1</v>
      </c>
      <c r="DU612">
        <v>0.1</v>
      </c>
      <c r="DV612">
        <v>0.1</v>
      </c>
      <c r="DW612">
        <v>0.1</v>
      </c>
      <c r="DX612">
        <v>0.1</v>
      </c>
      <c r="DY612">
        <v>0.1</v>
      </c>
      <c r="DZ612">
        <v>0.1</v>
      </c>
      <c r="EA612">
        <v>0.1</v>
      </c>
      <c r="EB612">
        <v>0.1</v>
      </c>
      <c r="EC612">
        <v>0.1</v>
      </c>
      <c r="ED612">
        <v>0.1</v>
      </c>
      <c r="EE612">
        <v>0.1</v>
      </c>
      <c r="EF612">
        <v>0.1</v>
      </c>
    </row>
    <row r="613" spans="71:136" x14ac:dyDescent="0.25">
      <c r="BS613">
        <v>610</v>
      </c>
      <c r="BY613">
        <v>0.1</v>
      </c>
      <c r="BZ613">
        <v>0.1</v>
      </c>
      <c r="CA613">
        <v>0.1</v>
      </c>
      <c r="CB613">
        <v>0.1</v>
      </c>
      <c r="CC613">
        <v>0.1</v>
      </c>
      <c r="CD613">
        <v>0.1</v>
      </c>
      <c r="CE613">
        <v>0.1</v>
      </c>
      <c r="CF613">
        <v>0.1</v>
      </c>
      <c r="CG613">
        <v>0.1</v>
      </c>
      <c r="CH613">
        <v>0.1</v>
      </c>
      <c r="CI613">
        <v>0.1</v>
      </c>
      <c r="CJ613">
        <v>0.1</v>
      </c>
      <c r="CK613">
        <v>0.1</v>
      </c>
      <c r="CL613">
        <v>0.1</v>
      </c>
      <c r="CM613">
        <v>0.1</v>
      </c>
      <c r="CN613">
        <v>0.1</v>
      </c>
      <c r="CO613">
        <v>0.1</v>
      </c>
      <c r="CP613">
        <v>0.1</v>
      </c>
      <c r="CQ613">
        <v>0.1</v>
      </c>
      <c r="CR613">
        <v>0.1</v>
      </c>
      <c r="CS613">
        <v>0.1</v>
      </c>
      <c r="CT613">
        <v>0.1</v>
      </c>
      <c r="CU613">
        <v>0.1</v>
      </c>
      <c r="CV613">
        <v>0.1</v>
      </c>
      <c r="CW613">
        <v>0.1</v>
      </c>
      <c r="CX613">
        <v>0.1</v>
      </c>
      <c r="CY613">
        <v>0.1</v>
      </c>
      <c r="CZ613">
        <v>0.1</v>
      </c>
      <c r="DA613">
        <v>0.1</v>
      </c>
      <c r="DB613">
        <v>0.1</v>
      </c>
      <c r="DC613">
        <v>0.1</v>
      </c>
      <c r="DD613">
        <v>0.1</v>
      </c>
      <c r="DE613">
        <v>0.1</v>
      </c>
      <c r="DF613">
        <v>0.1</v>
      </c>
      <c r="DG613">
        <v>0.1</v>
      </c>
      <c r="DH613">
        <v>0.1</v>
      </c>
      <c r="DI613">
        <v>0.1</v>
      </c>
      <c r="DJ613">
        <v>0.1</v>
      </c>
      <c r="DK613">
        <v>0.1</v>
      </c>
      <c r="DL613">
        <v>0.1</v>
      </c>
      <c r="DM613">
        <v>0.1</v>
      </c>
      <c r="DN613">
        <v>0.1</v>
      </c>
      <c r="DO613">
        <v>0.1</v>
      </c>
      <c r="DP613">
        <v>0.1</v>
      </c>
      <c r="DQ613">
        <v>0.1</v>
      </c>
      <c r="DR613">
        <v>0.1</v>
      </c>
      <c r="DS613">
        <v>0.1</v>
      </c>
      <c r="DT613">
        <v>0.1</v>
      </c>
      <c r="DU613">
        <v>0.1</v>
      </c>
      <c r="DV613">
        <v>0.1</v>
      </c>
      <c r="DW613">
        <v>0.1</v>
      </c>
      <c r="DX613">
        <v>0.1</v>
      </c>
      <c r="DY613">
        <v>0.1</v>
      </c>
      <c r="DZ613">
        <v>0.1</v>
      </c>
      <c r="EA613">
        <v>0.1</v>
      </c>
      <c r="EB613">
        <v>0.1</v>
      </c>
      <c r="EC613">
        <v>0.1</v>
      </c>
      <c r="ED613">
        <v>0.1</v>
      </c>
      <c r="EE613">
        <v>0.1</v>
      </c>
      <c r="EF613">
        <v>0.1</v>
      </c>
    </row>
    <row r="614" spans="71:136" x14ac:dyDescent="0.25">
      <c r="BS614">
        <v>611</v>
      </c>
      <c r="BY614">
        <v>0.1</v>
      </c>
      <c r="BZ614">
        <v>0.1</v>
      </c>
      <c r="CA614">
        <v>0.1</v>
      </c>
      <c r="CB614">
        <v>0.1</v>
      </c>
      <c r="CC614">
        <v>0.1</v>
      </c>
      <c r="CD614">
        <v>0.1</v>
      </c>
      <c r="CE614">
        <v>0.1</v>
      </c>
      <c r="CF614">
        <v>0.1</v>
      </c>
      <c r="CG614">
        <v>0.1</v>
      </c>
      <c r="CH614">
        <v>0.1</v>
      </c>
      <c r="CI614">
        <v>0.1</v>
      </c>
      <c r="CJ614">
        <v>0.1</v>
      </c>
      <c r="CK614">
        <v>0.1</v>
      </c>
      <c r="CL614">
        <v>0.1</v>
      </c>
      <c r="CM614">
        <v>0.1</v>
      </c>
      <c r="CN614">
        <v>0.1</v>
      </c>
      <c r="CO614">
        <v>0.1</v>
      </c>
      <c r="CP614">
        <v>0.1</v>
      </c>
      <c r="CQ614">
        <v>0.1</v>
      </c>
      <c r="CR614">
        <v>0.1</v>
      </c>
      <c r="CS614">
        <v>0.1</v>
      </c>
      <c r="CT614">
        <v>0.1</v>
      </c>
      <c r="CU614">
        <v>0.1</v>
      </c>
      <c r="CV614">
        <v>0.1</v>
      </c>
      <c r="CW614">
        <v>0.1</v>
      </c>
      <c r="CX614">
        <v>0.1</v>
      </c>
      <c r="CY614">
        <v>0.1</v>
      </c>
      <c r="CZ614">
        <v>0.1</v>
      </c>
      <c r="DA614">
        <v>0.1</v>
      </c>
      <c r="DB614">
        <v>0.1</v>
      </c>
      <c r="DC614">
        <v>0.1</v>
      </c>
      <c r="DD614">
        <v>0.1</v>
      </c>
      <c r="DE614">
        <v>0.1</v>
      </c>
      <c r="DF614">
        <v>0.1</v>
      </c>
      <c r="DG614">
        <v>0.1</v>
      </c>
      <c r="DH614">
        <v>0.1</v>
      </c>
      <c r="DI614">
        <v>0.1</v>
      </c>
      <c r="DJ614">
        <v>0.1</v>
      </c>
      <c r="DK614">
        <v>0.1</v>
      </c>
      <c r="DL614">
        <v>0.1</v>
      </c>
      <c r="DM614">
        <v>0.1</v>
      </c>
      <c r="DN614">
        <v>0.1</v>
      </c>
      <c r="DO614">
        <v>0.1</v>
      </c>
      <c r="DP614">
        <v>0.1</v>
      </c>
      <c r="DQ614">
        <v>0.1</v>
      </c>
      <c r="DR614">
        <v>0.1</v>
      </c>
      <c r="DS614">
        <v>0.1</v>
      </c>
      <c r="DT614">
        <v>0.1</v>
      </c>
      <c r="DU614">
        <v>0.1</v>
      </c>
      <c r="DV614">
        <v>0.1</v>
      </c>
      <c r="DW614">
        <v>0.1</v>
      </c>
      <c r="DX614">
        <v>0.1</v>
      </c>
      <c r="DY614">
        <v>0.1</v>
      </c>
      <c r="DZ614">
        <v>0.1</v>
      </c>
      <c r="EA614">
        <v>0.1</v>
      </c>
      <c r="EB614">
        <v>0.1</v>
      </c>
      <c r="EC614">
        <v>0.1</v>
      </c>
      <c r="ED614">
        <v>0.1</v>
      </c>
      <c r="EE614">
        <v>0.1</v>
      </c>
      <c r="EF614">
        <v>0.1</v>
      </c>
    </row>
    <row r="615" spans="71:136" x14ac:dyDescent="0.25">
      <c r="BS615">
        <v>612</v>
      </c>
      <c r="BY615">
        <v>0.1</v>
      </c>
      <c r="BZ615">
        <v>0.1</v>
      </c>
      <c r="CA615">
        <v>0.1</v>
      </c>
      <c r="CB615">
        <v>0.1</v>
      </c>
      <c r="CC615">
        <v>0.1</v>
      </c>
      <c r="CD615">
        <v>0.1</v>
      </c>
      <c r="CE615">
        <v>0.1</v>
      </c>
      <c r="CF615">
        <v>0.1</v>
      </c>
      <c r="CG615">
        <v>0.1</v>
      </c>
      <c r="CH615">
        <v>0.1</v>
      </c>
      <c r="CI615">
        <v>0.1</v>
      </c>
      <c r="CJ615">
        <v>0.1</v>
      </c>
      <c r="CK615">
        <v>0.1</v>
      </c>
      <c r="CL615">
        <v>0.1</v>
      </c>
      <c r="CM615">
        <v>0.1</v>
      </c>
      <c r="CN615">
        <v>0.1</v>
      </c>
      <c r="CO615">
        <v>0.1</v>
      </c>
      <c r="CP615">
        <v>0.1</v>
      </c>
      <c r="CQ615">
        <v>0.1</v>
      </c>
      <c r="CR615">
        <v>0.1</v>
      </c>
      <c r="CS615">
        <v>0.1</v>
      </c>
      <c r="CT615">
        <v>0.1</v>
      </c>
      <c r="CU615">
        <v>0.1</v>
      </c>
      <c r="CV615">
        <v>0.1</v>
      </c>
      <c r="CW615">
        <v>0.1</v>
      </c>
      <c r="CX615">
        <v>0.1</v>
      </c>
      <c r="CY615">
        <v>0.1</v>
      </c>
      <c r="CZ615">
        <v>0.1</v>
      </c>
      <c r="DA615">
        <v>0.1</v>
      </c>
      <c r="DB615">
        <v>0.1</v>
      </c>
      <c r="DC615">
        <v>0.1</v>
      </c>
      <c r="DD615">
        <v>0.1</v>
      </c>
      <c r="DE615">
        <v>0.1</v>
      </c>
      <c r="DF615">
        <v>0.1</v>
      </c>
      <c r="DG615">
        <v>0.1</v>
      </c>
      <c r="DH615">
        <v>0.1</v>
      </c>
      <c r="DI615">
        <v>0.1</v>
      </c>
      <c r="DJ615">
        <v>0.1</v>
      </c>
      <c r="DK615">
        <v>0.1</v>
      </c>
      <c r="DL615">
        <v>0.1</v>
      </c>
      <c r="DM615">
        <v>0.1</v>
      </c>
      <c r="DN615">
        <v>0.1</v>
      </c>
      <c r="DO615">
        <v>0.1</v>
      </c>
      <c r="DP615">
        <v>0.1</v>
      </c>
      <c r="DQ615">
        <v>0.1</v>
      </c>
      <c r="DR615">
        <v>0.1</v>
      </c>
      <c r="DS615">
        <v>0.1</v>
      </c>
      <c r="DT615">
        <v>0.1</v>
      </c>
      <c r="DU615">
        <v>0.1</v>
      </c>
      <c r="DV615">
        <v>0.1</v>
      </c>
      <c r="DW615">
        <v>0.1</v>
      </c>
      <c r="DX615">
        <v>0.1</v>
      </c>
      <c r="DY615">
        <v>0.1</v>
      </c>
      <c r="DZ615">
        <v>0.1</v>
      </c>
      <c r="EA615">
        <v>0.1</v>
      </c>
      <c r="EB615">
        <v>0.1</v>
      </c>
      <c r="EC615">
        <v>0.1</v>
      </c>
      <c r="ED615">
        <v>0.1</v>
      </c>
      <c r="EE615">
        <v>0.1</v>
      </c>
      <c r="EF615">
        <v>0.1</v>
      </c>
    </row>
    <row r="616" spans="71:136" x14ac:dyDescent="0.25">
      <c r="BS616">
        <v>613</v>
      </c>
      <c r="BY616">
        <v>0.1</v>
      </c>
      <c r="BZ616">
        <v>0.1</v>
      </c>
      <c r="CA616">
        <v>0.1</v>
      </c>
      <c r="CB616">
        <v>0.1</v>
      </c>
      <c r="CC616">
        <v>0.1</v>
      </c>
      <c r="CD616">
        <v>0.1</v>
      </c>
      <c r="CE616">
        <v>0.1</v>
      </c>
      <c r="CF616">
        <v>0.1</v>
      </c>
      <c r="CG616">
        <v>0.1</v>
      </c>
      <c r="CH616">
        <v>0.1</v>
      </c>
      <c r="CI616">
        <v>0.1</v>
      </c>
      <c r="CJ616">
        <v>0.1</v>
      </c>
      <c r="CK616">
        <v>0.1</v>
      </c>
      <c r="CL616">
        <v>0.1</v>
      </c>
      <c r="CM616">
        <v>0.1</v>
      </c>
      <c r="CN616">
        <v>0.1</v>
      </c>
      <c r="CO616">
        <v>0.1</v>
      </c>
      <c r="CP616">
        <v>0.1</v>
      </c>
      <c r="CQ616">
        <v>0.1</v>
      </c>
      <c r="CR616">
        <v>0.1</v>
      </c>
      <c r="CS616">
        <v>0.1</v>
      </c>
      <c r="CT616">
        <v>0.1</v>
      </c>
      <c r="CU616">
        <v>0.1</v>
      </c>
      <c r="CV616">
        <v>0.1</v>
      </c>
      <c r="CW616">
        <v>0.1</v>
      </c>
      <c r="CX616">
        <v>0.1</v>
      </c>
      <c r="CY616">
        <v>0.1</v>
      </c>
      <c r="CZ616">
        <v>0.1</v>
      </c>
      <c r="DA616">
        <v>0.1</v>
      </c>
      <c r="DB616">
        <v>0.1</v>
      </c>
      <c r="DC616">
        <v>0.1</v>
      </c>
      <c r="DD616">
        <v>0.1</v>
      </c>
      <c r="DE616">
        <v>0.1</v>
      </c>
      <c r="DF616">
        <v>0.1</v>
      </c>
      <c r="DG616">
        <v>0.1</v>
      </c>
      <c r="DH616">
        <v>0.1</v>
      </c>
      <c r="DI616">
        <v>0.1</v>
      </c>
      <c r="DJ616">
        <v>0.1</v>
      </c>
      <c r="DK616">
        <v>0.1</v>
      </c>
      <c r="DL616">
        <v>0.1</v>
      </c>
      <c r="DM616">
        <v>0.1</v>
      </c>
      <c r="DN616">
        <v>0.1</v>
      </c>
      <c r="DO616">
        <v>0.1</v>
      </c>
      <c r="DP616">
        <v>0.1</v>
      </c>
      <c r="DQ616">
        <v>0.1</v>
      </c>
      <c r="DR616">
        <v>0.1</v>
      </c>
      <c r="DS616">
        <v>0.1</v>
      </c>
      <c r="DT616">
        <v>0.1</v>
      </c>
      <c r="DU616">
        <v>0.1</v>
      </c>
      <c r="DV616">
        <v>0.1</v>
      </c>
      <c r="DW616">
        <v>0.1</v>
      </c>
      <c r="DX616">
        <v>0.1</v>
      </c>
      <c r="DY616">
        <v>0.1</v>
      </c>
      <c r="DZ616">
        <v>0.1</v>
      </c>
      <c r="EA616">
        <v>0.1</v>
      </c>
      <c r="EB616">
        <v>0.1</v>
      </c>
      <c r="EC616">
        <v>0.1</v>
      </c>
      <c r="ED616">
        <v>0.1</v>
      </c>
      <c r="EE616">
        <v>0.1</v>
      </c>
      <c r="EF616">
        <v>0.1</v>
      </c>
    </row>
    <row r="617" spans="71:136" x14ac:dyDescent="0.25">
      <c r="BS617">
        <v>614</v>
      </c>
      <c r="BY617">
        <v>0.1</v>
      </c>
      <c r="BZ617">
        <v>0.1</v>
      </c>
      <c r="CA617">
        <v>0.1</v>
      </c>
      <c r="CB617">
        <v>0.1</v>
      </c>
      <c r="CC617">
        <v>0.1</v>
      </c>
      <c r="CD617">
        <v>0.1</v>
      </c>
      <c r="CE617">
        <v>0.1</v>
      </c>
      <c r="CF617">
        <v>0.1</v>
      </c>
      <c r="CG617">
        <v>0.1</v>
      </c>
      <c r="CH617">
        <v>0.1</v>
      </c>
      <c r="CI617">
        <v>0.1</v>
      </c>
      <c r="CJ617">
        <v>0.1</v>
      </c>
      <c r="CK617">
        <v>0.1</v>
      </c>
      <c r="CL617">
        <v>0.1</v>
      </c>
      <c r="CM617">
        <v>0.1</v>
      </c>
      <c r="CN617">
        <v>0.1</v>
      </c>
      <c r="CO617">
        <v>0.1</v>
      </c>
      <c r="CP617">
        <v>0.1</v>
      </c>
      <c r="CQ617">
        <v>0.1</v>
      </c>
      <c r="CR617">
        <v>0.1</v>
      </c>
      <c r="CS617">
        <v>0.1</v>
      </c>
      <c r="CT617">
        <v>0.1</v>
      </c>
      <c r="CU617">
        <v>0.1</v>
      </c>
      <c r="CV617">
        <v>0.1</v>
      </c>
      <c r="CW617">
        <v>0.1</v>
      </c>
      <c r="CX617">
        <v>0.1</v>
      </c>
      <c r="CY617">
        <v>0.1</v>
      </c>
      <c r="CZ617">
        <v>0.1</v>
      </c>
      <c r="DA617">
        <v>0.1</v>
      </c>
      <c r="DB617">
        <v>0.1</v>
      </c>
      <c r="DC617">
        <v>0.1</v>
      </c>
      <c r="DD617">
        <v>0.1</v>
      </c>
      <c r="DE617">
        <v>0.1</v>
      </c>
      <c r="DF617">
        <v>0.1</v>
      </c>
      <c r="DG617">
        <v>0.1</v>
      </c>
      <c r="DH617">
        <v>0.1</v>
      </c>
      <c r="DI617">
        <v>0.1</v>
      </c>
      <c r="DJ617">
        <v>0.1</v>
      </c>
      <c r="DK617">
        <v>0.1</v>
      </c>
      <c r="DL617">
        <v>0.1</v>
      </c>
      <c r="DM617">
        <v>0.1</v>
      </c>
      <c r="DN617">
        <v>0.1</v>
      </c>
      <c r="DO617">
        <v>0.1</v>
      </c>
      <c r="DP617">
        <v>0.1</v>
      </c>
      <c r="DQ617">
        <v>0.1</v>
      </c>
      <c r="DR617">
        <v>0.1</v>
      </c>
      <c r="DS617">
        <v>0.1</v>
      </c>
      <c r="DT617">
        <v>0.1</v>
      </c>
      <c r="DU617">
        <v>0.1</v>
      </c>
      <c r="DV617">
        <v>0.1</v>
      </c>
      <c r="DW617">
        <v>0.1</v>
      </c>
      <c r="DX617">
        <v>0.1</v>
      </c>
      <c r="DY617">
        <v>0.1</v>
      </c>
      <c r="DZ617">
        <v>0.1</v>
      </c>
      <c r="EA617">
        <v>0.1</v>
      </c>
      <c r="EB617">
        <v>0.1</v>
      </c>
      <c r="EC617">
        <v>0.1</v>
      </c>
      <c r="ED617">
        <v>0.1</v>
      </c>
      <c r="EE617">
        <v>0.1</v>
      </c>
      <c r="EF617">
        <v>0.1</v>
      </c>
    </row>
    <row r="618" spans="71:136" x14ac:dyDescent="0.25">
      <c r="BS618">
        <v>615</v>
      </c>
      <c r="BY618">
        <v>0.1</v>
      </c>
      <c r="BZ618">
        <v>0.1</v>
      </c>
      <c r="CA618">
        <v>0.1</v>
      </c>
      <c r="CB618">
        <v>0.1</v>
      </c>
      <c r="CC618">
        <v>0.1</v>
      </c>
      <c r="CD618">
        <v>0.1</v>
      </c>
      <c r="CE618">
        <v>0.1</v>
      </c>
      <c r="CF618">
        <v>0.1</v>
      </c>
      <c r="CG618">
        <v>0.1</v>
      </c>
      <c r="CH618">
        <v>0.1</v>
      </c>
      <c r="CI618">
        <v>0.1</v>
      </c>
      <c r="CJ618">
        <v>0.1</v>
      </c>
      <c r="CK618">
        <v>0.1</v>
      </c>
      <c r="CL618">
        <v>0.1</v>
      </c>
      <c r="CM618">
        <v>0.1</v>
      </c>
      <c r="CN618">
        <v>0.1</v>
      </c>
      <c r="CO618">
        <v>0.1</v>
      </c>
      <c r="CP618">
        <v>0.1</v>
      </c>
      <c r="CQ618">
        <v>0.1</v>
      </c>
      <c r="CR618">
        <v>0.1</v>
      </c>
      <c r="CS618">
        <v>0.1</v>
      </c>
      <c r="CT618">
        <v>0.1</v>
      </c>
      <c r="CU618">
        <v>0.1</v>
      </c>
      <c r="CV618">
        <v>0.1</v>
      </c>
      <c r="CW618">
        <v>0.1</v>
      </c>
      <c r="CX618">
        <v>0.1</v>
      </c>
      <c r="CY618">
        <v>0.1</v>
      </c>
      <c r="CZ618">
        <v>0.1</v>
      </c>
      <c r="DA618">
        <v>0.1</v>
      </c>
      <c r="DB618">
        <v>0.1</v>
      </c>
      <c r="DC618">
        <v>0.1</v>
      </c>
      <c r="DD618">
        <v>0.1</v>
      </c>
      <c r="DE618">
        <v>0.1</v>
      </c>
      <c r="DF618">
        <v>0.1</v>
      </c>
      <c r="DG618">
        <v>0.1</v>
      </c>
      <c r="DH618">
        <v>0.1</v>
      </c>
      <c r="DI618">
        <v>0.1</v>
      </c>
      <c r="DJ618">
        <v>0.1</v>
      </c>
      <c r="DK618">
        <v>0.1</v>
      </c>
      <c r="DL618">
        <v>0.1</v>
      </c>
      <c r="DM618">
        <v>0.1</v>
      </c>
      <c r="DN618">
        <v>0.1</v>
      </c>
      <c r="DO618">
        <v>0.1</v>
      </c>
      <c r="DP618">
        <v>0.1</v>
      </c>
      <c r="DQ618">
        <v>0.1</v>
      </c>
      <c r="DR618">
        <v>0.1</v>
      </c>
      <c r="DS618">
        <v>0.1</v>
      </c>
      <c r="DT618">
        <v>0.1</v>
      </c>
      <c r="DU618">
        <v>0.1</v>
      </c>
      <c r="DV618">
        <v>0.1</v>
      </c>
      <c r="DW618">
        <v>0.1</v>
      </c>
      <c r="DX618">
        <v>0.1</v>
      </c>
      <c r="DY618">
        <v>0.1</v>
      </c>
      <c r="DZ618">
        <v>0.1</v>
      </c>
      <c r="EA618">
        <v>0.1</v>
      </c>
      <c r="EB618">
        <v>0.1</v>
      </c>
      <c r="EC618">
        <v>0.1</v>
      </c>
      <c r="ED618">
        <v>0.1</v>
      </c>
      <c r="EE618">
        <v>0.1</v>
      </c>
      <c r="EF618">
        <v>0.1</v>
      </c>
    </row>
    <row r="619" spans="71:136" x14ac:dyDescent="0.25">
      <c r="BS619">
        <v>616</v>
      </c>
      <c r="BY619">
        <v>0.1</v>
      </c>
      <c r="BZ619">
        <v>0.1</v>
      </c>
      <c r="CA619">
        <v>0.1</v>
      </c>
      <c r="CB619">
        <v>0.1</v>
      </c>
      <c r="CC619">
        <v>0.1</v>
      </c>
      <c r="CD619">
        <v>0.1</v>
      </c>
      <c r="CE619">
        <v>0.1</v>
      </c>
      <c r="CF619">
        <v>0.1</v>
      </c>
      <c r="CG619">
        <v>0.1</v>
      </c>
      <c r="CH619">
        <v>0.1</v>
      </c>
      <c r="CI619">
        <v>0.1</v>
      </c>
      <c r="CJ619">
        <v>0.1</v>
      </c>
      <c r="CK619">
        <v>0.1</v>
      </c>
      <c r="CL619">
        <v>0.1</v>
      </c>
      <c r="CM619">
        <v>0.1</v>
      </c>
      <c r="CN619">
        <v>0.1</v>
      </c>
      <c r="CO619">
        <v>0.1</v>
      </c>
      <c r="CP619">
        <v>0.1</v>
      </c>
      <c r="CQ619">
        <v>0.1</v>
      </c>
      <c r="CR619">
        <v>0.1</v>
      </c>
      <c r="CS619">
        <v>0.1</v>
      </c>
      <c r="CT619">
        <v>0.1</v>
      </c>
      <c r="CU619">
        <v>0.1</v>
      </c>
      <c r="CV619">
        <v>0.1</v>
      </c>
      <c r="CW619">
        <v>0.1</v>
      </c>
      <c r="CX619">
        <v>0.1</v>
      </c>
      <c r="CY619">
        <v>0.1</v>
      </c>
      <c r="CZ619">
        <v>0.1</v>
      </c>
      <c r="DA619">
        <v>0.1</v>
      </c>
      <c r="DB619">
        <v>0.1</v>
      </c>
      <c r="DC619">
        <v>0.1</v>
      </c>
      <c r="DD619">
        <v>0.1</v>
      </c>
      <c r="DE619">
        <v>0.1</v>
      </c>
      <c r="DF619">
        <v>0.1</v>
      </c>
      <c r="DG619">
        <v>0.1</v>
      </c>
      <c r="DH619">
        <v>0.1</v>
      </c>
      <c r="DI619">
        <v>0.1</v>
      </c>
      <c r="DJ619">
        <v>0.1</v>
      </c>
      <c r="DK619">
        <v>0.1</v>
      </c>
      <c r="DL619">
        <v>0.1</v>
      </c>
      <c r="DM619">
        <v>0.1</v>
      </c>
      <c r="DN619">
        <v>0.1</v>
      </c>
      <c r="DO619">
        <v>0.1</v>
      </c>
      <c r="DP619">
        <v>0.1</v>
      </c>
      <c r="DQ619">
        <v>0.1</v>
      </c>
      <c r="DR619">
        <v>0.1</v>
      </c>
      <c r="DS619">
        <v>0.1</v>
      </c>
      <c r="DT619">
        <v>0.1</v>
      </c>
      <c r="DU619">
        <v>0.1</v>
      </c>
      <c r="DV619">
        <v>0.1</v>
      </c>
      <c r="DW619">
        <v>0.1</v>
      </c>
      <c r="DX619">
        <v>0.1</v>
      </c>
      <c r="DY619">
        <v>0.1</v>
      </c>
      <c r="DZ619">
        <v>0.1</v>
      </c>
      <c r="EA619">
        <v>0.1</v>
      </c>
      <c r="EB619">
        <v>0.1</v>
      </c>
      <c r="EC619">
        <v>0.1</v>
      </c>
      <c r="ED619">
        <v>0.1</v>
      </c>
      <c r="EE619">
        <v>0.1</v>
      </c>
      <c r="EF619">
        <v>0.1</v>
      </c>
    </row>
    <row r="620" spans="71:136" x14ac:dyDescent="0.25">
      <c r="BS620">
        <v>617</v>
      </c>
      <c r="BY620">
        <v>0.1</v>
      </c>
      <c r="BZ620">
        <v>0.1</v>
      </c>
      <c r="CA620">
        <v>0.1</v>
      </c>
      <c r="CB620">
        <v>0.1</v>
      </c>
      <c r="CC620">
        <v>0.1</v>
      </c>
      <c r="CD620">
        <v>0.1</v>
      </c>
      <c r="CE620">
        <v>0.1</v>
      </c>
      <c r="CF620">
        <v>0.1</v>
      </c>
      <c r="CG620">
        <v>0.1</v>
      </c>
      <c r="CH620">
        <v>0.1</v>
      </c>
      <c r="CI620">
        <v>0.1</v>
      </c>
      <c r="CJ620">
        <v>0.1</v>
      </c>
      <c r="CK620">
        <v>0.1</v>
      </c>
      <c r="CL620">
        <v>0.1</v>
      </c>
      <c r="CM620">
        <v>0.1</v>
      </c>
      <c r="CN620">
        <v>0.1</v>
      </c>
      <c r="CO620">
        <v>0.1</v>
      </c>
      <c r="CP620">
        <v>0.1</v>
      </c>
      <c r="CQ620">
        <v>0.1</v>
      </c>
      <c r="CR620">
        <v>0.1</v>
      </c>
      <c r="CS620">
        <v>0.1</v>
      </c>
      <c r="CT620">
        <v>0.1</v>
      </c>
      <c r="CU620">
        <v>0.1</v>
      </c>
      <c r="CV620">
        <v>0.1</v>
      </c>
      <c r="CW620">
        <v>0.1</v>
      </c>
      <c r="CX620">
        <v>0.1</v>
      </c>
      <c r="CY620">
        <v>0.1</v>
      </c>
      <c r="CZ620">
        <v>0.1</v>
      </c>
      <c r="DA620">
        <v>0.1</v>
      </c>
      <c r="DB620">
        <v>0.1</v>
      </c>
      <c r="DC620">
        <v>0.1</v>
      </c>
      <c r="DD620">
        <v>0.1</v>
      </c>
      <c r="DE620">
        <v>0.1</v>
      </c>
      <c r="DF620">
        <v>0.1</v>
      </c>
      <c r="DG620">
        <v>0.1</v>
      </c>
      <c r="DH620">
        <v>0.1</v>
      </c>
      <c r="DI620">
        <v>0.1</v>
      </c>
      <c r="DJ620">
        <v>0.1</v>
      </c>
      <c r="DK620">
        <v>0.1</v>
      </c>
      <c r="DL620">
        <v>0.1</v>
      </c>
      <c r="DM620">
        <v>0.1</v>
      </c>
      <c r="DN620">
        <v>0.1</v>
      </c>
      <c r="DO620">
        <v>0.1</v>
      </c>
      <c r="DP620">
        <v>0.1</v>
      </c>
      <c r="DQ620">
        <v>0.1</v>
      </c>
      <c r="DR620">
        <v>0.1</v>
      </c>
      <c r="DS620">
        <v>0.1</v>
      </c>
      <c r="DT620">
        <v>0.1</v>
      </c>
      <c r="DU620">
        <v>0.1</v>
      </c>
      <c r="DV620">
        <v>0.1</v>
      </c>
      <c r="DW620">
        <v>0.1</v>
      </c>
      <c r="DX620">
        <v>0.1</v>
      </c>
      <c r="DY620">
        <v>0.1</v>
      </c>
      <c r="DZ620">
        <v>0.1</v>
      </c>
      <c r="EA620">
        <v>0.1</v>
      </c>
      <c r="EB620">
        <v>0.1</v>
      </c>
      <c r="EC620">
        <v>0.1</v>
      </c>
      <c r="ED620">
        <v>0.1</v>
      </c>
      <c r="EE620">
        <v>0.1</v>
      </c>
      <c r="EF620">
        <v>0.1</v>
      </c>
    </row>
    <row r="621" spans="71:136" x14ac:dyDescent="0.25">
      <c r="BS621">
        <v>618</v>
      </c>
      <c r="BY621">
        <v>0.1</v>
      </c>
      <c r="BZ621">
        <v>0.1</v>
      </c>
      <c r="CA621">
        <v>0.1</v>
      </c>
      <c r="CB621">
        <v>0.1</v>
      </c>
      <c r="CC621">
        <v>0.1</v>
      </c>
      <c r="CD621">
        <v>0.1</v>
      </c>
      <c r="CE621">
        <v>0.1</v>
      </c>
      <c r="CF621">
        <v>0.1</v>
      </c>
      <c r="CG621">
        <v>0.1</v>
      </c>
      <c r="CH621">
        <v>0.1</v>
      </c>
      <c r="CI621">
        <v>0.1</v>
      </c>
      <c r="CJ621">
        <v>0.1</v>
      </c>
      <c r="CK621">
        <v>0.1</v>
      </c>
      <c r="CL621">
        <v>0.1</v>
      </c>
      <c r="CM621">
        <v>0.1</v>
      </c>
      <c r="CN621">
        <v>0.1</v>
      </c>
      <c r="CO621">
        <v>0.1</v>
      </c>
      <c r="CP621">
        <v>0.1</v>
      </c>
      <c r="CQ621">
        <v>0.1</v>
      </c>
      <c r="CR621">
        <v>0.1</v>
      </c>
      <c r="CS621">
        <v>0.1</v>
      </c>
      <c r="CT621">
        <v>0.1</v>
      </c>
      <c r="CU621">
        <v>0.1</v>
      </c>
      <c r="CV621">
        <v>0.1</v>
      </c>
      <c r="CW621">
        <v>0.1</v>
      </c>
      <c r="CX621">
        <v>0.1</v>
      </c>
      <c r="CY621">
        <v>0.1</v>
      </c>
      <c r="CZ621">
        <v>0.1</v>
      </c>
      <c r="DA621">
        <v>0.1</v>
      </c>
      <c r="DB621">
        <v>0.1</v>
      </c>
      <c r="DC621">
        <v>0.1</v>
      </c>
      <c r="DD621">
        <v>0.1</v>
      </c>
      <c r="DE621">
        <v>0.1</v>
      </c>
      <c r="DF621">
        <v>0.1</v>
      </c>
      <c r="DG621">
        <v>0.1</v>
      </c>
      <c r="DH621">
        <v>0.1</v>
      </c>
      <c r="DI621">
        <v>0.1</v>
      </c>
      <c r="DJ621">
        <v>0.1</v>
      </c>
      <c r="DK621">
        <v>0.1</v>
      </c>
      <c r="DL621">
        <v>0.1</v>
      </c>
      <c r="DM621">
        <v>0.1</v>
      </c>
      <c r="DN621">
        <v>0.1</v>
      </c>
      <c r="DO621">
        <v>0.1</v>
      </c>
      <c r="DP621">
        <v>0.1</v>
      </c>
      <c r="DQ621">
        <v>0.1</v>
      </c>
      <c r="DR621">
        <v>0.1</v>
      </c>
      <c r="DS621">
        <v>0.1</v>
      </c>
      <c r="DT621">
        <v>0.1</v>
      </c>
      <c r="DU621">
        <v>0.1</v>
      </c>
      <c r="DV621">
        <v>0.1</v>
      </c>
      <c r="DW621">
        <v>0.1</v>
      </c>
      <c r="DX621">
        <v>0.1</v>
      </c>
      <c r="DY621">
        <v>0.1</v>
      </c>
      <c r="DZ621">
        <v>0.1</v>
      </c>
      <c r="EA621">
        <v>0.1</v>
      </c>
      <c r="EB621">
        <v>0.1</v>
      </c>
      <c r="EC621">
        <v>0.1</v>
      </c>
      <c r="ED621">
        <v>0.1</v>
      </c>
      <c r="EE621">
        <v>0.1</v>
      </c>
      <c r="EF621">
        <v>0.1</v>
      </c>
    </row>
    <row r="622" spans="71:136" x14ac:dyDescent="0.25">
      <c r="BS622">
        <v>619</v>
      </c>
      <c r="BY622">
        <v>0.1</v>
      </c>
      <c r="BZ622">
        <v>0.1</v>
      </c>
      <c r="CA622">
        <v>0.1</v>
      </c>
      <c r="CB622">
        <v>0.1</v>
      </c>
      <c r="CC622">
        <v>0.1</v>
      </c>
      <c r="CD622">
        <v>0.1</v>
      </c>
      <c r="CE622">
        <v>0.1</v>
      </c>
      <c r="CF622">
        <v>0.1</v>
      </c>
      <c r="CG622">
        <v>0.1</v>
      </c>
      <c r="CH622">
        <v>0.1</v>
      </c>
      <c r="CI622">
        <v>0.1</v>
      </c>
      <c r="CJ622">
        <v>0.1</v>
      </c>
      <c r="CK622">
        <v>0.1</v>
      </c>
      <c r="CL622">
        <v>0.1</v>
      </c>
      <c r="CM622">
        <v>0.1</v>
      </c>
      <c r="CN622">
        <v>0.1</v>
      </c>
      <c r="CO622">
        <v>0.1</v>
      </c>
      <c r="CP622">
        <v>0.1</v>
      </c>
      <c r="CQ622">
        <v>0.1</v>
      </c>
      <c r="CR622">
        <v>0.1</v>
      </c>
      <c r="CS622">
        <v>0.1</v>
      </c>
      <c r="CT622">
        <v>0.1</v>
      </c>
      <c r="CU622">
        <v>0.1</v>
      </c>
      <c r="CV622">
        <v>0.1</v>
      </c>
      <c r="CW622">
        <v>0.1</v>
      </c>
      <c r="CX622">
        <v>0.1</v>
      </c>
      <c r="CY622">
        <v>0.1</v>
      </c>
      <c r="CZ622">
        <v>0.1</v>
      </c>
      <c r="DA622">
        <v>0.1</v>
      </c>
      <c r="DB622">
        <v>0.1</v>
      </c>
      <c r="DC622">
        <v>0.1</v>
      </c>
      <c r="DD622">
        <v>0.1</v>
      </c>
      <c r="DE622">
        <v>0.1</v>
      </c>
      <c r="DF622">
        <v>0.1</v>
      </c>
      <c r="DG622">
        <v>0.1</v>
      </c>
      <c r="DH622">
        <v>0.1</v>
      </c>
      <c r="DI622">
        <v>0.1</v>
      </c>
      <c r="DJ622">
        <v>0.1</v>
      </c>
      <c r="DK622">
        <v>0.1</v>
      </c>
      <c r="DL622">
        <v>0.1</v>
      </c>
      <c r="DM622">
        <v>0.1</v>
      </c>
      <c r="DN622">
        <v>0.1</v>
      </c>
      <c r="DO622">
        <v>0.1</v>
      </c>
      <c r="DP622">
        <v>0.1</v>
      </c>
      <c r="DQ622">
        <v>0.1</v>
      </c>
      <c r="DR622">
        <v>0.1</v>
      </c>
      <c r="DS622">
        <v>0.1</v>
      </c>
      <c r="DT622">
        <v>0.1</v>
      </c>
      <c r="DU622">
        <v>0.1</v>
      </c>
      <c r="DV622">
        <v>0.1</v>
      </c>
      <c r="DW622">
        <v>0.1</v>
      </c>
      <c r="DX622">
        <v>0.1</v>
      </c>
      <c r="DY622">
        <v>0.1</v>
      </c>
      <c r="DZ622">
        <v>0.1</v>
      </c>
      <c r="EA622">
        <v>0.1</v>
      </c>
      <c r="EB622">
        <v>0.1</v>
      </c>
      <c r="EC622">
        <v>0.1</v>
      </c>
      <c r="ED622">
        <v>0.1</v>
      </c>
      <c r="EE622">
        <v>0.1</v>
      </c>
      <c r="EF622">
        <v>0.1</v>
      </c>
    </row>
    <row r="623" spans="71:136" x14ac:dyDescent="0.25">
      <c r="BS623">
        <v>620</v>
      </c>
      <c r="BY623">
        <v>0.1</v>
      </c>
      <c r="BZ623">
        <v>0.1</v>
      </c>
      <c r="CA623">
        <v>0.1</v>
      </c>
      <c r="CB623">
        <v>0.1</v>
      </c>
      <c r="CC623">
        <v>0.1</v>
      </c>
      <c r="CD623">
        <v>0.1</v>
      </c>
      <c r="CE623">
        <v>0.1</v>
      </c>
      <c r="CF623">
        <v>0.1</v>
      </c>
      <c r="CG623">
        <v>0.1</v>
      </c>
      <c r="CH623">
        <v>0.1</v>
      </c>
      <c r="CI623">
        <v>0.1</v>
      </c>
      <c r="CJ623">
        <v>0.1</v>
      </c>
      <c r="CK623">
        <v>0.1</v>
      </c>
      <c r="CL623">
        <v>0.1</v>
      </c>
      <c r="CM623">
        <v>0.1</v>
      </c>
      <c r="CN623">
        <v>0.1</v>
      </c>
      <c r="CO623">
        <v>0.1</v>
      </c>
      <c r="CP623">
        <v>0.1</v>
      </c>
      <c r="CQ623">
        <v>0.1</v>
      </c>
      <c r="CR623">
        <v>0.1</v>
      </c>
      <c r="CS623">
        <v>0.1</v>
      </c>
      <c r="CT623">
        <v>0.1</v>
      </c>
      <c r="CU623">
        <v>0.1</v>
      </c>
      <c r="CV623">
        <v>0.1</v>
      </c>
      <c r="CW623">
        <v>0.1</v>
      </c>
      <c r="CX623">
        <v>0.1</v>
      </c>
      <c r="CY623">
        <v>0.1</v>
      </c>
      <c r="CZ623">
        <v>0.1</v>
      </c>
      <c r="DA623">
        <v>0.1</v>
      </c>
      <c r="DB623">
        <v>0.1</v>
      </c>
      <c r="DC623">
        <v>0.1</v>
      </c>
      <c r="DD623">
        <v>0.1</v>
      </c>
      <c r="DE623">
        <v>0.1</v>
      </c>
      <c r="DF623">
        <v>0.1</v>
      </c>
      <c r="DG623">
        <v>0.1</v>
      </c>
      <c r="DH623">
        <v>0.1</v>
      </c>
      <c r="DI623">
        <v>0.1</v>
      </c>
      <c r="DJ623">
        <v>0.1</v>
      </c>
      <c r="DK623">
        <v>0.1</v>
      </c>
      <c r="DL623">
        <v>0.1</v>
      </c>
      <c r="DM623">
        <v>0.1</v>
      </c>
      <c r="DN623">
        <v>0.1</v>
      </c>
      <c r="DO623">
        <v>0.1</v>
      </c>
      <c r="DP623">
        <v>0.1</v>
      </c>
      <c r="DQ623">
        <v>0.1</v>
      </c>
      <c r="DR623">
        <v>0.1</v>
      </c>
      <c r="DS623">
        <v>0.1</v>
      </c>
      <c r="DT623">
        <v>0.1</v>
      </c>
      <c r="DU623">
        <v>0.1</v>
      </c>
      <c r="DV623">
        <v>0.1</v>
      </c>
      <c r="DW623">
        <v>0.1</v>
      </c>
      <c r="DX623">
        <v>0.1</v>
      </c>
      <c r="DY623">
        <v>0.1</v>
      </c>
      <c r="DZ623">
        <v>0.1</v>
      </c>
      <c r="EA623">
        <v>0.1</v>
      </c>
      <c r="EB623">
        <v>0.1</v>
      </c>
      <c r="EC623">
        <v>0.1</v>
      </c>
      <c r="ED623">
        <v>0.1</v>
      </c>
      <c r="EE623">
        <v>0.1</v>
      </c>
      <c r="EF623">
        <v>0.1</v>
      </c>
    </row>
    <row r="624" spans="71:136" x14ac:dyDescent="0.25">
      <c r="BS624">
        <v>621</v>
      </c>
      <c r="BY624">
        <v>0.1</v>
      </c>
      <c r="BZ624">
        <v>0.1</v>
      </c>
      <c r="CA624">
        <v>0.1</v>
      </c>
      <c r="CB624">
        <v>0.1</v>
      </c>
      <c r="CC624">
        <v>0.1</v>
      </c>
      <c r="CD624">
        <v>0.1</v>
      </c>
      <c r="CE624">
        <v>0.1</v>
      </c>
      <c r="CF624">
        <v>0.1</v>
      </c>
      <c r="CG624">
        <v>0.1</v>
      </c>
      <c r="CH624">
        <v>0.1</v>
      </c>
      <c r="CI624">
        <v>0.1</v>
      </c>
      <c r="CJ624">
        <v>0.1</v>
      </c>
      <c r="CK624">
        <v>0.1</v>
      </c>
      <c r="CL624">
        <v>0.1</v>
      </c>
      <c r="CM624">
        <v>0.1</v>
      </c>
      <c r="CN624">
        <v>0.1</v>
      </c>
      <c r="CO624">
        <v>0.1</v>
      </c>
      <c r="CP624">
        <v>0.1</v>
      </c>
      <c r="CQ624">
        <v>0.1</v>
      </c>
      <c r="CR624">
        <v>0.1</v>
      </c>
      <c r="CS624">
        <v>0.1</v>
      </c>
      <c r="CT624">
        <v>0.1</v>
      </c>
      <c r="CU624">
        <v>0.1</v>
      </c>
      <c r="CV624">
        <v>0.1</v>
      </c>
      <c r="CW624">
        <v>0.1</v>
      </c>
      <c r="CX624">
        <v>0.1</v>
      </c>
      <c r="CY624">
        <v>0.1</v>
      </c>
      <c r="CZ624">
        <v>0.1</v>
      </c>
      <c r="DA624">
        <v>0.1</v>
      </c>
      <c r="DB624">
        <v>0.1</v>
      </c>
      <c r="DC624">
        <v>0.1</v>
      </c>
      <c r="DD624">
        <v>0.1</v>
      </c>
      <c r="DE624">
        <v>0.1</v>
      </c>
      <c r="DF624">
        <v>0.1</v>
      </c>
      <c r="DG624">
        <v>0.1</v>
      </c>
      <c r="DH624">
        <v>0.1</v>
      </c>
      <c r="DI624">
        <v>0.1</v>
      </c>
      <c r="DJ624">
        <v>0.1</v>
      </c>
      <c r="DK624">
        <v>0.1</v>
      </c>
      <c r="DL624">
        <v>0.1</v>
      </c>
      <c r="DM624">
        <v>0.1</v>
      </c>
      <c r="DN624">
        <v>0.1</v>
      </c>
      <c r="DO624">
        <v>0.1</v>
      </c>
      <c r="DP624">
        <v>0.1</v>
      </c>
      <c r="DQ624">
        <v>0.1</v>
      </c>
      <c r="DR624">
        <v>0.1</v>
      </c>
      <c r="DS624">
        <v>0.1</v>
      </c>
      <c r="DT624">
        <v>0.1</v>
      </c>
      <c r="DU624">
        <v>0.1</v>
      </c>
      <c r="DV624">
        <v>0.1</v>
      </c>
      <c r="DW624">
        <v>0.1</v>
      </c>
      <c r="DX624">
        <v>0.1</v>
      </c>
      <c r="DY624">
        <v>0.1</v>
      </c>
      <c r="DZ624">
        <v>0.1</v>
      </c>
      <c r="EA624">
        <v>0.1</v>
      </c>
      <c r="EB624">
        <v>0.1</v>
      </c>
      <c r="EC624">
        <v>0.1</v>
      </c>
      <c r="ED624">
        <v>0.1</v>
      </c>
      <c r="EE624">
        <v>0.1</v>
      </c>
      <c r="EF624">
        <v>0.1</v>
      </c>
    </row>
  </sheetData>
  <mergeCells count="27">
    <mergeCell ref="B3:D3"/>
    <mergeCell ref="BT3:BV3"/>
    <mergeCell ref="EK3:EM3"/>
    <mergeCell ref="FV3:GA3"/>
    <mergeCell ref="EN2:EW2"/>
    <mergeCell ref="EX2:FG2"/>
    <mergeCell ref="FH2:FQ2"/>
    <mergeCell ref="BY2:CH2"/>
    <mergeCell ref="CI2:CR2"/>
    <mergeCell ref="CS2:DB2"/>
    <mergeCell ref="DC2:DL2"/>
    <mergeCell ref="DM2:DV2"/>
    <mergeCell ref="DW2:EF2"/>
    <mergeCell ref="H1:BO1"/>
    <mergeCell ref="BY1:EF1"/>
    <mergeCell ref="EN1:FQ1"/>
    <mergeCell ref="GB1:HO1"/>
    <mergeCell ref="H2:Q2"/>
    <mergeCell ref="R2:AA2"/>
    <mergeCell ref="AB2:AK2"/>
    <mergeCell ref="AL2:AU2"/>
    <mergeCell ref="AV2:BE2"/>
    <mergeCell ref="BF2:BO2"/>
    <mergeCell ref="HF2:HO2"/>
    <mergeCell ref="GB2:GK2"/>
    <mergeCell ref="GL2:GU2"/>
    <mergeCell ref="GV2:HE2"/>
  </mergeCells>
  <pageMargins left="0.7" right="0.7" top="0.75" bottom="0.75" header="0.3" footer="0.3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E9A78-2A4F-4986-B5B2-2BB58FEF4DA7}">
  <sheetPr codeName="Hoja7"/>
  <dimension ref="B1:U465"/>
  <sheetViews>
    <sheetView zoomScale="90" zoomScaleNormal="9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L13" sqref="L13"/>
    </sheetView>
  </sheetViews>
  <sheetFormatPr baseColWidth="10" defaultRowHeight="15" outlineLevelRow="1" x14ac:dyDescent="0.25"/>
  <cols>
    <col min="1" max="1" width="1.85546875" customWidth="1"/>
    <col min="2" max="2" width="8.28515625" style="85" customWidth="1"/>
    <col min="3" max="3" width="11.42578125" style="2"/>
    <col min="4" max="4" width="16.28515625" style="2" customWidth="1"/>
    <col min="5" max="5" width="31.140625" style="86" customWidth="1"/>
    <col min="6" max="6" width="13.28515625" style="29" customWidth="1"/>
    <col min="7" max="7" width="16.28515625" style="29" customWidth="1"/>
    <col min="8" max="8" width="9.5703125" style="29" customWidth="1"/>
    <col min="9" max="9" width="0.85546875" style="29" customWidth="1"/>
    <col min="10" max="10" width="11.42578125" style="29"/>
    <col min="11" max="11" width="0.7109375" style="29" customWidth="1"/>
    <col min="12" max="13" width="17.140625" style="76" customWidth="1"/>
    <col min="14" max="14" width="12.42578125" style="29" customWidth="1"/>
    <col min="15" max="15" width="12.28515625" style="29" customWidth="1"/>
    <col min="16" max="16" width="19.7109375" style="76" customWidth="1"/>
    <col min="17" max="17" width="23.42578125" style="76" customWidth="1"/>
    <col min="18" max="18" width="18.140625" style="82" customWidth="1"/>
    <col min="19" max="19" width="18" style="4" customWidth="1"/>
    <col min="20" max="20" width="10.42578125" style="4" customWidth="1"/>
  </cols>
  <sheetData>
    <row r="1" spans="2:21" ht="15" customHeight="1" thickBot="1" x14ac:dyDescent="0.3">
      <c r="B1" s="381" t="s">
        <v>245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R1" s="81"/>
    </row>
    <row r="2" spans="2:21" ht="29.25" customHeight="1" x14ac:dyDescent="0.25">
      <c r="B2" s="384" t="s">
        <v>247</v>
      </c>
      <c r="C2" s="384" t="s">
        <v>9</v>
      </c>
      <c r="D2" s="384" t="s">
        <v>276</v>
      </c>
      <c r="E2" s="382" t="s">
        <v>246</v>
      </c>
      <c r="F2" s="386" t="s">
        <v>11</v>
      </c>
      <c r="G2" s="382" t="s">
        <v>177</v>
      </c>
      <c r="H2" s="382" t="s">
        <v>248</v>
      </c>
      <c r="I2" s="108"/>
      <c r="J2" s="382" t="s">
        <v>261</v>
      </c>
      <c r="K2" s="108"/>
      <c r="L2" s="393" t="s">
        <v>249</v>
      </c>
      <c r="M2" s="393" t="s">
        <v>250</v>
      </c>
      <c r="N2" s="382" t="s">
        <v>253</v>
      </c>
      <c r="O2" s="382" t="s">
        <v>281</v>
      </c>
      <c r="P2" s="393" t="s">
        <v>255</v>
      </c>
      <c r="Q2" s="402" t="s">
        <v>256</v>
      </c>
      <c r="R2" s="382" t="s">
        <v>254</v>
      </c>
      <c r="S2" s="391" t="s">
        <v>363</v>
      </c>
      <c r="T2" s="391" t="s">
        <v>795</v>
      </c>
    </row>
    <row r="3" spans="2:21" ht="15.75" thickBot="1" x14ac:dyDescent="0.3">
      <c r="B3" s="385"/>
      <c r="C3" s="385"/>
      <c r="D3" s="385"/>
      <c r="E3" s="383"/>
      <c r="F3" s="387"/>
      <c r="G3" s="383"/>
      <c r="H3" s="383"/>
      <c r="I3" s="169"/>
      <c r="J3" s="383"/>
      <c r="K3" s="169"/>
      <c r="L3" s="394"/>
      <c r="M3" s="394"/>
      <c r="N3" s="383"/>
      <c r="O3" s="383"/>
      <c r="P3" s="394"/>
      <c r="Q3" s="403"/>
      <c r="R3" s="383"/>
      <c r="S3" s="392"/>
      <c r="T3" s="392"/>
    </row>
    <row r="4" spans="2:21" s="39" customFormat="1" x14ac:dyDescent="0.25">
      <c r="B4" s="109">
        <v>1</v>
      </c>
      <c r="C4" s="143"/>
      <c r="D4" s="375" t="s">
        <v>257</v>
      </c>
      <c r="E4" s="376"/>
      <c r="F4" s="125"/>
      <c r="G4" s="125"/>
      <c r="H4" s="125"/>
      <c r="I4" s="125"/>
      <c r="J4" s="125"/>
      <c r="K4" s="125"/>
      <c r="L4" s="126"/>
      <c r="M4" s="126"/>
      <c r="N4" s="125"/>
      <c r="O4" s="125"/>
      <c r="P4" s="126">
        <f>+P5</f>
        <v>0</v>
      </c>
      <c r="Q4" s="126">
        <f>+Q5</f>
        <v>5600000</v>
      </c>
      <c r="R4" s="174">
        <f>+Q4+P4</f>
        <v>5600000</v>
      </c>
      <c r="S4" s="128">
        <f>+R4/(G6)</f>
        <v>31111.111111111109</v>
      </c>
      <c r="T4" s="182">
        <f>+T5</f>
        <v>1.1453505737658751E-2</v>
      </c>
    </row>
    <row r="5" spans="2:21" s="39" customFormat="1" x14ac:dyDescent="0.25">
      <c r="B5" s="110">
        <v>1.1000000000000001</v>
      </c>
      <c r="C5" s="144" t="s">
        <v>1812</v>
      </c>
      <c r="D5" s="369" t="s">
        <v>257</v>
      </c>
      <c r="E5" s="370"/>
      <c r="F5" s="121"/>
      <c r="G5" s="121"/>
      <c r="H5" s="121"/>
      <c r="I5" s="121"/>
      <c r="J5" s="121"/>
      <c r="K5" s="121"/>
      <c r="L5" s="122"/>
      <c r="M5" s="122"/>
      <c r="N5" s="121"/>
      <c r="O5" s="121"/>
      <c r="P5" s="122">
        <f>+SUM(P6:P7)</f>
        <v>0</v>
      </c>
      <c r="Q5" s="122">
        <f>+SUM(Q6:Q9)</f>
        <v>5600000</v>
      </c>
      <c r="R5" s="123">
        <f>+Q5+P5</f>
        <v>5600000</v>
      </c>
      <c r="S5" s="124"/>
      <c r="T5" s="181" cm="1">
        <f t="array" ref="T5:U5">+R5/'1. GENERAL'!$E$31:$F$31</f>
        <v>1.1453505737658751E-2</v>
      </c>
      <c r="U5" s="39" t="e">
        <v>#DIV/0!</v>
      </c>
    </row>
    <row r="6" spans="2:21" x14ac:dyDescent="0.25">
      <c r="B6" s="83" t="s">
        <v>258</v>
      </c>
      <c r="C6" s="145" t="s">
        <v>1812</v>
      </c>
      <c r="D6" s="145" t="s">
        <v>778</v>
      </c>
      <c r="E6" s="84" t="s">
        <v>724</v>
      </c>
      <c r="G6" s="80">
        <v>180</v>
      </c>
      <c r="H6" s="77" t="str">
        <f>VLOOKUP(E6,'B. DATOS'!$B$34:$E$622,2,FALSE)</f>
        <v>M2</v>
      </c>
      <c r="J6" s="29" t="s">
        <v>257</v>
      </c>
      <c r="L6" s="78">
        <f>VLOOKUP(E6,'B. DATOS'!$B$34:$E$622,4,FALSE)</f>
        <v>5000</v>
      </c>
      <c r="M6" s="76">
        <f>+G6*L6</f>
        <v>900000</v>
      </c>
      <c r="N6" s="29">
        <v>1</v>
      </c>
      <c r="O6" s="29">
        <f>+G6*N6</f>
        <v>180</v>
      </c>
      <c r="Q6" s="76">
        <f>+M6*N6</f>
        <v>900000</v>
      </c>
    </row>
    <row r="7" spans="2:21" x14ac:dyDescent="0.25">
      <c r="B7" s="83" t="s">
        <v>507</v>
      </c>
      <c r="C7" s="145" t="s">
        <v>1812</v>
      </c>
      <c r="D7" s="145" t="s">
        <v>778</v>
      </c>
      <c r="E7" s="84" t="s">
        <v>1362</v>
      </c>
      <c r="G7" s="80">
        <f>+G6</f>
        <v>180</v>
      </c>
      <c r="H7" s="77" t="str">
        <f>VLOOKUP(E7,'B. DATOS'!$B$34:$E$622,2,FALSE)</f>
        <v>M2</v>
      </c>
      <c r="J7" s="29" t="s">
        <v>257</v>
      </c>
      <c r="L7" s="78">
        <f>VLOOKUP(E7,'B. DATOS'!$B$34:$E$622,4,FALSE)</f>
        <v>5000</v>
      </c>
      <c r="M7" s="76">
        <f>+G7*L7</f>
        <v>900000</v>
      </c>
      <c r="N7" s="29">
        <v>1</v>
      </c>
      <c r="O7" s="29">
        <f>+G7*N7</f>
        <v>180</v>
      </c>
      <c r="Q7" s="76">
        <f>+M7*N7</f>
        <v>900000</v>
      </c>
    </row>
    <row r="8" spans="2:21" x14ac:dyDescent="0.25">
      <c r="B8" s="83" t="s">
        <v>546</v>
      </c>
      <c r="C8" s="145" t="s">
        <v>1812</v>
      </c>
      <c r="D8" s="145" t="s">
        <v>778</v>
      </c>
      <c r="E8" s="84" t="s">
        <v>1808</v>
      </c>
      <c r="G8" s="80">
        <v>1</v>
      </c>
      <c r="H8" s="77" t="str">
        <f>VLOOKUP(E8,'B. DATOS'!$B$34:$E$622,2,FALSE)</f>
        <v>UND</v>
      </c>
      <c r="J8" s="29" t="s">
        <v>652</v>
      </c>
      <c r="L8" s="78">
        <f>VLOOKUP(E8,'B. DATOS'!$B$34:$E$622,4,FALSE)</f>
        <v>1700000</v>
      </c>
      <c r="M8" s="76">
        <f>+G8*L8</f>
        <v>1700000</v>
      </c>
      <c r="N8" s="29">
        <v>1</v>
      </c>
      <c r="O8" s="29">
        <f>+G8*N8</f>
        <v>1</v>
      </c>
      <c r="Q8" s="76">
        <f>+M8*N8</f>
        <v>1700000</v>
      </c>
    </row>
    <row r="9" spans="2:21" x14ac:dyDescent="0.25">
      <c r="B9" s="83" t="s">
        <v>547</v>
      </c>
      <c r="C9" s="145" t="s">
        <v>1812</v>
      </c>
      <c r="D9" s="145" t="s">
        <v>778</v>
      </c>
      <c r="E9" s="84" t="s">
        <v>1809</v>
      </c>
      <c r="G9" s="80">
        <v>1</v>
      </c>
      <c r="H9" s="77" t="str">
        <f>VLOOKUP(E9,'B. DATOS'!$B$34:$E$622,2,FALSE)</f>
        <v>UND</v>
      </c>
      <c r="J9" s="29" t="s">
        <v>652</v>
      </c>
      <c r="L9" s="78">
        <f>VLOOKUP(E9,'B. DATOS'!$B$34:$E$622,4,FALSE)</f>
        <v>2100000</v>
      </c>
      <c r="M9" s="76">
        <f>+G9*L9</f>
        <v>2100000</v>
      </c>
      <c r="N9" s="29">
        <v>1</v>
      </c>
      <c r="O9" s="29">
        <f>+G9*N9</f>
        <v>1</v>
      </c>
      <c r="Q9" s="76">
        <f>+M9*N9</f>
        <v>2100000</v>
      </c>
    </row>
    <row r="10" spans="2:21" s="39" customFormat="1" x14ac:dyDescent="0.25">
      <c r="B10" s="109">
        <v>2</v>
      </c>
      <c r="C10" s="143"/>
      <c r="D10" s="375" t="s">
        <v>259</v>
      </c>
      <c r="E10" s="376"/>
      <c r="F10" s="125"/>
      <c r="G10" s="125"/>
      <c r="H10" s="125"/>
      <c r="I10" s="125"/>
      <c r="J10" s="125"/>
      <c r="K10" s="125"/>
      <c r="L10" s="126"/>
      <c r="M10" s="126"/>
      <c r="N10" s="125"/>
      <c r="O10" s="125"/>
      <c r="P10" s="126">
        <f>+P11+P18+P42+P50+P78+P70+P15+P30+P60+P92</f>
        <v>31034437.749648005</v>
      </c>
      <c r="Q10" s="126">
        <f>+Q11+Q18+Q42+Q50+Q78+Q70+Q15+Q30+Q60+Q92</f>
        <v>41144659.231199995</v>
      </c>
      <c r="R10" s="127">
        <f>Q10+P10</f>
        <v>72179096.980847999</v>
      </c>
      <c r="S10" s="128"/>
      <c r="T10" s="182">
        <f>+T11+T18+T42+T50+T70+T78+T15+T30+T60+T92</f>
        <v>0.22102974746135251</v>
      </c>
    </row>
    <row r="11" spans="2:21" s="39" customFormat="1" x14ac:dyDescent="0.25">
      <c r="B11" s="110">
        <v>2.1</v>
      </c>
      <c r="C11" s="144" t="s">
        <v>1812</v>
      </c>
      <c r="D11" s="369" t="s">
        <v>1213</v>
      </c>
      <c r="E11" s="370"/>
      <c r="F11" s="121"/>
      <c r="G11" s="121"/>
      <c r="H11" s="121"/>
      <c r="I11" s="121"/>
      <c r="J11" s="121"/>
      <c r="K11" s="121"/>
      <c r="L11" s="122"/>
      <c r="M11" s="122">
        <f>+SUM(M12:M14)</f>
        <v>3971413.4400000004</v>
      </c>
      <c r="N11" s="121"/>
      <c r="O11" s="121"/>
      <c r="P11" s="122">
        <f>+SUM(P12:P14)</f>
        <v>0</v>
      </c>
      <c r="Q11" s="122">
        <f>+SUM(Q12:Q14)</f>
        <v>3971413.4400000004</v>
      </c>
      <c r="R11" s="123">
        <f>+P11+Q11</f>
        <v>3971413.4400000004</v>
      </c>
      <c r="S11" s="124">
        <f>+R11/(G14*N12)</f>
        <v>149189.98160770311</v>
      </c>
      <c r="T11" s="181" cm="1">
        <f t="array" ref="T11:U11">+R11/'1. GENERAL'!$E$31:$F$31</f>
        <v>8.1226083252955491E-3</v>
      </c>
      <c r="U11" s="39" t="e">
        <v>#DIV/0!</v>
      </c>
    </row>
    <row r="12" spans="2:21" x14ac:dyDescent="0.25">
      <c r="B12" s="83" t="s">
        <v>262</v>
      </c>
      <c r="C12" s="145" t="s">
        <v>1812</v>
      </c>
      <c r="D12" s="145" t="s">
        <v>778</v>
      </c>
      <c r="E12" s="84" t="s">
        <v>267</v>
      </c>
      <c r="G12" s="80">
        <f>+(((G20+G24)*N19)+(((F19*F20)*F73)*N71))*1.3</f>
        <v>26.619840000000007</v>
      </c>
      <c r="H12" s="77" t="str">
        <f>VLOOKUP(E12,'B. DATOS'!$B$34:$E$622,2,FALSE)</f>
        <v>M3</v>
      </c>
      <c r="J12" s="29" t="s">
        <v>259</v>
      </c>
      <c r="L12" s="78">
        <f>VLOOKUP(E12,'B. DATOS'!$B$34:$E$622,4,FALSE)</f>
        <v>26000</v>
      </c>
      <c r="M12" s="76">
        <f>+L12*G12</f>
        <v>692115.8400000002</v>
      </c>
      <c r="N12" s="351">
        <v>1</v>
      </c>
      <c r="O12" s="80">
        <f>+G12*$N$12</f>
        <v>26.619840000000007</v>
      </c>
      <c r="Q12" s="76">
        <f>+M12*$N$12</f>
        <v>692115.8400000002</v>
      </c>
    </row>
    <row r="13" spans="2:21" x14ac:dyDescent="0.25">
      <c r="B13" s="83" t="s">
        <v>262</v>
      </c>
      <c r="C13" s="145" t="s">
        <v>1812</v>
      </c>
      <c r="D13" s="145" t="s">
        <v>778</v>
      </c>
      <c r="E13" s="84" t="s">
        <v>1150</v>
      </c>
      <c r="G13" s="80">
        <v>24</v>
      </c>
      <c r="H13" s="77" t="str">
        <f>VLOOKUP(E13,'B. DATOS'!$B$34:$E$622,2,FALSE)</f>
        <v>HR</v>
      </c>
      <c r="J13" s="29" t="s">
        <v>652</v>
      </c>
      <c r="L13" s="78">
        <f>VLOOKUP(E13,'B. DATOS'!$B$34:$E$622,4,FALSE)</f>
        <v>120000</v>
      </c>
      <c r="M13" s="76">
        <f>+L13*G13</f>
        <v>2880000</v>
      </c>
      <c r="N13" s="351"/>
      <c r="O13" s="80">
        <f>+G13*$N$12</f>
        <v>24</v>
      </c>
      <c r="Q13" s="76">
        <f>+M13*$N$12</f>
        <v>2880000</v>
      </c>
    </row>
    <row r="14" spans="2:21" x14ac:dyDescent="0.25">
      <c r="B14" s="83" t="s">
        <v>263</v>
      </c>
      <c r="C14" s="145" t="s">
        <v>1812</v>
      </c>
      <c r="D14" s="145" t="s">
        <v>778</v>
      </c>
      <c r="E14" s="84" t="s">
        <v>1214</v>
      </c>
      <c r="G14" s="80">
        <f>+G12</f>
        <v>26.619840000000007</v>
      </c>
      <c r="H14" s="77" t="str">
        <f>VLOOKUP(E14,'B. DATOS'!$B$34:$E$622,2,FALSE)</f>
        <v>M3</v>
      </c>
      <c r="J14" s="29" t="s">
        <v>259</v>
      </c>
      <c r="L14" s="78">
        <f>VLOOKUP(E14,'B. DATOS'!$B$34:$E$622,4,FALSE)</f>
        <v>15000</v>
      </c>
      <c r="M14" s="76">
        <f>+L14*G14</f>
        <v>399297.60000000009</v>
      </c>
      <c r="N14" s="351"/>
      <c r="O14" s="80">
        <f>+G14*$N$12</f>
        <v>26.619840000000007</v>
      </c>
      <c r="Q14" s="76">
        <f>+M14*$N$12</f>
        <v>399297.60000000009</v>
      </c>
    </row>
    <row r="15" spans="2:21" s="39" customFormat="1" x14ac:dyDescent="0.25">
      <c r="B15" s="288">
        <v>2.2000000000000002</v>
      </c>
      <c r="C15" s="289" t="s">
        <v>1400</v>
      </c>
      <c r="D15" s="367" t="s">
        <v>1213</v>
      </c>
      <c r="E15" s="368"/>
      <c r="F15" s="290"/>
      <c r="G15" s="290"/>
      <c r="H15" s="290"/>
      <c r="I15" s="290"/>
      <c r="J15" s="290"/>
      <c r="K15" s="290"/>
      <c r="L15" s="291"/>
      <c r="M15" s="291">
        <f>+SUM(M16:M17)</f>
        <v>10332</v>
      </c>
      <c r="N15" s="290"/>
      <c r="O15" s="290"/>
      <c r="P15" s="291">
        <f>+SUM(P16:P17)</f>
        <v>0</v>
      </c>
      <c r="Q15" s="291">
        <f>+SUM(Q16:Q17)</f>
        <v>10332</v>
      </c>
      <c r="R15" s="298">
        <f>+P15+Q15</f>
        <v>10332</v>
      </c>
      <c r="S15" s="293">
        <f>+R15/(G17*N16)</f>
        <v>41000</v>
      </c>
      <c r="T15" s="294" cm="1">
        <f t="array" ref="T15:U15">+R15/'1. GENERAL'!$E$31:$F$31</f>
        <v>2.1131718085980396E-5</v>
      </c>
      <c r="U15" s="39" t="e">
        <v>#DIV/0!</v>
      </c>
    </row>
    <row r="16" spans="2:21" x14ac:dyDescent="0.25">
      <c r="B16" s="295" t="s">
        <v>279</v>
      </c>
      <c r="C16" s="296" t="s">
        <v>1400</v>
      </c>
      <c r="D16" s="296" t="s">
        <v>778</v>
      </c>
      <c r="E16" s="297" t="s">
        <v>267</v>
      </c>
      <c r="G16" s="80">
        <f>+(((F31*F32)*F33)*N31)</f>
        <v>0.252</v>
      </c>
      <c r="H16" s="77" t="str">
        <f>VLOOKUP(E16,'B. DATOS'!$B$34:$E$622,2,FALSE)</f>
        <v>M3</v>
      </c>
      <c r="J16" s="29" t="s">
        <v>259</v>
      </c>
      <c r="L16" s="78">
        <f>VLOOKUP(E16,'B. DATOS'!$B$34:$E$622,4,FALSE)</f>
        <v>26000</v>
      </c>
      <c r="M16" s="76">
        <f>+L16*G16</f>
        <v>6552</v>
      </c>
      <c r="N16" s="351">
        <v>1</v>
      </c>
      <c r="O16" s="80">
        <f>+G16*$N$12</f>
        <v>0.252</v>
      </c>
      <c r="Q16" s="76">
        <f>+M16*$N$12</f>
        <v>6552</v>
      </c>
    </row>
    <row r="17" spans="2:21" x14ac:dyDescent="0.25">
      <c r="B17" s="295" t="s">
        <v>280</v>
      </c>
      <c r="C17" s="296" t="s">
        <v>1400</v>
      </c>
      <c r="D17" s="296" t="s">
        <v>778</v>
      </c>
      <c r="E17" s="297" t="s">
        <v>1214</v>
      </c>
      <c r="G17" s="80">
        <f>+G16</f>
        <v>0.252</v>
      </c>
      <c r="H17" s="77" t="str">
        <f>VLOOKUP(E17,'B. DATOS'!$B$34:$E$622,2,FALSE)</f>
        <v>M3</v>
      </c>
      <c r="J17" s="29" t="s">
        <v>259</v>
      </c>
      <c r="L17" s="78">
        <f>VLOOKUP(E17,'B. DATOS'!$B$34:$E$622,4,FALSE)</f>
        <v>15000</v>
      </c>
      <c r="M17" s="76">
        <f>+L17*G17</f>
        <v>3780</v>
      </c>
      <c r="N17" s="351"/>
      <c r="O17" s="80">
        <f>+G17*$N$12</f>
        <v>0.252</v>
      </c>
      <c r="Q17" s="76">
        <f>+M17*$N$12</f>
        <v>3780</v>
      </c>
    </row>
    <row r="18" spans="2:21" s="39" customFormat="1" x14ac:dyDescent="0.25">
      <c r="B18" s="110">
        <v>2.2999999999999998</v>
      </c>
      <c r="C18" s="144" t="s">
        <v>1812</v>
      </c>
      <c r="D18" s="369" t="s">
        <v>1519</v>
      </c>
      <c r="E18" s="370"/>
      <c r="F18" s="121"/>
      <c r="G18" s="121"/>
      <c r="H18" s="121"/>
      <c r="I18" s="121"/>
      <c r="J18" s="121"/>
      <c r="K18" s="121"/>
      <c r="L18" s="122"/>
      <c r="M18" s="122">
        <f>+SUM(M19:M29)</f>
        <v>413917.32400000002</v>
      </c>
      <c r="N18" s="121"/>
      <c r="O18" s="121"/>
      <c r="P18" s="122">
        <f>+SUM(P19:P29)</f>
        <v>6976477.3679999998</v>
      </c>
      <c r="Q18" s="122">
        <f>+SUM(Q19:Q29)</f>
        <v>10408050.24</v>
      </c>
      <c r="R18" s="123">
        <f>+P18+Q18</f>
        <v>17384527.607999999</v>
      </c>
      <c r="S18" s="124">
        <f>+R18/(G19*N19)</f>
        <v>3128626.7876039301</v>
      </c>
      <c r="T18" s="181" cm="1">
        <f t="array" ref="T18:U18">+R18/'1. GENERAL'!$E$31:$F$31</f>
        <v>3.555603334012767E-2</v>
      </c>
      <c r="U18" s="39" t="e">
        <v>#DIV/0!</v>
      </c>
    </row>
    <row r="19" spans="2:21" x14ac:dyDescent="0.25">
      <c r="B19" s="83" t="s">
        <v>282</v>
      </c>
      <c r="C19" s="145" t="s">
        <v>1812</v>
      </c>
      <c r="D19" s="145" t="s">
        <v>251</v>
      </c>
      <c r="E19" s="84" t="s">
        <v>1353</v>
      </c>
      <c r="F19" s="29">
        <v>0.6</v>
      </c>
      <c r="G19" s="29">
        <f>+((F19*F20)*F21)*1.05</f>
        <v>0.1323</v>
      </c>
      <c r="H19" s="77" t="str">
        <f>VLOOKUP(E19,'B. DATOS'!$B$34:$E$622,2,FALSE)</f>
        <v>M3</v>
      </c>
      <c r="J19" s="29" t="s">
        <v>717</v>
      </c>
      <c r="L19" s="78">
        <f>VLOOKUP(E19,'B. DATOS'!$B$34:$E$622,4,FALSE)</f>
        <v>487000</v>
      </c>
      <c r="M19" s="76">
        <f t="shared" ref="M19:M29" si="0">+L19*G19</f>
        <v>64430.1</v>
      </c>
      <c r="N19" s="351">
        <v>42</v>
      </c>
      <c r="O19" s="80">
        <f t="shared" ref="O19:O29" si="1">+G19*$N$19</f>
        <v>5.5566000000000004</v>
      </c>
      <c r="P19" s="76">
        <f t="shared" ref="P19:P24" si="2">+M19*$N$19</f>
        <v>2706064.1999999997</v>
      </c>
    </row>
    <row r="20" spans="2:21" x14ac:dyDescent="0.25">
      <c r="B20" s="83" t="s">
        <v>283</v>
      </c>
      <c r="C20" s="145" t="s">
        <v>1812</v>
      </c>
      <c r="D20" s="145" t="s">
        <v>251</v>
      </c>
      <c r="E20" s="84" t="s">
        <v>290</v>
      </c>
      <c r="F20" s="29">
        <v>0.6</v>
      </c>
      <c r="G20" s="29">
        <f>+((F19*F20)*0.05)*1.05</f>
        <v>1.89E-2</v>
      </c>
      <c r="H20" s="77" t="str">
        <f>VLOOKUP(E20,'B. DATOS'!$B$34:$E$622,2,FALSE)</f>
        <v>M3</v>
      </c>
      <c r="J20" s="29" t="s">
        <v>717</v>
      </c>
      <c r="L20" s="78">
        <f>VLOOKUP(E20,'B. DATOS'!$B$34:$E$622,4,FALSE)</f>
        <v>429000</v>
      </c>
      <c r="M20" s="76">
        <f>+L20*G20</f>
        <v>8108.1</v>
      </c>
      <c r="N20" s="351"/>
      <c r="O20" s="80">
        <f t="shared" si="1"/>
        <v>0.79380000000000006</v>
      </c>
      <c r="P20" s="76">
        <f t="shared" si="2"/>
        <v>340540.2</v>
      </c>
    </row>
    <row r="21" spans="2:21" x14ac:dyDescent="0.25">
      <c r="B21" s="83" t="s">
        <v>284</v>
      </c>
      <c r="C21" s="145" t="s">
        <v>1812</v>
      </c>
      <c r="D21" s="145" t="s">
        <v>251</v>
      </c>
      <c r="E21" s="84" t="s">
        <v>265</v>
      </c>
      <c r="F21" s="29">
        <v>0.35</v>
      </c>
      <c r="G21" s="29">
        <f>+(F20+((F20*F21)*4))*1.05</f>
        <v>1.512</v>
      </c>
      <c r="H21" s="77" t="str">
        <f>VLOOKUP(E21,'B. DATOS'!$B$34:$E$622,2,FALSE)</f>
        <v>M2</v>
      </c>
      <c r="J21" s="29" t="s">
        <v>644</v>
      </c>
      <c r="L21" s="78">
        <f>VLOOKUP(E21,'B. DATOS'!$B$34:$E$622,4,FALSE)</f>
        <v>1700</v>
      </c>
      <c r="M21" s="76">
        <f t="shared" si="0"/>
        <v>2570.4</v>
      </c>
      <c r="N21" s="351"/>
      <c r="O21" s="80">
        <f t="shared" si="1"/>
        <v>63.503999999999998</v>
      </c>
      <c r="P21" s="76">
        <f t="shared" si="2"/>
        <v>107956.8</v>
      </c>
      <c r="S21" s="150"/>
      <c r="T21" s="150"/>
    </row>
    <row r="22" spans="2:21" x14ac:dyDescent="0.25">
      <c r="B22" s="83" t="s">
        <v>285</v>
      </c>
      <c r="C22" s="145" t="s">
        <v>1812</v>
      </c>
      <c r="D22" s="145" t="s">
        <v>251</v>
      </c>
      <c r="E22" s="84" t="s">
        <v>574</v>
      </c>
      <c r="F22" s="29">
        <v>10</v>
      </c>
      <c r="G22" s="80">
        <f>+(((((F19-0.1)+0.3)*F22)*0.996)*2)*1.1</f>
        <v>17.529600000000002</v>
      </c>
      <c r="H22" s="77" t="str">
        <f>VLOOKUP(E22,'B. DATOS'!$B$34:$E$622,2,FALSE)</f>
        <v>KG</v>
      </c>
      <c r="J22" s="29" t="s">
        <v>274</v>
      </c>
      <c r="L22" s="78">
        <f>VLOOKUP(E22,'B. DATOS'!$B$34:$E$622,4,FALSE)</f>
        <v>4000</v>
      </c>
      <c r="M22" s="76">
        <f t="shared" si="0"/>
        <v>70118.400000000009</v>
      </c>
      <c r="N22" s="351"/>
      <c r="O22" s="80">
        <f t="shared" si="1"/>
        <v>736.24320000000012</v>
      </c>
      <c r="P22" s="76">
        <f t="shared" si="2"/>
        <v>2944972.8000000003</v>
      </c>
    </row>
    <row r="23" spans="2:21" x14ac:dyDescent="0.25">
      <c r="B23" s="83" t="s">
        <v>286</v>
      </c>
      <c r="C23" s="145" t="s">
        <v>1812</v>
      </c>
      <c r="D23" s="145" t="s">
        <v>251</v>
      </c>
      <c r="E23" s="84" t="s">
        <v>266</v>
      </c>
      <c r="G23" s="80">
        <f>+G22*0.03</f>
        <v>0.52588800000000002</v>
      </c>
      <c r="H23" s="77" t="str">
        <f>VLOOKUP(E23,'B. DATOS'!$B$34:$E$622,2,FALSE)</f>
        <v>KG</v>
      </c>
      <c r="J23" s="29" t="s">
        <v>274</v>
      </c>
      <c r="L23" s="78">
        <f>VLOOKUP(E23,'B. DATOS'!$B$34:$E$622,4,FALSE)</f>
        <v>8000</v>
      </c>
      <c r="M23" s="76">
        <f t="shared" si="0"/>
        <v>4207.1040000000003</v>
      </c>
      <c r="N23" s="351"/>
      <c r="O23" s="80">
        <f t="shared" si="1"/>
        <v>22.087296000000002</v>
      </c>
      <c r="P23" s="76">
        <f t="shared" si="2"/>
        <v>176698.36800000002</v>
      </c>
    </row>
    <row r="24" spans="2:21" x14ac:dyDescent="0.25">
      <c r="B24" s="83" t="s">
        <v>287</v>
      </c>
      <c r="C24" s="145" t="s">
        <v>1812</v>
      </c>
      <c r="D24" s="145" t="s">
        <v>251</v>
      </c>
      <c r="E24" s="84" t="s">
        <v>264</v>
      </c>
      <c r="G24" s="29">
        <f>+G27*1.3</f>
        <v>0.17550000000000002</v>
      </c>
      <c r="H24" s="77" t="str">
        <f>VLOOKUP(E24,'B. DATOS'!$B$34:$E$622,2,FALSE)</f>
        <v>M3</v>
      </c>
      <c r="J24" s="29" t="s">
        <v>634</v>
      </c>
      <c r="L24" s="78">
        <f>VLOOKUP(E24,'B. DATOS'!$B$34:$E$622,4,FALSE)</f>
        <v>95000</v>
      </c>
      <c r="M24" s="76">
        <f t="shared" si="0"/>
        <v>16672.5</v>
      </c>
      <c r="N24" s="351"/>
      <c r="O24" s="80">
        <f t="shared" si="1"/>
        <v>7.3710000000000004</v>
      </c>
      <c r="P24" s="76">
        <f t="shared" si="2"/>
        <v>700245</v>
      </c>
    </row>
    <row r="25" spans="2:21" x14ac:dyDescent="0.25">
      <c r="B25" s="83" t="s">
        <v>288</v>
      </c>
      <c r="C25" s="145" t="s">
        <v>1812</v>
      </c>
      <c r="D25" s="145" t="s">
        <v>778</v>
      </c>
      <c r="E25" s="84" t="s">
        <v>729</v>
      </c>
      <c r="G25" s="80">
        <f>+G22</f>
        <v>17.529600000000002</v>
      </c>
      <c r="H25" s="77" t="str">
        <f>VLOOKUP(E25,'B. DATOS'!$B$34:$E$622,2,FALSE)</f>
        <v>KG</v>
      </c>
      <c r="J25" s="29" t="s">
        <v>259</v>
      </c>
      <c r="L25" s="78">
        <f>VLOOKUP(E25,'B. DATOS'!$B$34:$E$622,4,FALSE)</f>
        <v>700</v>
      </c>
      <c r="M25" s="76">
        <f t="shared" si="0"/>
        <v>12270.720000000001</v>
      </c>
      <c r="N25" s="351"/>
      <c r="O25" s="80">
        <f t="shared" si="1"/>
        <v>736.24320000000012</v>
      </c>
      <c r="Q25" s="76">
        <f>+M25*$N$19</f>
        <v>515370.24000000005</v>
      </c>
    </row>
    <row r="26" spans="2:21" x14ac:dyDescent="0.25">
      <c r="B26" s="83" t="s">
        <v>1813</v>
      </c>
      <c r="C26" s="145" t="s">
        <v>1812</v>
      </c>
      <c r="D26" s="145" t="s">
        <v>778</v>
      </c>
      <c r="E26" s="84" t="s">
        <v>1291</v>
      </c>
      <c r="G26" s="29">
        <v>0.25</v>
      </c>
      <c r="H26" s="77" t="str">
        <f>VLOOKUP(E26,'B. DATOS'!$B$34:$E$622,2,FALSE)</f>
        <v>DÍA</v>
      </c>
      <c r="J26" s="29" t="s">
        <v>652</v>
      </c>
      <c r="L26" s="78">
        <f>VLOOKUP(E26,'B. DATOS'!$B$34:$E$622,4,FALSE)</f>
        <v>95000</v>
      </c>
      <c r="M26" s="76">
        <f t="shared" si="0"/>
        <v>23750</v>
      </c>
      <c r="N26" s="351"/>
      <c r="O26" s="80">
        <f t="shared" si="1"/>
        <v>10.5</v>
      </c>
      <c r="Q26" s="76">
        <f>+M26*$N$19</f>
        <v>997500</v>
      </c>
    </row>
    <row r="27" spans="2:21" x14ac:dyDescent="0.25">
      <c r="B27" s="83" t="s">
        <v>1814</v>
      </c>
      <c r="C27" s="145" t="s">
        <v>1812</v>
      </c>
      <c r="D27" s="145" t="s">
        <v>778</v>
      </c>
      <c r="E27" s="84" t="s">
        <v>328</v>
      </c>
      <c r="G27" s="80">
        <f>+((F19*F20)-(0.3*0.3))*0.5</f>
        <v>0.13500000000000001</v>
      </c>
      <c r="H27" s="77" t="str">
        <f>VLOOKUP(E27,'B. DATOS'!$B$34:$E$622,2,FALSE)</f>
        <v>M3</v>
      </c>
      <c r="J27" s="29" t="s">
        <v>259</v>
      </c>
      <c r="L27" s="78">
        <f>VLOOKUP(E27,'B. DATOS'!$B$34:$E$622,4,FALSE)</f>
        <v>34000</v>
      </c>
      <c r="M27" s="76">
        <f>+L27*G27</f>
        <v>4590</v>
      </c>
      <c r="N27" s="351"/>
      <c r="O27" s="80">
        <f t="shared" si="1"/>
        <v>5.67</v>
      </c>
      <c r="Q27" s="76">
        <f>+M27*$N$19</f>
        <v>192780</v>
      </c>
    </row>
    <row r="28" spans="2:21" x14ac:dyDescent="0.25">
      <c r="B28" s="83" t="s">
        <v>1815</v>
      </c>
      <c r="C28" s="145" t="s">
        <v>1812</v>
      </c>
      <c r="D28" s="145" t="s">
        <v>778</v>
      </c>
      <c r="E28" s="84" t="s">
        <v>774</v>
      </c>
      <c r="G28" s="29">
        <f>+F19*F20</f>
        <v>0.36</v>
      </c>
      <c r="H28" s="77" t="str">
        <f>VLOOKUP(E28,'B. DATOS'!$B$34:$E$622,2,FALSE)</f>
        <v>M2</v>
      </c>
      <c r="J28" s="29" t="s">
        <v>259</v>
      </c>
      <c r="L28" s="78">
        <f>VLOOKUP(E28,'B. DATOS'!$B$34:$E$622,4,FALSE)</f>
        <v>20000</v>
      </c>
      <c r="M28" s="76">
        <f>+L28*G28</f>
        <v>7200</v>
      </c>
      <c r="N28" s="351"/>
      <c r="O28" s="80">
        <f t="shared" si="1"/>
        <v>15.12</v>
      </c>
      <c r="Q28" s="76">
        <f>+M28*$N$19</f>
        <v>302400</v>
      </c>
    </row>
    <row r="29" spans="2:21" x14ac:dyDescent="0.25">
      <c r="B29" s="83" t="s">
        <v>1816</v>
      </c>
      <c r="C29" s="145" t="s">
        <v>1812</v>
      </c>
      <c r="D29" s="145" t="s">
        <v>778</v>
      </c>
      <c r="E29" s="84" t="s">
        <v>1345</v>
      </c>
      <c r="G29" s="29">
        <v>1</v>
      </c>
      <c r="H29" s="77" t="str">
        <f>VLOOKUP(E29,'B. DATOS'!$B$34:$E$622,2,FALSE)</f>
        <v>UND</v>
      </c>
      <c r="J29" s="29" t="s">
        <v>259</v>
      </c>
      <c r="L29" s="78">
        <f>VLOOKUP(E29,'B. DATOS'!$B$34:$E$622,4,FALSE)</f>
        <v>200000</v>
      </c>
      <c r="M29" s="76">
        <f t="shared" si="0"/>
        <v>200000</v>
      </c>
      <c r="N29" s="351"/>
      <c r="O29" s="80">
        <f t="shared" si="1"/>
        <v>42</v>
      </c>
      <c r="Q29" s="76">
        <f>+M29*$N$19</f>
        <v>8400000</v>
      </c>
    </row>
    <row r="30" spans="2:21" s="39" customFormat="1" x14ac:dyDescent="0.25">
      <c r="B30" s="288">
        <v>2.4</v>
      </c>
      <c r="C30" s="289" t="s">
        <v>1400</v>
      </c>
      <c r="D30" s="367" t="s">
        <v>1519</v>
      </c>
      <c r="E30" s="368"/>
      <c r="F30" s="290"/>
      <c r="G30" s="290"/>
      <c r="H30" s="290"/>
      <c r="I30" s="290"/>
      <c r="J30" s="290"/>
      <c r="K30" s="290"/>
      <c r="L30" s="291"/>
      <c r="M30" s="291">
        <f>+SUM(M31:M41)</f>
        <v>413917.32400000002</v>
      </c>
      <c r="N30" s="290"/>
      <c r="O30" s="290"/>
      <c r="P30" s="291">
        <f>+SUM(P31:P41)</f>
        <v>332213.20799999998</v>
      </c>
      <c r="Q30" s="291">
        <f>+SUM(Q31:Q41)</f>
        <v>495621.44</v>
      </c>
      <c r="R30" s="298">
        <f>+P30+Q30</f>
        <v>827834.64800000004</v>
      </c>
      <c r="S30" s="293">
        <f>+R30/(G31*N31)</f>
        <v>3128626.7876039306</v>
      </c>
      <c r="T30" s="294" cm="1">
        <f t="array" ref="T30:U30">+R30/'1. GENERAL'!$E$31:$F$31</f>
        <v>1.6931444447679843E-3</v>
      </c>
      <c r="U30" s="39" t="e">
        <v>#DIV/0!</v>
      </c>
    </row>
    <row r="31" spans="2:21" x14ac:dyDescent="0.25">
      <c r="B31" s="295" t="s">
        <v>509</v>
      </c>
      <c r="C31" s="296" t="s">
        <v>1400</v>
      </c>
      <c r="D31" s="296" t="s">
        <v>251</v>
      </c>
      <c r="E31" s="297" t="s">
        <v>1353</v>
      </c>
      <c r="F31" s="29">
        <v>0.6</v>
      </c>
      <c r="G31" s="29">
        <f>+((F31*F32)*F33)*1.05</f>
        <v>0.1323</v>
      </c>
      <c r="H31" s="77" t="str">
        <f>VLOOKUP(E31,'B. DATOS'!$B$34:$E$622,2,FALSE)</f>
        <v>M3</v>
      </c>
      <c r="J31" s="29" t="s">
        <v>717</v>
      </c>
      <c r="L31" s="78">
        <f>VLOOKUP(E31,'B. DATOS'!$B$34:$E$622,4,FALSE)</f>
        <v>487000</v>
      </c>
      <c r="M31" s="76">
        <f>+L31*G31</f>
        <v>64430.1</v>
      </c>
      <c r="N31" s="351">
        <v>2</v>
      </c>
      <c r="O31" s="80">
        <f>+G31*$N$31</f>
        <v>0.2646</v>
      </c>
      <c r="P31" s="76">
        <f t="shared" ref="P31:P36" si="3">+M31*$N$31</f>
        <v>128860.2</v>
      </c>
    </row>
    <row r="32" spans="2:21" x14ac:dyDescent="0.25">
      <c r="B32" s="295" t="s">
        <v>578</v>
      </c>
      <c r="C32" s="296" t="s">
        <v>1400</v>
      </c>
      <c r="D32" s="296" t="s">
        <v>251</v>
      </c>
      <c r="E32" s="297" t="s">
        <v>290</v>
      </c>
      <c r="F32" s="29">
        <v>0.6</v>
      </c>
      <c r="G32" s="29">
        <f>+((F31*F32)*0.05)*1.05</f>
        <v>1.89E-2</v>
      </c>
      <c r="H32" s="77" t="str">
        <f>VLOOKUP(E32,'B. DATOS'!$B$34:$E$622,2,FALSE)</f>
        <v>M3</v>
      </c>
      <c r="J32" s="29" t="s">
        <v>717</v>
      </c>
      <c r="L32" s="78">
        <f>VLOOKUP(E32,'B. DATOS'!$B$34:$E$622,4,FALSE)</f>
        <v>429000</v>
      </c>
      <c r="M32" s="76">
        <f>+L32*G32</f>
        <v>8108.1</v>
      </c>
      <c r="N32" s="351"/>
      <c r="O32" s="80">
        <f t="shared" ref="O32:O41" si="4">+G32*$N$31</f>
        <v>3.78E-2</v>
      </c>
      <c r="P32" s="76">
        <f t="shared" si="3"/>
        <v>16216.2</v>
      </c>
    </row>
    <row r="33" spans="2:21" x14ac:dyDescent="0.25">
      <c r="B33" s="295" t="s">
        <v>579</v>
      </c>
      <c r="C33" s="296" t="s">
        <v>1400</v>
      </c>
      <c r="D33" s="296" t="s">
        <v>251</v>
      </c>
      <c r="E33" s="297" t="s">
        <v>265</v>
      </c>
      <c r="F33" s="29">
        <v>0.35</v>
      </c>
      <c r="G33" s="29">
        <f>+(F32+((F32*F33)*4))*1.05</f>
        <v>1.512</v>
      </c>
      <c r="H33" s="77" t="str">
        <f>VLOOKUP(E33,'B. DATOS'!$B$34:$E$622,2,FALSE)</f>
        <v>M2</v>
      </c>
      <c r="J33" s="29" t="s">
        <v>644</v>
      </c>
      <c r="L33" s="78">
        <f>VLOOKUP(E33,'B. DATOS'!$B$34:$E$622,4,FALSE)</f>
        <v>1700</v>
      </c>
      <c r="M33" s="76">
        <f t="shared" ref="M33:M38" si="5">+L33*G33</f>
        <v>2570.4</v>
      </c>
      <c r="N33" s="351"/>
      <c r="O33" s="80">
        <f t="shared" si="4"/>
        <v>3.024</v>
      </c>
      <c r="P33" s="76">
        <f t="shared" si="3"/>
        <v>5140.8</v>
      </c>
      <c r="S33" s="150"/>
      <c r="T33" s="150"/>
    </row>
    <row r="34" spans="2:21" x14ac:dyDescent="0.25">
      <c r="B34" s="295" t="s">
        <v>580</v>
      </c>
      <c r="C34" s="296" t="s">
        <v>1400</v>
      </c>
      <c r="D34" s="296" t="s">
        <v>251</v>
      </c>
      <c r="E34" s="297" t="s">
        <v>574</v>
      </c>
      <c r="F34" s="29">
        <v>10</v>
      </c>
      <c r="G34" s="80">
        <f>+(((((F31-0.1)+0.3)*F34)*0.996)*2)*1.1</f>
        <v>17.529600000000002</v>
      </c>
      <c r="H34" s="77" t="str">
        <f>VLOOKUP(E34,'B. DATOS'!$B$34:$E$622,2,FALSE)</f>
        <v>KG</v>
      </c>
      <c r="J34" s="29" t="s">
        <v>274</v>
      </c>
      <c r="L34" s="78">
        <f>VLOOKUP(E34,'B. DATOS'!$B$34:$E$622,4,FALSE)</f>
        <v>4000</v>
      </c>
      <c r="M34" s="76">
        <f t="shared" si="5"/>
        <v>70118.400000000009</v>
      </c>
      <c r="N34" s="351"/>
      <c r="O34" s="80">
        <f t="shared" si="4"/>
        <v>35.059200000000004</v>
      </c>
      <c r="P34" s="76">
        <f t="shared" si="3"/>
        <v>140236.80000000002</v>
      </c>
    </row>
    <row r="35" spans="2:21" x14ac:dyDescent="0.25">
      <c r="B35" s="295" t="s">
        <v>581</v>
      </c>
      <c r="C35" s="296" t="s">
        <v>1400</v>
      </c>
      <c r="D35" s="296" t="s">
        <v>251</v>
      </c>
      <c r="E35" s="297" t="s">
        <v>266</v>
      </c>
      <c r="G35" s="80">
        <f>+G34*0.03</f>
        <v>0.52588800000000002</v>
      </c>
      <c r="H35" s="77" t="str">
        <f>VLOOKUP(E35,'B. DATOS'!$B$34:$E$622,2,FALSE)</f>
        <v>KG</v>
      </c>
      <c r="J35" s="29" t="s">
        <v>274</v>
      </c>
      <c r="L35" s="78">
        <f>VLOOKUP(E35,'B. DATOS'!$B$34:$E$622,4,FALSE)</f>
        <v>8000</v>
      </c>
      <c r="M35" s="76">
        <f t="shared" si="5"/>
        <v>4207.1040000000003</v>
      </c>
      <c r="N35" s="351"/>
      <c r="O35" s="80">
        <f t="shared" si="4"/>
        <v>1.051776</v>
      </c>
      <c r="P35" s="76">
        <f t="shared" si="3"/>
        <v>8414.2080000000005</v>
      </c>
    </row>
    <row r="36" spans="2:21" x14ac:dyDescent="0.25">
      <c r="B36" s="295" t="s">
        <v>582</v>
      </c>
      <c r="C36" s="296" t="s">
        <v>1400</v>
      </c>
      <c r="D36" s="296" t="s">
        <v>251</v>
      </c>
      <c r="E36" s="297" t="s">
        <v>264</v>
      </c>
      <c r="G36" s="29">
        <f>+G39*1.3</f>
        <v>0.17550000000000002</v>
      </c>
      <c r="H36" s="77" t="str">
        <f>VLOOKUP(E36,'B. DATOS'!$B$34:$E$622,2,FALSE)</f>
        <v>M3</v>
      </c>
      <c r="J36" s="29" t="s">
        <v>634</v>
      </c>
      <c r="L36" s="78">
        <f>VLOOKUP(E36,'B. DATOS'!$B$34:$E$622,4,FALSE)</f>
        <v>95000</v>
      </c>
      <c r="M36" s="76">
        <f t="shared" si="5"/>
        <v>16672.5</v>
      </c>
      <c r="N36" s="351"/>
      <c r="O36" s="80">
        <f t="shared" si="4"/>
        <v>0.35100000000000003</v>
      </c>
      <c r="P36" s="76">
        <f t="shared" si="3"/>
        <v>33345</v>
      </c>
    </row>
    <row r="37" spans="2:21" x14ac:dyDescent="0.25">
      <c r="B37" s="295" t="s">
        <v>583</v>
      </c>
      <c r="C37" s="296" t="s">
        <v>1400</v>
      </c>
      <c r="D37" s="296" t="s">
        <v>778</v>
      </c>
      <c r="E37" s="297" t="s">
        <v>729</v>
      </c>
      <c r="G37" s="80">
        <f>+G34</f>
        <v>17.529600000000002</v>
      </c>
      <c r="H37" s="77" t="str">
        <f>VLOOKUP(E37,'B. DATOS'!$B$34:$E$622,2,FALSE)</f>
        <v>KG</v>
      </c>
      <c r="J37" s="29" t="s">
        <v>259</v>
      </c>
      <c r="L37" s="78">
        <f>VLOOKUP(E37,'B. DATOS'!$B$34:$E$622,4,FALSE)</f>
        <v>700</v>
      </c>
      <c r="M37" s="76">
        <f t="shared" si="5"/>
        <v>12270.720000000001</v>
      </c>
      <c r="N37" s="351"/>
      <c r="O37" s="80">
        <f t="shared" si="4"/>
        <v>35.059200000000004</v>
      </c>
      <c r="Q37" s="76">
        <f>+M37*$N$31</f>
        <v>24541.440000000002</v>
      </c>
    </row>
    <row r="38" spans="2:21" x14ac:dyDescent="0.25">
      <c r="B38" s="295" t="s">
        <v>584</v>
      </c>
      <c r="C38" s="296" t="s">
        <v>1400</v>
      </c>
      <c r="D38" s="296" t="s">
        <v>778</v>
      </c>
      <c r="E38" s="297" t="s">
        <v>1291</v>
      </c>
      <c r="G38" s="29">
        <v>0.25</v>
      </c>
      <c r="H38" s="77" t="str">
        <f>VLOOKUP(E38,'B. DATOS'!$B$34:$E$622,2,FALSE)</f>
        <v>DÍA</v>
      </c>
      <c r="J38" s="29" t="s">
        <v>652</v>
      </c>
      <c r="L38" s="78">
        <f>VLOOKUP(E38,'B. DATOS'!$B$34:$E$622,4,FALSE)</f>
        <v>95000</v>
      </c>
      <c r="M38" s="76">
        <f t="shared" si="5"/>
        <v>23750</v>
      </c>
      <c r="N38" s="351"/>
      <c r="O38" s="80">
        <f t="shared" si="4"/>
        <v>0.5</v>
      </c>
      <c r="Q38" s="76">
        <f>+M38*$N$31</f>
        <v>47500</v>
      </c>
    </row>
    <row r="39" spans="2:21" x14ac:dyDescent="0.25">
      <c r="B39" s="295" t="s">
        <v>1326</v>
      </c>
      <c r="C39" s="296" t="s">
        <v>1400</v>
      </c>
      <c r="D39" s="296" t="s">
        <v>778</v>
      </c>
      <c r="E39" s="297" t="s">
        <v>328</v>
      </c>
      <c r="G39" s="80">
        <f>+((F31*F32)-(0.3*0.3))*0.5</f>
        <v>0.13500000000000001</v>
      </c>
      <c r="H39" s="77" t="str">
        <f>VLOOKUP(E39,'B. DATOS'!$B$34:$E$622,2,FALSE)</f>
        <v>M3</v>
      </c>
      <c r="J39" s="29" t="s">
        <v>259</v>
      </c>
      <c r="L39" s="78">
        <f>VLOOKUP(E39,'B. DATOS'!$B$34:$E$622,4,FALSE)</f>
        <v>34000</v>
      </c>
      <c r="M39" s="76">
        <f>+L39*G39</f>
        <v>4590</v>
      </c>
      <c r="N39" s="351"/>
      <c r="O39" s="80">
        <f t="shared" si="4"/>
        <v>0.27</v>
      </c>
      <c r="Q39" s="76">
        <f>+M39*$N$31</f>
        <v>9180</v>
      </c>
    </row>
    <row r="40" spans="2:21" x14ac:dyDescent="0.25">
      <c r="B40" s="295" t="s">
        <v>1817</v>
      </c>
      <c r="C40" s="296" t="s">
        <v>1400</v>
      </c>
      <c r="D40" s="296" t="s">
        <v>778</v>
      </c>
      <c r="E40" s="297" t="s">
        <v>774</v>
      </c>
      <c r="G40" s="29">
        <f>+F31*F32</f>
        <v>0.36</v>
      </c>
      <c r="H40" s="77" t="str">
        <f>VLOOKUP(E40,'B. DATOS'!$B$34:$E$622,2,FALSE)</f>
        <v>M2</v>
      </c>
      <c r="J40" s="29" t="s">
        <v>259</v>
      </c>
      <c r="L40" s="78">
        <f>VLOOKUP(E40,'B. DATOS'!$B$34:$E$622,4,FALSE)</f>
        <v>20000</v>
      </c>
      <c r="M40" s="76">
        <f>+L40*G40</f>
        <v>7200</v>
      </c>
      <c r="N40" s="351"/>
      <c r="O40" s="80">
        <f t="shared" si="4"/>
        <v>0.72</v>
      </c>
      <c r="Q40" s="76">
        <f>+M40*$N$31</f>
        <v>14400</v>
      </c>
    </row>
    <row r="41" spans="2:21" x14ac:dyDescent="0.25">
      <c r="B41" s="295" t="s">
        <v>1818</v>
      </c>
      <c r="C41" s="296" t="s">
        <v>1400</v>
      </c>
      <c r="D41" s="296" t="s">
        <v>778</v>
      </c>
      <c r="E41" s="297" t="s">
        <v>1345</v>
      </c>
      <c r="G41" s="29">
        <v>1</v>
      </c>
      <c r="H41" s="77" t="str">
        <f>VLOOKUP(E41,'B. DATOS'!$B$34:$E$622,2,FALSE)</f>
        <v>UND</v>
      </c>
      <c r="J41" s="29" t="s">
        <v>259</v>
      </c>
      <c r="L41" s="78">
        <f>VLOOKUP(E41,'B. DATOS'!$B$34:$E$622,4,FALSE)</f>
        <v>200000</v>
      </c>
      <c r="M41" s="76">
        <f>+L41*G41</f>
        <v>200000</v>
      </c>
      <c r="N41" s="351"/>
      <c r="O41" s="80">
        <f t="shared" si="4"/>
        <v>2</v>
      </c>
      <c r="Q41" s="76">
        <f>+M41*$N$31</f>
        <v>400000</v>
      </c>
    </row>
    <row r="42" spans="2:21" s="39" customFormat="1" x14ac:dyDescent="0.25">
      <c r="B42" s="110">
        <v>2.5</v>
      </c>
      <c r="C42" s="144" t="s">
        <v>1812</v>
      </c>
      <c r="D42" s="369" t="s">
        <v>1577</v>
      </c>
      <c r="E42" s="370"/>
      <c r="F42" s="121"/>
      <c r="G42" s="121"/>
      <c r="H42" s="121"/>
      <c r="I42" s="121"/>
      <c r="J42" s="121"/>
      <c r="K42" s="121"/>
      <c r="L42" s="122"/>
      <c r="M42" s="122">
        <f>+SUM(M43:M49)</f>
        <v>293175.81824000005</v>
      </c>
      <c r="N42" s="121"/>
      <c r="O42" s="121"/>
      <c r="P42" s="122">
        <f>+SUM(P43:P49)</f>
        <v>3237144.9139200011</v>
      </c>
      <c r="Q42" s="122">
        <f>+SUM(Q43:Q49)</f>
        <v>3505898.9056000002</v>
      </c>
      <c r="R42" s="123">
        <f>+P42+Q42</f>
        <v>6743043.8195200013</v>
      </c>
      <c r="S42" s="124">
        <f>+R42/(G43*N43)</f>
        <v>2181367.6952380948</v>
      </c>
      <c r="T42" s="181">
        <v>2.4300002892701105E-2</v>
      </c>
      <c r="U42" s="39" t="e">
        <v>#DIV/0!</v>
      </c>
    </row>
    <row r="43" spans="2:21" x14ac:dyDescent="0.25">
      <c r="B43" s="83" t="s">
        <v>1423</v>
      </c>
      <c r="C43" s="145" t="s">
        <v>1812</v>
      </c>
      <c r="D43" s="145" t="s">
        <v>251</v>
      </c>
      <c r="E43" s="84" t="s">
        <v>1353</v>
      </c>
      <c r="F43" s="29">
        <v>0.4</v>
      </c>
      <c r="G43" s="79">
        <f>+((F43*F44)*F45)*1.05</f>
        <v>0.13440000000000005</v>
      </c>
      <c r="H43" s="77" t="str">
        <f>VLOOKUP(E43,'B. DATOS'!$B$34:$E$622,2,FALSE)</f>
        <v>M3</v>
      </c>
      <c r="J43" s="29" t="s">
        <v>717</v>
      </c>
      <c r="L43" s="78">
        <f>VLOOKUP(E43,'B. DATOS'!$B$34:$E$622,4,FALSE)</f>
        <v>487000</v>
      </c>
      <c r="M43" s="76">
        <f t="shared" ref="M43:M49" si="6">+L43*G43</f>
        <v>65452.800000000025</v>
      </c>
      <c r="N43" s="351">
        <f>+'2. CANTIDADES'!FR4</f>
        <v>23</v>
      </c>
      <c r="O43" s="80">
        <f>+G43*$N$43</f>
        <v>3.0912000000000011</v>
      </c>
      <c r="P43" s="76">
        <f>+M43*$N$43</f>
        <v>1505414.4000000006</v>
      </c>
    </row>
    <row r="44" spans="2:21" x14ac:dyDescent="0.25">
      <c r="B44" s="83" t="s">
        <v>1424</v>
      </c>
      <c r="C44" s="145" t="s">
        <v>1812</v>
      </c>
      <c r="D44" s="145" t="s">
        <v>251</v>
      </c>
      <c r="E44" s="84" t="s">
        <v>574</v>
      </c>
      <c r="F44" s="29">
        <v>0.4</v>
      </c>
      <c r="G44" s="80">
        <f>+((((((F45)*0.9)+0.15)*8)*0.996)+((F48*F47)*0.996))*1.1</f>
        <v>13.322496000000003</v>
      </c>
      <c r="H44" s="77" t="str">
        <f>VLOOKUP(E44,'B. DATOS'!$B$34:$E$622,2,FALSE)</f>
        <v>KG</v>
      </c>
      <c r="J44" s="29" t="s">
        <v>274</v>
      </c>
      <c r="L44" s="78">
        <f>VLOOKUP(E44,'B. DATOS'!$B$34:$E$622,4,FALSE)</f>
        <v>4000</v>
      </c>
      <c r="M44" s="76">
        <f t="shared" si="6"/>
        <v>53289.984000000011</v>
      </c>
      <c r="N44" s="351"/>
      <c r="O44" s="80">
        <f t="shared" ref="O44:O49" si="7">+G44*$N$43</f>
        <v>306.41740800000008</v>
      </c>
      <c r="P44" s="76">
        <f>+M44*$N$43</f>
        <v>1225669.6320000002</v>
      </c>
    </row>
    <row r="45" spans="2:21" x14ac:dyDescent="0.25">
      <c r="B45" s="83" t="s">
        <v>1425</v>
      </c>
      <c r="C45" s="145" t="s">
        <v>1812</v>
      </c>
      <c r="D45" s="145" t="s">
        <v>251</v>
      </c>
      <c r="E45" s="84" t="s">
        <v>636</v>
      </c>
      <c r="F45" s="80">
        <f>+'2. CANTIDADES'!FX2/N43</f>
        <v>0.8</v>
      </c>
      <c r="G45" s="80">
        <f>+((((((0.22+0.22)+0.1)*2)*F46)*0.56)*1.1)</f>
        <v>4.4352000000000018</v>
      </c>
      <c r="H45" s="77" t="str">
        <f>VLOOKUP(E45,'B. DATOS'!$B$34:$E$622,2,FALSE)</f>
        <v>KG</v>
      </c>
      <c r="J45" s="29" t="s">
        <v>274</v>
      </c>
      <c r="L45" s="78">
        <f>VLOOKUP(E45,'B. DATOS'!$B$34:$E$622,4,FALSE)</f>
        <v>4000</v>
      </c>
      <c r="M45" s="76">
        <f t="shared" si="6"/>
        <v>17740.800000000007</v>
      </c>
      <c r="N45" s="351"/>
      <c r="O45" s="80">
        <f t="shared" si="7"/>
        <v>102.00960000000003</v>
      </c>
      <c r="P45" s="76">
        <f>+M45*$N$43</f>
        <v>408038.40000000014</v>
      </c>
    </row>
    <row r="46" spans="2:21" x14ac:dyDescent="0.25">
      <c r="B46" s="83" t="s">
        <v>1426</v>
      </c>
      <c r="C46" s="145" t="s">
        <v>1812</v>
      </c>
      <c r="D46" s="145" t="s">
        <v>251</v>
      </c>
      <c r="E46" s="84" t="s">
        <v>266</v>
      </c>
      <c r="F46" s="80">
        <f>+F45/0.12</f>
        <v>6.666666666666667</v>
      </c>
      <c r="G46" s="80">
        <f>+(G45+G44)*0.03</f>
        <v>0.53273088000000002</v>
      </c>
      <c r="H46" s="77" t="str">
        <f>VLOOKUP(E46,'B. DATOS'!$B$34:$E$622,2,FALSE)</f>
        <v>KG</v>
      </c>
      <c r="J46" s="29" t="s">
        <v>274</v>
      </c>
      <c r="L46" s="78">
        <f>VLOOKUP(E46,'B. DATOS'!$B$34:$E$622,4,FALSE)</f>
        <v>8000</v>
      </c>
      <c r="M46" s="76">
        <f t="shared" si="6"/>
        <v>4261.8470400000006</v>
      </c>
      <c r="N46" s="351"/>
      <c r="O46" s="80">
        <f t="shared" si="7"/>
        <v>12.252810240000001</v>
      </c>
      <c r="P46" s="76">
        <f>+M46*$N$43</f>
        <v>98022.48192000002</v>
      </c>
    </row>
    <row r="47" spans="2:21" x14ac:dyDescent="0.25">
      <c r="B47" s="83" t="s">
        <v>1427</v>
      </c>
      <c r="C47" s="145" t="s">
        <v>1812</v>
      </c>
      <c r="D47" s="145" t="s">
        <v>778</v>
      </c>
      <c r="E47" s="84" t="s">
        <v>729</v>
      </c>
      <c r="F47" s="29">
        <v>4</v>
      </c>
      <c r="G47" s="80">
        <f>+G44+G45</f>
        <v>17.757696000000003</v>
      </c>
      <c r="H47" s="77" t="str">
        <f>VLOOKUP(E47,'B. DATOS'!$B$34:$E$622,2,FALSE)</f>
        <v>KG</v>
      </c>
      <c r="J47" s="29" t="s">
        <v>259</v>
      </c>
      <c r="L47" s="78">
        <f>VLOOKUP(E47,'B. DATOS'!$B$34:$E$622,4,FALSE)</f>
        <v>700</v>
      </c>
      <c r="M47" s="76">
        <f t="shared" si="6"/>
        <v>12430.387200000003</v>
      </c>
      <c r="N47" s="351"/>
      <c r="O47" s="80">
        <f t="shared" si="7"/>
        <v>408.42700800000006</v>
      </c>
      <c r="Q47" s="76">
        <f>+M47*$N$43</f>
        <v>285898.90560000006</v>
      </c>
    </row>
    <row r="48" spans="2:21" x14ac:dyDescent="0.25">
      <c r="B48" s="83" t="s">
        <v>1428</v>
      </c>
      <c r="C48" s="145" t="s">
        <v>1812</v>
      </c>
      <c r="D48" s="145" t="s">
        <v>778</v>
      </c>
      <c r="E48" s="84" t="s">
        <v>1329</v>
      </c>
      <c r="F48" s="80">
        <f>+F45+0.5</f>
        <v>1.3</v>
      </c>
      <c r="G48" s="80">
        <f>+F45</f>
        <v>0.8</v>
      </c>
      <c r="H48" s="77" t="str">
        <f>VLOOKUP(E48,'B. DATOS'!$B$34:$E$622,2,FALSE)</f>
        <v>ML/DÍA</v>
      </c>
      <c r="J48" s="29" t="s">
        <v>292</v>
      </c>
      <c r="L48" s="78">
        <f>VLOOKUP(E48,'B. DATOS'!$B$34:$E$622,4,FALSE)</f>
        <v>25000</v>
      </c>
      <c r="M48" s="76">
        <f t="shared" si="6"/>
        <v>20000</v>
      </c>
      <c r="N48" s="351"/>
      <c r="O48" s="80">
        <f t="shared" si="7"/>
        <v>18.400000000000002</v>
      </c>
      <c r="Q48" s="76">
        <f>+M48*$N$43</f>
        <v>460000</v>
      </c>
    </row>
    <row r="49" spans="2:21" x14ac:dyDescent="0.25">
      <c r="B49" s="83" t="s">
        <v>1429</v>
      </c>
      <c r="C49" s="145" t="s">
        <v>1812</v>
      </c>
      <c r="D49" s="145" t="s">
        <v>778</v>
      </c>
      <c r="E49" s="84" t="s">
        <v>1477</v>
      </c>
      <c r="G49" s="29">
        <v>1</v>
      </c>
      <c r="H49" s="77" t="str">
        <f>VLOOKUP(E49,'B. DATOS'!$B$34:$E$622,2,FALSE)</f>
        <v>UND</v>
      </c>
      <c r="J49" s="29" t="s">
        <v>259</v>
      </c>
      <c r="L49" s="78">
        <f>VLOOKUP(E49,'B. DATOS'!$B$34:$E$622,4,FALSE)</f>
        <v>120000</v>
      </c>
      <c r="M49" s="76">
        <f t="shared" si="6"/>
        <v>120000</v>
      </c>
      <c r="N49" s="351"/>
      <c r="O49" s="80">
        <f t="shared" si="7"/>
        <v>23</v>
      </c>
      <c r="Q49" s="76">
        <f>+M49*$N$43</f>
        <v>2760000</v>
      </c>
    </row>
    <row r="50" spans="2:21" s="39" customFormat="1" x14ac:dyDescent="0.25">
      <c r="B50" s="110">
        <v>2.6</v>
      </c>
      <c r="C50" s="144" t="s">
        <v>1812</v>
      </c>
      <c r="D50" s="369" t="s">
        <v>1586</v>
      </c>
      <c r="E50" s="370"/>
      <c r="F50" s="121"/>
      <c r="G50" s="121"/>
      <c r="H50" s="121"/>
      <c r="I50" s="121"/>
      <c r="J50" s="121"/>
      <c r="K50" s="121"/>
      <c r="L50" s="122"/>
      <c r="M50" s="122">
        <f>+SUM(M51:M59)</f>
        <v>128914.30344000002</v>
      </c>
      <c r="N50" s="121"/>
      <c r="O50" s="121"/>
      <c r="P50" s="122">
        <f>+SUM(P51:P59)</f>
        <v>3505566.9734400013</v>
      </c>
      <c r="Q50" s="122">
        <f>+SUM(Q51:Q59)</f>
        <v>3713634.0192</v>
      </c>
      <c r="R50" s="123">
        <f>+P50+Q50</f>
        <v>7219200.9926400017</v>
      </c>
      <c r="S50" s="124">
        <f>+R50/(G51*N51)</f>
        <v>3836735.2214285713</v>
      </c>
      <c r="T50" s="181">
        <v>2.4300002892701105E-2</v>
      </c>
      <c r="U50" s="39" t="e">
        <v>#DIV/0!</v>
      </c>
    </row>
    <row r="51" spans="2:21" x14ac:dyDescent="0.25">
      <c r="B51" s="83" t="s">
        <v>1551</v>
      </c>
      <c r="C51" s="145" t="s">
        <v>1812</v>
      </c>
      <c r="D51" s="145" t="s">
        <v>251</v>
      </c>
      <c r="E51" s="84" t="s">
        <v>1353</v>
      </c>
      <c r="F51" s="29">
        <v>0.2</v>
      </c>
      <c r="G51" s="79">
        <f>+((F51*F52)*F53)*1.05</f>
        <v>3.3600000000000012E-2</v>
      </c>
      <c r="H51" s="77" t="str">
        <f>VLOOKUP(E51,'B. DATOS'!$B$34:$E$622,2,FALSE)</f>
        <v>M3</v>
      </c>
      <c r="J51" s="29" t="s">
        <v>717</v>
      </c>
      <c r="L51" s="78">
        <f>VLOOKUP(E51,'B. DATOS'!$B$34:$E$622,4,FALSE)</f>
        <v>487000</v>
      </c>
      <c r="M51" s="76">
        <f t="shared" ref="M51:M59" si="8">+L51*G51</f>
        <v>16363.200000000006</v>
      </c>
      <c r="N51" s="351">
        <f>+SUM('2. CANTIDADES'!FZ4:FZ27)-N61</f>
        <v>56</v>
      </c>
      <c r="O51" s="80">
        <f t="shared" ref="O51:O59" si="9">+G51*$N$51</f>
        <v>1.8816000000000006</v>
      </c>
      <c r="P51" s="76">
        <f t="shared" ref="P51:P56" si="10">+M51*$N$51</f>
        <v>916339.2000000003</v>
      </c>
    </row>
    <row r="52" spans="2:21" x14ac:dyDescent="0.25">
      <c r="B52" s="83" t="s">
        <v>1552</v>
      </c>
      <c r="C52" s="145" t="s">
        <v>1812</v>
      </c>
      <c r="D52" s="145" t="s">
        <v>251</v>
      </c>
      <c r="E52" s="84" t="s">
        <v>289</v>
      </c>
      <c r="F52" s="29">
        <v>0.4</v>
      </c>
      <c r="G52" s="80">
        <f>+((F52*2.5)*1.1)/2</f>
        <v>0.55000000000000004</v>
      </c>
      <c r="H52" s="77" t="str">
        <f>VLOOKUP(E52,'B. DATOS'!$B$34:$E$622,2,FALSE)</f>
        <v>ML</v>
      </c>
      <c r="J52" s="29" t="s">
        <v>292</v>
      </c>
      <c r="L52" s="78">
        <f>VLOOKUP(E52,'B. DATOS'!$B$34:$E$622,4,FALSE)</f>
        <v>14000</v>
      </c>
      <c r="M52" s="76">
        <f t="shared" si="8"/>
        <v>7700.0000000000009</v>
      </c>
      <c r="N52" s="351"/>
      <c r="O52" s="80">
        <f t="shared" si="9"/>
        <v>30.800000000000004</v>
      </c>
      <c r="P52" s="76">
        <f t="shared" si="10"/>
        <v>431200.00000000006</v>
      </c>
    </row>
    <row r="53" spans="2:21" x14ac:dyDescent="0.25">
      <c r="B53" s="83" t="s">
        <v>1553</v>
      </c>
      <c r="C53" s="145" t="s">
        <v>1812</v>
      </c>
      <c r="D53" s="145" t="s">
        <v>251</v>
      </c>
      <c r="E53" s="84" t="s">
        <v>278</v>
      </c>
      <c r="F53" s="80">
        <v>0.4</v>
      </c>
      <c r="G53" s="80">
        <f>+(G52*0.05)*2</f>
        <v>5.5000000000000007E-2</v>
      </c>
      <c r="H53" s="77" t="str">
        <f>VLOOKUP(E53,'B. DATOS'!$B$34:$E$622,2,FALSE)</f>
        <v>LB</v>
      </c>
      <c r="J53" s="29" t="s">
        <v>274</v>
      </c>
      <c r="L53" s="78">
        <f>VLOOKUP(E53,'B. DATOS'!$B$34:$E$622,4,FALSE)</f>
        <v>5200</v>
      </c>
      <c r="M53" s="76">
        <f t="shared" si="8"/>
        <v>286.00000000000006</v>
      </c>
      <c r="N53" s="351"/>
      <c r="O53" s="80">
        <f t="shared" si="9"/>
        <v>3.0800000000000005</v>
      </c>
      <c r="P53" s="76">
        <f t="shared" si="10"/>
        <v>16016.000000000004</v>
      </c>
    </row>
    <row r="54" spans="2:21" x14ac:dyDescent="0.25">
      <c r="B54" s="83" t="s">
        <v>1554</v>
      </c>
      <c r="C54" s="145" t="s">
        <v>1812</v>
      </c>
      <c r="D54" s="145" t="s">
        <v>251</v>
      </c>
      <c r="E54" s="84" t="s">
        <v>574</v>
      </c>
      <c r="F54" s="80">
        <f>+F53/0.12</f>
        <v>3.3333333333333335</v>
      </c>
      <c r="G54" s="80">
        <f>+((((((F53)*0.9)+0.15)*6)*0.996)+((F56*F55)*0.996))*1.1</f>
        <v>6.8036760000000003</v>
      </c>
      <c r="H54" s="77" t="str">
        <f>VLOOKUP(E54,'B. DATOS'!$B$34:$E$622,2,FALSE)</f>
        <v>KG</v>
      </c>
      <c r="J54" s="29" t="s">
        <v>274</v>
      </c>
      <c r="L54" s="78">
        <f>VLOOKUP(E54,'B. DATOS'!$B$34:$E$622,4,FALSE)</f>
        <v>4000</v>
      </c>
      <c r="M54" s="76">
        <f t="shared" si="8"/>
        <v>27214.704000000002</v>
      </c>
      <c r="N54" s="351"/>
      <c r="O54" s="80">
        <f t="shared" si="9"/>
        <v>381.00585599999999</v>
      </c>
      <c r="P54" s="76">
        <f t="shared" si="10"/>
        <v>1524023.4240000001</v>
      </c>
    </row>
    <row r="55" spans="2:21" x14ac:dyDescent="0.25">
      <c r="B55" s="83" t="s">
        <v>1555</v>
      </c>
      <c r="C55" s="145" t="s">
        <v>1812</v>
      </c>
      <c r="D55" s="145" t="s">
        <v>251</v>
      </c>
      <c r="E55" s="84" t="s">
        <v>636</v>
      </c>
      <c r="F55" s="29">
        <v>3.5</v>
      </c>
      <c r="G55" s="80">
        <f>+((((((0.32+0.12)+0.1)*2)*F54)*0.56)*1.1)</f>
        <v>2.2176000000000009</v>
      </c>
      <c r="H55" s="77" t="str">
        <f>VLOOKUP(E55,'B. DATOS'!$B$34:$E$622,2,FALSE)</f>
        <v>KG</v>
      </c>
      <c r="J55" s="29" t="s">
        <v>274</v>
      </c>
      <c r="L55" s="78">
        <f>VLOOKUP(E55,'B. DATOS'!$B$34:$E$622,4,FALSE)</f>
        <v>4000</v>
      </c>
      <c r="M55" s="76">
        <f t="shared" si="8"/>
        <v>8870.4000000000033</v>
      </c>
      <c r="N55" s="351"/>
      <c r="O55" s="80">
        <f t="shared" si="9"/>
        <v>124.18560000000005</v>
      </c>
      <c r="P55" s="76">
        <f t="shared" si="10"/>
        <v>496742.4000000002</v>
      </c>
    </row>
    <row r="56" spans="2:21" x14ac:dyDescent="0.25">
      <c r="B56" s="83" t="s">
        <v>1556</v>
      </c>
      <c r="C56" s="145" t="s">
        <v>1812</v>
      </c>
      <c r="D56" s="145" t="s">
        <v>251</v>
      </c>
      <c r="E56" s="84" t="s">
        <v>266</v>
      </c>
      <c r="F56" s="80">
        <f>+F53+0.5</f>
        <v>0.9</v>
      </c>
      <c r="G56" s="80">
        <f>+(G55+G54)*0.03</f>
        <v>0.27063828000000001</v>
      </c>
      <c r="H56" s="77" t="str">
        <f>VLOOKUP(E56,'B. DATOS'!$B$34:$E$622,2,FALSE)</f>
        <v>KG</v>
      </c>
      <c r="J56" s="29" t="s">
        <v>274</v>
      </c>
      <c r="L56" s="78">
        <f>VLOOKUP(E56,'B. DATOS'!$B$34:$E$622,4,FALSE)</f>
        <v>8000</v>
      </c>
      <c r="M56" s="76">
        <f t="shared" si="8"/>
        <v>2165.1062400000001</v>
      </c>
      <c r="N56" s="351"/>
      <c r="O56" s="80">
        <f t="shared" si="9"/>
        <v>15.15574368</v>
      </c>
      <c r="P56" s="76">
        <f t="shared" si="10"/>
        <v>121245.94944</v>
      </c>
    </row>
    <row r="57" spans="2:21" x14ac:dyDescent="0.25">
      <c r="B57" s="83" t="s">
        <v>1557</v>
      </c>
      <c r="C57" s="145" t="s">
        <v>1812</v>
      </c>
      <c r="D57" s="145" t="s">
        <v>778</v>
      </c>
      <c r="E57" s="84" t="s">
        <v>729</v>
      </c>
      <c r="G57" s="80">
        <f>+G54+G55</f>
        <v>9.0212760000000003</v>
      </c>
      <c r="H57" s="77" t="str">
        <f>VLOOKUP(E57,'B. DATOS'!$B$34:$E$622,2,FALSE)</f>
        <v>KG</v>
      </c>
      <c r="J57" s="29" t="s">
        <v>259</v>
      </c>
      <c r="L57" s="78">
        <f>VLOOKUP(E57,'B. DATOS'!$B$34:$E$622,4,FALSE)</f>
        <v>700</v>
      </c>
      <c r="M57" s="76">
        <f t="shared" si="8"/>
        <v>6314.8932000000004</v>
      </c>
      <c r="N57" s="351"/>
      <c r="O57" s="80">
        <f t="shared" si="9"/>
        <v>505.19145600000002</v>
      </c>
      <c r="Q57" s="76">
        <f>+M57*$N$51</f>
        <v>353634.01920000004</v>
      </c>
    </row>
    <row r="58" spans="2:21" x14ac:dyDescent="0.25">
      <c r="B58" s="83" t="s">
        <v>1558</v>
      </c>
      <c r="C58" s="145" t="s">
        <v>1812</v>
      </c>
      <c r="D58" s="145" t="s">
        <v>778</v>
      </c>
      <c r="E58" s="84" t="s">
        <v>1329</v>
      </c>
      <c r="G58" s="80">
        <f>+F53</f>
        <v>0.4</v>
      </c>
      <c r="H58" s="77" t="str">
        <f>VLOOKUP(E58,'B. DATOS'!$B$34:$E$622,2,FALSE)</f>
        <v>ML/DÍA</v>
      </c>
      <c r="J58" s="29" t="s">
        <v>292</v>
      </c>
      <c r="L58" s="78">
        <f>VLOOKUP(E58,'B. DATOS'!$B$34:$E$622,4,FALSE)</f>
        <v>25000</v>
      </c>
      <c r="M58" s="76">
        <f t="shared" si="8"/>
        <v>10000</v>
      </c>
      <c r="N58" s="351"/>
      <c r="O58" s="80">
        <f t="shared" si="9"/>
        <v>22.400000000000002</v>
      </c>
      <c r="Q58" s="76">
        <f>+M58*$N$51</f>
        <v>560000</v>
      </c>
    </row>
    <row r="59" spans="2:21" x14ac:dyDescent="0.25">
      <c r="B59" s="83" t="s">
        <v>1559</v>
      </c>
      <c r="C59" s="145" t="s">
        <v>1812</v>
      </c>
      <c r="D59" s="145" t="s">
        <v>778</v>
      </c>
      <c r="E59" s="84" t="s">
        <v>721</v>
      </c>
      <c r="G59" s="29">
        <v>1</v>
      </c>
      <c r="H59" s="77" t="str">
        <f>VLOOKUP(E59,'B. DATOS'!$B$34:$E$622,2,FALSE)</f>
        <v>UND</v>
      </c>
      <c r="J59" s="29" t="s">
        <v>259</v>
      </c>
      <c r="L59" s="78">
        <f>VLOOKUP(E59,'B. DATOS'!$B$34:$E$622,4,FALSE)</f>
        <v>50000</v>
      </c>
      <c r="M59" s="76">
        <f t="shared" si="8"/>
        <v>50000</v>
      </c>
      <c r="N59" s="351"/>
      <c r="O59" s="80">
        <f t="shared" si="9"/>
        <v>56</v>
      </c>
      <c r="Q59" s="76">
        <f>+M59*$N$51</f>
        <v>2800000</v>
      </c>
    </row>
    <row r="60" spans="2:21" s="39" customFormat="1" x14ac:dyDescent="0.25">
      <c r="B60" s="288">
        <v>2.7</v>
      </c>
      <c r="C60" s="289" t="s">
        <v>1400</v>
      </c>
      <c r="D60" s="367" t="s">
        <v>1586</v>
      </c>
      <c r="E60" s="368"/>
      <c r="F60" s="290"/>
      <c r="G60" s="290"/>
      <c r="H60" s="290"/>
      <c r="I60" s="290"/>
      <c r="J60" s="290"/>
      <c r="K60" s="290"/>
      <c r="L60" s="291"/>
      <c r="M60" s="291">
        <f>+SUM(M61:M69)</f>
        <v>128914.30344000002</v>
      </c>
      <c r="N60" s="290"/>
      <c r="O60" s="290"/>
      <c r="P60" s="291">
        <f>+SUM(P61:P69)</f>
        <v>375596.4614400001</v>
      </c>
      <c r="Q60" s="291">
        <f>+SUM(Q61:Q69)</f>
        <v>397889.35920000001</v>
      </c>
      <c r="R60" s="298">
        <f>+P60+Q60</f>
        <v>773485.82064000005</v>
      </c>
      <c r="S60" s="293">
        <f>+R60/(G61*N61)</f>
        <v>3836735.2214285708</v>
      </c>
      <c r="T60" s="294">
        <v>2.4300002892701105E-2</v>
      </c>
      <c r="U60" s="39" t="e">
        <v>#DIV/0!</v>
      </c>
    </row>
    <row r="61" spans="2:21" x14ac:dyDescent="0.25">
      <c r="B61" s="295" t="s">
        <v>1819</v>
      </c>
      <c r="C61" s="296" t="s">
        <v>1400</v>
      </c>
      <c r="D61" s="296" t="s">
        <v>251</v>
      </c>
      <c r="E61" s="297" t="s">
        <v>1353</v>
      </c>
      <c r="F61" s="29">
        <v>0.2</v>
      </c>
      <c r="G61" s="79">
        <f>+((F61*F62)*F63)*1.05</f>
        <v>3.3600000000000012E-2</v>
      </c>
      <c r="H61" s="77" t="str">
        <f>VLOOKUP(E61,'B. DATOS'!$B$34:$E$622,2,FALSE)</f>
        <v>M3</v>
      </c>
      <c r="J61" s="29" t="s">
        <v>717</v>
      </c>
      <c r="L61" s="78">
        <f>VLOOKUP(E61,'B. DATOS'!$B$34:$E$622,4,FALSE)</f>
        <v>487000</v>
      </c>
      <c r="M61" s="76">
        <f t="shared" ref="M61:M69" si="11">+L61*G61</f>
        <v>16363.200000000006</v>
      </c>
      <c r="N61" s="351">
        <v>6</v>
      </c>
      <c r="O61" s="80">
        <f>+G61*$N$61</f>
        <v>0.20160000000000006</v>
      </c>
      <c r="P61" s="76">
        <f t="shared" ref="P61:P66" si="12">+M61*$N$61</f>
        <v>98179.200000000041</v>
      </c>
    </row>
    <row r="62" spans="2:21" x14ac:dyDescent="0.25">
      <c r="B62" s="295" t="s">
        <v>1820</v>
      </c>
      <c r="C62" s="296" t="s">
        <v>1400</v>
      </c>
      <c r="D62" s="296" t="s">
        <v>251</v>
      </c>
      <c r="E62" s="297" t="s">
        <v>289</v>
      </c>
      <c r="F62" s="29">
        <v>0.4</v>
      </c>
      <c r="G62" s="80">
        <f>+((F62*2.5)*1.1)/2</f>
        <v>0.55000000000000004</v>
      </c>
      <c r="H62" s="77" t="str">
        <f>VLOOKUP(E62,'B. DATOS'!$B$34:$E$622,2,FALSE)</f>
        <v>ML</v>
      </c>
      <c r="J62" s="29" t="s">
        <v>292</v>
      </c>
      <c r="L62" s="78">
        <f>VLOOKUP(E62,'B. DATOS'!$B$34:$E$622,4,FALSE)</f>
        <v>14000</v>
      </c>
      <c r="M62" s="76">
        <f t="shared" si="11"/>
        <v>7700.0000000000009</v>
      </c>
      <c r="N62" s="351"/>
      <c r="O62" s="80">
        <f t="shared" ref="O62:O69" si="13">+G62*$N$61</f>
        <v>3.3000000000000003</v>
      </c>
      <c r="P62" s="76">
        <f t="shared" si="12"/>
        <v>46200.000000000007</v>
      </c>
    </row>
    <row r="63" spans="2:21" x14ac:dyDescent="0.25">
      <c r="B63" s="295" t="s">
        <v>1821</v>
      </c>
      <c r="C63" s="296" t="s">
        <v>1400</v>
      </c>
      <c r="D63" s="296" t="s">
        <v>251</v>
      </c>
      <c r="E63" s="297" t="s">
        <v>278</v>
      </c>
      <c r="F63" s="80">
        <v>0.4</v>
      </c>
      <c r="G63" s="80">
        <f>+(G62*0.05)*2</f>
        <v>5.5000000000000007E-2</v>
      </c>
      <c r="H63" s="77" t="str">
        <f>VLOOKUP(E63,'B. DATOS'!$B$34:$E$622,2,FALSE)</f>
        <v>LB</v>
      </c>
      <c r="J63" s="29" t="s">
        <v>274</v>
      </c>
      <c r="L63" s="78">
        <f>VLOOKUP(E63,'B. DATOS'!$B$34:$E$622,4,FALSE)</f>
        <v>5200</v>
      </c>
      <c r="M63" s="76">
        <f t="shared" si="11"/>
        <v>286.00000000000006</v>
      </c>
      <c r="N63" s="351"/>
      <c r="O63" s="80">
        <f t="shared" si="13"/>
        <v>0.33000000000000007</v>
      </c>
      <c r="P63" s="76">
        <f t="shared" si="12"/>
        <v>1716.0000000000005</v>
      </c>
    </row>
    <row r="64" spans="2:21" x14ac:dyDescent="0.25">
      <c r="B64" s="295" t="s">
        <v>1822</v>
      </c>
      <c r="C64" s="296" t="s">
        <v>1400</v>
      </c>
      <c r="D64" s="296" t="s">
        <v>251</v>
      </c>
      <c r="E64" s="297" t="s">
        <v>574</v>
      </c>
      <c r="F64" s="80">
        <f>+F63/0.12</f>
        <v>3.3333333333333335</v>
      </c>
      <c r="G64" s="80">
        <f>+((((((F63)*0.9)+0.15)*6)*0.996)+((F66*F65)*0.996))*1.1</f>
        <v>6.8036760000000003</v>
      </c>
      <c r="H64" s="77" t="str">
        <f>VLOOKUP(E64,'B. DATOS'!$B$34:$E$622,2,FALSE)</f>
        <v>KG</v>
      </c>
      <c r="J64" s="29" t="s">
        <v>274</v>
      </c>
      <c r="L64" s="78">
        <f>VLOOKUP(E64,'B. DATOS'!$B$34:$E$622,4,FALSE)</f>
        <v>4000</v>
      </c>
      <c r="M64" s="76">
        <f t="shared" si="11"/>
        <v>27214.704000000002</v>
      </c>
      <c r="N64" s="351"/>
      <c r="O64" s="80">
        <f t="shared" si="13"/>
        <v>40.822056000000003</v>
      </c>
      <c r="P64" s="76">
        <f t="shared" si="12"/>
        <v>163288.22400000002</v>
      </c>
    </row>
    <row r="65" spans="2:21" x14ac:dyDescent="0.25">
      <c r="B65" s="295" t="s">
        <v>1823</v>
      </c>
      <c r="C65" s="296" t="s">
        <v>1400</v>
      </c>
      <c r="D65" s="296" t="s">
        <v>251</v>
      </c>
      <c r="E65" s="297" t="s">
        <v>636</v>
      </c>
      <c r="F65" s="29">
        <v>3.5</v>
      </c>
      <c r="G65" s="80">
        <f>+((((((0.32+0.12)+0.1)*2)*F64)*0.56)*1.1)</f>
        <v>2.2176000000000009</v>
      </c>
      <c r="H65" s="77" t="str">
        <f>VLOOKUP(E65,'B. DATOS'!$B$34:$E$622,2,FALSE)</f>
        <v>KG</v>
      </c>
      <c r="J65" s="29" t="s">
        <v>274</v>
      </c>
      <c r="L65" s="78">
        <f>VLOOKUP(E65,'B. DATOS'!$B$34:$E$622,4,FALSE)</f>
        <v>4000</v>
      </c>
      <c r="M65" s="76">
        <f t="shared" si="11"/>
        <v>8870.4000000000033</v>
      </c>
      <c r="N65" s="351"/>
      <c r="O65" s="80">
        <f t="shared" si="13"/>
        <v>13.305600000000005</v>
      </c>
      <c r="P65" s="76">
        <f t="shared" si="12"/>
        <v>53222.400000000023</v>
      </c>
    </row>
    <row r="66" spans="2:21" x14ac:dyDescent="0.25">
      <c r="B66" s="295" t="s">
        <v>1824</v>
      </c>
      <c r="C66" s="296" t="s">
        <v>1400</v>
      </c>
      <c r="D66" s="296" t="s">
        <v>251</v>
      </c>
      <c r="E66" s="297" t="s">
        <v>266</v>
      </c>
      <c r="F66" s="80">
        <f>+F63+0.5</f>
        <v>0.9</v>
      </c>
      <c r="G66" s="80">
        <f>+(G65+G64)*0.03</f>
        <v>0.27063828000000001</v>
      </c>
      <c r="H66" s="77" t="str">
        <f>VLOOKUP(E66,'B. DATOS'!$B$34:$E$622,2,FALSE)</f>
        <v>KG</v>
      </c>
      <c r="J66" s="29" t="s">
        <v>274</v>
      </c>
      <c r="L66" s="78">
        <f>VLOOKUP(E66,'B. DATOS'!$B$34:$E$622,4,FALSE)</f>
        <v>8000</v>
      </c>
      <c r="M66" s="76">
        <f t="shared" si="11"/>
        <v>2165.1062400000001</v>
      </c>
      <c r="N66" s="351"/>
      <c r="O66" s="80">
        <f t="shared" si="13"/>
        <v>1.6238296800000001</v>
      </c>
      <c r="P66" s="76">
        <f t="shared" si="12"/>
        <v>12990.63744</v>
      </c>
    </row>
    <row r="67" spans="2:21" x14ac:dyDescent="0.25">
      <c r="B67" s="295" t="s">
        <v>1825</v>
      </c>
      <c r="C67" s="296" t="s">
        <v>1400</v>
      </c>
      <c r="D67" s="296" t="s">
        <v>778</v>
      </c>
      <c r="E67" s="297" t="s">
        <v>729</v>
      </c>
      <c r="G67" s="80">
        <f>+G64+G65</f>
        <v>9.0212760000000003</v>
      </c>
      <c r="H67" s="77" t="str">
        <f>VLOOKUP(E67,'B. DATOS'!$B$34:$E$622,2,FALSE)</f>
        <v>KG</v>
      </c>
      <c r="J67" s="29" t="s">
        <v>259</v>
      </c>
      <c r="L67" s="78">
        <f>VLOOKUP(E67,'B. DATOS'!$B$34:$E$622,4,FALSE)</f>
        <v>700</v>
      </c>
      <c r="M67" s="76">
        <f t="shared" si="11"/>
        <v>6314.8932000000004</v>
      </c>
      <c r="N67" s="351"/>
      <c r="O67" s="80">
        <f t="shared" si="13"/>
        <v>54.127656000000002</v>
      </c>
      <c r="Q67" s="76">
        <f>+M67*$N$61</f>
        <v>37889.359200000006</v>
      </c>
    </row>
    <row r="68" spans="2:21" x14ac:dyDescent="0.25">
      <c r="B68" s="295" t="s">
        <v>1826</v>
      </c>
      <c r="C68" s="296" t="s">
        <v>1400</v>
      </c>
      <c r="D68" s="296" t="s">
        <v>778</v>
      </c>
      <c r="E68" s="297" t="s">
        <v>1329</v>
      </c>
      <c r="G68" s="80">
        <f>+F63</f>
        <v>0.4</v>
      </c>
      <c r="H68" s="77" t="str">
        <f>VLOOKUP(E68,'B. DATOS'!$B$34:$E$622,2,FALSE)</f>
        <v>ML/DÍA</v>
      </c>
      <c r="J68" s="29" t="s">
        <v>292</v>
      </c>
      <c r="L68" s="78">
        <f>VLOOKUP(E68,'B. DATOS'!$B$34:$E$622,4,FALSE)</f>
        <v>25000</v>
      </c>
      <c r="M68" s="76">
        <f t="shared" si="11"/>
        <v>10000</v>
      </c>
      <c r="N68" s="351"/>
      <c r="O68" s="80">
        <f t="shared" si="13"/>
        <v>2.4000000000000004</v>
      </c>
      <c r="Q68" s="76">
        <f>+M68*$N$61</f>
        <v>60000</v>
      </c>
    </row>
    <row r="69" spans="2:21" x14ac:dyDescent="0.25">
      <c r="B69" s="295" t="s">
        <v>1827</v>
      </c>
      <c r="C69" s="296" t="s">
        <v>1400</v>
      </c>
      <c r="D69" s="296" t="s">
        <v>778</v>
      </c>
      <c r="E69" s="297" t="s">
        <v>721</v>
      </c>
      <c r="G69" s="29">
        <v>1</v>
      </c>
      <c r="H69" s="77" t="str">
        <f>VLOOKUP(E69,'B. DATOS'!$B$34:$E$622,2,FALSE)</f>
        <v>UND</v>
      </c>
      <c r="J69" s="29" t="s">
        <v>259</v>
      </c>
      <c r="L69" s="78">
        <f>VLOOKUP(E69,'B. DATOS'!$B$34:$E$622,4,FALSE)</f>
        <v>50000</v>
      </c>
      <c r="M69" s="76">
        <f t="shared" si="11"/>
        <v>50000</v>
      </c>
      <c r="N69" s="351"/>
      <c r="O69" s="80">
        <f t="shared" si="13"/>
        <v>6</v>
      </c>
      <c r="Q69" s="76">
        <f>+M69*$N$61</f>
        <v>300000</v>
      </c>
    </row>
    <row r="70" spans="2:21" s="39" customFormat="1" x14ac:dyDescent="0.25">
      <c r="B70" s="110">
        <v>2.8</v>
      </c>
      <c r="C70" s="144" t="s">
        <v>1812</v>
      </c>
      <c r="D70" s="369" t="s">
        <v>1578</v>
      </c>
      <c r="E70" s="370"/>
      <c r="F70" s="121"/>
      <c r="G70" s="121"/>
      <c r="H70" s="121"/>
      <c r="I70" s="121"/>
      <c r="J70" s="121"/>
      <c r="K70" s="121"/>
      <c r="L70" s="122"/>
      <c r="M70" s="122">
        <f>+SUM(M71:M77)</f>
        <v>439811.81444000005</v>
      </c>
      <c r="N70" s="121"/>
      <c r="O70" s="121"/>
      <c r="P70" s="122">
        <f>+SUM(P71:P77)</f>
        <v>6250511.1897600014</v>
      </c>
      <c r="Q70" s="122">
        <f>+SUM(Q71:Q77)</f>
        <v>4304972.3568000002</v>
      </c>
      <c r="R70" s="123">
        <f>+P70+Q70</f>
        <v>10555483.546560001</v>
      </c>
      <c r="S70" s="124">
        <f>+R70/(G71*N71)</f>
        <v>1837142.0820384289</v>
      </c>
      <c r="T70" s="181">
        <v>2.4300002892701105E-2</v>
      </c>
      <c r="U70" s="39" t="e">
        <v>#DIV/0!</v>
      </c>
    </row>
    <row r="71" spans="2:21" x14ac:dyDescent="0.25">
      <c r="B71" s="83" t="s">
        <v>1828</v>
      </c>
      <c r="C71" s="145" t="s">
        <v>1812</v>
      </c>
      <c r="D71" s="145" t="s">
        <v>251</v>
      </c>
      <c r="E71" s="84" t="s">
        <v>1353</v>
      </c>
      <c r="F71" s="29">
        <v>0.4</v>
      </c>
      <c r="G71" s="79">
        <f>+((F71*F72)*F73)*1.05</f>
        <v>0.23940000000000008</v>
      </c>
      <c r="H71" s="77" t="str">
        <f>VLOOKUP(E71,'B. DATOS'!$B$34:$E$622,2,FALSE)</f>
        <v>M3</v>
      </c>
      <c r="J71" s="29" t="s">
        <v>717</v>
      </c>
      <c r="L71" s="78">
        <f>VLOOKUP(E71,'B. DATOS'!$B$34:$E$622,4,FALSE)</f>
        <v>487000</v>
      </c>
      <c r="M71" s="76">
        <f t="shared" ref="M71:M77" si="14">+L71*G71</f>
        <v>116587.80000000005</v>
      </c>
      <c r="N71" s="351">
        <f>+SUM('2. CANTIDADES'!FJ4:FJ9)</f>
        <v>24</v>
      </c>
      <c r="O71" s="80">
        <f>+G71*$N$43</f>
        <v>5.5062000000000015</v>
      </c>
      <c r="P71" s="76">
        <f>+M71*$N$71</f>
        <v>2798107.2000000011</v>
      </c>
    </row>
    <row r="72" spans="2:21" x14ac:dyDescent="0.25">
      <c r="B72" s="83" t="s">
        <v>1829</v>
      </c>
      <c r="C72" s="145" t="s">
        <v>1812</v>
      </c>
      <c r="D72" s="145" t="s">
        <v>251</v>
      </c>
      <c r="E72" s="84" t="s">
        <v>574</v>
      </c>
      <c r="F72" s="29">
        <v>0.4</v>
      </c>
      <c r="G72" s="80">
        <f>+((((((F73)*0.9)+0.15)*8)*0.996)+((F76*F75)*0.996))*1.1</f>
        <v>23.100725999999998</v>
      </c>
      <c r="H72" s="77" t="str">
        <f>VLOOKUP(E72,'B. DATOS'!$B$34:$E$622,2,FALSE)</f>
        <v>KG</v>
      </c>
      <c r="J72" s="29" t="s">
        <v>274</v>
      </c>
      <c r="L72" s="78">
        <f>VLOOKUP(E72,'B. DATOS'!$B$34:$E$622,4,FALSE)</f>
        <v>4000</v>
      </c>
      <c r="M72" s="76">
        <f t="shared" si="14"/>
        <v>92402.903999999995</v>
      </c>
      <c r="N72" s="351"/>
      <c r="O72" s="80">
        <f t="shared" ref="O72:O77" si="15">+G72*$N$43</f>
        <v>531.31669799999997</v>
      </c>
      <c r="P72" s="76">
        <f>+M72*$N$71</f>
        <v>2217669.696</v>
      </c>
    </row>
    <row r="73" spans="2:21" x14ac:dyDescent="0.25">
      <c r="B73" s="83" t="s">
        <v>1830</v>
      </c>
      <c r="C73" s="145" t="s">
        <v>1812</v>
      </c>
      <c r="D73" s="145" t="s">
        <v>251</v>
      </c>
      <c r="E73" s="84" t="s">
        <v>636</v>
      </c>
      <c r="F73" s="80">
        <f>+'2. CANTIDADES'!FP2/N71</f>
        <v>1.425</v>
      </c>
      <c r="G73" s="80">
        <f>+((((((0.32+0.32)+0.1)*2)*F74)*0.56)*1.1)</f>
        <v>10.826200000000002</v>
      </c>
      <c r="H73" s="77" t="str">
        <f>VLOOKUP(E73,'B. DATOS'!$B$34:$E$622,2,FALSE)</f>
        <v>KG</v>
      </c>
      <c r="J73" s="29" t="s">
        <v>274</v>
      </c>
      <c r="L73" s="78">
        <f>VLOOKUP(E73,'B. DATOS'!$B$34:$E$622,4,FALSE)</f>
        <v>4000</v>
      </c>
      <c r="M73" s="76">
        <f t="shared" si="14"/>
        <v>43304.80000000001</v>
      </c>
      <c r="N73" s="351"/>
      <c r="O73" s="80">
        <f t="shared" si="15"/>
        <v>249.00260000000003</v>
      </c>
      <c r="P73" s="76">
        <f>+M73*$N$71</f>
        <v>1039315.2000000002</v>
      </c>
    </row>
    <row r="74" spans="2:21" x14ac:dyDescent="0.25">
      <c r="B74" s="83" t="s">
        <v>1831</v>
      </c>
      <c r="C74" s="145" t="s">
        <v>1812</v>
      </c>
      <c r="D74" s="145" t="s">
        <v>251</v>
      </c>
      <c r="E74" s="84" t="s">
        <v>266</v>
      </c>
      <c r="F74" s="80">
        <f>+F73/0.12</f>
        <v>11.875</v>
      </c>
      <c r="G74" s="80">
        <f>+(G73+G72)*0.03</f>
        <v>1.0178077800000001</v>
      </c>
      <c r="H74" s="77" t="str">
        <f>VLOOKUP(E74,'B. DATOS'!$B$34:$E$622,2,FALSE)</f>
        <v>KG</v>
      </c>
      <c r="J74" s="29" t="s">
        <v>274</v>
      </c>
      <c r="L74" s="78">
        <f>VLOOKUP(E74,'B. DATOS'!$B$34:$E$622,4,FALSE)</f>
        <v>8000</v>
      </c>
      <c r="M74" s="76">
        <f t="shared" si="14"/>
        <v>8142.4622400000007</v>
      </c>
      <c r="N74" s="351"/>
      <c r="O74" s="80">
        <f t="shared" si="15"/>
        <v>23.409578940000003</v>
      </c>
      <c r="P74" s="76">
        <f>+M74*$N$71</f>
        <v>195419.09376000002</v>
      </c>
    </row>
    <row r="75" spans="2:21" x14ac:dyDescent="0.25">
      <c r="B75" s="83" t="s">
        <v>1832</v>
      </c>
      <c r="C75" s="145" t="s">
        <v>1812</v>
      </c>
      <c r="D75" s="145" t="s">
        <v>778</v>
      </c>
      <c r="E75" s="84" t="s">
        <v>729</v>
      </c>
      <c r="F75" s="29">
        <v>5</v>
      </c>
      <c r="G75" s="80">
        <f>+G72+G73</f>
        <v>33.926926000000002</v>
      </c>
      <c r="H75" s="77" t="str">
        <f>VLOOKUP(E75,'B. DATOS'!$B$34:$E$622,2,FALSE)</f>
        <v>KG</v>
      </c>
      <c r="J75" s="29" t="s">
        <v>259</v>
      </c>
      <c r="L75" s="78">
        <f>VLOOKUP(E75,'B. DATOS'!$B$34:$E$622,4,FALSE)</f>
        <v>700</v>
      </c>
      <c r="M75" s="76">
        <f t="shared" si="14"/>
        <v>23748.8482</v>
      </c>
      <c r="N75" s="351"/>
      <c r="O75" s="80">
        <f t="shared" si="15"/>
        <v>780.319298</v>
      </c>
      <c r="Q75" s="76">
        <f>+M75*$N$71</f>
        <v>569972.35679999995</v>
      </c>
    </row>
    <row r="76" spans="2:21" x14ac:dyDescent="0.25">
      <c r="B76" s="83" t="s">
        <v>1833</v>
      </c>
      <c r="C76" s="145" t="s">
        <v>1812</v>
      </c>
      <c r="D76" s="145" t="s">
        <v>778</v>
      </c>
      <c r="E76" s="84" t="s">
        <v>1329</v>
      </c>
      <c r="F76" s="80">
        <f>+F73+0.5</f>
        <v>1.925</v>
      </c>
      <c r="G76" s="80">
        <f>+F73</f>
        <v>1.425</v>
      </c>
      <c r="H76" s="77" t="str">
        <f>VLOOKUP(E76,'B. DATOS'!$B$34:$E$622,2,FALSE)</f>
        <v>ML/DÍA</v>
      </c>
      <c r="J76" s="29" t="s">
        <v>292</v>
      </c>
      <c r="L76" s="78">
        <f>VLOOKUP(E76,'B. DATOS'!$B$34:$E$622,4,FALSE)</f>
        <v>25000</v>
      </c>
      <c r="M76" s="76">
        <f t="shared" si="14"/>
        <v>35625</v>
      </c>
      <c r="N76" s="351"/>
      <c r="O76" s="80">
        <f t="shared" si="15"/>
        <v>32.774999999999999</v>
      </c>
      <c r="Q76" s="76">
        <f>+M76*$N$71</f>
        <v>855000</v>
      </c>
    </row>
    <row r="77" spans="2:21" x14ac:dyDescent="0.25">
      <c r="B77" s="83" t="s">
        <v>1834</v>
      </c>
      <c r="C77" s="145" t="s">
        <v>1812</v>
      </c>
      <c r="D77" s="145" t="s">
        <v>778</v>
      </c>
      <c r="E77" s="84" t="s">
        <v>1477</v>
      </c>
      <c r="G77" s="29">
        <v>1</v>
      </c>
      <c r="H77" s="77" t="str">
        <f>VLOOKUP(E77,'B. DATOS'!$B$34:$E$622,2,FALSE)</f>
        <v>UND</v>
      </c>
      <c r="J77" s="29" t="s">
        <v>259</v>
      </c>
      <c r="L77" s="78">
        <f>VLOOKUP(E77,'B. DATOS'!$B$34:$E$622,4,FALSE)</f>
        <v>120000</v>
      </c>
      <c r="M77" s="76">
        <f t="shared" si="14"/>
        <v>120000</v>
      </c>
      <c r="N77" s="351"/>
      <c r="O77" s="80">
        <f t="shared" si="15"/>
        <v>23</v>
      </c>
      <c r="Q77" s="76">
        <f>+M77*$N$71</f>
        <v>2880000</v>
      </c>
    </row>
    <row r="78" spans="2:21" s="39" customFormat="1" x14ac:dyDescent="0.25">
      <c r="B78" s="110">
        <v>2.9</v>
      </c>
      <c r="C78" s="144" t="s">
        <v>1812</v>
      </c>
      <c r="D78" s="369" t="s">
        <v>1560</v>
      </c>
      <c r="E78" s="370"/>
      <c r="F78" s="121"/>
      <c r="G78" s="121"/>
      <c r="H78" s="121"/>
      <c r="I78" s="121"/>
      <c r="J78" s="121"/>
      <c r="K78" s="121"/>
      <c r="L78" s="122"/>
      <c r="M78" s="122"/>
      <c r="N78" s="121"/>
      <c r="O78" s="121"/>
      <c r="P78" s="122">
        <f>+SUM(P79:P91)</f>
        <v>9512269.7836000007</v>
      </c>
      <c r="Q78" s="122">
        <f>+SUM(Q79:Q91)</f>
        <v>12856357.546666665</v>
      </c>
      <c r="R78" s="123">
        <f>+P78+Q78</f>
        <v>22368627.330266666</v>
      </c>
      <c r="S78" s="124">
        <f>+R78/G91</f>
        <v>174754.90101770835</v>
      </c>
      <c r="T78" s="181" cm="1">
        <f t="array" ref="T78:U78">+R78/'[3]1. GENERAL'!$E$31:$F$31</f>
        <v>7.1051264730152081E-2</v>
      </c>
      <c r="U78" s="39" t="e">
        <v>#DIV/0!</v>
      </c>
    </row>
    <row r="79" spans="2:21" x14ac:dyDescent="0.25">
      <c r="B79" s="83" t="s">
        <v>1835</v>
      </c>
      <c r="C79" s="145" t="s">
        <v>1812</v>
      </c>
      <c r="D79" s="145" t="s">
        <v>251</v>
      </c>
      <c r="E79" s="84" t="s">
        <v>1353</v>
      </c>
      <c r="G79" s="80">
        <f>+('2. CANTIDADES'!E2*1.05)*0.66</f>
        <v>6.2162100000000029</v>
      </c>
      <c r="H79" s="77" t="str">
        <f>VLOOKUP(E79,'B. DATOS'!$B$34:$E$622,2,FALSE)</f>
        <v>M3</v>
      </c>
      <c r="J79" s="29" t="s">
        <v>717</v>
      </c>
      <c r="L79" s="78">
        <f>VLOOKUP(E79,'B. DATOS'!$B$34:$E$622,4,FALSE)</f>
        <v>487000</v>
      </c>
      <c r="M79" s="76">
        <f t="shared" ref="M79:M91" si="16">+L79*G79</f>
        <v>3027294.2700000014</v>
      </c>
      <c r="N79" s="351">
        <v>1</v>
      </c>
      <c r="O79" s="80">
        <f>+G79*$N$79</f>
        <v>6.2162100000000029</v>
      </c>
      <c r="P79" s="76">
        <f>+M79*$N$79</f>
        <v>3027294.2700000014</v>
      </c>
    </row>
    <row r="80" spans="2:21" x14ac:dyDescent="0.25">
      <c r="B80" s="83" t="s">
        <v>1836</v>
      </c>
      <c r="C80" s="145" t="s">
        <v>1812</v>
      </c>
      <c r="D80" s="145" t="s">
        <v>251</v>
      </c>
      <c r="E80" s="84" t="s">
        <v>290</v>
      </c>
      <c r="G80" s="29">
        <f>+(G90*(0.1))*1.05</f>
        <v>2.6880000000000002</v>
      </c>
      <c r="H80" s="77" t="str">
        <f>VLOOKUP(E80,'B. DATOS'!$B$34:$E$622,2,FALSE)</f>
        <v>M3</v>
      </c>
      <c r="J80" s="29" t="s">
        <v>717</v>
      </c>
      <c r="L80" s="78">
        <f>VLOOKUP(E80,'B. DATOS'!$B$34:$E$622,4,FALSE)</f>
        <v>429000</v>
      </c>
      <c r="M80" s="76">
        <f t="shared" si="16"/>
        <v>1153152</v>
      </c>
      <c r="N80" s="351"/>
      <c r="O80" s="80">
        <f t="shared" ref="O80:O91" si="17">+G80*$N$79</f>
        <v>2.6880000000000002</v>
      </c>
      <c r="P80" s="76">
        <f t="shared" ref="P80:P87" si="18">+M80*$N$79</f>
        <v>1153152</v>
      </c>
    </row>
    <row r="81" spans="2:21" x14ac:dyDescent="0.25">
      <c r="B81" s="83" t="s">
        <v>1837</v>
      </c>
      <c r="C81" s="145" t="s">
        <v>1812</v>
      </c>
      <c r="D81" s="145" t="s">
        <v>251</v>
      </c>
      <c r="E81" s="84" t="s">
        <v>289</v>
      </c>
      <c r="G81" s="80">
        <f>+(((G91/3)*2)*1.1)/2</f>
        <v>46.933333333333337</v>
      </c>
      <c r="H81" s="77" t="str">
        <f>VLOOKUP(E81,'B. DATOS'!$B$34:$E$622,2,FALSE)</f>
        <v>ML</v>
      </c>
      <c r="J81" s="29" t="s">
        <v>292</v>
      </c>
      <c r="L81" s="78">
        <f>VLOOKUP(E81,'B. DATOS'!$B$34:$E$622,4,FALSE)</f>
        <v>14000</v>
      </c>
      <c r="M81" s="76">
        <f t="shared" si="16"/>
        <v>657066.66666666674</v>
      </c>
      <c r="N81" s="351"/>
      <c r="O81" s="80">
        <f t="shared" si="17"/>
        <v>46.933333333333337</v>
      </c>
      <c r="P81" s="76">
        <f t="shared" si="18"/>
        <v>657066.66666666674</v>
      </c>
    </row>
    <row r="82" spans="2:21" x14ac:dyDescent="0.25">
      <c r="B82" s="83" t="s">
        <v>1838</v>
      </c>
      <c r="C82" s="145" t="s">
        <v>1812</v>
      </c>
      <c r="D82" s="145" t="s">
        <v>251</v>
      </c>
      <c r="E82" s="84" t="s">
        <v>278</v>
      </c>
      <c r="G82" s="80">
        <f>+(G81*0.05)*2</f>
        <v>4.6933333333333342</v>
      </c>
      <c r="H82" s="77" t="str">
        <f>VLOOKUP(E82,'B. DATOS'!$B$34:$E$622,2,FALSE)</f>
        <v>LB</v>
      </c>
      <c r="J82" s="29" t="s">
        <v>274</v>
      </c>
      <c r="L82" s="78">
        <f>VLOOKUP(E82,'B. DATOS'!$B$34:$E$622,4,FALSE)</f>
        <v>5200</v>
      </c>
      <c r="M82" s="76">
        <f t="shared" si="16"/>
        <v>24405.333333333339</v>
      </c>
      <c r="N82" s="351"/>
      <c r="O82" s="80">
        <f t="shared" si="17"/>
        <v>4.6933333333333342</v>
      </c>
      <c r="P82" s="76">
        <f t="shared" si="18"/>
        <v>24405.333333333339</v>
      </c>
    </row>
    <row r="83" spans="2:21" x14ac:dyDescent="0.25">
      <c r="B83" s="83" t="s">
        <v>1839</v>
      </c>
      <c r="C83" s="145" t="s">
        <v>1812</v>
      </c>
      <c r="D83" s="145" t="s">
        <v>251</v>
      </c>
      <c r="E83" s="84" t="s">
        <v>265</v>
      </c>
      <c r="G83" s="29">
        <f>+G91*(0.3+0.3+0.3)</f>
        <v>115.19999999999997</v>
      </c>
      <c r="H83" s="77" t="str">
        <f>VLOOKUP(E83,'B. DATOS'!$B$34:$E$622,2,FALSE)</f>
        <v>M2</v>
      </c>
      <c r="J83" s="29" t="s">
        <v>644</v>
      </c>
      <c r="L83" s="78">
        <f>VLOOKUP(E83,'B. DATOS'!$B$34:$E$622,4,FALSE)</f>
        <v>1700</v>
      </c>
      <c r="M83" s="76">
        <f t="shared" si="16"/>
        <v>195839.99999999997</v>
      </c>
      <c r="N83" s="351"/>
      <c r="O83" s="80">
        <f t="shared" si="17"/>
        <v>115.19999999999997</v>
      </c>
      <c r="P83" s="76">
        <f t="shared" si="18"/>
        <v>195839.99999999997</v>
      </c>
      <c r="S83" s="150"/>
      <c r="T83" s="150"/>
    </row>
    <row r="84" spans="2:21" x14ac:dyDescent="0.25">
      <c r="B84" s="83" t="s">
        <v>1840</v>
      </c>
      <c r="C84" s="145" t="s">
        <v>1812</v>
      </c>
      <c r="D84" s="145" t="s">
        <v>251</v>
      </c>
      <c r="E84" s="84" t="s">
        <v>574</v>
      </c>
      <c r="G84" s="80">
        <f>+((((G91*0.7))*4)*0.996)</f>
        <v>356.96639999999991</v>
      </c>
      <c r="H84" s="77" t="str">
        <f>VLOOKUP(E84,'B. DATOS'!$B$34:$E$622,2,FALSE)</f>
        <v>KG</v>
      </c>
      <c r="J84" s="29" t="s">
        <v>274</v>
      </c>
      <c r="L84" s="78">
        <f>VLOOKUP(E84,'B. DATOS'!$B$34:$E$622,4,FALSE)</f>
        <v>4000</v>
      </c>
      <c r="M84" s="76">
        <f t="shared" si="16"/>
        <v>1427865.5999999996</v>
      </c>
      <c r="N84" s="351"/>
      <c r="O84" s="80">
        <f t="shared" si="17"/>
        <v>356.96639999999991</v>
      </c>
      <c r="P84" s="76">
        <f t="shared" si="18"/>
        <v>1427865.5999999996</v>
      </c>
    </row>
    <row r="85" spans="2:21" x14ac:dyDescent="0.25">
      <c r="B85" s="83" t="s">
        <v>1841</v>
      </c>
      <c r="C85" s="145" t="s">
        <v>1812</v>
      </c>
      <c r="D85" s="145" t="s">
        <v>251</v>
      </c>
      <c r="E85" s="84" t="s">
        <v>636</v>
      </c>
      <c r="G85" s="80">
        <f>+((((G91/0.12)*(((0.12+0.22)+0.1)*2))*0.56)*1.1)</f>
        <v>578.21866666666654</v>
      </c>
      <c r="H85" s="77" t="str">
        <f>VLOOKUP(E85,'B. DATOS'!$B$34:$E$622,2,FALSE)</f>
        <v>KG</v>
      </c>
      <c r="J85" s="29" t="s">
        <v>274</v>
      </c>
      <c r="L85" s="78">
        <f>VLOOKUP(E85,'B. DATOS'!$B$34:$E$622,4,FALSE)</f>
        <v>4000</v>
      </c>
      <c r="M85" s="76">
        <f t="shared" si="16"/>
        <v>2312874.666666666</v>
      </c>
      <c r="N85" s="351"/>
      <c r="O85" s="80">
        <f t="shared" si="17"/>
        <v>578.21866666666654</v>
      </c>
      <c r="P85" s="76">
        <f t="shared" si="18"/>
        <v>2312874.666666666</v>
      </c>
    </row>
    <row r="86" spans="2:21" x14ac:dyDescent="0.25">
      <c r="B86" s="83" t="s">
        <v>1842</v>
      </c>
      <c r="C86" s="145" t="s">
        <v>1812</v>
      </c>
      <c r="D86" s="145" t="s">
        <v>251</v>
      </c>
      <c r="E86" s="84" t="s">
        <v>266</v>
      </c>
      <c r="G86" s="80">
        <f>+(G84+G85)*0.013</f>
        <v>12.157405866666663</v>
      </c>
      <c r="H86" s="77" t="str">
        <f>VLOOKUP(E86,'B. DATOS'!$B$34:$E$622,2,FALSE)</f>
        <v>KG</v>
      </c>
      <c r="J86" s="29" t="s">
        <v>274</v>
      </c>
      <c r="L86" s="78">
        <f>VLOOKUP(E86,'B. DATOS'!$B$34:$E$622,4,FALSE)</f>
        <v>8000</v>
      </c>
      <c r="M86" s="76">
        <f t="shared" si="16"/>
        <v>97259.246933333299</v>
      </c>
      <c r="N86" s="351"/>
      <c r="O86" s="80">
        <f t="shared" si="17"/>
        <v>12.157405866666663</v>
      </c>
      <c r="P86" s="76">
        <f t="shared" si="18"/>
        <v>97259.246933333299</v>
      </c>
    </row>
    <row r="87" spans="2:21" x14ac:dyDescent="0.25">
      <c r="B87" s="83" t="s">
        <v>1843</v>
      </c>
      <c r="C87" s="145" t="s">
        <v>1812</v>
      </c>
      <c r="D87" s="145" t="s">
        <v>251</v>
      </c>
      <c r="E87" s="84" t="s">
        <v>264</v>
      </c>
      <c r="G87" s="80">
        <f>+G89*1.3</f>
        <v>6.4895999999999994</v>
      </c>
      <c r="H87" s="77" t="str">
        <f>VLOOKUP(E87,'B. DATOS'!$B$34:$E$622,2,FALSE)</f>
        <v>M3</v>
      </c>
      <c r="J87" s="29" t="s">
        <v>634</v>
      </c>
      <c r="L87" s="78">
        <f>VLOOKUP(E87,'B. DATOS'!$B$34:$E$622,4,FALSE)</f>
        <v>95000</v>
      </c>
      <c r="M87" s="76">
        <f t="shared" si="16"/>
        <v>616511.99999999988</v>
      </c>
      <c r="N87" s="351"/>
      <c r="O87" s="80">
        <f t="shared" si="17"/>
        <v>6.4895999999999994</v>
      </c>
      <c r="P87" s="76">
        <f t="shared" si="18"/>
        <v>616511.99999999988</v>
      </c>
    </row>
    <row r="88" spans="2:21" x14ac:dyDescent="0.25">
      <c r="B88" s="83" t="s">
        <v>1844</v>
      </c>
      <c r="C88" s="145" t="s">
        <v>1812</v>
      </c>
      <c r="D88" s="145" t="s">
        <v>778</v>
      </c>
      <c r="E88" s="84" t="s">
        <v>729</v>
      </c>
      <c r="G88" s="80">
        <f>+G85+G84</f>
        <v>935.18506666666644</v>
      </c>
      <c r="H88" s="77" t="str">
        <f>VLOOKUP(E88,'B. DATOS'!$B$34:$E$622,2,FALSE)</f>
        <v>KG</v>
      </c>
      <c r="J88" s="29" t="s">
        <v>259</v>
      </c>
      <c r="L88" s="78">
        <f>VLOOKUP(E88,'B. DATOS'!$B$34:$E$622,4,FALSE)</f>
        <v>700</v>
      </c>
      <c r="M88" s="76">
        <f t="shared" si="16"/>
        <v>654629.54666666652</v>
      </c>
      <c r="N88" s="351"/>
      <c r="O88" s="80">
        <f t="shared" si="17"/>
        <v>935.18506666666644</v>
      </c>
      <c r="Q88" s="76">
        <f>+M88*$N$79</f>
        <v>654629.54666666652</v>
      </c>
    </row>
    <row r="89" spans="2:21" x14ac:dyDescent="0.25">
      <c r="B89" s="83" t="s">
        <v>1845</v>
      </c>
      <c r="C89" s="145" t="s">
        <v>1812</v>
      </c>
      <c r="D89" s="145" t="s">
        <v>778</v>
      </c>
      <c r="E89" s="84" t="s">
        <v>328</v>
      </c>
      <c r="G89" s="80">
        <f>+(G91*(0.2*0.15))*1.3</f>
        <v>4.9919999999999991</v>
      </c>
      <c r="H89" s="77" t="str">
        <f>VLOOKUP(E89,'B. DATOS'!$B$34:$E$622,2,FALSE)</f>
        <v>M3</v>
      </c>
      <c r="J89" s="29" t="s">
        <v>259</v>
      </c>
      <c r="L89" s="78">
        <f>VLOOKUP(E89,'B. DATOS'!$B$34:$E$622,4,FALSE)</f>
        <v>34000</v>
      </c>
      <c r="M89" s="76">
        <f t="shared" si="16"/>
        <v>169727.99999999997</v>
      </c>
      <c r="N89" s="351"/>
      <c r="O89" s="80">
        <f t="shared" si="17"/>
        <v>4.9919999999999991</v>
      </c>
      <c r="Q89" s="76">
        <f>+M89*$N$79</f>
        <v>169727.99999999997</v>
      </c>
    </row>
    <row r="90" spans="2:21" x14ac:dyDescent="0.25">
      <c r="B90" s="83" t="s">
        <v>1846</v>
      </c>
      <c r="C90" s="145" t="s">
        <v>1812</v>
      </c>
      <c r="D90" s="145" t="s">
        <v>778</v>
      </c>
      <c r="E90" s="84" t="s">
        <v>774</v>
      </c>
      <c r="G90" s="80">
        <f>+(G91*(0.2))</f>
        <v>25.599999999999998</v>
      </c>
      <c r="H90" s="77" t="str">
        <f>VLOOKUP(E90,'B. DATOS'!$B$34:$E$622,2,FALSE)</f>
        <v>M2</v>
      </c>
      <c r="J90" s="29" t="s">
        <v>259</v>
      </c>
      <c r="L90" s="78">
        <f>VLOOKUP(E90,'B. DATOS'!$B$34:$E$622,4,FALSE)</f>
        <v>20000</v>
      </c>
      <c r="M90" s="76">
        <f t="shared" si="16"/>
        <v>511999.99999999994</v>
      </c>
      <c r="N90" s="351"/>
      <c r="O90" s="80">
        <f t="shared" si="17"/>
        <v>25.599999999999998</v>
      </c>
      <c r="Q90" s="76">
        <f>+M90*$N$79</f>
        <v>511999.99999999994</v>
      </c>
    </row>
    <row r="91" spans="2:21" x14ac:dyDescent="0.25">
      <c r="B91" s="83" t="s">
        <v>1847</v>
      </c>
      <c r="C91" s="145" t="s">
        <v>1812</v>
      </c>
      <c r="D91" s="145" t="s">
        <v>778</v>
      </c>
      <c r="E91" s="84" t="s">
        <v>1476</v>
      </c>
      <c r="G91" s="80">
        <f>+'2. CANTIDADES'!H2-G105</f>
        <v>127.99999999999999</v>
      </c>
      <c r="H91" s="77" t="str">
        <f>VLOOKUP(E91,'B. DATOS'!$B$34:$E$622,2,FALSE)</f>
        <v>ML</v>
      </c>
      <c r="J91" s="29" t="s">
        <v>259</v>
      </c>
      <c r="L91" s="78">
        <f>VLOOKUP(E91,'B. DATOS'!$B$34:$E$622,4,FALSE)</f>
        <v>90000</v>
      </c>
      <c r="M91" s="76">
        <f t="shared" si="16"/>
        <v>11519999.999999998</v>
      </c>
      <c r="N91" s="351"/>
      <c r="O91" s="80">
        <f t="shared" si="17"/>
        <v>127.99999999999999</v>
      </c>
      <c r="Q91" s="76">
        <f>+M91*$N$79</f>
        <v>11519999.999999998</v>
      </c>
    </row>
    <row r="92" spans="2:21" s="39" customFormat="1" x14ac:dyDescent="0.25">
      <c r="B92" s="288">
        <v>2.1</v>
      </c>
      <c r="C92" s="289" t="s">
        <v>1400</v>
      </c>
      <c r="D92" s="367" t="s">
        <v>1560</v>
      </c>
      <c r="E92" s="368"/>
      <c r="F92" s="290"/>
      <c r="G92" s="290"/>
      <c r="H92" s="290"/>
      <c r="I92" s="290"/>
      <c r="J92" s="290"/>
      <c r="K92" s="290"/>
      <c r="L92" s="291"/>
      <c r="M92" s="291"/>
      <c r="N92" s="290"/>
      <c r="O92" s="290"/>
      <c r="P92" s="291">
        <f>+SUM(P93:P105)</f>
        <v>844657.8514879999</v>
      </c>
      <c r="Q92" s="291">
        <f>+SUM(Q93:Q105)</f>
        <v>1480489.9237333331</v>
      </c>
      <c r="R92" s="298">
        <f>+P92+Q92</f>
        <v>2325147.7752213329</v>
      </c>
      <c r="S92" s="293">
        <f>+R92/G105</f>
        <v>157744.08244378108</v>
      </c>
      <c r="T92" s="294" cm="1">
        <f t="array" ref="T92:U92">+R92/'[3]1. GENERAL'!$E$31:$F$31</f>
        <v>7.385553332118819E-3</v>
      </c>
      <c r="U92" s="39" t="e">
        <v>#DIV/0!</v>
      </c>
    </row>
    <row r="93" spans="2:21" x14ac:dyDescent="0.25">
      <c r="B93" s="295" t="s">
        <v>1848</v>
      </c>
      <c r="C93" s="296" t="s">
        <v>1400</v>
      </c>
      <c r="D93" s="296" t="s">
        <v>251</v>
      </c>
      <c r="E93" s="297" t="s">
        <v>1353</v>
      </c>
      <c r="G93" s="80">
        <f>+('2. CANTIDADES'!E16*1.05)*0.66</f>
        <v>0.20097000000000001</v>
      </c>
      <c r="H93" s="77" t="str">
        <f>VLOOKUP(E93,'B. DATOS'!$B$34:$E$622,2,FALSE)</f>
        <v>M3</v>
      </c>
      <c r="J93" s="29" t="s">
        <v>717</v>
      </c>
      <c r="L93" s="78">
        <f>VLOOKUP(E93,'B. DATOS'!$B$34:$E$622,4,FALSE)</f>
        <v>487000</v>
      </c>
      <c r="M93" s="76">
        <f t="shared" ref="M93:M105" si="19">+L93*G93</f>
        <v>97872.39</v>
      </c>
      <c r="N93" s="351">
        <v>1</v>
      </c>
      <c r="O93" s="80">
        <f>+G93*$N$93</f>
        <v>0.20097000000000001</v>
      </c>
      <c r="P93" s="76">
        <f>+M93*$N$93</f>
        <v>97872.39</v>
      </c>
    </row>
    <row r="94" spans="2:21" x14ac:dyDescent="0.25">
      <c r="B94" s="295" t="s">
        <v>1849</v>
      </c>
      <c r="C94" s="296" t="s">
        <v>1400</v>
      </c>
      <c r="D94" s="296" t="s">
        <v>251</v>
      </c>
      <c r="E94" s="297" t="s">
        <v>290</v>
      </c>
      <c r="G94" s="29">
        <f>+(G104*(0.1))*1.05</f>
        <v>0.30954000000000004</v>
      </c>
      <c r="H94" s="77" t="str">
        <f>VLOOKUP(E94,'B. DATOS'!$B$34:$E$622,2,FALSE)</f>
        <v>M3</v>
      </c>
      <c r="J94" s="29" t="s">
        <v>717</v>
      </c>
      <c r="L94" s="78">
        <f>VLOOKUP(E94,'B. DATOS'!$B$34:$E$622,4,FALSE)</f>
        <v>429000</v>
      </c>
      <c r="M94" s="76">
        <f t="shared" si="19"/>
        <v>132792.66</v>
      </c>
      <c r="N94" s="351"/>
      <c r="O94" s="80">
        <f t="shared" ref="O94:O105" si="20">+G94*$N$93</f>
        <v>0.30954000000000004</v>
      </c>
      <c r="P94" s="76">
        <f t="shared" ref="P94:P101" si="21">+M94*$N$93</f>
        <v>132792.66</v>
      </c>
    </row>
    <row r="95" spans="2:21" x14ac:dyDescent="0.25">
      <c r="B95" s="295" t="s">
        <v>1850</v>
      </c>
      <c r="C95" s="296" t="s">
        <v>1400</v>
      </c>
      <c r="D95" s="296" t="s">
        <v>251</v>
      </c>
      <c r="E95" s="297" t="s">
        <v>289</v>
      </c>
      <c r="G95" s="80">
        <f>+(((G105/3)*2)*1.1)/2</f>
        <v>5.4046666666666665</v>
      </c>
      <c r="H95" s="77" t="str">
        <f>VLOOKUP(E95,'B. DATOS'!$B$34:$E$622,2,FALSE)</f>
        <v>ML</v>
      </c>
      <c r="J95" s="29" t="s">
        <v>292</v>
      </c>
      <c r="L95" s="78">
        <f>VLOOKUP(E95,'B. DATOS'!$B$34:$E$622,4,FALSE)</f>
        <v>14000</v>
      </c>
      <c r="M95" s="76">
        <f t="shared" si="19"/>
        <v>75665.333333333328</v>
      </c>
      <c r="N95" s="351"/>
      <c r="O95" s="80">
        <f t="shared" si="20"/>
        <v>5.4046666666666665</v>
      </c>
      <c r="P95" s="76">
        <f t="shared" si="21"/>
        <v>75665.333333333328</v>
      </c>
    </row>
    <row r="96" spans="2:21" x14ac:dyDescent="0.25">
      <c r="B96" s="295" t="s">
        <v>1851</v>
      </c>
      <c r="C96" s="296" t="s">
        <v>1400</v>
      </c>
      <c r="D96" s="296" t="s">
        <v>251</v>
      </c>
      <c r="E96" s="297" t="s">
        <v>278</v>
      </c>
      <c r="G96" s="80">
        <f>+(G95*0.05)*2</f>
        <v>0.54046666666666665</v>
      </c>
      <c r="H96" s="77" t="str">
        <f>VLOOKUP(E96,'B. DATOS'!$B$34:$E$622,2,FALSE)</f>
        <v>LB</v>
      </c>
      <c r="J96" s="29" t="s">
        <v>274</v>
      </c>
      <c r="L96" s="78">
        <f>VLOOKUP(E96,'B. DATOS'!$B$34:$E$622,4,FALSE)</f>
        <v>5200</v>
      </c>
      <c r="M96" s="76">
        <f t="shared" si="19"/>
        <v>2810.4266666666667</v>
      </c>
      <c r="N96" s="351"/>
      <c r="O96" s="80">
        <f t="shared" si="20"/>
        <v>0.54046666666666665</v>
      </c>
      <c r="P96" s="76">
        <f t="shared" si="21"/>
        <v>2810.4266666666667</v>
      </c>
    </row>
    <row r="97" spans="2:21" x14ac:dyDescent="0.25">
      <c r="B97" s="295" t="s">
        <v>1852</v>
      </c>
      <c r="C97" s="296" t="s">
        <v>1400</v>
      </c>
      <c r="D97" s="296" t="s">
        <v>251</v>
      </c>
      <c r="E97" s="297" t="s">
        <v>265</v>
      </c>
      <c r="G97" s="29">
        <f>+G105*(0.3+0.3+0.3)</f>
        <v>13.265999999999996</v>
      </c>
      <c r="H97" s="77" t="str">
        <f>VLOOKUP(E97,'B. DATOS'!$B$34:$E$622,2,FALSE)</f>
        <v>M2</v>
      </c>
      <c r="J97" s="29" t="s">
        <v>644</v>
      </c>
      <c r="L97" s="78">
        <f>VLOOKUP(E97,'B. DATOS'!$B$34:$E$622,4,FALSE)</f>
        <v>1700</v>
      </c>
      <c r="M97" s="76">
        <f t="shared" si="19"/>
        <v>22552.199999999993</v>
      </c>
      <c r="N97" s="351"/>
      <c r="O97" s="80">
        <f t="shared" si="20"/>
        <v>13.265999999999996</v>
      </c>
      <c r="P97" s="76">
        <f t="shared" si="21"/>
        <v>22552.199999999993</v>
      </c>
      <c r="S97" s="150"/>
      <c r="T97" s="150"/>
    </row>
    <row r="98" spans="2:21" x14ac:dyDescent="0.25">
      <c r="B98" s="295" t="s">
        <v>1853</v>
      </c>
      <c r="C98" s="296" t="s">
        <v>1400</v>
      </c>
      <c r="D98" s="296" t="s">
        <v>251</v>
      </c>
      <c r="E98" s="297" t="s">
        <v>574</v>
      </c>
      <c r="G98" s="80">
        <f>+((((G105*0.7))*4)*0.996)</f>
        <v>41.106911999999994</v>
      </c>
      <c r="H98" s="77" t="str">
        <f>VLOOKUP(E98,'B. DATOS'!$B$34:$E$622,2,FALSE)</f>
        <v>KG</v>
      </c>
      <c r="J98" s="29" t="s">
        <v>274</v>
      </c>
      <c r="L98" s="78">
        <f>VLOOKUP(E98,'B. DATOS'!$B$34:$E$622,4,FALSE)</f>
        <v>4000</v>
      </c>
      <c r="M98" s="76">
        <f t="shared" si="19"/>
        <v>164427.64799999999</v>
      </c>
      <c r="N98" s="351"/>
      <c r="O98" s="80">
        <f t="shared" si="20"/>
        <v>41.106911999999994</v>
      </c>
      <c r="P98" s="76">
        <f t="shared" si="21"/>
        <v>164427.64799999999</v>
      </c>
    </row>
    <row r="99" spans="2:21" x14ac:dyDescent="0.25">
      <c r="B99" s="295" t="s">
        <v>1854</v>
      </c>
      <c r="C99" s="296" t="s">
        <v>1400</v>
      </c>
      <c r="D99" s="296" t="s">
        <v>251</v>
      </c>
      <c r="E99" s="297" t="s">
        <v>636</v>
      </c>
      <c r="G99" s="80">
        <f>+((((G105/0.12)*(((0.12+0.22)+0.1)*2))*0.56)*1.1)</f>
        <v>66.585493333333332</v>
      </c>
      <c r="H99" s="77" t="str">
        <f>VLOOKUP(E99,'B. DATOS'!$B$34:$E$622,2,FALSE)</f>
        <v>KG</v>
      </c>
      <c r="J99" s="29" t="s">
        <v>274</v>
      </c>
      <c r="L99" s="78">
        <f>VLOOKUP(E99,'B. DATOS'!$B$34:$E$622,4,FALSE)</f>
        <v>4000</v>
      </c>
      <c r="M99" s="76">
        <f t="shared" si="19"/>
        <v>266341.97333333333</v>
      </c>
      <c r="N99" s="351"/>
      <c r="O99" s="80">
        <f t="shared" si="20"/>
        <v>66.585493333333332</v>
      </c>
      <c r="P99" s="76">
        <f t="shared" si="21"/>
        <v>266341.97333333333</v>
      </c>
    </row>
    <row r="100" spans="2:21" x14ac:dyDescent="0.25">
      <c r="B100" s="295" t="s">
        <v>1855</v>
      </c>
      <c r="C100" s="296" t="s">
        <v>1400</v>
      </c>
      <c r="D100" s="296" t="s">
        <v>251</v>
      </c>
      <c r="E100" s="297" t="s">
        <v>266</v>
      </c>
      <c r="G100" s="80">
        <f>+(G98+G99)*0.013</f>
        <v>1.4000012693333332</v>
      </c>
      <c r="H100" s="77" t="str">
        <f>VLOOKUP(E100,'B. DATOS'!$B$34:$E$622,2,FALSE)</f>
        <v>KG</v>
      </c>
      <c r="J100" s="29" t="s">
        <v>274</v>
      </c>
      <c r="L100" s="78">
        <f>VLOOKUP(E100,'B. DATOS'!$B$34:$E$622,4,FALSE)</f>
        <v>8000</v>
      </c>
      <c r="M100" s="76">
        <f t="shared" si="19"/>
        <v>11200.010154666666</v>
      </c>
      <c r="N100" s="351"/>
      <c r="O100" s="80">
        <f t="shared" si="20"/>
        <v>1.4000012693333332</v>
      </c>
      <c r="P100" s="76">
        <f t="shared" si="21"/>
        <v>11200.010154666666</v>
      </c>
    </row>
    <row r="101" spans="2:21" x14ac:dyDescent="0.25">
      <c r="B101" s="295" t="s">
        <v>1856</v>
      </c>
      <c r="C101" s="296" t="s">
        <v>1400</v>
      </c>
      <c r="D101" s="296" t="s">
        <v>251</v>
      </c>
      <c r="E101" s="297" t="s">
        <v>264</v>
      </c>
      <c r="G101" s="80">
        <f>+G103*1.3</f>
        <v>0.74731799999999993</v>
      </c>
      <c r="H101" s="77" t="str">
        <f>VLOOKUP(E101,'B. DATOS'!$B$34:$E$622,2,FALSE)</f>
        <v>M3</v>
      </c>
      <c r="J101" s="29" t="s">
        <v>634</v>
      </c>
      <c r="L101" s="78">
        <f>VLOOKUP(E101,'B. DATOS'!$B$34:$E$622,4,FALSE)</f>
        <v>95000</v>
      </c>
      <c r="M101" s="76">
        <f t="shared" si="19"/>
        <v>70995.209999999992</v>
      </c>
      <c r="N101" s="351"/>
      <c r="O101" s="80">
        <f t="shared" si="20"/>
        <v>0.74731799999999993</v>
      </c>
      <c r="P101" s="76">
        <f t="shared" si="21"/>
        <v>70995.209999999992</v>
      </c>
    </row>
    <row r="102" spans="2:21" x14ac:dyDescent="0.25">
      <c r="B102" s="295" t="s">
        <v>1857</v>
      </c>
      <c r="C102" s="296" t="s">
        <v>1400</v>
      </c>
      <c r="D102" s="296" t="s">
        <v>778</v>
      </c>
      <c r="E102" s="297" t="s">
        <v>729</v>
      </c>
      <c r="G102" s="80">
        <f>+G99+G98</f>
        <v>107.69240533333333</v>
      </c>
      <c r="H102" s="77" t="str">
        <f>VLOOKUP(E102,'B. DATOS'!$B$34:$E$622,2,FALSE)</f>
        <v>KG</v>
      </c>
      <c r="J102" s="29" t="s">
        <v>259</v>
      </c>
      <c r="L102" s="78">
        <f>VLOOKUP(E102,'B. DATOS'!$B$34:$E$622,4,FALSE)</f>
        <v>700</v>
      </c>
      <c r="M102" s="76">
        <f t="shared" si="19"/>
        <v>75384.683733333324</v>
      </c>
      <c r="N102" s="351"/>
      <c r="O102" s="80">
        <f t="shared" si="20"/>
        <v>107.69240533333333</v>
      </c>
      <c r="Q102" s="76">
        <f>+M102*$N$93</f>
        <v>75384.683733333324</v>
      </c>
    </row>
    <row r="103" spans="2:21" x14ac:dyDescent="0.25">
      <c r="B103" s="295" t="s">
        <v>1858</v>
      </c>
      <c r="C103" s="296" t="s">
        <v>1400</v>
      </c>
      <c r="D103" s="296" t="s">
        <v>778</v>
      </c>
      <c r="E103" s="297" t="s">
        <v>328</v>
      </c>
      <c r="G103" s="80">
        <f>+(G105*(0.2*0.15))*1.3</f>
        <v>0.57485999999999993</v>
      </c>
      <c r="H103" s="77" t="str">
        <f>VLOOKUP(E103,'B. DATOS'!$B$34:$E$622,2,FALSE)</f>
        <v>M3</v>
      </c>
      <c r="J103" s="29" t="s">
        <v>259</v>
      </c>
      <c r="L103" s="78">
        <f>VLOOKUP(E103,'B. DATOS'!$B$34:$E$622,4,FALSE)</f>
        <v>34000</v>
      </c>
      <c r="M103" s="76">
        <f t="shared" si="19"/>
        <v>19545.239999999998</v>
      </c>
      <c r="N103" s="351"/>
      <c r="O103" s="80">
        <f t="shared" si="20"/>
        <v>0.57485999999999993</v>
      </c>
      <c r="Q103" s="76">
        <f>+M103*$N$93</f>
        <v>19545.239999999998</v>
      </c>
    </row>
    <row r="104" spans="2:21" x14ac:dyDescent="0.25">
      <c r="B104" s="295" t="s">
        <v>1859</v>
      </c>
      <c r="C104" s="296" t="s">
        <v>1400</v>
      </c>
      <c r="D104" s="296" t="s">
        <v>778</v>
      </c>
      <c r="E104" s="297" t="s">
        <v>774</v>
      </c>
      <c r="G104" s="80">
        <f>+(G105*(0.2))</f>
        <v>2.948</v>
      </c>
      <c r="H104" s="77" t="str">
        <f>VLOOKUP(E104,'B. DATOS'!$B$34:$E$622,2,FALSE)</f>
        <v>M2</v>
      </c>
      <c r="J104" s="29" t="s">
        <v>259</v>
      </c>
      <c r="L104" s="78">
        <f>VLOOKUP(E104,'B. DATOS'!$B$34:$E$622,4,FALSE)</f>
        <v>20000</v>
      </c>
      <c r="M104" s="76">
        <f t="shared" si="19"/>
        <v>58960</v>
      </c>
      <c r="N104" s="351"/>
      <c r="O104" s="80">
        <f t="shared" si="20"/>
        <v>2.948</v>
      </c>
      <c r="Q104" s="76">
        <f>+M104*$N$93</f>
        <v>58960</v>
      </c>
    </row>
    <row r="105" spans="2:21" x14ac:dyDescent="0.25">
      <c r="B105" s="295" t="s">
        <v>1860</v>
      </c>
      <c r="C105" s="296" t="s">
        <v>1400</v>
      </c>
      <c r="D105" s="296" t="s">
        <v>778</v>
      </c>
      <c r="E105" s="297" t="s">
        <v>1476</v>
      </c>
      <c r="G105" s="80">
        <f>+SUM('2. CANTIDADES'!I24:I27)</f>
        <v>14.739999999999998</v>
      </c>
      <c r="H105" s="77" t="str">
        <f>VLOOKUP(E105,'B. DATOS'!$B$34:$E$622,2,FALSE)</f>
        <v>ML</v>
      </c>
      <c r="J105" s="29" t="s">
        <v>259</v>
      </c>
      <c r="L105" s="78">
        <f>VLOOKUP(E105,'B. DATOS'!$B$34:$E$622,4,FALSE)</f>
        <v>90000</v>
      </c>
      <c r="M105" s="76">
        <f t="shared" si="19"/>
        <v>1326599.9999999998</v>
      </c>
      <c r="N105" s="351"/>
      <c r="O105" s="80">
        <f t="shared" si="20"/>
        <v>14.739999999999998</v>
      </c>
      <c r="Q105" s="76">
        <f>+M105*$N$93</f>
        <v>1326599.9999999998</v>
      </c>
    </row>
    <row r="106" spans="2:21" s="39" customFormat="1" x14ac:dyDescent="0.25">
      <c r="B106" s="109">
        <v>3</v>
      </c>
      <c r="C106" s="143"/>
      <c r="D106" s="375" t="s">
        <v>1861</v>
      </c>
      <c r="E106" s="376"/>
      <c r="F106" s="125"/>
      <c r="G106" s="125"/>
      <c r="H106" s="125"/>
      <c r="I106" s="125"/>
      <c r="J106" s="125"/>
      <c r="K106" s="125"/>
      <c r="L106" s="126"/>
      <c r="M106" s="126"/>
      <c r="N106" s="125"/>
      <c r="O106" s="125"/>
      <c r="P106" s="126">
        <f>+P107+P141+P155+P172+P119+P129+P163+P168+P113+P124+P135+P148+P159</f>
        <v>42221122.014520012</v>
      </c>
      <c r="Q106" s="126">
        <f>+Q107+Q141+Q155+Q172+Q119+Q129+Q163+Q168+Q113+Q124+Q135+Q148+Q159</f>
        <v>59981162</v>
      </c>
      <c r="R106" s="127">
        <f>Q106+P106</f>
        <v>102202284.01452002</v>
      </c>
      <c r="S106" s="128"/>
      <c r="T106" s="182">
        <f>+T107+T141+T155+T172+T119+T129</f>
        <v>0.18471087044782716</v>
      </c>
    </row>
    <row r="107" spans="2:21" s="39" customFormat="1" x14ac:dyDescent="0.25">
      <c r="B107" s="110">
        <v>3.1</v>
      </c>
      <c r="C107" s="144" t="s">
        <v>1812</v>
      </c>
      <c r="D107" s="369" t="s">
        <v>1567</v>
      </c>
      <c r="E107" s="370"/>
      <c r="F107" s="121"/>
      <c r="G107" s="121"/>
      <c r="H107" s="121"/>
      <c r="I107" s="121"/>
      <c r="J107" s="121"/>
      <c r="K107" s="121"/>
      <c r="L107" s="122"/>
      <c r="M107" s="122">
        <f>+SUM(M108:M112)</f>
        <v>6493358.3106199997</v>
      </c>
      <c r="N107" s="121"/>
      <c r="O107" s="121"/>
      <c r="P107" s="122">
        <f>+SUM(P108:P112)</f>
        <v>6493358.3106199997</v>
      </c>
      <c r="Q107" s="122">
        <f>+SUM(Q108:Q112)</f>
        <v>0</v>
      </c>
      <c r="R107" s="123">
        <f>+P107+Q107</f>
        <v>6493358.3106199997</v>
      </c>
      <c r="S107" s="124">
        <f>+R107/($G$173)</f>
        <v>42716.652263798438</v>
      </c>
      <c r="T107" s="181" cm="1">
        <f t="array" ref="T107:U107">+R107/'1. GENERAL'!$E$31:$F$31</f>
        <v>1.3280663690600053E-2</v>
      </c>
      <c r="U107" s="39" t="e">
        <v>#DIV/0!</v>
      </c>
    </row>
    <row r="108" spans="2:21" x14ac:dyDescent="0.25">
      <c r="B108" s="83" t="s">
        <v>330</v>
      </c>
      <c r="C108" s="145" t="s">
        <v>1812</v>
      </c>
      <c r="D108" s="145" t="s">
        <v>251</v>
      </c>
      <c r="E108" s="84" t="s">
        <v>506</v>
      </c>
      <c r="G108" s="79">
        <f>+((('2. CANTIDADES'!EI2*6)+('2. CANTIDADES'!EJ2*7))*1.1)-G114</f>
        <v>617.45000000000005</v>
      </c>
      <c r="H108" s="77" t="str">
        <f>VLOOKUP(E108,'B. DATOS'!$B$34:$E$622,2,FALSE)</f>
        <v>ML</v>
      </c>
      <c r="J108" s="29" t="s">
        <v>508</v>
      </c>
      <c r="L108" s="78">
        <f>VLOOKUP(E108,'B. DATOS'!$B$34:$E$622,4,FALSE)</f>
        <v>4500</v>
      </c>
      <c r="M108" s="76">
        <f>+L108*G108</f>
        <v>2778525</v>
      </c>
      <c r="N108" s="351">
        <v>1</v>
      </c>
      <c r="O108" s="80">
        <f>+G108*$N$108</f>
        <v>617.45000000000005</v>
      </c>
      <c r="P108" s="76">
        <f>+M108*$N$108</f>
        <v>2778525</v>
      </c>
    </row>
    <row r="109" spans="2:21" x14ac:dyDescent="0.25">
      <c r="B109" s="83" t="s">
        <v>331</v>
      </c>
      <c r="C109" s="145" t="s">
        <v>1812</v>
      </c>
      <c r="D109" s="145" t="s">
        <v>251</v>
      </c>
      <c r="E109" s="84" t="s">
        <v>1771</v>
      </c>
      <c r="G109" s="79">
        <f>+'2. CANTIDADES'!EP2*1.05</f>
        <v>16.8</v>
      </c>
      <c r="H109" s="77" t="str">
        <f>VLOOKUP(E109,'B. DATOS'!$B$34:$E$622,2,FALSE)</f>
        <v>ML</v>
      </c>
      <c r="J109" s="29" t="s">
        <v>586</v>
      </c>
      <c r="L109" s="78">
        <f>VLOOKUP(E109,'B. DATOS'!$B$34:$E$622,4,FALSE)</f>
        <v>3000</v>
      </c>
      <c r="M109" s="76">
        <f>+L109*G109</f>
        <v>50400</v>
      </c>
      <c r="N109" s="351"/>
      <c r="O109" s="80">
        <f>+G109*$N$108</f>
        <v>16.8</v>
      </c>
      <c r="P109" s="76">
        <f>+M109*$N$108</f>
        <v>50400</v>
      </c>
    </row>
    <row r="110" spans="2:21" x14ac:dyDescent="0.25">
      <c r="B110" s="83" t="s">
        <v>332</v>
      </c>
      <c r="C110" s="145" t="s">
        <v>1812</v>
      </c>
      <c r="D110" s="145" t="s">
        <v>251</v>
      </c>
      <c r="E110" s="84" t="s">
        <v>1384</v>
      </c>
      <c r="G110" s="80">
        <f>+(G108+G109)*0.4</f>
        <v>253.70000000000002</v>
      </c>
      <c r="H110" s="77" t="str">
        <f>VLOOKUP(E110,'B. DATOS'!$B$34:$E$622,2,FALSE)</f>
        <v>ML</v>
      </c>
      <c r="J110" s="29" t="s">
        <v>274</v>
      </c>
      <c r="L110" s="78">
        <f>VLOOKUP(E110,'B. DATOS'!$B$34:$E$622,4,FALSE)</f>
        <v>6000</v>
      </c>
      <c r="M110" s="76">
        <f>+L110*G110</f>
        <v>1522200</v>
      </c>
      <c r="N110" s="351"/>
      <c r="O110" s="80">
        <f>+G110*$N$108</f>
        <v>253.70000000000002</v>
      </c>
      <c r="P110" s="76">
        <f>+M110*$N$108</f>
        <v>1522200</v>
      </c>
    </row>
    <row r="111" spans="2:21" x14ac:dyDescent="0.25">
      <c r="B111" s="83" t="s">
        <v>333</v>
      </c>
      <c r="C111" s="145" t="s">
        <v>1812</v>
      </c>
      <c r="D111" s="145" t="s">
        <v>251</v>
      </c>
      <c r="E111" s="84" t="s">
        <v>1385</v>
      </c>
      <c r="G111" s="80">
        <f>+G110*8</f>
        <v>2029.6000000000001</v>
      </c>
      <c r="H111" s="77" t="str">
        <f>VLOOKUP(E111,'B. DATOS'!$B$34:$E$622,2,FALSE)</f>
        <v>PAR</v>
      </c>
      <c r="J111" s="29" t="s">
        <v>274</v>
      </c>
      <c r="L111" s="78">
        <f>VLOOKUP(E111,'B. DATOS'!$B$34:$E$622,4,FALSE)</f>
        <v>830</v>
      </c>
      <c r="M111" s="76">
        <f>+L111*G111</f>
        <v>1684568</v>
      </c>
      <c r="N111" s="351"/>
      <c r="O111" s="80">
        <f>+G111*$N$108</f>
        <v>2029.6000000000001</v>
      </c>
      <c r="P111" s="76">
        <f>+M111*$N$108</f>
        <v>1684568</v>
      </c>
    </row>
    <row r="112" spans="2:21" x14ac:dyDescent="0.25">
      <c r="B112" s="83" t="s">
        <v>334</v>
      </c>
      <c r="C112" s="145" t="s">
        <v>1812</v>
      </c>
      <c r="D112" s="145" t="s">
        <v>251</v>
      </c>
      <c r="E112" s="84" t="s">
        <v>625</v>
      </c>
      <c r="G112" s="80">
        <f>+((((0.06*0.06)*3.15)*0.45)*((N43+N51)*3)*1.05)</f>
        <v>1.26988155</v>
      </c>
      <c r="H112" s="77" t="str">
        <f>VLOOKUP(E112,'B. DATOS'!$B$34:$E$622,2,FALSE)</f>
        <v>M3</v>
      </c>
      <c r="J112" s="29" t="s">
        <v>717</v>
      </c>
      <c r="L112" s="78">
        <f>VLOOKUP(E112,'B. DATOS'!$B$34:$E$622,4,FALSE)</f>
        <v>360400</v>
      </c>
      <c r="M112" s="76">
        <f>+L112*G112</f>
        <v>457665.31062</v>
      </c>
      <c r="N112" s="351"/>
      <c r="O112" s="80">
        <f>+G112*$N$108</f>
        <v>1.26988155</v>
      </c>
      <c r="P112" s="76">
        <f>+M112*$N$108</f>
        <v>457665.31062</v>
      </c>
    </row>
    <row r="113" spans="2:21" s="39" customFormat="1" x14ac:dyDescent="0.25">
      <c r="B113" s="288">
        <v>3.2</v>
      </c>
      <c r="C113" s="289" t="s">
        <v>1400</v>
      </c>
      <c r="D113" s="367" t="s">
        <v>1567</v>
      </c>
      <c r="E113" s="368"/>
      <c r="F113" s="290"/>
      <c r="G113" s="290"/>
      <c r="H113" s="290"/>
      <c r="I113" s="290"/>
      <c r="J113" s="290"/>
      <c r="K113" s="290"/>
      <c r="L113" s="291"/>
      <c r="M113" s="291">
        <f>+SUM(M114:M118)</f>
        <v>1539829.39068</v>
      </c>
      <c r="N113" s="290"/>
      <c r="O113" s="290"/>
      <c r="P113" s="291">
        <f>+SUM(P114:P118)</f>
        <v>1539829.39068</v>
      </c>
      <c r="Q113" s="291">
        <f>+SUM(Q114:Q118)</f>
        <v>0</v>
      </c>
      <c r="R113" s="298">
        <f>+P113+Q113</f>
        <v>1539829.39068</v>
      </c>
      <c r="S113" s="293">
        <f>+R113/($G$173)</f>
        <v>10129.790084073416</v>
      </c>
      <c r="T113" s="294" cm="1">
        <f t="array" ref="T113:U113">+R113/'1. GENERAL'!$E$31:$F$31</f>
        <v>3.1493651359230279E-3</v>
      </c>
      <c r="U113" s="39" t="e">
        <v>#DIV/0!</v>
      </c>
    </row>
    <row r="114" spans="2:21" x14ac:dyDescent="0.25">
      <c r="B114" s="295" t="s">
        <v>364</v>
      </c>
      <c r="C114" s="296" t="s">
        <v>1400</v>
      </c>
      <c r="D114" s="296" t="s">
        <v>251</v>
      </c>
      <c r="E114" s="297" t="s">
        <v>506</v>
      </c>
      <c r="G114" s="79">
        <f>+SUM('2. CANTIDADES'!EJ66:EJ80)*1.05</f>
        <v>157.5</v>
      </c>
      <c r="H114" s="77" t="str">
        <f>VLOOKUP(E114,'B. DATOS'!$B$34:$E$622,2,FALSE)</f>
        <v>ML</v>
      </c>
      <c r="J114" s="29" t="s">
        <v>508</v>
      </c>
      <c r="L114" s="78">
        <f>VLOOKUP(E114,'B. DATOS'!$B$34:$E$622,4,FALSE)</f>
        <v>4500</v>
      </c>
      <c r="M114" s="76">
        <f>+L114*G114</f>
        <v>708750</v>
      </c>
      <c r="N114" s="351">
        <v>1</v>
      </c>
      <c r="O114" s="80">
        <f>+G114*$N$108</f>
        <v>157.5</v>
      </c>
      <c r="P114" s="76">
        <f>+M114*$N$108</f>
        <v>708750</v>
      </c>
    </row>
    <row r="115" spans="2:21" x14ac:dyDescent="0.25">
      <c r="B115" s="295" t="s">
        <v>366</v>
      </c>
      <c r="C115" s="296" t="s">
        <v>1400</v>
      </c>
      <c r="D115" s="296" t="s">
        <v>251</v>
      </c>
      <c r="E115" s="297" t="s">
        <v>1771</v>
      </c>
      <c r="G115" s="79">
        <f>+'2. CANTIDADES'!EP8*1.05</f>
        <v>0</v>
      </c>
      <c r="H115" s="77" t="str">
        <f>VLOOKUP(E115,'B. DATOS'!$B$34:$E$622,2,FALSE)</f>
        <v>ML</v>
      </c>
      <c r="J115" s="29" t="s">
        <v>586</v>
      </c>
      <c r="L115" s="78">
        <f>VLOOKUP(E115,'B. DATOS'!$B$34:$E$622,4,FALSE)</f>
        <v>3000</v>
      </c>
      <c r="M115" s="76">
        <f>+L115*G115</f>
        <v>0</v>
      </c>
      <c r="N115" s="351"/>
      <c r="O115" s="80">
        <f>+G115*$N$108</f>
        <v>0</v>
      </c>
      <c r="P115" s="76">
        <f>+M115*$N$108</f>
        <v>0</v>
      </c>
    </row>
    <row r="116" spans="2:21" x14ac:dyDescent="0.25">
      <c r="B116" s="295" t="s">
        <v>367</v>
      </c>
      <c r="C116" s="296" t="s">
        <v>1400</v>
      </c>
      <c r="D116" s="296" t="s">
        <v>251</v>
      </c>
      <c r="E116" s="297" t="s">
        <v>1384</v>
      </c>
      <c r="G116" s="80">
        <f>+(G114+G115)*0.4</f>
        <v>63</v>
      </c>
      <c r="H116" s="77" t="str">
        <f>VLOOKUP(E116,'B. DATOS'!$B$34:$E$622,2,FALSE)</f>
        <v>ML</v>
      </c>
      <c r="J116" s="29" t="s">
        <v>274</v>
      </c>
      <c r="L116" s="78">
        <f>VLOOKUP(E116,'B. DATOS'!$B$34:$E$622,4,FALSE)</f>
        <v>6000</v>
      </c>
      <c r="M116" s="76">
        <f>+L116*G116</f>
        <v>378000</v>
      </c>
      <c r="N116" s="351"/>
      <c r="O116" s="80">
        <f>+G116*$N$108</f>
        <v>63</v>
      </c>
      <c r="P116" s="76">
        <f>+M116*$N$108</f>
        <v>378000</v>
      </c>
    </row>
    <row r="117" spans="2:21" x14ac:dyDescent="0.25">
      <c r="B117" s="295" t="s">
        <v>368</v>
      </c>
      <c r="C117" s="296" t="s">
        <v>1400</v>
      </c>
      <c r="D117" s="296" t="s">
        <v>251</v>
      </c>
      <c r="E117" s="297" t="s">
        <v>1385</v>
      </c>
      <c r="G117" s="80">
        <f>+G116*8</f>
        <v>504</v>
      </c>
      <c r="H117" s="77" t="str">
        <f>VLOOKUP(E117,'B. DATOS'!$B$34:$E$622,2,FALSE)</f>
        <v>PAR</v>
      </c>
      <c r="J117" s="29" t="s">
        <v>274</v>
      </c>
      <c r="L117" s="78">
        <f>VLOOKUP(E117,'B. DATOS'!$B$34:$E$622,4,FALSE)</f>
        <v>830</v>
      </c>
      <c r="M117" s="76">
        <f>+L117*G117</f>
        <v>418320</v>
      </c>
      <c r="N117" s="351"/>
      <c r="O117" s="80">
        <f>+G117*$N$108</f>
        <v>504</v>
      </c>
      <c r="P117" s="76">
        <f>+M117*$N$108</f>
        <v>418320</v>
      </c>
    </row>
    <row r="118" spans="2:21" x14ac:dyDescent="0.25">
      <c r="B118" s="295" t="s">
        <v>369</v>
      </c>
      <c r="C118" s="296" t="s">
        <v>1400</v>
      </c>
      <c r="D118" s="296" t="s">
        <v>251</v>
      </c>
      <c r="E118" s="297" t="s">
        <v>625</v>
      </c>
      <c r="G118" s="80">
        <f>+((((0.06*0.06)*3.15)*0.45)*((N61)*3)*1.05)</f>
        <v>9.6446699999999996E-2</v>
      </c>
      <c r="H118" s="77" t="str">
        <f>VLOOKUP(E118,'B. DATOS'!$B$34:$E$622,2,FALSE)</f>
        <v>M3</v>
      </c>
      <c r="J118" s="29" t="s">
        <v>717</v>
      </c>
      <c r="L118" s="78">
        <f>VLOOKUP(E118,'B. DATOS'!$B$34:$E$622,4,FALSE)</f>
        <v>360400</v>
      </c>
      <c r="M118" s="76">
        <f>+L118*G118</f>
        <v>34759.390679999997</v>
      </c>
      <c r="N118" s="351"/>
      <c r="O118" s="80">
        <f>+G118*$N$108</f>
        <v>9.6446699999999996E-2</v>
      </c>
      <c r="P118" s="76">
        <f>+M118*$N$108</f>
        <v>34759.390679999997</v>
      </c>
    </row>
    <row r="119" spans="2:21" s="39" customFormat="1" x14ac:dyDescent="0.25">
      <c r="B119" s="110">
        <v>3.3</v>
      </c>
      <c r="C119" s="144" t="s">
        <v>1812</v>
      </c>
      <c r="D119" s="369" t="s">
        <v>1568</v>
      </c>
      <c r="E119" s="370"/>
      <c r="F119" s="121"/>
      <c r="G119" s="121"/>
      <c r="H119" s="121"/>
      <c r="I119" s="121"/>
      <c r="J119" s="121"/>
      <c r="K119" s="121"/>
      <c r="L119" s="122"/>
      <c r="M119" s="122">
        <f>+SUM(M120:M123)</f>
        <v>5446193.5466200002</v>
      </c>
      <c r="N119" s="121"/>
      <c r="O119" s="121"/>
      <c r="P119" s="122">
        <f>+SUM(P120:P123)</f>
        <v>5446193.5466200002</v>
      </c>
      <c r="Q119" s="122">
        <f>+SUM(Q120:Q123)</f>
        <v>0</v>
      </c>
      <c r="R119" s="123">
        <f>+P119+Q119</f>
        <v>5446193.5466200002</v>
      </c>
      <c r="S119" s="124">
        <f>+R119/($G$173)</f>
        <v>35827.86360515756</v>
      </c>
      <c r="T119" s="181" cm="1">
        <f t="array" ref="T119:U119">+R119/'1. GENERAL'!$E$31:$F$31</f>
        <v>1.1138930184752184E-2</v>
      </c>
      <c r="U119" s="39" t="e">
        <v>#DIV/0!</v>
      </c>
    </row>
    <row r="120" spans="2:21" x14ac:dyDescent="0.25">
      <c r="B120" s="83" t="s">
        <v>371</v>
      </c>
      <c r="C120" s="145" t="s">
        <v>1812</v>
      </c>
      <c r="D120" s="145" t="s">
        <v>251</v>
      </c>
      <c r="E120" s="84" t="s">
        <v>506</v>
      </c>
      <c r="G120" s="79">
        <f>+((('2. CANTIDADES'!BK2*6)+('2. CANTIDADES'!BL2*7)+('2. CANTIDADES'!BM2*8))*1.1)-G125</f>
        <v>522.03100000000006</v>
      </c>
      <c r="H120" s="77" t="str">
        <f>VLOOKUP(E120,'B. DATOS'!$B$34:$E$622,2,FALSE)</f>
        <v>ML</v>
      </c>
      <c r="J120" s="29" t="s">
        <v>508</v>
      </c>
      <c r="L120" s="78">
        <f>VLOOKUP(E120,'B. DATOS'!$B$34:$E$622,4,FALSE)</f>
        <v>4500</v>
      </c>
      <c r="M120" s="76">
        <f>+L120*G120</f>
        <v>2349139.5000000005</v>
      </c>
      <c r="N120" s="351">
        <v>1</v>
      </c>
      <c r="O120" s="80">
        <f>+G120*$N$142</f>
        <v>522.03100000000006</v>
      </c>
      <c r="P120" s="76">
        <f>+M120*$N$142</f>
        <v>2349139.5000000005</v>
      </c>
    </row>
    <row r="121" spans="2:21" x14ac:dyDescent="0.25">
      <c r="B121" s="83" t="s">
        <v>372</v>
      </c>
      <c r="C121" s="145" t="s">
        <v>1812</v>
      </c>
      <c r="D121" s="145" t="s">
        <v>251</v>
      </c>
      <c r="E121" s="84" t="s">
        <v>1384</v>
      </c>
      <c r="G121" s="80">
        <f>+G120*0.4</f>
        <v>208.81240000000003</v>
      </c>
      <c r="H121" s="77" t="str">
        <f>VLOOKUP(E121,'B. DATOS'!$B$34:$E$622,2,FALSE)</f>
        <v>ML</v>
      </c>
      <c r="J121" s="29" t="s">
        <v>274</v>
      </c>
      <c r="L121" s="78">
        <f>VLOOKUP(E121,'B. DATOS'!$B$34:$E$622,4,FALSE)</f>
        <v>6000</v>
      </c>
      <c r="M121" s="76">
        <f>+L121*G121</f>
        <v>1252874.4000000001</v>
      </c>
      <c r="N121" s="351"/>
      <c r="O121" s="80">
        <f>+G121*$N$142</f>
        <v>208.81240000000003</v>
      </c>
      <c r="P121" s="76">
        <f>+M121*$N$142</f>
        <v>1252874.4000000001</v>
      </c>
    </row>
    <row r="122" spans="2:21" x14ac:dyDescent="0.25">
      <c r="B122" s="83" t="s">
        <v>373</v>
      </c>
      <c r="C122" s="145" t="s">
        <v>1812</v>
      </c>
      <c r="D122" s="145" t="s">
        <v>251</v>
      </c>
      <c r="E122" s="84" t="s">
        <v>1385</v>
      </c>
      <c r="G122" s="80">
        <f>+G121*8</f>
        <v>1670.4992000000002</v>
      </c>
      <c r="H122" s="77" t="str">
        <f>VLOOKUP(E122,'B. DATOS'!$B$34:$E$622,2,FALSE)</f>
        <v>PAR</v>
      </c>
      <c r="J122" s="29" t="s">
        <v>274</v>
      </c>
      <c r="L122" s="78">
        <f>VLOOKUP(E122,'B. DATOS'!$B$34:$E$622,4,FALSE)</f>
        <v>830</v>
      </c>
      <c r="M122" s="76">
        <f>+L122*G122</f>
        <v>1386514.3360000001</v>
      </c>
      <c r="N122" s="351"/>
      <c r="O122" s="80">
        <f>+G122*$N$142</f>
        <v>1670.4992000000002</v>
      </c>
      <c r="P122" s="76">
        <f>+M122*$N$142</f>
        <v>1386514.3360000001</v>
      </c>
    </row>
    <row r="123" spans="2:21" x14ac:dyDescent="0.25">
      <c r="B123" s="83" t="s">
        <v>1492</v>
      </c>
      <c r="C123" s="145" t="s">
        <v>1812</v>
      </c>
      <c r="D123" s="145" t="s">
        <v>251</v>
      </c>
      <c r="E123" s="84" t="s">
        <v>625</v>
      </c>
      <c r="G123" s="80">
        <f>+G112</f>
        <v>1.26988155</v>
      </c>
      <c r="H123" s="77" t="str">
        <f>VLOOKUP(E123,'B. DATOS'!$B$34:$E$622,2,FALSE)</f>
        <v>M3</v>
      </c>
      <c r="J123" s="29" t="s">
        <v>717</v>
      </c>
      <c r="L123" s="78">
        <f>VLOOKUP(E123,'B. DATOS'!$B$34:$E$622,4,FALSE)</f>
        <v>360400</v>
      </c>
      <c r="M123" s="76">
        <f>+L123*G123</f>
        <v>457665.31062</v>
      </c>
      <c r="N123" s="351"/>
      <c r="O123" s="80">
        <f>+G123*$N$142</f>
        <v>1.26988155</v>
      </c>
      <c r="P123" s="76">
        <f>+M123*$N$142</f>
        <v>457665.31062</v>
      </c>
    </row>
    <row r="124" spans="2:21" s="39" customFormat="1" x14ac:dyDescent="0.25">
      <c r="B124" s="288">
        <v>3.4</v>
      </c>
      <c r="C124" s="289" t="s">
        <v>1400</v>
      </c>
      <c r="D124" s="367" t="s">
        <v>1568</v>
      </c>
      <c r="E124" s="368"/>
      <c r="F124" s="290"/>
      <c r="G124" s="290"/>
      <c r="H124" s="290"/>
      <c r="I124" s="290"/>
      <c r="J124" s="290"/>
      <c r="K124" s="290"/>
      <c r="L124" s="291"/>
      <c r="M124" s="291">
        <f>+SUM(M125:M128)</f>
        <v>1485847.5466799999</v>
      </c>
      <c r="N124" s="290"/>
      <c r="O124" s="290"/>
      <c r="P124" s="291">
        <f>+SUM(P125:P128)</f>
        <v>1485847.5466799999</v>
      </c>
      <c r="Q124" s="291">
        <f>+SUM(Q125:Q128)</f>
        <v>0</v>
      </c>
      <c r="R124" s="298">
        <f>+P124+Q124</f>
        <v>1485847.5466799999</v>
      </c>
      <c r="S124" s="293">
        <f>+R124/($G$173)</f>
        <v>9774.6697367278466</v>
      </c>
      <c r="T124" s="294" cm="1">
        <f t="array" ref="T124:U124">+R124/'1. GENERAL'!$E$31:$F$31</f>
        <v>3.0389577502117067E-3</v>
      </c>
      <c r="U124" s="39" t="e">
        <v>#DIV/0!</v>
      </c>
    </row>
    <row r="125" spans="2:21" x14ac:dyDescent="0.25">
      <c r="B125" s="295" t="s">
        <v>1389</v>
      </c>
      <c r="C125" s="296" t="s">
        <v>1400</v>
      </c>
      <c r="D125" s="296" t="s">
        <v>251</v>
      </c>
      <c r="E125" s="297" t="s">
        <v>506</v>
      </c>
      <c r="G125" s="79">
        <f>+SUM('2. CANTIDADES'!BL46:BL58)*1.05</f>
        <v>151.851</v>
      </c>
      <c r="H125" s="77" t="str">
        <f>VLOOKUP(E125,'B. DATOS'!$B$34:$E$622,2,FALSE)</f>
        <v>ML</v>
      </c>
      <c r="J125" s="29" t="s">
        <v>508</v>
      </c>
      <c r="L125" s="78">
        <f>VLOOKUP(E125,'B. DATOS'!$B$34:$E$622,4,FALSE)</f>
        <v>4500</v>
      </c>
      <c r="M125" s="76">
        <f>+L125*G125</f>
        <v>683329.5</v>
      </c>
      <c r="N125" s="351">
        <v>1</v>
      </c>
      <c r="O125" s="80">
        <f>+G125*$N$142</f>
        <v>151.851</v>
      </c>
      <c r="P125" s="76">
        <f>+M125*$N$142</f>
        <v>683329.5</v>
      </c>
    </row>
    <row r="126" spans="2:21" x14ac:dyDescent="0.25">
      <c r="B126" s="295" t="s">
        <v>1390</v>
      </c>
      <c r="C126" s="296" t="s">
        <v>1400</v>
      </c>
      <c r="D126" s="296" t="s">
        <v>251</v>
      </c>
      <c r="E126" s="297" t="s">
        <v>1384</v>
      </c>
      <c r="G126" s="80">
        <f>+G125*0.4</f>
        <v>60.740400000000001</v>
      </c>
      <c r="H126" s="77" t="str">
        <f>VLOOKUP(E126,'B. DATOS'!$B$34:$E$622,2,FALSE)</f>
        <v>ML</v>
      </c>
      <c r="J126" s="29" t="s">
        <v>274</v>
      </c>
      <c r="L126" s="78">
        <f>VLOOKUP(E126,'B. DATOS'!$B$34:$E$622,4,FALSE)</f>
        <v>6000</v>
      </c>
      <c r="M126" s="76">
        <f>+L126*G126</f>
        <v>364442.4</v>
      </c>
      <c r="N126" s="351"/>
      <c r="O126" s="80">
        <f>+G126*$N$142</f>
        <v>60.740400000000001</v>
      </c>
      <c r="P126" s="76">
        <f>+M126*$N$142</f>
        <v>364442.4</v>
      </c>
    </row>
    <row r="127" spans="2:21" x14ac:dyDescent="0.25">
      <c r="B127" s="295" t="s">
        <v>1570</v>
      </c>
      <c r="C127" s="296" t="s">
        <v>1400</v>
      </c>
      <c r="D127" s="296" t="s">
        <v>251</v>
      </c>
      <c r="E127" s="297" t="s">
        <v>1385</v>
      </c>
      <c r="G127" s="80">
        <f>+G126*8</f>
        <v>485.92320000000001</v>
      </c>
      <c r="H127" s="77" t="str">
        <f>VLOOKUP(E127,'B. DATOS'!$B$34:$E$622,2,FALSE)</f>
        <v>PAR</v>
      </c>
      <c r="J127" s="29" t="s">
        <v>274</v>
      </c>
      <c r="L127" s="78">
        <f>VLOOKUP(E127,'B. DATOS'!$B$34:$E$622,4,FALSE)</f>
        <v>830</v>
      </c>
      <c r="M127" s="76">
        <f>+L127*G127</f>
        <v>403316.25599999999</v>
      </c>
      <c r="N127" s="351"/>
      <c r="O127" s="80">
        <f>+G127*$N$142</f>
        <v>485.92320000000001</v>
      </c>
      <c r="P127" s="76">
        <f>+M127*$N$142</f>
        <v>403316.25599999999</v>
      </c>
    </row>
    <row r="128" spans="2:21" x14ac:dyDescent="0.25">
      <c r="B128" s="295" t="s">
        <v>1571</v>
      </c>
      <c r="C128" s="296" t="s">
        <v>1400</v>
      </c>
      <c r="D128" s="296" t="s">
        <v>251</v>
      </c>
      <c r="E128" s="297" t="s">
        <v>625</v>
      </c>
      <c r="G128" s="80">
        <f>+G118</f>
        <v>9.6446699999999996E-2</v>
      </c>
      <c r="H128" s="77" t="str">
        <f>VLOOKUP(E128,'B. DATOS'!$B$34:$E$622,2,FALSE)</f>
        <v>M3</v>
      </c>
      <c r="J128" s="29" t="s">
        <v>717</v>
      </c>
      <c r="L128" s="78">
        <f>VLOOKUP(E128,'B. DATOS'!$B$34:$E$622,4,FALSE)</f>
        <v>360400</v>
      </c>
      <c r="M128" s="76">
        <f>+L128*G128</f>
        <v>34759.390679999997</v>
      </c>
      <c r="N128" s="351"/>
      <c r="O128" s="80">
        <f>+G128*$N$142</f>
        <v>9.6446699999999996E-2</v>
      </c>
      <c r="P128" s="76">
        <f>+M128*$N$142</f>
        <v>34759.390679999997</v>
      </c>
    </row>
    <row r="129" spans="2:21" s="39" customFormat="1" x14ac:dyDescent="0.25">
      <c r="B129" s="110">
        <v>3.5</v>
      </c>
      <c r="C129" s="144" t="s">
        <v>1812</v>
      </c>
      <c r="D129" s="369" t="s">
        <v>1569</v>
      </c>
      <c r="E129" s="370"/>
      <c r="F129" s="121"/>
      <c r="G129" s="121"/>
      <c r="H129" s="121"/>
      <c r="I129" s="121"/>
      <c r="J129" s="121"/>
      <c r="K129" s="121"/>
      <c r="L129" s="122"/>
      <c r="M129" s="122">
        <f>+SUM(M130:M134)</f>
        <v>8524039.5106199998</v>
      </c>
      <c r="N129" s="121"/>
      <c r="O129" s="121"/>
      <c r="P129" s="122">
        <f>+SUM(P130:P134)</f>
        <v>8524039.5106199998</v>
      </c>
      <c r="Q129" s="122">
        <f>+SUM(Q130:Q134)</f>
        <v>0</v>
      </c>
      <c r="R129" s="123">
        <f>+P129+Q129</f>
        <v>8524039.5106199998</v>
      </c>
      <c r="S129" s="124">
        <f>+R129/($G$173)</f>
        <v>56075.518127886324</v>
      </c>
      <c r="T129" s="181" cm="1">
        <f t="array" ref="T129:U129">+R129/'1. GENERAL'!$E$31:$F$31</f>
        <v>1.743395275766358E-2</v>
      </c>
      <c r="U129" s="39" t="e">
        <v>#DIV/0!</v>
      </c>
    </row>
    <row r="130" spans="2:21" x14ac:dyDescent="0.25">
      <c r="B130" s="83" t="s">
        <v>1572</v>
      </c>
      <c r="C130" s="145" t="s">
        <v>1812</v>
      </c>
      <c r="D130" s="145" t="s">
        <v>251</v>
      </c>
      <c r="E130" s="84" t="s">
        <v>506</v>
      </c>
      <c r="G130" s="79">
        <f>+(('2. CANTIDADES'!EY2*6)*1.1)-G136</f>
        <v>704.7</v>
      </c>
      <c r="H130" s="77" t="str">
        <f>VLOOKUP(E130,'B. DATOS'!$B$34:$E$622,2,FALSE)</f>
        <v>ML</v>
      </c>
      <c r="J130" s="29" t="s">
        <v>508</v>
      </c>
      <c r="L130" s="78">
        <f>VLOOKUP(E130,'B. DATOS'!$B$34:$E$622,4,FALSE)</f>
        <v>4500</v>
      </c>
      <c r="M130" s="76">
        <f>+L130*G130</f>
        <v>3171150</v>
      </c>
      <c r="N130" s="351">
        <v>1</v>
      </c>
      <c r="O130" s="80">
        <f>+G130*$N$108</f>
        <v>704.7</v>
      </c>
      <c r="P130" s="76">
        <f>+M130*$N$108</f>
        <v>3171150</v>
      </c>
    </row>
    <row r="131" spans="2:21" x14ac:dyDescent="0.25">
      <c r="B131" s="83" t="s">
        <v>1573</v>
      </c>
      <c r="C131" s="145" t="s">
        <v>1812</v>
      </c>
      <c r="D131" s="145" t="s">
        <v>251</v>
      </c>
      <c r="E131" s="84" t="s">
        <v>1771</v>
      </c>
      <c r="G131" s="79">
        <f>+'2. CANTIDADES'!FF2*1.05</f>
        <v>165.375</v>
      </c>
      <c r="H131" s="77" t="str">
        <f>VLOOKUP(E131,'B. DATOS'!$B$34:$E$622,2,FALSE)</f>
        <v>ML</v>
      </c>
      <c r="J131" s="29" t="s">
        <v>586</v>
      </c>
      <c r="L131" s="78">
        <f>VLOOKUP(E131,'B. DATOS'!$B$34:$E$622,4,FALSE)</f>
        <v>3000</v>
      </c>
      <c r="M131" s="76">
        <f>+L131*G131</f>
        <v>496125</v>
      </c>
      <c r="N131" s="351"/>
      <c r="O131" s="80">
        <f>+G131*$N$108</f>
        <v>165.375</v>
      </c>
      <c r="P131" s="76">
        <f>+M131*$N$108</f>
        <v>496125</v>
      </c>
    </row>
    <row r="132" spans="2:21" x14ac:dyDescent="0.25">
      <c r="B132" s="83" t="s">
        <v>1574</v>
      </c>
      <c r="C132" s="145" t="s">
        <v>1812</v>
      </c>
      <c r="D132" s="145" t="s">
        <v>251</v>
      </c>
      <c r="E132" s="84" t="s">
        <v>1384</v>
      </c>
      <c r="G132" s="80">
        <f>+(G130+G131)*0.4</f>
        <v>348.03000000000003</v>
      </c>
      <c r="H132" s="77" t="str">
        <f>VLOOKUP(E132,'B. DATOS'!$B$34:$E$622,2,FALSE)</f>
        <v>ML</v>
      </c>
      <c r="J132" s="29" t="s">
        <v>274</v>
      </c>
      <c r="L132" s="78">
        <f>VLOOKUP(E132,'B. DATOS'!$B$34:$E$622,4,FALSE)</f>
        <v>6000</v>
      </c>
      <c r="M132" s="76">
        <f>+L132*G132</f>
        <v>2088180.0000000002</v>
      </c>
      <c r="N132" s="351"/>
      <c r="O132" s="80">
        <f>+G132*$N$108</f>
        <v>348.03000000000003</v>
      </c>
      <c r="P132" s="76">
        <f>+M132*$N$108</f>
        <v>2088180.0000000002</v>
      </c>
    </row>
    <row r="133" spans="2:21" x14ac:dyDescent="0.25">
      <c r="B133" s="83" t="s">
        <v>1866</v>
      </c>
      <c r="C133" s="145" t="s">
        <v>1812</v>
      </c>
      <c r="D133" s="145" t="s">
        <v>251</v>
      </c>
      <c r="E133" s="84" t="s">
        <v>1385</v>
      </c>
      <c r="G133" s="80">
        <f>+G132*8</f>
        <v>2784.2400000000002</v>
      </c>
      <c r="H133" s="77" t="str">
        <f>VLOOKUP(E133,'B. DATOS'!$B$34:$E$622,2,FALSE)</f>
        <v>PAR</v>
      </c>
      <c r="J133" s="29" t="s">
        <v>274</v>
      </c>
      <c r="L133" s="78">
        <f>VLOOKUP(E133,'B. DATOS'!$B$34:$E$622,4,FALSE)</f>
        <v>830</v>
      </c>
      <c r="M133" s="76">
        <f>+L133*G133</f>
        <v>2310919.2000000002</v>
      </c>
      <c r="N133" s="351"/>
      <c r="O133" s="80">
        <f>+G133*$N$108</f>
        <v>2784.2400000000002</v>
      </c>
      <c r="P133" s="76">
        <f>+M133*$N$108</f>
        <v>2310919.2000000002</v>
      </c>
    </row>
    <row r="134" spans="2:21" x14ac:dyDescent="0.25">
      <c r="B134" s="83" t="s">
        <v>1867</v>
      </c>
      <c r="C134" s="145" t="s">
        <v>1812</v>
      </c>
      <c r="D134" s="145" t="s">
        <v>251</v>
      </c>
      <c r="E134" s="84" t="s">
        <v>625</v>
      </c>
      <c r="G134" s="80">
        <f>+G123</f>
        <v>1.26988155</v>
      </c>
      <c r="H134" s="77" t="str">
        <f>VLOOKUP(E134,'B. DATOS'!$B$34:$E$622,2,FALSE)</f>
        <v>M3</v>
      </c>
      <c r="J134" s="29" t="s">
        <v>717</v>
      </c>
      <c r="L134" s="78">
        <f>VLOOKUP(E134,'B. DATOS'!$B$34:$E$622,4,FALSE)</f>
        <v>360400</v>
      </c>
      <c r="M134" s="76">
        <f>+L134*G134</f>
        <v>457665.31062</v>
      </c>
      <c r="N134" s="351"/>
      <c r="O134" s="80">
        <f>+G134*$N$108</f>
        <v>1.26988155</v>
      </c>
      <c r="P134" s="76">
        <f>+M134*$N$108</f>
        <v>457665.31062</v>
      </c>
    </row>
    <row r="135" spans="2:21" s="39" customFormat="1" x14ac:dyDescent="0.25">
      <c r="B135" s="288">
        <v>3.6</v>
      </c>
      <c r="C135" s="289" t="s">
        <v>1400</v>
      </c>
      <c r="D135" s="367" t="s">
        <v>1569</v>
      </c>
      <c r="E135" s="368"/>
      <c r="F135" s="290"/>
      <c r="G135" s="290"/>
      <c r="H135" s="290"/>
      <c r="I135" s="290"/>
      <c r="J135" s="290"/>
      <c r="K135" s="290"/>
      <c r="L135" s="291"/>
      <c r="M135" s="291">
        <f>+SUM(M136:M140)</f>
        <v>150285.40800000002</v>
      </c>
      <c r="N135" s="290"/>
      <c r="O135" s="290"/>
      <c r="P135" s="291">
        <f>+SUM(P136:P140)</f>
        <v>150285.40800000002</v>
      </c>
      <c r="Q135" s="291">
        <f>+SUM(Q136:Q140)</f>
        <v>0</v>
      </c>
      <c r="R135" s="298">
        <f>+P135+Q135</f>
        <v>150285.40800000002</v>
      </c>
      <c r="S135" s="293">
        <f>+R135/($G$173)</f>
        <v>988.65474639826346</v>
      </c>
      <c r="T135" s="294" cm="1">
        <f t="array" ref="T135:U135">+R135/'1. GENERAL'!$E$31:$F$31</f>
        <v>3.073740683597119E-4</v>
      </c>
      <c r="U135" s="39" t="e">
        <v>#DIV/0!</v>
      </c>
    </row>
    <row r="136" spans="2:21" x14ac:dyDescent="0.25">
      <c r="B136" s="295" t="s">
        <v>1575</v>
      </c>
      <c r="C136" s="296" t="s">
        <v>1400</v>
      </c>
      <c r="D136" s="296" t="s">
        <v>251</v>
      </c>
      <c r="E136" s="297" t="s">
        <v>506</v>
      </c>
      <c r="G136" s="79">
        <f>+SUM('2. CANTIDADES'!EZ71:EZ72)*1.05</f>
        <v>14.700000000000001</v>
      </c>
      <c r="H136" s="77" t="str">
        <f>VLOOKUP(E136,'B. DATOS'!$B$34:$E$622,2,FALSE)</f>
        <v>ML</v>
      </c>
      <c r="J136" s="29" t="s">
        <v>508</v>
      </c>
      <c r="L136" s="78">
        <f>VLOOKUP(E136,'B. DATOS'!$B$34:$E$622,4,FALSE)</f>
        <v>4500</v>
      </c>
      <c r="M136" s="76">
        <f>+L136*G136</f>
        <v>66150</v>
      </c>
      <c r="N136" s="351">
        <v>1</v>
      </c>
      <c r="O136" s="80">
        <f>+G136*$N$108</f>
        <v>14.700000000000001</v>
      </c>
      <c r="P136" s="76">
        <f>+M136*$N$108</f>
        <v>66150</v>
      </c>
    </row>
    <row r="137" spans="2:21" x14ac:dyDescent="0.25">
      <c r="B137" s="295" t="s">
        <v>1576</v>
      </c>
      <c r="C137" s="296" t="s">
        <v>1400</v>
      </c>
      <c r="D137" s="296" t="s">
        <v>251</v>
      </c>
      <c r="E137" s="297" t="s">
        <v>1771</v>
      </c>
      <c r="G137" s="79">
        <f>+'2. CANTIDADES'!FF8*1.05</f>
        <v>1.218</v>
      </c>
      <c r="H137" s="77" t="str">
        <f>VLOOKUP(E137,'B. DATOS'!$B$34:$E$622,2,FALSE)</f>
        <v>ML</v>
      </c>
      <c r="J137" s="29" t="s">
        <v>586</v>
      </c>
      <c r="L137" s="78">
        <f>VLOOKUP(E137,'B. DATOS'!$B$34:$E$622,4,FALSE)</f>
        <v>3000</v>
      </c>
      <c r="M137" s="76">
        <f>+L137*G137</f>
        <v>3654</v>
      </c>
      <c r="N137" s="351"/>
      <c r="O137" s="80">
        <f>+G137*$N$108</f>
        <v>1.218</v>
      </c>
      <c r="P137" s="76">
        <f>+M137*$N$108</f>
        <v>3654</v>
      </c>
    </row>
    <row r="138" spans="2:21" x14ac:dyDescent="0.25">
      <c r="B138" s="295" t="s">
        <v>1589</v>
      </c>
      <c r="C138" s="296" t="s">
        <v>1400</v>
      </c>
      <c r="D138" s="296" t="s">
        <v>251</v>
      </c>
      <c r="E138" s="297" t="s">
        <v>1384</v>
      </c>
      <c r="G138" s="80">
        <f>+(G136+G137)*0.4</f>
        <v>6.3672000000000004</v>
      </c>
      <c r="H138" s="77" t="str">
        <f>VLOOKUP(E138,'B. DATOS'!$B$34:$E$622,2,FALSE)</f>
        <v>ML</v>
      </c>
      <c r="J138" s="29" t="s">
        <v>274</v>
      </c>
      <c r="L138" s="78">
        <f>VLOOKUP(E138,'B. DATOS'!$B$34:$E$622,4,FALSE)</f>
        <v>6000</v>
      </c>
      <c r="M138" s="76">
        <f>+L138*G138</f>
        <v>38203.200000000004</v>
      </c>
      <c r="N138" s="351"/>
      <c r="O138" s="80">
        <f>+G138*$N$108</f>
        <v>6.3672000000000004</v>
      </c>
      <c r="P138" s="76">
        <f>+M138*$N$108</f>
        <v>38203.200000000004</v>
      </c>
    </row>
    <row r="139" spans="2:21" x14ac:dyDescent="0.25">
      <c r="B139" s="295" t="s">
        <v>1868</v>
      </c>
      <c r="C139" s="296" t="s">
        <v>1400</v>
      </c>
      <c r="D139" s="296" t="s">
        <v>251</v>
      </c>
      <c r="E139" s="297" t="s">
        <v>1385</v>
      </c>
      <c r="G139" s="80">
        <f>+G138*8</f>
        <v>50.937600000000003</v>
      </c>
      <c r="H139" s="77" t="str">
        <f>VLOOKUP(E139,'B. DATOS'!$B$34:$E$622,2,FALSE)</f>
        <v>PAR</v>
      </c>
      <c r="J139" s="29" t="s">
        <v>274</v>
      </c>
      <c r="L139" s="78">
        <f>VLOOKUP(E139,'B. DATOS'!$B$34:$E$622,4,FALSE)</f>
        <v>830</v>
      </c>
      <c r="M139" s="76">
        <f>+L139*G139</f>
        <v>42278.208000000006</v>
      </c>
      <c r="N139" s="351"/>
      <c r="O139" s="80">
        <f>+G139*$N$108</f>
        <v>50.937600000000003</v>
      </c>
      <c r="P139" s="76">
        <f>+M139*$N$108</f>
        <v>42278.208000000006</v>
      </c>
    </row>
    <row r="140" spans="2:21" x14ac:dyDescent="0.25">
      <c r="B140" s="295" t="s">
        <v>1869</v>
      </c>
      <c r="C140" s="296" t="s">
        <v>1400</v>
      </c>
      <c r="D140" s="296" t="s">
        <v>251</v>
      </c>
      <c r="E140" s="297" t="s">
        <v>625</v>
      </c>
      <c r="G140" s="80">
        <f>+G129</f>
        <v>0</v>
      </c>
      <c r="H140" s="77" t="str">
        <f>VLOOKUP(E140,'B. DATOS'!$B$34:$E$622,2,FALSE)</f>
        <v>M3</v>
      </c>
      <c r="J140" s="29" t="s">
        <v>717</v>
      </c>
      <c r="L140" s="78">
        <f>VLOOKUP(E140,'B. DATOS'!$B$34:$E$622,4,FALSE)</f>
        <v>360400</v>
      </c>
      <c r="M140" s="76">
        <f>+L140*G140</f>
        <v>0</v>
      </c>
      <c r="N140" s="351"/>
      <c r="O140" s="80">
        <f>+G140*$N$108</f>
        <v>0</v>
      </c>
      <c r="P140" s="76">
        <f>+M140*$N$108</f>
        <v>0</v>
      </c>
    </row>
    <row r="141" spans="2:21" s="39" customFormat="1" x14ac:dyDescent="0.25">
      <c r="B141" s="110">
        <v>3.7</v>
      </c>
      <c r="C141" s="144" t="s">
        <v>1812</v>
      </c>
      <c r="D141" s="369" t="s">
        <v>1565</v>
      </c>
      <c r="E141" s="370"/>
      <c r="F141" s="121"/>
      <c r="G141" s="121"/>
      <c r="H141" s="121"/>
      <c r="I141" s="121"/>
      <c r="J141" s="121"/>
      <c r="K141" s="121"/>
      <c r="L141" s="122"/>
      <c r="M141" s="122">
        <f>+SUM(M142:M147)</f>
        <v>4912125.3106200006</v>
      </c>
      <c r="N141" s="121"/>
      <c r="O141" s="121"/>
      <c r="P141" s="122">
        <f>+SUM(P142:P147)</f>
        <v>4912125.3106200006</v>
      </c>
      <c r="Q141" s="122">
        <f>+SUM(Q142:Q147)</f>
        <v>0</v>
      </c>
      <c r="R141" s="123">
        <f>+P141+Q141</f>
        <v>4912125.3106200006</v>
      </c>
      <c r="S141" s="124">
        <f>+R141/($G$173)</f>
        <v>32314.487932504446</v>
      </c>
      <c r="T141" s="181" cm="1">
        <f t="array" ref="T141:U141">+R141/'1. GENERAL'!$E$31:$F$31</f>
        <v>1.004661704094374E-2</v>
      </c>
      <c r="U141" s="39" t="e">
        <v>#DIV/0!</v>
      </c>
    </row>
    <row r="142" spans="2:21" x14ac:dyDescent="0.25">
      <c r="B142" s="83" t="s">
        <v>1711</v>
      </c>
      <c r="C142" s="145" t="s">
        <v>1812</v>
      </c>
      <c r="D142" s="145" t="s">
        <v>251</v>
      </c>
      <c r="E142" s="84" t="s">
        <v>506</v>
      </c>
      <c r="G142" s="79">
        <f>+((('2. CANTIDADES'!CA2*6)+('2. CANTIDADES'!CB2*8.5)+('2. CANTIDADES'!CC2*6.5))*1.1)-G149</f>
        <v>438.00000000000006</v>
      </c>
      <c r="H142" s="77" t="str">
        <f>VLOOKUP(E142,'B. DATOS'!$B$34:$E$622,2,FALSE)</f>
        <v>ML</v>
      </c>
      <c r="J142" s="29" t="s">
        <v>508</v>
      </c>
      <c r="L142" s="78">
        <f>VLOOKUP(E142,'B. DATOS'!$B$34:$E$622,4,FALSE)</f>
        <v>4500</v>
      </c>
      <c r="M142" s="76">
        <f t="shared" ref="M142:M147" si="22">+L142*G142</f>
        <v>1971000.0000000002</v>
      </c>
      <c r="N142" s="351">
        <v>1</v>
      </c>
      <c r="O142" s="80">
        <f t="shared" ref="O142:O147" si="23">+G142*$N$142</f>
        <v>438.00000000000006</v>
      </c>
      <c r="P142" s="76">
        <f t="shared" ref="P142:P147" si="24">+M142*$N$142</f>
        <v>1971000.0000000002</v>
      </c>
    </row>
    <row r="143" spans="2:21" x14ac:dyDescent="0.25">
      <c r="B143" s="83" t="s">
        <v>1712</v>
      </c>
      <c r="C143" s="145" t="s">
        <v>1812</v>
      </c>
      <c r="D143" s="145" t="s">
        <v>251</v>
      </c>
      <c r="E143" s="84" t="s">
        <v>1384</v>
      </c>
      <c r="G143" s="80">
        <f>+G142*0.4</f>
        <v>175.20000000000005</v>
      </c>
      <c r="H143" s="77" t="str">
        <f>VLOOKUP(E143,'B. DATOS'!$B$34:$E$622,2,FALSE)</f>
        <v>ML</v>
      </c>
      <c r="J143" s="29" t="s">
        <v>274</v>
      </c>
      <c r="L143" s="78">
        <f>VLOOKUP(E143,'B. DATOS'!$B$34:$E$622,4,FALSE)</f>
        <v>6000</v>
      </c>
      <c r="M143" s="76">
        <f t="shared" si="22"/>
        <v>1051200.0000000002</v>
      </c>
      <c r="N143" s="351"/>
      <c r="O143" s="80">
        <f t="shared" si="23"/>
        <v>175.20000000000005</v>
      </c>
      <c r="P143" s="76">
        <f t="shared" si="24"/>
        <v>1051200.0000000002</v>
      </c>
    </row>
    <row r="144" spans="2:21" x14ac:dyDescent="0.25">
      <c r="B144" s="83" t="s">
        <v>1713</v>
      </c>
      <c r="C144" s="145" t="s">
        <v>1812</v>
      </c>
      <c r="D144" s="145" t="s">
        <v>251</v>
      </c>
      <c r="E144" s="84" t="s">
        <v>1385</v>
      </c>
      <c r="G144" s="80">
        <f>+G143*8</f>
        <v>1401.6000000000004</v>
      </c>
      <c r="H144" s="77" t="str">
        <f>VLOOKUP(E144,'B. DATOS'!$B$34:$E$622,2,FALSE)</f>
        <v>PAR</v>
      </c>
      <c r="J144" s="29" t="s">
        <v>274</v>
      </c>
      <c r="L144" s="78">
        <f>VLOOKUP(E144,'B. DATOS'!$B$34:$E$622,4,FALSE)</f>
        <v>830</v>
      </c>
      <c r="M144" s="76">
        <f t="shared" si="22"/>
        <v>1163328.0000000002</v>
      </c>
      <c r="N144" s="351"/>
      <c r="O144" s="80">
        <f t="shared" si="23"/>
        <v>1401.6000000000004</v>
      </c>
      <c r="P144" s="76">
        <f t="shared" si="24"/>
        <v>1163328.0000000002</v>
      </c>
    </row>
    <row r="145" spans="2:21" x14ac:dyDescent="0.25">
      <c r="B145" s="83" t="s">
        <v>1870</v>
      </c>
      <c r="C145" s="145" t="s">
        <v>1812</v>
      </c>
      <c r="D145" s="145" t="s">
        <v>251</v>
      </c>
      <c r="E145" s="84" t="s">
        <v>534</v>
      </c>
      <c r="G145" s="80">
        <f>+G142*0.1</f>
        <v>43.800000000000011</v>
      </c>
      <c r="H145" s="77" t="str">
        <f>VLOOKUP(E145,'B. DATOS'!$B$34:$E$622,2,FALSE)</f>
        <v>ML</v>
      </c>
      <c r="J145" s="29" t="s">
        <v>274</v>
      </c>
      <c r="L145" s="78">
        <f>VLOOKUP(E145,'B. DATOS'!$B$34:$E$622,4,FALSE)</f>
        <v>3500</v>
      </c>
      <c r="M145" s="76">
        <f>+L145*G145</f>
        <v>153300.00000000003</v>
      </c>
      <c r="N145" s="351"/>
      <c r="O145" s="80">
        <f t="shared" si="23"/>
        <v>43.800000000000011</v>
      </c>
      <c r="P145" s="76">
        <f t="shared" si="24"/>
        <v>153300.00000000003</v>
      </c>
    </row>
    <row r="146" spans="2:21" x14ac:dyDescent="0.25">
      <c r="B146" s="83" t="s">
        <v>1871</v>
      </c>
      <c r="C146" s="145" t="s">
        <v>1812</v>
      </c>
      <c r="D146" s="145" t="s">
        <v>251</v>
      </c>
      <c r="E146" s="84" t="s">
        <v>535</v>
      </c>
      <c r="G146" s="80">
        <f>+G145*8</f>
        <v>350.40000000000009</v>
      </c>
      <c r="H146" s="77" t="str">
        <f>VLOOKUP(E146,'B. DATOS'!$B$34:$E$622,2,FALSE)</f>
        <v>PAR</v>
      </c>
      <c r="J146" s="29" t="s">
        <v>274</v>
      </c>
      <c r="L146" s="78">
        <f>VLOOKUP(E146,'B. DATOS'!$B$34:$E$622,4,FALSE)</f>
        <v>330</v>
      </c>
      <c r="M146" s="76">
        <f>+L146*G146</f>
        <v>115632.00000000003</v>
      </c>
      <c r="N146" s="351"/>
      <c r="O146" s="80">
        <f t="shared" si="23"/>
        <v>350.40000000000009</v>
      </c>
      <c r="P146" s="76">
        <f t="shared" si="24"/>
        <v>115632.00000000003</v>
      </c>
    </row>
    <row r="147" spans="2:21" x14ac:dyDescent="0.25">
      <c r="B147" s="83" t="s">
        <v>1872</v>
      </c>
      <c r="C147" s="145" t="s">
        <v>1812</v>
      </c>
      <c r="D147" s="145" t="s">
        <v>251</v>
      </c>
      <c r="E147" s="84" t="s">
        <v>625</v>
      </c>
      <c r="G147" s="80">
        <f>+G134</f>
        <v>1.26988155</v>
      </c>
      <c r="H147" s="77" t="str">
        <f>VLOOKUP(E147,'B. DATOS'!$B$34:$E$622,2,FALSE)</f>
        <v>M3</v>
      </c>
      <c r="J147" s="29" t="s">
        <v>717</v>
      </c>
      <c r="L147" s="78">
        <f>VLOOKUP(E147,'B. DATOS'!$B$34:$E$622,4,FALSE)</f>
        <v>360400</v>
      </c>
      <c r="M147" s="76">
        <f t="shared" si="22"/>
        <v>457665.31062</v>
      </c>
      <c r="N147" s="351"/>
      <c r="O147" s="80">
        <f t="shared" si="23"/>
        <v>1.26988155</v>
      </c>
      <c r="P147" s="76">
        <f t="shared" si="24"/>
        <v>457665.31062</v>
      </c>
    </row>
    <row r="148" spans="2:21" s="39" customFormat="1" x14ac:dyDescent="0.25">
      <c r="B148" s="288">
        <v>3.8</v>
      </c>
      <c r="C148" s="289" t="s">
        <v>1400</v>
      </c>
      <c r="D148" s="367" t="s">
        <v>1565</v>
      </c>
      <c r="E148" s="368"/>
      <c r="F148" s="290"/>
      <c r="G148" s="290"/>
      <c r="H148" s="290"/>
      <c r="I148" s="290"/>
      <c r="J148" s="290"/>
      <c r="K148" s="290"/>
      <c r="L148" s="291"/>
      <c r="M148" s="291">
        <f>+SUM(M149:M154)</f>
        <v>77473.390679999997</v>
      </c>
      <c r="N148" s="290"/>
      <c r="O148" s="290"/>
      <c r="P148" s="291">
        <f>+SUM(P149:P154)</f>
        <v>77473.390679999997</v>
      </c>
      <c r="Q148" s="291">
        <f>+SUM(Q149:Q154)</f>
        <v>0</v>
      </c>
      <c r="R148" s="298">
        <f>+P148+Q148</f>
        <v>77473.390679999997</v>
      </c>
      <c r="S148" s="293">
        <f>+R148/($G$173)</f>
        <v>509.65982948490233</v>
      </c>
      <c r="T148" s="294" cm="1">
        <f t="array" ref="T148:U148">+R148/'1. GENERAL'!$E$31:$F$31</f>
        <v>1.5845391511951033E-4</v>
      </c>
      <c r="U148" s="39" t="e">
        <v>#DIV/0!</v>
      </c>
    </row>
    <row r="149" spans="2:21" x14ac:dyDescent="0.25">
      <c r="B149" s="295" t="s">
        <v>1714</v>
      </c>
      <c r="C149" s="296" t="s">
        <v>1400</v>
      </c>
      <c r="D149" s="296" t="s">
        <v>251</v>
      </c>
      <c r="E149" s="297" t="s">
        <v>506</v>
      </c>
      <c r="G149" s="79">
        <f>+SUM('2. CANTIDADES'!CB34:CB35)*1.05</f>
        <v>4.2</v>
      </c>
      <c r="H149" s="77" t="str">
        <f>VLOOKUP(E149,'B. DATOS'!$B$34:$E$622,2,FALSE)</f>
        <v>ML</v>
      </c>
      <c r="J149" s="29" t="s">
        <v>508</v>
      </c>
      <c r="L149" s="78">
        <f>VLOOKUP(E149,'B. DATOS'!$B$34:$E$622,4,FALSE)</f>
        <v>4500</v>
      </c>
      <c r="M149" s="76">
        <f t="shared" ref="M149:M154" si="25">+L149*G149</f>
        <v>18900</v>
      </c>
      <c r="N149" s="351">
        <v>1</v>
      </c>
      <c r="O149" s="80">
        <f t="shared" ref="O149:O154" si="26">+G149*$N$142</f>
        <v>4.2</v>
      </c>
      <c r="P149" s="76">
        <f t="shared" ref="P149:P154" si="27">+M149*$N$142</f>
        <v>18900</v>
      </c>
    </row>
    <row r="150" spans="2:21" x14ac:dyDescent="0.25">
      <c r="B150" s="295" t="s">
        <v>1715</v>
      </c>
      <c r="C150" s="296" t="s">
        <v>1400</v>
      </c>
      <c r="D150" s="296" t="s">
        <v>251</v>
      </c>
      <c r="E150" s="297" t="s">
        <v>1384</v>
      </c>
      <c r="G150" s="80">
        <f>+G149*0.4</f>
        <v>1.6800000000000002</v>
      </c>
      <c r="H150" s="77" t="str">
        <f>VLOOKUP(E150,'B. DATOS'!$B$34:$E$622,2,FALSE)</f>
        <v>ML</v>
      </c>
      <c r="J150" s="29" t="s">
        <v>274</v>
      </c>
      <c r="L150" s="78">
        <f>VLOOKUP(E150,'B. DATOS'!$B$34:$E$622,4,FALSE)</f>
        <v>6000</v>
      </c>
      <c r="M150" s="76">
        <f t="shared" si="25"/>
        <v>10080.000000000002</v>
      </c>
      <c r="N150" s="351"/>
      <c r="O150" s="80">
        <f t="shared" si="26"/>
        <v>1.6800000000000002</v>
      </c>
      <c r="P150" s="76">
        <f t="shared" si="27"/>
        <v>10080.000000000002</v>
      </c>
    </row>
    <row r="151" spans="2:21" x14ac:dyDescent="0.25">
      <c r="B151" s="295" t="s">
        <v>1716</v>
      </c>
      <c r="C151" s="296" t="s">
        <v>1400</v>
      </c>
      <c r="D151" s="296" t="s">
        <v>251</v>
      </c>
      <c r="E151" s="297" t="s">
        <v>1385</v>
      </c>
      <c r="G151" s="80">
        <f>+G150*8</f>
        <v>13.440000000000001</v>
      </c>
      <c r="H151" s="77" t="str">
        <f>VLOOKUP(E151,'B. DATOS'!$B$34:$E$622,2,FALSE)</f>
        <v>PAR</v>
      </c>
      <c r="J151" s="29" t="s">
        <v>274</v>
      </c>
      <c r="L151" s="78">
        <f>VLOOKUP(E151,'B. DATOS'!$B$34:$E$622,4,FALSE)</f>
        <v>830</v>
      </c>
      <c r="M151" s="76">
        <f t="shared" si="25"/>
        <v>11155.2</v>
      </c>
      <c r="N151" s="351"/>
      <c r="O151" s="80">
        <f t="shared" si="26"/>
        <v>13.440000000000001</v>
      </c>
      <c r="P151" s="76">
        <f t="shared" si="27"/>
        <v>11155.2</v>
      </c>
    </row>
    <row r="152" spans="2:21" x14ac:dyDescent="0.25">
      <c r="B152" s="295" t="s">
        <v>1873</v>
      </c>
      <c r="C152" s="296" t="s">
        <v>1400</v>
      </c>
      <c r="D152" s="296" t="s">
        <v>251</v>
      </c>
      <c r="E152" s="297" t="s">
        <v>534</v>
      </c>
      <c r="G152" s="80">
        <f>+G149*0.1</f>
        <v>0.42000000000000004</v>
      </c>
      <c r="H152" s="77" t="str">
        <f>VLOOKUP(E152,'B. DATOS'!$B$34:$E$622,2,FALSE)</f>
        <v>ML</v>
      </c>
      <c r="J152" s="29" t="s">
        <v>274</v>
      </c>
      <c r="L152" s="78">
        <f>VLOOKUP(E152,'B. DATOS'!$B$34:$E$622,4,FALSE)</f>
        <v>3500</v>
      </c>
      <c r="M152" s="76">
        <f>+L152*G152</f>
        <v>1470.0000000000002</v>
      </c>
      <c r="N152" s="351"/>
      <c r="O152" s="80">
        <f t="shared" si="26"/>
        <v>0.42000000000000004</v>
      </c>
      <c r="P152" s="76">
        <f t="shared" si="27"/>
        <v>1470.0000000000002</v>
      </c>
    </row>
    <row r="153" spans="2:21" x14ac:dyDescent="0.25">
      <c r="B153" s="295" t="s">
        <v>1874</v>
      </c>
      <c r="C153" s="296" t="s">
        <v>1400</v>
      </c>
      <c r="D153" s="296" t="s">
        <v>251</v>
      </c>
      <c r="E153" s="297" t="s">
        <v>535</v>
      </c>
      <c r="G153" s="80">
        <f>+G152*8</f>
        <v>3.3600000000000003</v>
      </c>
      <c r="H153" s="77" t="str">
        <f>VLOOKUP(E153,'B. DATOS'!$B$34:$E$622,2,FALSE)</f>
        <v>PAR</v>
      </c>
      <c r="J153" s="29" t="s">
        <v>274</v>
      </c>
      <c r="L153" s="78">
        <f>VLOOKUP(E153,'B. DATOS'!$B$34:$E$622,4,FALSE)</f>
        <v>330</v>
      </c>
      <c r="M153" s="76">
        <f>+L153*G153</f>
        <v>1108.8000000000002</v>
      </c>
      <c r="N153" s="351"/>
      <c r="O153" s="80">
        <f t="shared" si="26"/>
        <v>3.3600000000000003</v>
      </c>
      <c r="P153" s="76">
        <f t="shared" si="27"/>
        <v>1108.8000000000002</v>
      </c>
    </row>
    <row r="154" spans="2:21" x14ac:dyDescent="0.25">
      <c r="B154" s="295" t="s">
        <v>1875</v>
      </c>
      <c r="C154" s="296" t="s">
        <v>1400</v>
      </c>
      <c r="D154" s="296" t="s">
        <v>251</v>
      </c>
      <c r="E154" s="297" t="s">
        <v>625</v>
      </c>
      <c r="G154" s="80">
        <f>+G128</f>
        <v>9.6446699999999996E-2</v>
      </c>
      <c r="H154" s="77" t="str">
        <f>VLOOKUP(E154,'B. DATOS'!$B$34:$E$622,2,FALSE)</f>
        <v>M3</v>
      </c>
      <c r="J154" s="29" t="s">
        <v>717</v>
      </c>
      <c r="L154" s="78">
        <f>VLOOKUP(E154,'B. DATOS'!$B$34:$E$622,4,FALSE)</f>
        <v>360400</v>
      </c>
      <c r="M154" s="76">
        <f t="shared" ref="M154" si="28">+L154*G154</f>
        <v>34759.390679999997</v>
      </c>
      <c r="N154" s="351"/>
      <c r="O154" s="80">
        <f t="shared" si="26"/>
        <v>9.6446699999999996E-2</v>
      </c>
      <c r="P154" s="76">
        <f t="shared" si="27"/>
        <v>34759.390679999997</v>
      </c>
    </row>
    <row r="155" spans="2:21" s="39" customFormat="1" x14ac:dyDescent="0.25">
      <c r="B155" s="110">
        <v>3.9</v>
      </c>
      <c r="C155" s="144" t="s">
        <v>1812</v>
      </c>
      <c r="D155" s="369" t="s">
        <v>1566</v>
      </c>
      <c r="E155" s="370"/>
      <c r="F155" s="121"/>
      <c r="G155" s="121"/>
      <c r="H155" s="121"/>
      <c r="I155" s="121"/>
      <c r="J155" s="121"/>
      <c r="K155" s="121"/>
      <c r="L155" s="122"/>
      <c r="M155" s="122">
        <f>+SUM(M156:M158)</f>
        <v>4954411</v>
      </c>
      <c r="N155" s="121"/>
      <c r="O155" s="121"/>
      <c r="P155" s="122">
        <f>+SUM(P156:P158)</f>
        <v>4954411</v>
      </c>
      <c r="Q155" s="122">
        <f>+SUM(Q156:Q158)</f>
        <v>0</v>
      </c>
      <c r="R155" s="123">
        <f>+P155+Q155</f>
        <v>4954411</v>
      </c>
      <c r="S155" s="124">
        <f>+R155/($G$173)</f>
        <v>32592.66495625288</v>
      </c>
      <c r="T155" s="181" cm="1">
        <f t="array" ref="T155:U155">+R155/'1. GENERAL'!$E$31:$F$31</f>
        <v>1.0133102645574934E-2</v>
      </c>
      <c r="U155" s="39" t="e">
        <v>#DIV/0!</v>
      </c>
    </row>
    <row r="156" spans="2:21" x14ac:dyDescent="0.25">
      <c r="B156" s="83" t="s">
        <v>1876</v>
      </c>
      <c r="C156" s="145" t="s">
        <v>1812</v>
      </c>
      <c r="D156" s="145" t="s">
        <v>251</v>
      </c>
      <c r="E156" s="84" t="s">
        <v>506</v>
      </c>
      <c r="G156" s="79">
        <f>+((('2. CANTIDADES'!CI2*6)+('2. CANTIDADES'!CJ2*6.5))*1.1)-G160</f>
        <v>712.25</v>
      </c>
      <c r="H156" s="77" t="str">
        <f>VLOOKUP(E156,'B. DATOS'!$B$34:$E$622,2,FALSE)</f>
        <v>ML</v>
      </c>
      <c r="J156" s="29" t="s">
        <v>508</v>
      </c>
      <c r="L156" s="78">
        <f>VLOOKUP(E156,'B. DATOS'!$B$34:$E$622,4,FALSE)</f>
        <v>4500</v>
      </c>
      <c r="M156" s="76">
        <f>+L156*G156</f>
        <v>3205125</v>
      </c>
      <c r="N156" s="351">
        <v>1</v>
      </c>
      <c r="O156" s="80">
        <f>+G156*$N$156</f>
        <v>712.25</v>
      </c>
      <c r="P156" s="76">
        <f>+M156*$N$156</f>
        <v>3205125</v>
      </c>
    </row>
    <row r="157" spans="2:21" x14ac:dyDescent="0.25">
      <c r="B157" s="83" t="s">
        <v>1877</v>
      </c>
      <c r="C157" s="145" t="s">
        <v>1812</v>
      </c>
      <c r="D157" s="145" t="s">
        <v>251</v>
      </c>
      <c r="E157" s="84" t="s">
        <v>534</v>
      </c>
      <c r="G157" s="80">
        <f>+G156*0.4</f>
        <v>284.90000000000003</v>
      </c>
      <c r="H157" s="77" t="str">
        <f>VLOOKUP(E157,'B. DATOS'!$B$34:$E$622,2,FALSE)</f>
        <v>ML</v>
      </c>
      <c r="J157" s="29" t="s">
        <v>274</v>
      </c>
      <c r="L157" s="78">
        <f>VLOOKUP(E157,'B. DATOS'!$B$34:$E$622,4,FALSE)</f>
        <v>3500</v>
      </c>
      <c r="M157" s="76">
        <f>+L157*G157</f>
        <v>997150.00000000012</v>
      </c>
      <c r="N157" s="351"/>
      <c r="O157" s="80">
        <f>+G157*$N$156</f>
        <v>284.90000000000003</v>
      </c>
      <c r="P157" s="76">
        <f>+M157*$N$156</f>
        <v>997150.00000000012</v>
      </c>
    </row>
    <row r="158" spans="2:21" x14ac:dyDescent="0.25">
      <c r="B158" s="83" t="s">
        <v>1878</v>
      </c>
      <c r="C158" s="145" t="s">
        <v>1812</v>
      </c>
      <c r="D158" s="145" t="s">
        <v>251</v>
      </c>
      <c r="E158" s="84" t="s">
        <v>535</v>
      </c>
      <c r="G158" s="80">
        <f>+G157*8</f>
        <v>2279.2000000000003</v>
      </c>
      <c r="H158" s="77" t="str">
        <f>VLOOKUP(E158,'B. DATOS'!$B$34:$E$622,2,FALSE)</f>
        <v>PAR</v>
      </c>
      <c r="J158" s="29" t="s">
        <v>274</v>
      </c>
      <c r="L158" s="78">
        <f>VLOOKUP(E158,'B. DATOS'!$B$34:$E$622,4,FALSE)</f>
        <v>330</v>
      </c>
      <c r="M158" s="76">
        <f>+L158*G158</f>
        <v>752136.00000000012</v>
      </c>
      <c r="N158" s="351"/>
      <c r="O158" s="80">
        <f>+G158*$N$156</f>
        <v>2279.2000000000003</v>
      </c>
      <c r="P158" s="76">
        <f>+M158*$N$156</f>
        <v>752136.00000000012</v>
      </c>
    </row>
    <row r="159" spans="2:21" s="39" customFormat="1" x14ac:dyDescent="0.25">
      <c r="B159" s="288">
        <v>3.1</v>
      </c>
      <c r="C159" s="289" t="s">
        <v>1400</v>
      </c>
      <c r="D159" s="367" t="s">
        <v>1566</v>
      </c>
      <c r="E159" s="368"/>
      <c r="F159" s="290"/>
      <c r="G159" s="290"/>
      <c r="H159" s="290"/>
      <c r="I159" s="290"/>
      <c r="J159" s="290"/>
      <c r="K159" s="290"/>
      <c r="L159" s="291"/>
      <c r="M159" s="291">
        <f>+SUM(M160:M162)</f>
        <v>321367.2</v>
      </c>
      <c r="N159" s="290"/>
      <c r="O159" s="290"/>
      <c r="P159" s="291">
        <f>+SUM(P160:P162)</f>
        <v>321367.2</v>
      </c>
      <c r="Q159" s="291">
        <f>+SUM(Q160:Q162)</f>
        <v>0</v>
      </c>
      <c r="R159" s="298">
        <f>+P159+Q159</f>
        <v>321367.2</v>
      </c>
      <c r="S159" s="293">
        <f>+R159/($G$173)</f>
        <v>2114.1188079731601</v>
      </c>
      <c r="T159" s="294" cm="1">
        <f t="array" ref="T159:U159">+R159/'1. GENERAL'!$E$31:$F$31</f>
        <v>6.5728233376702273E-4</v>
      </c>
      <c r="U159" s="39" t="e">
        <v>#DIV/0!</v>
      </c>
    </row>
    <row r="160" spans="2:21" x14ac:dyDescent="0.25">
      <c r="B160" s="295" t="s">
        <v>1879</v>
      </c>
      <c r="C160" s="296" t="s">
        <v>1400</v>
      </c>
      <c r="D160" s="296" t="s">
        <v>251</v>
      </c>
      <c r="E160" s="297" t="s">
        <v>506</v>
      </c>
      <c r="G160" s="79">
        <f>+SUM('2. CANTIDADES'!CJ43:CJ46)*1.05</f>
        <v>46.2</v>
      </c>
      <c r="H160" s="77" t="str">
        <f>VLOOKUP(E160,'B. DATOS'!$B$34:$E$622,2,FALSE)</f>
        <v>ML</v>
      </c>
      <c r="J160" s="29" t="s">
        <v>508</v>
      </c>
      <c r="L160" s="78">
        <f>VLOOKUP(E160,'B. DATOS'!$B$34:$E$622,4,FALSE)</f>
        <v>4500</v>
      </c>
      <c r="M160" s="76">
        <f>+L160*G160</f>
        <v>207900</v>
      </c>
      <c r="N160" s="351">
        <v>1</v>
      </c>
      <c r="O160" s="80">
        <f>+G160*$N$156</f>
        <v>46.2</v>
      </c>
      <c r="P160" s="76">
        <f>+M160*$N$156</f>
        <v>207900</v>
      </c>
    </row>
    <row r="161" spans="2:21" x14ac:dyDescent="0.25">
      <c r="B161" s="295" t="s">
        <v>1880</v>
      </c>
      <c r="C161" s="296" t="s">
        <v>1400</v>
      </c>
      <c r="D161" s="296" t="s">
        <v>251</v>
      </c>
      <c r="E161" s="297" t="s">
        <v>534</v>
      </c>
      <c r="G161" s="80">
        <f>+G160*0.4</f>
        <v>18.48</v>
      </c>
      <c r="H161" s="77" t="str">
        <f>VLOOKUP(E161,'B. DATOS'!$B$34:$E$622,2,FALSE)</f>
        <v>ML</v>
      </c>
      <c r="J161" s="29" t="s">
        <v>274</v>
      </c>
      <c r="L161" s="78">
        <f>VLOOKUP(E161,'B. DATOS'!$B$34:$E$622,4,FALSE)</f>
        <v>3500</v>
      </c>
      <c r="M161" s="76">
        <f>+L161*G161</f>
        <v>64680</v>
      </c>
      <c r="N161" s="351"/>
      <c r="O161" s="80">
        <f>+G161*$N$156</f>
        <v>18.48</v>
      </c>
      <c r="P161" s="76">
        <f>+M161*$N$156</f>
        <v>64680</v>
      </c>
    </row>
    <row r="162" spans="2:21" x14ac:dyDescent="0.25">
      <c r="B162" s="295" t="s">
        <v>1881</v>
      </c>
      <c r="C162" s="296" t="s">
        <v>1400</v>
      </c>
      <c r="D162" s="296" t="s">
        <v>251</v>
      </c>
      <c r="E162" s="297" t="s">
        <v>535</v>
      </c>
      <c r="G162" s="80">
        <f>+G161*8</f>
        <v>147.84</v>
      </c>
      <c r="H162" s="77" t="str">
        <f>VLOOKUP(E162,'B. DATOS'!$B$34:$E$622,2,FALSE)</f>
        <v>PAR</v>
      </c>
      <c r="J162" s="29" t="s">
        <v>274</v>
      </c>
      <c r="L162" s="78">
        <f>VLOOKUP(E162,'B. DATOS'!$B$34:$E$622,4,FALSE)</f>
        <v>330</v>
      </c>
      <c r="M162" s="76">
        <f>+L162*G162</f>
        <v>48787.200000000004</v>
      </c>
      <c r="N162" s="351"/>
      <c r="O162" s="80">
        <f>+G162*$N$156</f>
        <v>147.84</v>
      </c>
      <c r="P162" s="76">
        <f>+M162*$N$156</f>
        <v>48787.200000000004</v>
      </c>
    </row>
    <row r="163" spans="2:21" s="39" customFormat="1" x14ac:dyDescent="0.25">
      <c r="B163" s="110">
        <v>3.11</v>
      </c>
      <c r="C163" s="144" t="s">
        <v>1812</v>
      </c>
      <c r="D163" s="369" t="s">
        <v>1717</v>
      </c>
      <c r="E163" s="370"/>
      <c r="F163" s="121"/>
      <c r="G163" s="121"/>
      <c r="H163" s="121"/>
      <c r="I163" s="121"/>
      <c r="J163" s="121"/>
      <c r="K163" s="121"/>
      <c r="L163" s="122"/>
      <c r="M163" s="122">
        <f>+SUM(M164:M167)</f>
        <v>3384735.2000000007</v>
      </c>
      <c r="N163" s="121"/>
      <c r="O163" s="121"/>
      <c r="P163" s="122">
        <f>+SUM(P164:P167)</f>
        <v>3384735.2000000007</v>
      </c>
      <c r="Q163" s="122">
        <f>+SUM(Q164:Q167)</f>
        <v>0</v>
      </c>
      <c r="R163" s="123">
        <f>+P163+Q163</f>
        <v>3384735.2000000007</v>
      </c>
      <c r="S163" s="124">
        <f>+R163/($G$173)</f>
        <v>22266.529833563585</v>
      </c>
      <c r="T163" s="181" cm="1">
        <f t="array" ref="T163:U163">+R163/'1. GENERAL'!$E$31:$F$31</f>
        <v>6.92269357743849E-3</v>
      </c>
      <c r="U163" s="39" t="e">
        <v>#DIV/0!</v>
      </c>
    </row>
    <row r="164" spans="2:21" x14ac:dyDescent="0.25">
      <c r="B164" s="83" t="s">
        <v>1882</v>
      </c>
      <c r="C164" s="145" t="s">
        <v>1812</v>
      </c>
      <c r="D164" s="145" t="s">
        <v>251</v>
      </c>
      <c r="E164" s="84" t="s">
        <v>506</v>
      </c>
      <c r="G164" s="79">
        <f>+(('2. CANTIDADES'!CQ2*6)+('2. CANTIDADES'!CR2*7.5)+('2. CANTIDADES'!CS2*8))*1.1</f>
        <v>354.20000000000005</v>
      </c>
      <c r="H164" s="77" t="str">
        <f>VLOOKUP(E164,'B. DATOS'!$B$34:$E$622,2,FALSE)</f>
        <v>ML</v>
      </c>
      <c r="J164" s="29" t="s">
        <v>508</v>
      </c>
      <c r="L164" s="78">
        <f>VLOOKUP(E164,'B. DATOS'!$B$34:$E$622,4,FALSE)</f>
        <v>4500</v>
      </c>
      <c r="M164" s="76">
        <f>+L164*G164</f>
        <v>1593900.0000000002</v>
      </c>
      <c r="N164" s="351">
        <v>1</v>
      </c>
      <c r="O164" s="80">
        <f>+G164*$N$142</f>
        <v>354.20000000000005</v>
      </c>
      <c r="P164" s="76">
        <f>+M164*$N$142</f>
        <v>1593900.0000000002</v>
      </c>
    </row>
    <row r="165" spans="2:21" x14ac:dyDescent="0.25">
      <c r="B165" s="83" t="s">
        <v>1883</v>
      </c>
      <c r="C165" s="145" t="s">
        <v>1812</v>
      </c>
      <c r="D165" s="145" t="s">
        <v>251</v>
      </c>
      <c r="E165" s="84" t="s">
        <v>1384</v>
      </c>
      <c r="G165" s="80">
        <f>+G164*0.4</f>
        <v>141.68000000000004</v>
      </c>
      <c r="H165" s="77" t="str">
        <f>VLOOKUP(E165,'B. DATOS'!$B$34:$E$622,2,FALSE)</f>
        <v>ML</v>
      </c>
      <c r="J165" s="29" t="s">
        <v>274</v>
      </c>
      <c r="L165" s="78">
        <f>VLOOKUP(E165,'B. DATOS'!$B$34:$E$622,4,FALSE)</f>
        <v>6000</v>
      </c>
      <c r="M165" s="76">
        <f>+L165*G165</f>
        <v>850080.00000000023</v>
      </c>
      <c r="N165" s="351"/>
      <c r="O165" s="80">
        <f>+G165*$N$142</f>
        <v>141.68000000000004</v>
      </c>
      <c r="P165" s="76">
        <f>+M165*$N$142</f>
        <v>850080.00000000023</v>
      </c>
    </row>
    <row r="166" spans="2:21" x14ac:dyDescent="0.25">
      <c r="B166" s="83" t="s">
        <v>1884</v>
      </c>
      <c r="C166" s="145" t="s">
        <v>1812</v>
      </c>
      <c r="D166" s="145" t="s">
        <v>251</v>
      </c>
      <c r="E166" s="84" t="s">
        <v>1385</v>
      </c>
      <c r="G166" s="80">
        <f>+G165*8</f>
        <v>1133.4400000000003</v>
      </c>
      <c r="H166" s="77" t="str">
        <f>VLOOKUP(E166,'B. DATOS'!$B$34:$E$622,2,FALSE)</f>
        <v>PAR</v>
      </c>
      <c r="J166" s="29" t="s">
        <v>274</v>
      </c>
      <c r="L166" s="78">
        <f>VLOOKUP(E166,'B. DATOS'!$B$34:$E$622,4,FALSE)</f>
        <v>830</v>
      </c>
      <c r="M166" s="76">
        <f>+L166*G166</f>
        <v>940755.20000000019</v>
      </c>
      <c r="N166" s="351"/>
      <c r="O166" s="80">
        <f>+G166*$N$142</f>
        <v>1133.4400000000003</v>
      </c>
      <c r="P166" s="76">
        <f>+M166*$N$142</f>
        <v>940755.20000000019</v>
      </c>
    </row>
    <row r="167" spans="2:21" x14ac:dyDescent="0.25">
      <c r="B167" s="83" t="s">
        <v>1885</v>
      </c>
      <c r="C167" s="145" t="s">
        <v>1812</v>
      </c>
      <c r="D167" s="145" t="s">
        <v>251</v>
      </c>
      <c r="E167" s="84" t="s">
        <v>625</v>
      </c>
      <c r="G167" s="80">
        <f>+((((0.06*0.06)*3.15)*0.45)*((N52/3)*4))*1.05</f>
        <v>0</v>
      </c>
      <c r="H167" s="77" t="str">
        <f>VLOOKUP(E167,'B. DATOS'!$B$34:$E$622,2,FALSE)</f>
        <v>M3</v>
      </c>
      <c r="J167" s="29" t="s">
        <v>717</v>
      </c>
      <c r="L167" s="78">
        <f>VLOOKUP(E167,'B. DATOS'!$B$34:$E$622,4,FALSE)</f>
        <v>360400</v>
      </c>
      <c r="M167" s="76">
        <f>+L167*G167</f>
        <v>0</v>
      </c>
      <c r="N167" s="351"/>
      <c r="O167" s="80">
        <f>+G167*$N$142</f>
        <v>0</v>
      </c>
      <c r="P167" s="76">
        <f>+M167*$N$142</f>
        <v>0</v>
      </c>
    </row>
    <row r="168" spans="2:21" s="39" customFormat="1" x14ac:dyDescent="0.25">
      <c r="B168" s="110">
        <v>3.12</v>
      </c>
      <c r="C168" s="144" t="s">
        <v>1812</v>
      </c>
      <c r="D168" s="369" t="s">
        <v>1718</v>
      </c>
      <c r="E168" s="370"/>
      <c r="F168" s="121"/>
      <c r="G168" s="121"/>
      <c r="H168" s="121"/>
      <c r="I168" s="121"/>
      <c r="J168" s="121"/>
      <c r="K168" s="121"/>
      <c r="L168" s="122"/>
      <c r="M168" s="122">
        <f>+SUM(M169:M171)</f>
        <v>4931456.2</v>
      </c>
      <c r="N168" s="121"/>
      <c r="O168" s="121"/>
      <c r="P168" s="122">
        <f>+SUM(P169:P171)</f>
        <v>4931456.2</v>
      </c>
      <c r="Q168" s="122">
        <f>+SUM(Q169:Q171)</f>
        <v>0</v>
      </c>
      <c r="R168" s="123">
        <f>+P168+Q168</f>
        <v>4931456.2</v>
      </c>
      <c r="S168" s="124">
        <f>+R168/($G$173)</f>
        <v>32441.656469969083</v>
      </c>
      <c r="T168" s="181" cm="1">
        <f t="array" ref="T168:U168">+R168/'1. GENERAL'!$E$31:$F$31</f>
        <v>1.0086153907448717E-2</v>
      </c>
      <c r="U168" s="39" t="e">
        <v>#DIV/0!</v>
      </c>
    </row>
    <row r="169" spans="2:21" x14ac:dyDescent="0.25">
      <c r="B169" s="83" t="s">
        <v>1886</v>
      </c>
      <c r="C169" s="145" t="s">
        <v>1812</v>
      </c>
      <c r="D169" s="145" t="s">
        <v>251</v>
      </c>
      <c r="E169" s="84" t="s">
        <v>506</v>
      </c>
      <c r="G169" s="79">
        <f>+(('2. CANTIDADES'!CY2*6)+('2. CANTIDADES'!CZ2*7)+('2. CANTIDADES'!DA2*8.5))*1.1</f>
        <v>708.95</v>
      </c>
      <c r="H169" s="77" t="str">
        <f>VLOOKUP(E169,'B. DATOS'!$B$34:$E$622,2,FALSE)</f>
        <v>ML</v>
      </c>
      <c r="J169" s="29" t="s">
        <v>508</v>
      </c>
      <c r="L169" s="78">
        <f>VLOOKUP(E169,'B. DATOS'!$B$34:$E$622,4,FALSE)</f>
        <v>4500</v>
      </c>
      <c r="M169" s="76">
        <f>+L169*G169</f>
        <v>3190275</v>
      </c>
      <c r="N169" s="351">
        <v>1</v>
      </c>
      <c r="O169" s="80">
        <f>+G169*$N$156</f>
        <v>708.95</v>
      </c>
      <c r="P169" s="76">
        <f>+M169*$N$156</f>
        <v>3190275</v>
      </c>
    </row>
    <row r="170" spans="2:21" x14ac:dyDescent="0.25">
      <c r="B170" s="83" t="s">
        <v>1887</v>
      </c>
      <c r="C170" s="145" t="s">
        <v>1812</v>
      </c>
      <c r="D170" s="145" t="s">
        <v>251</v>
      </c>
      <c r="E170" s="84" t="s">
        <v>534</v>
      </c>
      <c r="G170" s="80">
        <f>+G169*0.4</f>
        <v>283.58000000000004</v>
      </c>
      <c r="H170" s="77" t="str">
        <f>VLOOKUP(E170,'B. DATOS'!$B$34:$E$622,2,FALSE)</f>
        <v>ML</v>
      </c>
      <c r="J170" s="29" t="s">
        <v>274</v>
      </c>
      <c r="L170" s="78">
        <f>VLOOKUP(E170,'B. DATOS'!$B$34:$E$622,4,FALSE)</f>
        <v>3500</v>
      </c>
      <c r="M170" s="76">
        <f>+L170*G170</f>
        <v>992530.00000000012</v>
      </c>
      <c r="N170" s="351"/>
      <c r="O170" s="80">
        <f>+G170*$N$156</f>
        <v>283.58000000000004</v>
      </c>
      <c r="P170" s="76">
        <f>+M170*$N$156</f>
        <v>992530.00000000012</v>
      </c>
    </row>
    <row r="171" spans="2:21" x14ac:dyDescent="0.25">
      <c r="B171" s="83" t="s">
        <v>1888</v>
      </c>
      <c r="C171" s="145" t="s">
        <v>1812</v>
      </c>
      <c r="D171" s="145" t="s">
        <v>251</v>
      </c>
      <c r="E171" s="84" t="s">
        <v>535</v>
      </c>
      <c r="G171" s="80">
        <f>+G170*8</f>
        <v>2268.6400000000003</v>
      </c>
      <c r="H171" s="77" t="str">
        <f>VLOOKUP(E171,'B. DATOS'!$B$34:$E$622,2,FALSE)</f>
        <v>PAR</v>
      </c>
      <c r="J171" s="29" t="s">
        <v>274</v>
      </c>
      <c r="L171" s="78">
        <f>VLOOKUP(E171,'B. DATOS'!$B$34:$E$622,4,FALSE)</f>
        <v>330</v>
      </c>
      <c r="M171" s="76">
        <f>+L171*G171</f>
        <v>748651.20000000007</v>
      </c>
      <c r="N171" s="351"/>
      <c r="O171" s="80">
        <f>+G171*$N$156</f>
        <v>2268.6400000000003</v>
      </c>
      <c r="P171" s="76">
        <f>+M171*$N$156</f>
        <v>748651.20000000007</v>
      </c>
    </row>
    <row r="172" spans="2:21" s="39" customFormat="1" x14ac:dyDescent="0.25">
      <c r="B172" s="110">
        <v>3.13</v>
      </c>
      <c r="C172" s="144" t="s">
        <v>1812</v>
      </c>
      <c r="D172" s="369" t="s">
        <v>252</v>
      </c>
      <c r="E172" s="370"/>
      <c r="F172" s="121"/>
      <c r="G172" s="121"/>
      <c r="H172" s="121"/>
      <c r="I172" s="121"/>
      <c r="J172" s="121"/>
      <c r="K172" s="121"/>
      <c r="L172" s="122"/>
      <c r="M172" s="122"/>
      <c r="N172" s="121"/>
      <c r="O172" s="121"/>
      <c r="P172" s="122">
        <f>+SUM(P173:P173)</f>
        <v>0</v>
      </c>
      <c r="Q172" s="122">
        <f>+SUM(Q173:Q175)</f>
        <v>59981162</v>
      </c>
      <c r="R172" s="123">
        <f>+P172+Q172</f>
        <v>59981162</v>
      </c>
      <c r="S172" s="124">
        <f>+R172/'1. GENERAL'!$C$7</f>
        <v>176080.21563684146</v>
      </c>
      <c r="T172" s="181" cm="1">
        <f t="array" ref="T172:U172">+R172/'1. GENERAL'!$E$31:$F$31</f>
        <v>0.12267760412829268</v>
      </c>
      <c r="U172" s="39" t="e">
        <v>#DIV/0!</v>
      </c>
    </row>
    <row r="173" spans="2:21" x14ac:dyDescent="0.25">
      <c r="B173" s="83" t="s">
        <v>1889</v>
      </c>
      <c r="C173" s="145" t="s">
        <v>1812</v>
      </c>
      <c r="D173" s="145" t="s">
        <v>778</v>
      </c>
      <c r="E173" s="84" t="s">
        <v>755</v>
      </c>
      <c r="G173" s="80">
        <f>+'2. CANTIDADES'!TS2+'2. CANTIDADES'!WU2+'2. CANTIDADES'!YI2+'2. CANTIDADES'!ZS2</f>
        <v>152.01</v>
      </c>
      <c r="H173" s="77" t="str">
        <f>VLOOKUP(E173,'B. DATOS'!$B$34:$E$622,2,FALSE)</f>
        <v>M2</v>
      </c>
      <c r="J173" s="29" t="s">
        <v>751</v>
      </c>
      <c r="L173" s="78">
        <f>VLOOKUP(E173,'B. DATOS'!$B$34:$E$622,4,FALSE)*0.92</f>
        <v>110400</v>
      </c>
      <c r="M173" s="76">
        <f>+L173*G173</f>
        <v>16781904</v>
      </c>
      <c r="N173" s="351">
        <v>1</v>
      </c>
      <c r="O173" s="80">
        <f>+G173*$N$173</f>
        <v>152.01</v>
      </c>
      <c r="Q173" s="76">
        <f>+M173*$N$173</f>
        <v>16781904</v>
      </c>
    </row>
    <row r="174" spans="2:21" x14ac:dyDescent="0.25">
      <c r="B174" s="83" t="s">
        <v>1890</v>
      </c>
      <c r="C174" s="145" t="s">
        <v>1812</v>
      </c>
      <c r="D174" s="145" t="s">
        <v>778</v>
      </c>
      <c r="E174" s="84" t="s">
        <v>746</v>
      </c>
      <c r="G174" s="80">
        <f>+G325+G339+G334</f>
        <v>307.79000000000002</v>
      </c>
      <c r="H174" s="77" t="str">
        <f>VLOOKUP(E174,'B. DATOS'!$B$34:$E$622,2,FALSE)</f>
        <v>M2</v>
      </c>
      <c r="J174" s="29" t="s">
        <v>751</v>
      </c>
      <c r="L174" s="78">
        <f>VLOOKUP(E174,'B. DATOS'!$B$34:$E$622,4,FALSE)*0.93</f>
        <v>130200</v>
      </c>
      <c r="M174" s="76">
        <f>+L174*G174</f>
        <v>40074258</v>
      </c>
      <c r="N174" s="351"/>
      <c r="O174" s="80">
        <f>+G174*$N$173</f>
        <v>307.79000000000002</v>
      </c>
      <c r="Q174" s="76">
        <f>+M174*$N$173</f>
        <v>40074258</v>
      </c>
    </row>
    <row r="175" spans="2:21" x14ac:dyDescent="0.25">
      <c r="B175" s="83" t="s">
        <v>1891</v>
      </c>
      <c r="C175" s="145" t="s">
        <v>1812</v>
      </c>
      <c r="D175" s="145" t="s">
        <v>778</v>
      </c>
      <c r="E175" s="84" t="s">
        <v>511</v>
      </c>
      <c r="G175" s="80">
        <f>+(5*25)</f>
        <v>125</v>
      </c>
      <c r="H175" s="77" t="str">
        <f>VLOOKUP(E175,'B. DATOS'!$B$34:$E$622,2,FALSE)</f>
        <v>DÍA</v>
      </c>
      <c r="J175" s="29" t="s">
        <v>652</v>
      </c>
      <c r="L175" s="78">
        <f>VLOOKUP(E175,'B. DATOS'!$B$34:$E$622,4,FALSE)</f>
        <v>25000</v>
      </c>
      <c r="M175" s="76">
        <f>+L175*G175</f>
        <v>3125000</v>
      </c>
      <c r="N175" s="351"/>
      <c r="O175" s="80">
        <f>+G175*$N$173</f>
        <v>125</v>
      </c>
      <c r="Q175" s="76">
        <f>+M175*$N$173</f>
        <v>3125000</v>
      </c>
    </row>
    <row r="176" spans="2:21" s="39" customFormat="1" x14ac:dyDescent="0.25">
      <c r="B176" s="109">
        <v>4</v>
      </c>
      <c r="C176" s="143"/>
      <c r="D176" s="375" t="s">
        <v>1590</v>
      </c>
      <c r="E176" s="376"/>
      <c r="F176" s="125"/>
      <c r="G176" s="125"/>
      <c r="H176" s="125"/>
      <c r="I176" s="125"/>
      <c r="J176" s="125"/>
      <c r="K176" s="125"/>
      <c r="L176" s="126"/>
      <c r="M176" s="126"/>
      <c r="N176" s="125"/>
      <c r="O176" s="125"/>
      <c r="P176" s="126">
        <f>+P177+P187</f>
        <v>13284667.805000003</v>
      </c>
      <c r="Q176" s="126">
        <f>+Q177+Q187</f>
        <v>10430966</v>
      </c>
      <c r="R176" s="127">
        <f>Q176+P176</f>
        <v>23715633.805000003</v>
      </c>
      <c r="S176" s="128"/>
      <c r="T176" s="182">
        <f>+T177</f>
        <v>5.2700554938849321E-2</v>
      </c>
    </row>
    <row r="177" spans="2:21" s="39" customFormat="1" ht="30" customHeight="1" x14ac:dyDescent="0.25">
      <c r="B177" s="110">
        <v>4.0999999999999996</v>
      </c>
      <c r="C177" s="144" t="s">
        <v>1812</v>
      </c>
      <c r="D177" s="377" t="s">
        <v>1591</v>
      </c>
      <c r="E177" s="378"/>
      <c r="F177" s="121"/>
      <c r="G177" s="121"/>
      <c r="H177" s="121"/>
      <c r="I177" s="121"/>
      <c r="J177" s="121"/>
      <c r="K177" s="121"/>
      <c r="L177" s="122"/>
      <c r="M177" s="122"/>
      <c r="N177" s="121"/>
      <c r="O177" s="121"/>
      <c r="P177" s="122">
        <f>+SUM(P178:P186)</f>
        <v>7969307.9750000015</v>
      </c>
      <c r="Q177" s="122">
        <f>+SUM(Q178:Q186)</f>
        <v>6157310</v>
      </c>
      <c r="R177" s="123">
        <f>+P177+Q177</f>
        <v>14126617.975000001</v>
      </c>
      <c r="S177" s="166">
        <f>+R177/G186</f>
        <v>145410.37545033454</v>
      </c>
      <c r="T177" s="181" cm="1">
        <f t="array" ref="T177:U177">+R177/'[2]1. GENERAL'!$E$31:$F$31</f>
        <v>5.2700554938849321E-2</v>
      </c>
      <c r="U177" s="39" t="e">
        <v>#DIV/0!</v>
      </c>
    </row>
    <row r="178" spans="2:21" x14ac:dyDescent="0.25">
      <c r="B178" s="83" t="s">
        <v>402</v>
      </c>
      <c r="C178" s="145" t="s">
        <v>1812</v>
      </c>
      <c r="D178" s="145" t="s">
        <v>251</v>
      </c>
      <c r="E178" s="84" t="s">
        <v>1353</v>
      </c>
      <c r="G178" s="89">
        <f>+(G186*0.07)*1.05</f>
        <v>7.140525000000002</v>
      </c>
      <c r="H178" s="77" t="str">
        <f>VLOOKUP(E178,'B. DATOS'!$B$34:$E$622,2,FALSE)</f>
        <v>M3</v>
      </c>
      <c r="J178" s="29" t="s">
        <v>717</v>
      </c>
      <c r="L178" s="78">
        <f>VLOOKUP(E178,'B. DATOS'!$B$34:$E$622,4,FALSE)</f>
        <v>487000</v>
      </c>
      <c r="M178" s="88">
        <f t="shared" ref="M178:M186" si="29">+L178*G178</f>
        <v>3477435.6750000012</v>
      </c>
      <c r="N178" s="351">
        <v>1</v>
      </c>
      <c r="O178" s="80">
        <f>+G178*$N$178</f>
        <v>7.140525000000002</v>
      </c>
      <c r="P178" s="76">
        <f>+M178*$N$178</f>
        <v>3477435.6750000012</v>
      </c>
      <c r="T178"/>
    </row>
    <row r="179" spans="2:21" x14ac:dyDescent="0.25">
      <c r="B179" s="83" t="s">
        <v>403</v>
      </c>
      <c r="C179" s="145" t="s">
        <v>1812</v>
      </c>
      <c r="D179" s="145" t="s">
        <v>251</v>
      </c>
      <c r="E179" s="84" t="s">
        <v>265</v>
      </c>
      <c r="G179" s="89">
        <f>+G186*1.05</f>
        <v>102.00750000000001</v>
      </c>
      <c r="H179" s="77" t="str">
        <f>VLOOKUP(E179,'B. DATOS'!$B$34:$E$622,2,FALSE)</f>
        <v>M2</v>
      </c>
      <c r="J179" s="29" t="s">
        <v>647</v>
      </c>
      <c r="L179" s="78">
        <f>VLOOKUP(E179,'B. DATOS'!$B$34:$E$622,4,FALSE)</f>
        <v>1700</v>
      </c>
      <c r="M179" s="88">
        <f t="shared" si="29"/>
        <v>173412.75</v>
      </c>
      <c r="N179" s="351"/>
      <c r="O179" s="80">
        <f t="shared" ref="O179:O186" si="30">+G179*$N$178</f>
        <v>102.00750000000001</v>
      </c>
      <c r="P179" s="76">
        <f>+M179*$N$178</f>
        <v>173412.75</v>
      </c>
      <c r="T179"/>
    </row>
    <row r="180" spans="2:21" x14ac:dyDescent="0.25">
      <c r="B180" s="83" t="s">
        <v>404</v>
      </c>
      <c r="C180" s="145" t="s">
        <v>1812</v>
      </c>
      <c r="D180" s="145" t="s">
        <v>251</v>
      </c>
      <c r="E180" s="84" t="s">
        <v>1284</v>
      </c>
      <c r="G180" s="89">
        <f>+G186*1.3</f>
        <v>126.29500000000002</v>
      </c>
      <c r="H180" s="77" t="str">
        <f>VLOOKUP(E180,'B. DATOS'!$B$34:$E$622,2,FALSE)</f>
        <v>M2</v>
      </c>
      <c r="J180" s="29" t="s">
        <v>274</v>
      </c>
      <c r="L180" s="78">
        <f>VLOOKUP(E180,'B. DATOS'!$B$34:$E$622,4,FALSE)</f>
        <v>17000</v>
      </c>
      <c r="M180" s="88">
        <f t="shared" si="29"/>
        <v>2147015.0000000005</v>
      </c>
      <c r="N180" s="351"/>
      <c r="O180" s="80">
        <f t="shared" si="30"/>
        <v>126.29500000000002</v>
      </c>
      <c r="P180" s="76">
        <f>+M180*$N$178</f>
        <v>2147015.0000000005</v>
      </c>
      <c r="T180"/>
    </row>
    <row r="181" spans="2:21" x14ac:dyDescent="0.25">
      <c r="B181" s="83" t="s">
        <v>405</v>
      </c>
      <c r="C181" s="145" t="s">
        <v>1812</v>
      </c>
      <c r="D181" s="145" t="s">
        <v>251</v>
      </c>
      <c r="E181" s="84" t="s">
        <v>266</v>
      </c>
      <c r="G181" s="89">
        <f>+G180*0.03</f>
        <v>3.7888500000000005</v>
      </c>
      <c r="H181" s="77" t="str">
        <f>VLOOKUP(E181,'B. DATOS'!$B$34:$E$622,2,FALSE)</f>
        <v>KG</v>
      </c>
      <c r="J181" s="29" t="s">
        <v>274</v>
      </c>
      <c r="L181" s="78">
        <f>VLOOKUP(E181,'B. DATOS'!$B$34:$E$622,4,FALSE)</f>
        <v>8000</v>
      </c>
      <c r="M181" s="88">
        <f t="shared" si="29"/>
        <v>30310.800000000003</v>
      </c>
      <c r="N181" s="351"/>
      <c r="O181" s="80">
        <f t="shared" si="30"/>
        <v>3.7888500000000005</v>
      </c>
      <c r="P181" s="76">
        <f>+M181*$N$178</f>
        <v>30310.800000000003</v>
      </c>
      <c r="S181" s="150"/>
      <c r="T181"/>
    </row>
    <row r="182" spans="2:21" x14ac:dyDescent="0.25">
      <c r="B182" s="83" t="s">
        <v>406</v>
      </c>
      <c r="C182" s="145" t="s">
        <v>1812</v>
      </c>
      <c r="D182" s="145" t="s">
        <v>251</v>
      </c>
      <c r="E182" s="84" t="s">
        <v>264</v>
      </c>
      <c r="G182" s="89">
        <f>+G184*1.05</f>
        <v>22.538250000000005</v>
      </c>
      <c r="H182" s="77" t="str">
        <f>VLOOKUP(E182,'B. DATOS'!$B$34:$E$622,2,FALSE)</f>
        <v>M3</v>
      </c>
      <c r="J182" s="29" t="s">
        <v>634</v>
      </c>
      <c r="L182" s="78">
        <f>VLOOKUP(E182,'B. DATOS'!$B$34:$E$622,4,FALSE)</f>
        <v>95000</v>
      </c>
      <c r="M182" s="88">
        <f t="shared" si="29"/>
        <v>2141133.7500000005</v>
      </c>
      <c r="N182" s="351"/>
      <c r="O182" s="80">
        <f t="shared" si="30"/>
        <v>22.538250000000005</v>
      </c>
      <c r="P182" s="76">
        <f>+M182*$N$178</f>
        <v>2141133.7500000005</v>
      </c>
      <c r="T182"/>
    </row>
    <row r="183" spans="2:21" x14ac:dyDescent="0.25">
      <c r="B183" s="83" t="s">
        <v>407</v>
      </c>
      <c r="C183" s="145" t="s">
        <v>1812</v>
      </c>
      <c r="D183" s="145" t="s">
        <v>778</v>
      </c>
      <c r="E183" s="84" t="s">
        <v>1291</v>
      </c>
      <c r="G183" s="89">
        <v>6</v>
      </c>
      <c r="H183" s="77" t="str">
        <f>VLOOKUP(E183,'B. DATOS'!$B$34:$E$622,2,FALSE)</f>
        <v>DÍA</v>
      </c>
      <c r="J183" s="29" t="s">
        <v>652</v>
      </c>
      <c r="L183" s="78">
        <f>VLOOKUP(E183,'B. DATOS'!$B$34:$E$622,4,FALSE)</f>
        <v>95000</v>
      </c>
      <c r="M183" s="88">
        <f t="shared" si="29"/>
        <v>570000</v>
      </c>
      <c r="N183" s="351"/>
      <c r="O183" s="80">
        <f t="shared" si="30"/>
        <v>6</v>
      </c>
      <c r="Q183" s="76">
        <f>+M183*$N$178</f>
        <v>570000</v>
      </c>
      <c r="T183"/>
    </row>
    <row r="184" spans="2:21" x14ac:dyDescent="0.25">
      <c r="B184" s="83" t="s">
        <v>1635</v>
      </c>
      <c r="C184" s="145" t="s">
        <v>1812</v>
      </c>
      <c r="D184" s="145" t="s">
        <v>778</v>
      </c>
      <c r="E184" s="84" t="s">
        <v>328</v>
      </c>
      <c r="G184" s="89">
        <f>+(G186-G90)*0.3</f>
        <v>21.465000000000003</v>
      </c>
      <c r="H184" s="77" t="str">
        <f>VLOOKUP(E184,'B. DATOS'!$B$34:$E$622,2,FALSE)</f>
        <v>M3</v>
      </c>
      <c r="J184" s="29" t="s">
        <v>259</v>
      </c>
      <c r="L184" s="78">
        <f>VLOOKUP(E184,'B. DATOS'!$B$34:$E$622,4,FALSE)</f>
        <v>34000</v>
      </c>
      <c r="M184" s="88">
        <f t="shared" si="29"/>
        <v>729810.00000000012</v>
      </c>
      <c r="N184" s="351"/>
      <c r="O184" s="80">
        <f t="shared" si="30"/>
        <v>21.465000000000003</v>
      </c>
      <c r="Q184" s="76">
        <f>+M184*$N$178</f>
        <v>729810.00000000012</v>
      </c>
      <c r="T184"/>
    </row>
    <row r="185" spans="2:21" x14ac:dyDescent="0.25">
      <c r="B185" s="83" t="s">
        <v>1636</v>
      </c>
      <c r="C185" s="145" t="s">
        <v>1812</v>
      </c>
      <c r="D185" s="145" t="s">
        <v>778</v>
      </c>
      <c r="E185" s="84" t="s">
        <v>267</v>
      </c>
      <c r="G185" s="89">
        <v>0</v>
      </c>
      <c r="H185" s="77" t="str">
        <f>VLOOKUP(E185,'B. DATOS'!$B$34:$E$622,2,FALSE)</f>
        <v>M3</v>
      </c>
      <c r="J185" s="29" t="s">
        <v>259</v>
      </c>
      <c r="L185" s="78">
        <f>VLOOKUP(E185,'B. DATOS'!$B$34:$E$622,4,FALSE)</f>
        <v>26000</v>
      </c>
      <c r="M185" s="88">
        <f t="shared" si="29"/>
        <v>0</v>
      </c>
      <c r="N185" s="351"/>
      <c r="O185" s="80">
        <f t="shared" si="30"/>
        <v>0</v>
      </c>
      <c r="Q185" s="76">
        <f>+M185*$N$178</f>
        <v>0</v>
      </c>
      <c r="T185"/>
    </row>
    <row r="186" spans="2:21" x14ac:dyDescent="0.25">
      <c r="B186" s="83" t="s">
        <v>1637</v>
      </c>
      <c r="C186" s="145" t="s">
        <v>1812</v>
      </c>
      <c r="D186" s="145" t="s">
        <v>778</v>
      </c>
      <c r="E186" s="84" t="s">
        <v>375</v>
      </c>
      <c r="G186" s="89">
        <f>+'2. CANTIDADES'!SY4+'2. CANTIDADES'!UM4+'2. CANTIDADES'!VQ4</f>
        <v>97.15</v>
      </c>
      <c r="H186" s="77" t="str">
        <f>VLOOKUP(E186,'B. DATOS'!$B$34:$E$622,2,FALSE)</f>
        <v>M2</v>
      </c>
      <c r="J186" s="29" t="s">
        <v>14</v>
      </c>
      <c r="L186" s="78">
        <f>VLOOKUP(E186,'B. DATOS'!$B$34:$E$622,4,FALSE)</f>
        <v>50000</v>
      </c>
      <c r="M186" s="88">
        <f t="shared" si="29"/>
        <v>4857500</v>
      </c>
      <c r="N186" s="351"/>
      <c r="O186" s="80">
        <f t="shared" si="30"/>
        <v>97.15</v>
      </c>
      <c r="Q186" s="76">
        <f>+M186*$N$178</f>
        <v>4857500</v>
      </c>
      <c r="T186"/>
    </row>
    <row r="187" spans="2:21" s="39" customFormat="1" ht="30" customHeight="1" x14ac:dyDescent="0.25">
      <c r="B187" s="288">
        <v>4.2</v>
      </c>
      <c r="C187" s="289" t="s">
        <v>1400</v>
      </c>
      <c r="D187" s="412" t="s">
        <v>1591</v>
      </c>
      <c r="E187" s="413"/>
      <c r="F187" s="290"/>
      <c r="G187" s="290"/>
      <c r="H187" s="290"/>
      <c r="I187" s="290"/>
      <c r="J187" s="290"/>
      <c r="K187" s="290"/>
      <c r="L187" s="291"/>
      <c r="M187" s="291"/>
      <c r="N187" s="290"/>
      <c r="O187" s="290"/>
      <c r="P187" s="291">
        <f>+SUM(P188:P196)</f>
        <v>5315359.8300000019</v>
      </c>
      <c r="Q187" s="291">
        <f>+SUM(Q188:Q196)</f>
        <v>4273656</v>
      </c>
      <c r="R187" s="298">
        <f>+P187+Q187</f>
        <v>9589015.8300000019</v>
      </c>
      <c r="S187" s="414">
        <f>+R187/G196</f>
        <v>149781.56560449861</v>
      </c>
      <c r="T187" s="294" cm="1">
        <f t="array" ref="T187:U187">+R187/'[2]1. GENERAL'!$E$31:$F$31</f>
        <v>3.5772642571118361E-2</v>
      </c>
      <c r="U187" s="39" t="e">
        <v>#DIV/0!</v>
      </c>
    </row>
    <row r="188" spans="2:21" x14ac:dyDescent="0.25">
      <c r="B188" s="295" t="s">
        <v>410</v>
      </c>
      <c r="C188" s="296" t="s">
        <v>1400</v>
      </c>
      <c r="D188" s="296" t="s">
        <v>251</v>
      </c>
      <c r="E188" s="297" t="s">
        <v>1353</v>
      </c>
      <c r="G188" s="89">
        <f>+(G196*0.07)*1.05</f>
        <v>4.7054700000000009</v>
      </c>
      <c r="H188" s="77" t="str">
        <f>VLOOKUP(E188,'B. DATOS'!$B$34:$E$622,2,FALSE)</f>
        <v>M3</v>
      </c>
      <c r="J188" s="29" t="s">
        <v>717</v>
      </c>
      <c r="L188" s="78">
        <f>VLOOKUP(E188,'B. DATOS'!$B$34:$E$622,4,FALSE)</f>
        <v>487000</v>
      </c>
      <c r="M188" s="88">
        <f t="shared" ref="M188:M196" si="31">+L188*G188</f>
        <v>2291563.8900000006</v>
      </c>
      <c r="N188" s="351">
        <v>1</v>
      </c>
      <c r="O188" s="80">
        <f>+G188*$N$178</f>
        <v>4.7054700000000009</v>
      </c>
      <c r="P188" s="76">
        <f>+M188*$N$178</f>
        <v>2291563.8900000006</v>
      </c>
      <c r="T188"/>
    </row>
    <row r="189" spans="2:21" x14ac:dyDescent="0.25">
      <c r="B189" s="295" t="s">
        <v>409</v>
      </c>
      <c r="C189" s="296" t="s">
        <v>1400</v>
      </c>
      <c r="D189" s="296" t="s">
        <v>251</v>
      </c>
      <c r="E189" s="297" t="s">
        <v>265</v>
      </c>
      <c r="G189" s="89">
        <f>+G196*1.05</f>
        <v>67.221000000000018</v>
      </c>
      <c r="H189" s="77" t="str">
        <f>VLOOKUP(E189,'B. DATOS'!$B$34:$E$622,2,FALSE)</f>
        <v>M2</v>
      </c>
      <c r="J189" s="29" t="s">
        <v>647</v>
      </c>
      <c r="L189" s="78">
        <f>VLOOKUP(E189,'B. DATOS'!$B$34:$E$622,4,FALSE)</f>
        <v>1700</v>
      </c>
      <c r="M189" s="88">
        <f t="shared" si="31"/>
        <v>114275.70000000003</v>
      </c>
      <c r="N189" s="351"/>
      <c r="O189" s="80">
        <f t="shared" ref="O189:O196" si="32">+G189*$N$178</f>
        <v>67.221000000000018</v>
      </c>
      <c r="P189" s="76">
        <f>+M189*$N$178</f>
        <v>114275.70000000003</v>
      </c>
      <c r="T189"/>
    </row>
    <row r="190" spans="2:21" x14ac:dyDescent="0.25">
      <c r="B190" s="295" t="s">
        <v>411</v>
      </c>
      <c r="C190" s="296" t="s">
        <v>1400</v>
      </c>
      <c r="D190" s="296" t="s">
        <v>251</v>
      </c>
      <c r="E190" s="297" t="s">
        <v>1284</v>
      </c>
      <c r="G190" s="89">
        <f>+G196*1.3</f>
        <v>83.226000000000013</v>
      </c>
      <c r="H190" s="77" t="str">
        <f>VLOOKUP(E190,'B. DATOS'!$B$34:$E$622,2,FALSE)</f>
        <v>M2</v>
      </c>
      <c r="J190" s="29" t="s">
        <v>274</v>
      </c>
      <c r="L190" s="78">
        <f>VLOOKUP(E190,'B. DATOS'!$B$34:$E$622,4,FALSE)</f>
        <v>17000</v>
      </c>
      <c r="M190" s="88">
        <f t="shared" si="31"/>
        <v>1414842.0000000002</v>
      </c>
      <c r="N190" s="351"/>
      <c r="O190" s="80">
        <f t="shared" si="32"/>
        <v>83.226000000000013</v>
      </c>
      <c r="P190" s="76">
        <f>+M190*$N$178</f>
        <v>1414842.0000000002</v>
      </c>
      <c r="T190"/>
    </row>
    <row r="191" spans="2:21" x14ac:dyDescent="0.25">
      <c r="B191" s="295" t="s">
        <v>1393</v>
      </c>
      <c r="C191" s="296" t="s">
        <v>1400</v>
      </c>
      <c r="D191" s="296" t="s">
        <v>251</v>
      </c>
      <c r="E191" s="297" t="s">
        <v>266</v>
      </c>
      <c r="G191" s="89">
        <f>+G190*0.03</f>
        <v>2.4967800000000002</v>
      </c>
      <c r="H191" s="77" t="str">
        <f>VLOOKUP(E191,'B. DATOS'!$B$34:$E$622,2,FALSE)</f>
        <v>KG</v>
      </c>
      <c r="J191" s="29" t="s">
        <v>274</v>
      </c>
      <c r="L191" s="78">
        <f>VLOOKUP(E191,'B. DATOS'!$B$34:$E$622,4,FALSE)</f>
        <v>8000</v>
      </c>
      <c r="M191" s="88">
        <f t="shared" si="31"/>
        <v>19974.240000000002</v>
      </c>
      <c r="N191" s="351"/>
      <c r="O191" s="80">
        <f t="shared" si="32"/>
        <v>2.4967800000000002</v>
      </c>
      <c r="P191" s="76">
        <f>+M191*$N$178</f>
        <v>19974.240000000002</v>
      </c>
      <c r="S191" s="150"/>
      <c r="T191"/>
    </row>
    <row r="192" spans="2:21" x14ac:dyDescent="0.25">
      <c r="B192" s="295" t="s">
        <v>1394</v>
      </c>
      <c r="C192" s="296" t="s">
        <v>1400</v>
      </c>
      <c r="D192" s="296" t="s">
        <v>251</v>
      </c>
      <c r="E192" s="297" t="s">
        <v>264</v>
      </c>
      <c r="G192" s="89">
        <f>+G194*1.05</f>
        <v>15.523200000000005</v>
      </c>
      <c r="H192" s="77" t="str">
        <f>VLOOKUP(E192,'B. DATOS'!$B$34:$E$622,2,FALSE)</f>
        <v>M3</v>
      </c>
      <c r="J192" s="29" t="s">
        <v>634</v>
      </c>
      <c r="L192" s="78">
        <f>VLOOKUP(E192,'B. DATOS'!$B$34:$E$622,4,FALSE)</f>
        <v>95000</v>
      </c>
      <c r="M192" s="88">
        <f t="shared" si="31"/>
        <v>1474704.0000000005</v>
      </c>
      <c r="N192" s="351"/>
      <c r="O192" s="80">
        <f t="shared" si="32"/>
        <v>15.523200000000005</v>
      </c>
      <c r="P192" s="76">
        <f>+M192*$N$178</f>
        <v>1474704.0000000005</v>
      </c>
      <c r="T192"/>
    </row>
    <row r="193" spans="2:21" x14ac:dyDescent="0.25">
      <c r="B193" s="295" t="s">
        <v>1897</v>
      </c>
      <c r="C193" s="296" t="s">
        <v>1400</v>
      </c>
      <c r="D193" s="296" t="s">
        <v>778</v>
      </c>
      <c r="E193" s="297" t="s">
        <v>1291</v>
      </c>
      <c r="G193" s="89">
        <v>6</v>
      </c>
      <c r="H193" s="77" t="str">
        <f>VLOOKUP(E193,'B. DATOS'!$B$34:$E$622,2,FALSE)</f>
        <v>DÍA</v>
      </c>
      <c r="J193" s="29" t="s">
        <v>652</v>
      </c>
      <c r="L193" s="78">
        <f>VLOOKUP(E193,'B. DATOS'!$B$34:$E$622,4,FALSE)</f>
        <v>95000</v>
      </c>
      <c r="M193" s="88">
        <f t="shared" si="31"/>
        <v>570000</v>
      </c>
      <c r="N193" s="351"/>
      <c r="O193" s="80">
        <f t="shared" si="32"/>
        <v>6</v>
      </c>
      <c r="Q193" s="76">
        <f>+M193*$N$178</f>
        <v>570000</v>
      </c>
      <c r="T193"/>
    </row>
    <row r="194" spans="2:21" x14ac:dyDescent="0.25">
      <c r="B194" s="295" t="s">
        <v>1898</v>
      </c>
      <c r="C194" s="296" t="s">
        <v>1400</v>
      </c>
      <c r="D194" s="296" t="s">
        <v>778</v>
      </c>
      <c r="E194" s="297" t="s">
        <v>328</v>
      </c>
      <c r="G194" s="89">
        <f>+(G196-G105)*0.3</f>
        <v>14.784000000000004</v>
      </c>
      <c r="H194" s="77" t="str">
        <f>VLOOKUP(E194,'B. DATOS'!$B$34:$E$622,2,FALSE)</f>
        <v>M3</v>
      </c>
      <c r="J194" s="29" t="s">
        <v>259</v>
      </c>
      <c r="L194" s="78">
        <f>VLOOKUP(E194,'B. DATOS'!$B$34:$E$622,4,FALSE)</f>
        <v>34000</v>
      </c>
      <c r="M194" s="88">
        <f t="shared" si="31"/>
        <v>502656.00000000012</v>
      </c>
      <c r="N194" s="351"/>
      <c r="O194" s="80">
        <f t="shared" si="32"/>
        <v>14.784000000000004</v>
      </c>
      <c r="Q194" s="76">
        <f>+M194*$N$178</f>
        <v>502656.00000000012</v>
      </c>
      <c r="T194"/>
    </row>
    <row r="195" spans="2:21" x14ac:dyDescent="0.25">
      <c r="B195" s="295" t="s">
        <v>1899</v>
      </c>
      <c r="C195" s="296" t="s">
        <v>1400</v>
      </c>
      <c r="D195" s="296" t="s">
        <v>778</v>
      </c>
      <c r="E195" s="297" t="s">
        <v>267</v>
      </c>
      <c r="G195" s="89">
        <v>0</v>
      </c>
      <c r="H195" s="77" t="str">
        <f>VLOOKUP(E195,'B. DATOS'!$B$34:$E$622,2,FALSE)</f>
        <v>M3</v>
      </c>
      <c r="J195" s="29" t="s">
        <v>259</v>
      </c>
      <c r="L195" s="78">
        <f>VLOOKUP(E195,'B. DATOS'!$B$34:$E$622,4,FALSE)</f>
        <v>26000</v>
      </c>
      <c r="M195" s="88">
        <f t="shared" si="31"/>
        <v>0</v>
      </c>
      <c r="N195" s="351"/>
      <c r="O195" s="80">
        <f t="shared" si="32"/>
        <v>0</v>
      </c>
      <c r="Q195" s="76">
        <f>+M195*$N$178</f>
        <v>0</v>
      </c>
      <c r="T195"/>
    </row>
    <row r="196" spans="2:21" x14ac:dyDescent="0.25">
      <c r="B196" s="295" t="s">
        <v>1900</v>
      </c>
      <c r="C196" s="296" t="s">
        <v>1400</v>
      </c>
      <c r="D196" s="296" t="s">
        <v>778</v>
      </c>
      <c r="E196" s="297" t="s">
        <v>375</v>
      </c>
      <c r="G196" s="89">
        <f>+'2. CANTIDADES'!SY36+'2. CANTIDADES'!ZI4</f>
        <v>64.02000000000001</v>
      </c>
      <c r="H196" s="77" t="str">
        <f>VLOOKUP(E196,'B. DATOS'!$B$34:$E$622,2,FALSE)</f>
        <v>M2</v>
      </c>
      <c r="J196" s="29" t="s">
        <v>14</v>
      </c>
      <c r="L196" s="78">
        <f>VLOOKUP(E196,'B. DATOS'!$B$34:$E$622,4,FALSE)</f>
        <v>50000</v>
      </c>
      <c r="M196" s="88">
        <f t="shared" si="31"/>
        <v>3201000.0000000005</v>
      </c>
      <c r="N196" s="351"/>
      <c r="O196" s="80">
        <f t="shared" si="32"/>
        <v>64.02000000000001</v>
      </c>
      <c r="Q196" s="76">
        <f>+M196*$N$178</f>
        <v>3201000.0000000005</v>
      </c>
      <c r="T196"/>
    </row>
    <row r="197" spans="2:21" s="39" customFormat="1" x14ac:dyDescent="0.25">
      <c r="B197" s="109">
        <v>5</v>
      </c>
      <c r="C197" s="143"/>
      <c r="D197" s="375" t="s">
        <v>293</v>
      </c>
      <c r="E197" s="376"/>
      <c r="F197" s="125"/>
      <c r="G197" s="125"/>
      <c r="H197" s="125"/>
      <c r="I197" s="125"/>
      <c r="J197" s="125"/>
      <c r="K197" s="125"/>
      <c r="L197" s="126"/>
      <c r="M197" s="126"/>
      <c r="N197" s="125"/>
      <c r="O197" s="125"/>
      <c r="P197" s="126">
        <f>+P198+P235+P242</f>
        <v>16412863.699999999</v>
      </c>
      <c r="Q197" s="126">
        <f>+Q198+Q235+Q242</f>
        <v>3615070</v>
      </c>
      <c r="R197" s="127">
        <f>+Q197+P197</f>
        <v>20027933.699999999</v>
      </c>
      <c r="S197" s="128"/>
      <c r="T197" s="182">
        <f>+T198++T235+T242</f>
        <v>6.5605650343976141E-2</v>
      </c>
    </row>
    <row r="198" spans="2:21" s="39" customFormat="1" x14ac:dyDescent="0.25">
      <c r="B198" s="110">
        <v>5.0999999999999996</v>
      </c>
      <c r="C198" s="144" t="s">
        <v>467</v>
      </c>
      <c r="D198" s="369" t="s">
        <v>1592</v>
      </c>
      <c r="E198" s="370"/>
      <c r="F198" s="121"/>
      <c r="G198" s="121"/>
      <c r="H198" s="121"/>
      <c r="I198" s="121"/>
      <c r="J198" s="121"/>
      <c r="K198" s="121"/>
      <c r="L198" s="122"/>
      <c r="M198" s="122"/>
      <c r="N198" s="121"/>
      <c r="O198" s="121"/>
      <c r="P198" s="122">
        <f>+SUM(P199:P234)</f>
        <v>11500185.5</v>
      </c>
      <c r="Q198" s="122">
        <f>+SUM(Q199:Q234)</f>
        <v>1092550</v>
      </c>
      <c r="R198" s="123">
        <f>+P198+Q198</f>
        <v>12592735.5</v>
      </c>
      <c r="S198" s="124">
        <f>+R198/'[2]1. GENERAL'!$C$7</f>
        <v>92723.183123481329</v>
      </c>
      <c r="T198" s="181" cm="1">
        <f t="array" ref="T198:U198">+R198/'[2]1. GENERAL'!$E$31:$F$31</f>
        <v>4.6978275353846549E-2</v>
      </c>
      <c r="U198" s="39" t="e">
        <v>#DIV/0!</v>
      </c>
    </row>
    <row r="199" spans="2:21" x14ac:dyDescent="0.25">
      <c r="B199" s="83" t="s">
        <v>422</v>
      </c>
      <c r="C199" s="145" t="s">
        <v>467</v>
      </c>
      <c r="D199" s="145" t="s">
        <v>251</v>
      </c>
      <c r="E199" s="84" t="s">
        <v>301</v>
      </c>
      <c r="G199" s="80">
        <v>15</v>
      </c>
      <c r="H199" s="77" t="str">
        <f>VLOOKUP(E199,'B. DATOS'!$B$34:$E$622,2,FALSE)</f>
        <v>ML</v>
      </c>
      <c r="J199" s="29" t="s">
        <v>670</v>
      </c>
      <c r="L199" s="78">
        <f>VLOOKUP(E199,'B. DATOS'!$B$34:$E$622,4,FALSE)</f>
        <v>14700</v>
      </c>
      <c r="M199" s="76">
        <f t="shared" ref="M199:M234" si="33">+L199*G199</f>
        <v>220500</v>
      </c>
      <c r="N199" s="351">
        <v>1</v>
      </c>
      <c r="O199" s="80">
        <f>+G199*$N$199</f>
        <v>15</v>
      </c>
      <c r="P199" s="76">
        <f>+M199*$N$199</f>
        <v>220500</v>
      </c>
    </row>
    <row r="200" spans="2:21" x14ac:dyDescent="0.25">
      <c r="B200" s="83" t="s">
        <v>423</v>
      </c>
      <c r="C200" s="145" t="s">
        <v>467</v>
      </c>
      <c r="D200" s="145" t="s">
        <v>251</v>
      </c>
      <c r="E200" s="84" t="s">
        <v>300</v>
      </c>
      <c r="G200" s="80">
        <v>50</v>
      </c>
      <c r="H200" s="77" t="str">
        <f>VLOOKUP(E200,'B. DATOS'!$B$34:$E$622,2,FALSE)</f>
        <v>ML</v>
      </c>
      <c r="J200" s="29" t="s">
        <v>670</v>
      </c>
      <c r="L200" s="78">
        <f>VLOOKUP(E200,'B. DATOS'!$B$34:$E$622,4,FALSE)</f>
        <v>4800</v>
      </c>
      <c r="M200" s="76">
        <f t="shared" si="33"/>
        <v>240000</v>
      </c>
      <c r="N200" s="351"/>
      <c r="O200" s="80">
        <f t="shared" ref="O200:O234" si="34">+G200*$N$199</f>
        <v>50</v>
      </c>
      <c r="P200" s="76">
        <f t="shared" ref="P200:P230" si="35">+M200*$N$199</f>
        <v>240000</v>
      </c>
    </row>
    <row r="201" spans="2:21" x14ac:dyDescent="0.25">
      <c r="B201" s="83" t="s">
        <v>424</v>
      </c>
      <c r="C201" s="145" t="s">
        <v>467</v>
      </c>
      <c r="D201" s="145" t="s">
        <v>251</v>
      </c>
      <c r="E201" s="84" t="s">
        <v>340</v>
      </c>
      <c r="G201" s="80">
        <v>30</v>
      </c>
      <c r="H201" s="77" t="str">
        <f>VLOOKUP(E201,'B. DATOS'!$B$34:$E$622,2,FALSE)</f>
        <v>ML</v>
      </c>
      <c r="J201" s="29" t="s">
        <v>670</v>
      </c>
      <c r="L201" s="78">
        <f>VLOOKUP(E201,'B. DATOS'!$B$34:$E$622,4,FALSE)</f>
        <v>15400</v>
      </c>
      <c r="M201" s="76">
        <f t="shared" si="33"/>
        <v>462000</v>
      </c>
      <c r="N201" s="351"/>
      <c r="O201" s="80">
        <f t="shared" si="34"/>
        <v>30</v>
      </c>
      <c r="P201" s="76">
        <f t="shared" si="35"/>
        <v>462000</v>
      </c>
    </row>
    <row r="202" spans="2:21" x14ac:dyDescent="0.25">
      <c r="B202" s="83" t="s">
        <v>1342</v>
      </c>
      <c r="C202" s="145" t="s">
        <v>467</v>
      </c>
      <c r="D202" s="145" t="s">
        <v>251</v>
      </c>
      <c r="E202" s="84" t="s">
        <v>302</v>
      </c>
      <c r="G202" s="80">
        <v>15</v>
      </c>
      <c r="H202" s="77" t="str">
        <f>VLOOKUP(E202,'B. DATOS'!$B$34:$E$622,2,FALSE)</f>
        <v>ML</v>
      </c>
      <c r="J202" s="29" t="s">
        <v>670</v>
      </c>
      <c r="L202" s="78">
        <f>VLOOKUP(E202,'B. DATOS'!$B$34:$E$622,4,FALSE)</f>
        <v>1850</v>
      </c>
      <c r="M202" s="76">
        <f t="shared" si="33"/>
        <v>27750</v>
      </c>
      <c r="N202" s="351"/>
      <c r="O202" s="80">
        <f t="shared" si="34"/>
        <v>15</v>
      </c>
      <c r="P202" s="76">
        <f t="shared" si="35"/>
        <v>27750</v>
      </c>
    </row>
    <row r="203" spans="2:21" x14ac:dyDescent="0.25">
      <c r="B203" s="83" t="s">
        <v>1343</v>
      </c>
      <c r="C203" s="145" t="s">
        <v>467</v>
      </c>
      <c r="D203" s="145" t="s">
        <v>251</v>
      </c>
      <c r="E203" s="84" t="s">
        <v>341</v>
      </c>
      <c r="G203" s="80">
        <v>50</v>
      </c>
      <c r="H203" s="77" t="str">
        <f>VLOOKUP(E203,'B. DATOS'!$B$34:$E$622,2,FALSE)</f>
        <v>ML</v>
      </c>
      <c r="J203" s="29" t="s">
        <v>670</v>
      </c>
      <c r="L203" s="78">
        <f>VLOOKUP(E203,'B. DATOS'!$B$34:$E$622,4,FALSE)</f>
        <v>3300</v>
      </c>
      <c r="M203" s="76">
        <f t="shared" si="33"/>
        <v>165000</v>
      </c>
      <c r="N203" s="351"/>
      <c r="O203" s="80">
        <f t="shared" si="34"/>
        <v>50</v>
      </c>
      <c r="P203" s="76">
        <f t="shared" si="35"/>
        <v>165000</v>
      </c>
    </row>
    <row r="204" spans="2:21" x14ac:dyDescent="0.25">
      <c r="B204" s="83" t="s">
        <v>1344</v>
      </c>
      <c r="C204" s="145" t="s">
        <v>467</v>
      </c>
      <c r="D204" s="145" t="s">
        <v>251</v>
      </c>
      <c r="E204" s="84" t="s">
        <v>303</v>
      </c>
      <c r="G204" s="80">
        <v>30</v>
      </c>
      <c r="H204" s="77" t="str">
        <f>VLOOKUP(E204,'B. DATOS'!$B$34:$E$622,2,FALSE)</f>
        <v>ML</v>
      </c>
      <c r="J204" s="29" t="s">
        <v>670</v>
      </c>
      <c r="L204" s="78">
        <f>VLOOKUP(E204,'B. DATOS'!$B$34:$E$622,4,FALSE)</f>
        <v>5400</v>
      </c>
      <c r="M204" s="76">
        <f t="shared" si="33"/>
        <v>162000</v>
      </c>
      <c r="N204" s="351"/>
      <c r="O204" s="80">
        <f t="shared" si="34"/>
        <v>30</v>
      </c>
      <c r="P204" s="76">
        <f t="shared" si="35"/>
        <v>162000</v>
      </c>
    </row>
    <row r="205" spans="2:21" x14ac:dyDescent="0.25">
      <c r="B205" s="83" t="s">
        <v>1372</v>
      </c>
      <c r="C205" s="145" t="s">
        <v>467</v>
      </c>
      <c r="D205" s="145" t="s">
        <v>251</v>
      </c>
      <c r="E205" s="84" t="s">
        <v>306</v>
      </c>
      <c r="G205" s="29">
        <v>25</v>
      </c>
      <c r="H205" s="77" t="str">
        <f>VLOOKUP(E205,'B. DATOS'!$B$34:$E$622,2,FALSE)</f>
        <v>UND</v>
      </c>
      <c r="J205" s="29" t="s">
        <v>670</v>
      </c>
      <c r="L205" s="78">
        <f>VLOOKUP(E205,'B. DATOS'!$B$34:$E$622,4,FALSE)</f>
        <v>1500</v>
      </c>
      <c r="M205" s="76">
        <f t="shared" si="33"/>
        <v>37500</v>
      </c>
      <c r="N205" s="351"/>
      <c r="O205" s="80">
        <f t="shared" si="34"/>
        <v>25</v>
      </c>
      <c r="P205" s="76">
        <f t="shared" si="35"/>
        <v>37500</v>
      </c>
    </row>
    <row r="206" spans="2:21" x14ac:dyDescent="0.25">
      <c r="B206" s="83" t="s">
        <v>1373</v>
      </c>
      <c r="C206" s="145" t="s">
        <v>467</v>
      </c>
      <c r="D206" s="145" t="s">
        <v>251</v>
      </c>
      <c r="E206" s="84" t="s">
        <v>342</v>
      </c>
      <c r="G206" s="29">
        <v>15</v>
      </c>
      <c r="H206" s="77" t="str">
        <f>VLOOKUP(E206,'B. DATOS'!$B$34:$E$622,2,FALSE)</f>
        <v>UND</v>
      </c>
      <c r="J206" s="29" t="s">
        <v>670</v>
      </c>
      <c r="L206" s="78">
        <f>VLOOKUP(E206,'B. DATOS'!$B$34:$E$622,4,FALSE)</f>
        <v>2800</v>
      </c>
      <c r="M206" s="76">
        <f t="shared" si="33"/>
        <v>42000</v>
      </c>
      <c r="N206" s="351"/>
      <c r="O206" s="80">
        <f t="shared" si="34"/>
        <v>15</v>
      </c>
      <c r="P206" s="76">
        <f t="shared" si="35"/>
        <v>42000</v>
      </c>
    </row>
    <row r="207" spans="2:21" x14ac:dyDescent="0.25">
      <c r="B207" s="83" t="s">
        <v>1374</v>
      </c>
      <c r="C207" s="145" t="s">
        <v>467</v>
      </c>
      <c r="D207" s="145" t="s">
        <v>251</v>
      </c>
      <c r="E207" s="84" t="s">
        <v>307</v>
      </c>
      <c r="G207" s="29">
        <v>5</v>
      </c>
      <c r="H207" s="77" t="str">
        <f>VLOOKUP(E207,'B. DATOS'!$B$34:$E$622,2,FALSE)</f>
        <v>UND</v>
      </c>
      <c r="J207" s="29" t="s">
        <v>670</v>
      </c>
      <c r="L207" s="78">
        <f>VLOOKUP(E207,'B. DATOS'!$B$34:$E$622,4,FALSE)</f>
        <v>7800</v>
      </c>
      <c r="M207" s="76">
        <f t="shared" si="33"/>
        <v>39000</v>
      </c>
      <c r="N207" s="351"/>
      <c r="O207" s="80">
        <f t="shared" si="34"/>
        <v>5</v>
      </c>
      <c r="P207" s="76">
        <f t="shared" si="35"/>
        <v>39000</v>
      </c>
    </row>
    <row r="208" spans="2:21" x14ac:dyDescent="0.25">
      <c r="B208" s="83" t="s">
        <v>1381</v>
      </c>
      <c r="C208" s="145" t="s">
        <v>467</v>
      </c>
      <c r="D208" s="145" t="s">
        <v>251</v>
      </c>
      <c r="E208" s="84" t="s">
        <v>308</v>
      </c>
      <c r="G208" s="29">
        <v>25</v>
      </c>
      <c r="H208" s="77" t="str">
        <f>VLOOKUP(E208,'B. DATOS'!$B$34:$E$622,2,FALSE)</f>
        <v>UND</v>
      </c>
      <c r="J208" s="29" t="s">
        <v>670</v>
      </c>
      <c r="L208" s="78">
        <f>VLOOKUP(E208,'B. DATOS'!$B$34:$E$622,4,FALSE)</f>
        <v>450</v>
      </c>
      <c r="M208" s="76">
        <f t="shared" si="33"/>
        <v>11250</v>
      </c>
      <c r="N208" s="351"/>
      <c r="O208" s="80">
        <f t="shared" si="34"/>
        <v>25</v>
      </c>
      <c r="P208" s="76">
        <f t="shared" si="35"/>
        <v>11250</v>
      </c>
    </row>
    <row r="209" spans="2:16" x14ac:dyDescent="0.25">
      <c r="B209" s="83" t="s">
        <v>1382</v>
      </c>
      <c r="C209" s="145" t="s">
        <v>467</v>
      </c>
      <c r="D209" s="145" t="s">
        <v>251</v>
      </c>
      <c r="E209" s="84" t="s">
        <v>343</v>
      </c>
      <c r="G209" s="29">
        <v>15</v>
      </c>
      <c r="H209" s="77" t="str">
        <f>VLOOKUP(E209,'B. DATOS'!$B$34:$E$622,2,FALSE)</f>
        <v>UND</v>
      </c>
      <c r="J209" s="29" t="s">
        <v>670</v>
      </c>
      <c r="L209" s="78">
        <f>VLOOKUP(E209,'B. DATOS'!$B$34:$E$622,4,FALSE)</f>
        <v>1300</v>
      </c>
      <c r="M209" s="76">
        <f t="shared" si="33"/>
        <v>19500</v>
      </c>
      <c r="N209" s="351"/>
      <c r="O209" s="80">
        <f t="shared" si="34"/>
        <v>15</v>
      </c>
      <c r="P209" s="76">
        <f t="shared" si="35"/>
        <v>19500</v>
      </c>
    </row>
    <row r="210" spans="2:16" x14ac:dyDescent="0.25">
      <c r="B210" s="83" t="s">
        <v>1501</v>
      </c>
      <c r="C210" s="145" t="s">
        <v>467</v>
      </c>
      <c r="D210" s="145" t="s">
        <v>251</v>
      </c>
      <c r="E210" s="84" t="s">
        <v>309</v>
      </c>
      <c r="G210" s="29">
        <v>5</v>
      </c>
      <c r="H210" s="77" t="str">
        <f>VLOOKUP(E210,'B. DATOS'!$B$34:$E$622,2,FALSE)</f>
        <v>UND</v>
      </c>
      <c r="J210" s="29" t="s">
        <v>670</v>
      </c>
      <c r="L210" s="78">
        <f>VLOOKUP(E210,'B. DATOS'!$B$34:$E$622,4,FALSE)</f>
        <v>1400</v>
      </c>
      <c r="M210" s="76">
        <f t="shared" si="33"/>
        <v>7000</v>
      </c>
      <c r="N210" s="351"/>
      <c r="O210" s="80">
        <f t="shared" si="34"/>
        <v>5</v>
      </c>
      <c r="P210" s="76">
        <f t="shared" si="35"/>
        <v>7000</v>
      </c>
    </row>
    <row r="211" spans="2:16" x14ac:dyDescent="0.25">
      <c r="B211" s="83" t="s">
        <v>1502</v>
      </c>
      <c r="C211" s="145" t="s">
        <v>467</v>
      </c>
      <c r="D211" s="145" t="s">
        <v>251</v>
      </c>
      <c r="E211" s="84" t="s">
        <v>1412</v>
      </c>
      <c r="G211" s="29">
        <v>2</v>
      </c>
      <c r="H211" s="77" t="str">
        <f>VLOOKUP(E211,'B. DATOS'!$B$34:$E$622,2,FALSE)</f>
        <v>UND</v>
      </c>
      <c r="J211" s="29" t="s">
        <v>670</v>
      </c>
      <c r="L211" s="78">
        <f>VLOOKUP(E211,'B. DATOS'!$B$34:$E$622,4,FALSE)</f>
        <v>2000</v>
      </c>
      <c r="M211" s="76">
        <f t="shared" si="33"/>
        <v>4000</v>
      </c>
      <c r="N211" s="351"/>
      <c r="O211" s="80">
        <f t="shared" si="34"/>
        <v>2</v>
      </c>
      <c r="P211" s="76">
        <f t="shared" si="35"/>
        <v>4000</v>
      </c>
    </row>
    <row r="212" spans="2:16" x14ac:dyDescent="0.25">
      <c r="B212" s="83" t="s">
        <v>1503</v>
      </c>
      <c r="C212" s="145" t="s">
        <v>467</v>
      </c>
      <c r="D212" s="145" t="s">
        <v>251</v>
      </c>
      <c r="E212" s="84" t="s">
        <v>344</v>
      </c>
      <c r="G212" s="29">
        <v>1</v>
      </c>
      <c r="H212" s="77" t="str">
        <f>VLOOKUP(E212,'B. DATOS'!$B$34:$E$622,2,FALSE)</f>
        <v>UND</v>
      </c>
      <c r="J212" s="29" t="s">
        <v>670</v>
      </c>
      <c r="L212" s="78">
        <f>VLOOKUP(E212,'B. DATOS'!$B$34:$E$622,4,FALSE)</f>
        <v>2150</v>
      </c>
      <c r="M212" s="76">
        <f t="shared" si="33"/>
        <v>2150</v>
      </c>
      <c r="N212" s="351"/>
      <c r="O212" s="80">
        <f t="shared" si="34"/>
        <v>1</v>
      </c>
      <c r="P212" s="76">
        <f t="shared" si="35"/>
        <v>2150</v>
      </c>
    </row>
    <row r="213" spans="2:16" x14ac:dyDescent="0.25">
      <c r="B213" s="83" t="s">
        <v>1504</v>
      </c>
      <c r="C213" s="145" t="s">
        <v>467</v>
      </c>
      <c r="D213" s="145" t="s">
        <v>251</v>
      </c>
      <c r="E213" s="84" t="s">
        <v>312</v>
      </c>
      <c r="G213" s="29">
        <v>10</v>
      </c>
      <c r="H213" s="77" t="str">
        <f>VLOOKUP(E213,'B. DATOS'!$B$34:$E$622,2,FALSE)</f>
        <v>UND</v>
      </c>
      <c r="J213" s="29" t="s">
        <v>670</v>
      </c>
      <c r="L213" s="78">
        <f>VLOOKUP(E213,'B. DATOS'!$B$34:$E$622,4,FALSE)</f>
        <v>2850</v>
      </c>
      <c r="M213" s="76">
        <f t="shared" si="33"/>
        <v>28500</v>
      </c>
      <c r="N213" s="351"/>
      <c r="O213" s="80">
        <f t="shared" si="34"/>
        <v>10</v>
      </c>
      <c r="P213" s="76">
        <f t="shared" si="35"/>
        <v>28500</v>
      </c>
    </row>
    <row r="214" spans="2:16" x14ac:dyDescent="0.25">
      <c r="B214" s="83" t="s">
        <v>1505</v>
      </c>
      <c r="C214" s="145" t="s">
        <v>467</v>
      </c>
      <c r="D214" s="145" t="s">
        <v>251</v>
      </c>
      <c r="E214" s="84" t="s">
        <v>346</v>
      </c>
      <c r="G214" s="29">
        <v>6</v>
      </c>
      <c r="H214" s="77" t="str">
        <f>VLOOKUP(E214,'B. DATOS'!$B$34:$E$622,2,FALSE)</f>
        <v>UND</v>
      </c>
      <c r="J214" s="29" t="s">
        <v>670</v>
      </c>
      <c r="L214" s="78">
        <f>VLOOKUP(E214,'B. DATOS'!$B$34:$E$622,4,FALSE)</f>
        <v>4500</v>
      </c>
      <c r="M214" s="76">
        <f t="shared" si="33"/>
        <v>27000</v>
      </c>
      <c r="N214" s="351"/>
      <c r="O214" s="80">
        <f t="shared" si="34"/>
        <v>6</v>
      </c>
      <c r="P214" s="76">
        <f t="shared" si="35"/>
        <v>27000</v>
      </c>
    </row>
    <row r="215" spans="2:16" x14ac:dyDescent="0.25">
      <c r="B215" s="83" t="s">
        <v>1506</v>
      </c>
      <c r="C215" s="145" t="s">
        <v>467</v>
      </c>
      <c r="D215" s="145" t="s">
        <v>251</v>
      </c>
      <c r="E215" s="84" t="s">
        <v>1305</v>
      </c>
      <c r="G215" s="29">
        <v>2</v>
      </c>
      <c r="H215" s="77" t="str">
        <f>VLOOKUP(E215,'B. DATOS'!$B$34:$E$622,2,FALSE)</f>
        <v>UND</v>
      </c>
      <c r="J215" s="29" t="s">
        <v>670</v>
      </c>
      <c r="L215" s="78">
        <f>VLOOKUP(E215,'B. DATOS'!$B$34:$E$622,4,FALSE)</f>
        <v>4100</v>
      </c>
      <c r="M215" s="76">
        <f t="shared" si="33"/>
        <v>8200</v>
      </c>
      <c r="N215" s="351"/>
      <c r="O215" s="80">
        <f t="shared" si="34"/>
        <v>2</v>
      </c>
      <c r="P215" s="76">
        <f t="shared" si="35"/>
        <v>8200</v>
      </c>
    </row>
    <row r="216" spans="2:16" x14ac:dyDescent="0.25">
      <c r="B216" s="83" t="s">
        <v>1507</v>
      </c>
      <c r="C216" s="145" t="s">
        <v>467</v>
      </c>
      <c r="D216" s="145" t="s">
        <v>251</v>
      </c>
      <c r="E216" s="84" t="s">
        <v>1413</v>
      </c>
      <c r="G216" s="29">
        <v>2</v>
      </c>
      <c r="H216" s="77" t="str">
        <f>VLOOKUP(E216,'B. DATOS'!$B$34:$E$622,2,FALSE)</f>
        <v>UND</v>
      </c>
      <c r="J216" s="29" t="s">
        <v>670</v>
      </c>
      <c r="L216" s="78">
        <f>VLOOKUP(E216,'B. DATOS'!$B$34:$E$622,4,FALSE)</f>
        <v>11900</v>
      </c>
      <c r="M216" s="76">
        <f t="shared" si="33"/>
        <v>23800</v>
      </c>
      <c r="N216" s="351"/>
      <c r="O216" s="80">
        <f t="shared" si="34"/>
        <v>2</v>
      </c>
      <c r="P216" s="76">
        <f t="shared" si="35"/>
        <v>23800</v>
      </c>
    </row>
    <row r="217" spans="2:16" x14ac:dyDescent="0.25">
      <c r="B217" s="83" t="s">
        <v>1508</v>
      </c>
      <c r="C217" s="145" t="s">
        <v>467</v>
      </c>
      <c r="D217" s="145" t="s">
        <v>251</v>
      </c>
      <c r="E217" s="84" t="s">
        <v>315</v>
      </c>
      <c r="G217" s="29">
        <v>10</v>
      </c>
      <c r="H217" s="77" t="str">
        <f>VLOOKUP(E217,'B. DATOS'!$B$34:$E$622,2,FALSE)</f>
        <v>UND</v>
      </c>
      <c r="J217" s="29" t="s">
        <v>670</v>
      </c>
      <c r="L217" s="78">
        <f>VLOOKUP(E217,'B. DATOS'!$B$34:$E$622,4,FALSE)</f>
        <v>600</v>
      </c>
      <c r="M217" s="76">
        <f t="shared" si="33"/>
        <v>6000</v>
      </c>
      <c r="N217" s="351"/>
      <c r="O217" s="80">
        <f t="shared" si="34"/>
        <v>10</v>
      </c>
      <c r="P217" s="76">
        <f t="shared" si="35"/>
        <v>6000</v>
      </c>
    </row>
    <row r="218" spans="2:16" x14ac:dyDescent="0.25">
      <c r="B218" s="83" t="s">
        <v>1509</v>
      </c>
      <c r="C218" s="145" t="s">
        <v>467</v>
      </c>
      <c r="D218" s="145" t="s">
        <v>251</v>
      </c>
      <c r="E218" s="84" t="s">
        <v>318</v>
      </c>
      <c r="G218" s="80">
        <v>1.1165</v>
      </c>
      <c r="H218" s="77" t="str">
        <f>VLOOKUP(E218,'B. DATOS'!$B$34:$E$622,2,FALSE)</f>
        <v>UND</v>
      </c>
      <c r="J218" s="29" t="s">
        <v>670</v>
      </c>
      <c r="L218" s="78">
        <f>VLOOKUP(E218,'B. DATOS'!$B$34:$E$622,4,FALSE)</f>
        <v>1900</v>
      </c>
      <c r="M218" s="76">
        <f t="shared" si="33"/>
        <v>2121.35</v>
      </c>
      <c r="N218" s="351"/>
      <c r="O218" s="80">
        <f t="shared" si="34"/>
        <v>1.1165</v>
      </c>
      <c r="P218" s="76">
        <f t="shared" si="35"/>
        <v>2121.35</v>
      </c>
    </row>
    <row r="219" spans="2:16" x14ac:dyDescent="0.25">
      <c r="B219" s="83" t="s">
        <v>1510</v>
      </c>
      <c r="C219" s="145" t="s">
        <v>467</v>
      </c>
      <c r="D219" s="145" t="s">
        <v>251</v>
      </c>
      <c r="E219" s="84" t="s">
        <v>316</v>
      </c>
      <c r="G219" s="80">
        <v>3.1815000000000002</v>
      </c>
      <c r="H219" s="77" t="str">
        <f>VLOOKUP(E219,'B. DATOS'!$B$34:$E$622,2,FALSE)</f>
        <v>UND</v>
      </c>
      <c r="J219" s="29" t="s">
        <v>670</v>
      </c>
      <c r="L219" s="78">
        <f>VLOOKUP(E219,'B. DATOS'!$B$34:$E$622,4,FALSE)</f>
        <v>300</v>
      </c>
      <c r="M219" s="76">
        <f t="shared" si="33"/>
        <v>954.45</v>
      </c>
      <c r="N219" s="351"/>
      <c r="O219" s="80">
        <f t="shared" si="34"/>
        <v>3.1815000000000002</v>
      </c>
      <c r="P219" s="76">
        <f t="shared" si="35"/>
        <v>954.45</v>
      </c>
    </row>
    <row r="220" spans="2:16" x14ac:dyDescent="0.25">
      <c r="B220" s="83" t="s">
        <v>1537</v>
      </c>
      <c r="C220" s="145" t="s">
        <v>467</v>
      </c>
      <c r="D220" s="145" t="s">
        <v>251</v>
      </c>
      <c r="E220" s="84" t="s">
        <v>350</v>
      </c>
      <c r="G220" s="80">
        <v>5.5755000000000008</v>
      </c>
      <c r="H220" s="77" t="str">
        <f>VLOOKUP(E220,'B. DATOS'!$B$34:$E$622,2,FALSE)</f>
        <v>UND</v>
      </c>
      <c r="J220" s="29" t="s">
        <v>670</v>
      </c>
      <c r="L220" s="78">
        <f>VLOOKUP(E220,'B. DATOS'!$B$34:$E$622,4,FALSE)</f>
        <v>1000</v>
      </c>
      <c r="M220" s="76">
        <f t="shared" si="33"/>
        <v>5575.5000000000009</v>
      </c>
      <c r="N220" s="351"/>
      <c r="O220" s="80">
        <f t="shared" si="34"/>
        <v>5.5755000000000008</v>
      </c>
      <c r="P220" s="76">
        <f t="shared" si="35"/>
        <v>5575.5000000000009</v>
      </c>
    </row>
    <row r="221" spans="2:16" x14ac:dyDescent="0.25">
      <c r="B221" s="83" t="s">
        <v>1538</v>
      </c>
      <c r="C221" s="145" t="s">
        <v>467</v>
      </c>
      <c r="D221" s="145" t="s">
        <v>251</v>
      </c>
      <c r="E221" s="84" t="s">
        <v>317</v>
      </c>
      <c r="G221" s="80">
        <v>2.7159999999999997</v>
      </c>
      <c r="H221" s="77" t="str">
        <f>VLOOKUP(E221,'B. DATOS'!$B$34:$E$622,2,FALSE)</f>
        <v>UND</v>
      </c>
      <c r="J221" s="29" t="s">
        <v>670</v>
      </c>
      <c r="L221" s="78">
        <f>VLOOKUP(E221,'B. DATOS'!$B$34:$E$622,4,FALSE)</f>
        <v>1200</v>
      </c>
      <c r="M221" s="76">
        <f t="shared" si="33"/>
        <v>3259.2</v>
      </c>
      <c r="N221" s="351"/>
      <c r="O221" s="80">
        <f t="shared" si="34"/>
        <v>2.7159999999999997</v>
      </c>
      <c r="P221" s="76">
        <f t="shared" si="35"/>
        <v>3259.2</v>
      </c>
    </row>
    <row r="222" spans="2:16" x14ac:dyDescent="0.25">
      <c r="B222" s="83" t="s">
        <v>1539</v>
      </c>
      <c r="C222" s="145" t="s">
        <v>467</v>
      </c>
      <c r="D222" s="145" t="s">
        <v>251</v>
      </c>
      <c r="E222" s="84" t="s">
        <v>361</v>
      </c>
      <c r="G222" s="29">
        <v>1</v>
      </c>
      <c r="H222" s="77" t="str">
        <f>VLOOKUP(E222,'B. DATOS'!$B$34:$E$622,2,FALSE)</f>
        <v>UND</v>
      </c>
      <c r="J222" s="29" t="s">
        <v>670</v>
      </c>
      <c r="L222" s="78">
        <f>VLOOKUP(E222,'B. DATOS'!$B$34:$E$622,4,FALSE)</f>
        <v>150000</v>
      </c>
      <c r="M222" s="76">
        <f t="shared" si="33"/>
        <v>150000</v>
      </c>
      <c r="N222" s="351"/>
      <c r="O222" s="80">
        <f t="shared" si="34"/>
        <v>1</v>
      </c>
      <c r="P222" s="76">
        <f t="shared" si="35"/>
        <v>150000</v>
      </c>
    </row>
    <row r="223" spans="2:16" x14ac:dyDescent="0.25">
      <c r="B223" s="83" t="s">
        <v>1540</v>
      </c>
      <c r="C223" s="145" t="s">
        <v>467</v>
      </c>
      <c r="D223" s="145" t="s">
        <v>251</v>
      </c>
      <c r="E223" s="84" t="s">
        <v>490</v>
      </c>
      <c r="G223" s="29">
        <v>2</v>
      </c>
      <c r="H223" s="77" t="str">
        <f>VLOOKUP(E223,'B. DATOS'!$B$34:$E$622,2,FALSE)</f>
        <v>UND</v>
      </c>
      <c r="J223" s="29" t="s">
        <v>670</v>
      </c>
      <c r="L223" s="78">
        <f>VLOOKUP(E223,'B. DATOS'!$B$34:$E$622,4,FALSE)</f>
        <v>9000</v>
      </c>
      <c r="M223" s="76">
        <f t="shared" si="33"/>
        <v>18000</v>
      </c>
      <c r="N223" s="351"/>
      <c r="O223" s="80">
        <f t="shared" si="34"/>
        <v>2</v>
      </c>
      <c r="P223" s="76">
        <f t="shared" si="35"/>
        <v>18000</v>
      </c>
    </row>
    <row r="224" spans="2:16" x14ac:dyDescent="0.25">
      <c r="B224" s="83" t="s">
        <v>1541</v>
      </c>
      <c r="C224" s="145" t="s">
        <v>467</v>
      </c>
      <c r="D224" s="145" t="s">
        <v>251</v>
      </c>
      <c r="E224" s="84" t="s">
        <v>491</v>
      </c>
      <c r="G224" s="29">
        <v>2</v>
      </c>
      <c r="H224" s="77" t="str">
        <f>VLOOKUP(E224,'B. DATOS'!$B$34:$E$622,2,FALSE)</f>
        <v>UND</v>
      </c>
      <c r="J224" s="29" t="s">
        <v>670</v>
      </c>
      <c r="L224" s="78">
        <f>VLOOKUP(E224,'B. DATOS'!$B$34:$E$622,4,FALSE)</f>
        <v>9000</v>
      </c>
      <c r="M224" s="76">
        <f t="shared" si="33"/>
        <v>18000</v>
      </c>
      <c r="N224" s="351"/>
      <c r="O224" s="80">
        <f t="shared" si="34"/>
        <v>2</v>
      </c>
      <c r="P224" s="76">
        <f t="shared" si="35"/>
        <v>18000</v>
      </c>
    </row>
    <row r="225" spans="2:21" x14ac:dyDescent="0.25">
      <c r="B225" s="83" t="s">
        <v>1638</v>
      </c>
      <c r="C225" s="145" t="s">
        <v>467</v>
      </c>
      <c r="D225" s="145" t="s">
        <v>251</v>
      </c>
      <c r="E225" s="84" t="s">
        <v>492</v>
      </c>
      <c r="G225" s="29">
        <v>2</v>
      </c>
      <c r="H225" s="77" t="str">
        <f>VLOOKUP(E225,'B. DATOS'!$B$34:$E$622,2,FALSE)</f>
        <v>UND</v>
      </c>
      <c r="J225" s="29" t="s">
        <v>670</v>
      </c>
      <c r="L225" s="78">
        <f>VLOOKUP(E225,'B. DATOS'!$B$34:$E$622,4,FALSE)</f>
        <v>12000</v>
      </c>
      <c r="M225" s="76">
        <f t="shared" si="33"/>
        <v>24000</v>
      </c>
      <c r="N225" s="351"/>
      <c r="O225" s="80">
        <f t="shared" si="34"/>
        <v>2</v>
      </c>
      <c r="P225" s="76">
        <f t="shared" si="35"/>
        <v>24000</v>
      </c>
    </row>
    <row r="226" spans="2:21" x14ac:dyDescent="0.25">
      <c r="B226" s="83" t="s">
        <v>1639</v>
      </c>
      <c r="C226" s="145" t="s">
        <v>467</v>
      </c>
      <c r="D226" s="145" t="s">
        <v>251</v>
      </c>
      <c r="E226" s="84" t="s">
        <v>138</v>
      </c>
      <c r="G226" s="29">
        <v>2</v>
      </c>
      <c r="H226" s="77" t="str">
        <f>VLOOKUP(E226,'B. DATOS'!$B$34:$E$622,2,FALSE)</f>
        <v>UND</v>
      </c>
      <c r="J226" s="29" t="s">
        <v>670</v>
      </c>
      <c r="L226" s="78">
        <f>VLOOKUP(E226,'B. DATOS'!$B$34:$E$622,4,FALSE)</f>
        <v>38000</v>
      </c>
      <c r="M226" s="76">
        <f t="shared" si="33"/>
        <v>76000</v>
      </c>
      <c r="N226" s="351"/>
      <c r="O226" s="80">
        <f t="shared" si="34"/>
        <v>2</v>
      </c>
      <c r="P226" s="76">
        <f t="shared" si="35"/>
        <v>76000</v>
      </c>
    </row>
    <row r="227" spans="2:21" x14ac:dyDescent="0.25">
      <c r="B227" s="83" t="s">
        <v>1640</v>
      </c>
      <c r="C227" s="145" t="s">
        <v>467</v>
      </c>
      <c r="D227" s="145" t="s">
        <v>251</v>
      </c>
      <c r="E227" s="84" t="s">
        <v>156</v>
      </c>
      <c r="G227" s="29">
        <v>2</v>
      </c>
      <c r="H227" s="77" t="str">
        <f>VLOOKUP(E227,'B. DATOS'!$B$34:$E$622,2,FALSE)</f>
        <v>UND</v>
      </c>
      <c r="J227" s="29" t="s">
        <v>670</v>
      </c>
      <c r="L227" s="78">
        <f>VLOOKUP(E227,'B. DATOS'!$B$34:$E$622,4,FALSE)</f>
        <v>51000</v>
      </c>
      <c r="M227" s="76">
        <f t="shared" si="33"/>
        <v>102000</v>
      </c>
      <c r="N227" s="351"/>
      <c r="O227" s="80">
        <f t="shared" si="34"/>
        <v>2</v>
      </c>
      <c r="P227" s="76">
        <f t="shared" si="35"/>
        <v>102000</v>
      </c>
    </row>
    <row r="228" spans="2:21" x14ac:dyDescent="0.25">
      <c r="B228" s="83" t="s">
        <v>1641</v>
      </c>
      <c r="C228" s="145" t="s">
        <v>467</v>
      </c>
      <c r="D228" s="145" t="s">
        <v>251</v>
      </c>
      <c r="E228" s="84" t="s">
        <v>264</v>
      </c>
      <c r="G228" s="29">
        <v>7.5000000000000011E-2</v>
      </c>
      <c r="H228" s="77" t="str">
        <f>VLOOKUP(E228,'B. DATOS'!$B$34:$E$622,2,FALSE)</f>
        <v>M3</v>
      </c>
      <c r="J228" s="29" t="s">
        <v>634</v>
      </c>
      <c r="L228" s="78">
        <f>VLOOKUP(E228,'B. DATOS'!$B$34:$E$622,4,FALSE)</f>
        <v>95000</v>
      </c>
      <c r="M228" s="76">
        <f t="shared" si="33"/>
        <v>7125.0000000000009</v>
      </c>
      <c r="N228" s="351"/>
      <c r="O228" s="80">
        <f t="shared" si="34"/>
        <v>7.5000000000000011E-2</v>
      </c>
      <c r="P228" s="76">
        <f t="shared" si="35"/>
        <v>7125.0000000000009</v>
      </c>
    </row>
    <row r="229" spans="2:21" x14ac:dyDescent="0.25">
      <c r="B229" s="83" t="s">
        <v>1642</v>
      </c>
      <c r="C229" s="145" t="s">
        <v>467</v>
      </c>
      <c r="D229" s="145" t="s">
        <v>251</v>
      </c>
      <c r="E229" s="84" t="s">
        <v>362</v>
      </c>
      <c r="G229" s="29">
        <v>2</v>
      </c>
      <c r="H229" s="77" t="str">
        <f>VLOOKUP(E229,'B. DATOS'!$B$34:$E$622,2,FALSE)</f>
        <v>UND</v>
      </c>
      <c r="J229" s="29" t="s">
        <v>670</v>
      </c>
      <c r="L229" s="78">
        <f>VLOOKUP(E229,'B. DATOS'!$B$34:$E$622,4,FALSE)</f>
        <v>3530000</v>
      </c>
      <c r="M229" s="76">
        <f t="shared" si="33"/>
        <v>7060000</v>
      </c>
      <c r="N229" s="351"/>
      <c r="O229" s="80">
        <f>+G229*$N$218</f>
        <v>0</v>
      </c>
      <c r="P229" s="76">
        <f t="shared" si="35"/>
        <v>7060000</v>
      </c>
    </row>
    <row r="230" spans="2:21" x14ac:dyDescent="0.25">
      <c r="B230" s="83" t="s">
        <v>1643</v>
      </c>
      <c r="C230" s="145" t="s">
        <v>467</v>
      </c>
      <c r="D230" s="145" t="s">
        <v>251</v>
      </c>
      <c r="E230" s="84" t="s">
        <v>326</v>
      </c>
      <c r="G230" s="29">
        <v>1</v>
      </c>
      <c r="H230" s="77" t="str">
        <f>VLOOKUP(E230,'B. DATOS'!$B$34:$E$622,2,FALSE)</f>
        <v>UND</v>
      </c>
      <c r="J230" s="29" t="s">
        <v>670</v>
      </c>
      <c r="L230" s="78">
        <f>VLOOKUP(E230,'B. DATOS'!$B$34:$E$622,4,FALSE)</f>
        <v>2500000</v>
      </c>
      <c r="M230" s="76">
        <f t="shared" si="33"/>
        <v>2500000</v>
      </c>
      <c r="N230" s="351"/>
      <c r="O230" s="80">
        <f>+G230*$N$218</f>
        <v>0</v>
      </c>
      <c r="P230" s="76">
        <f t="shared" si="35"/>
        <v>2500000</v>
      </c>
    </row>
    <row r="231" spans="2:21" x14ac:dyDescent="0.25">
      <c r="B231" s="83" t="s">
        <v>1642</v>
      </c>
      <c r="C231" s="145" t="s">
        <v>467</v>
      </c>
      <c r="D231" s="145" t="s">
        <v>778</v>
      </c>
      <c r="E231" s="84" t="s">
        <v>327</v>
      </c>
      <c r="G231" s="29">
        <v>15</v>
      </c>
      <c r="H231" s="77" t="str">
        <f>VLOOKUP(E231,'B. DATOS'!$B$34:$E$622,2,FALSE)</f>
        <v>ML</v>
      </c>
      <c r="J231" s="29" t="s">
        <v>739</v>
      </c>
      <c r="L231" s="78">
        <f>VLOOKUP(E231,'B. DATOS'!$B$34:$E$622,4,FALSE)</f>
        <v>10000</v>
      </c>
      <c r="M231" s="76">
        <f t="shared" si="33"/>
        <v>150000</v>
      </c>
      <c r="N231" s="351"/>
      <c r="O231" s="80">
        <f t="shared" si="34"/>
        <v>15</v>
      </c>
      <c r="Q231" s="76">
        <f>+M231*$N$199</f>
        <v>150000</v>
      </c>
    </row>
    <row r="232" spans="2:21" x14ac:dyDescent="0.25">
      <c r="B232" s="83" t="s">
        <v>1643</v>
      </c>
      <c r="C232" s="145" t="s">
        <v>467</v>
      </c>
      <c r="D232" s="145" t="s">
        <v>778</v>
      </c>
      <c r="E232" s="84" t="s">
        <v>328</v>
      </c>
      <c r="G232" s="29">
        <v>7.5000000000000011E-2</v>
      </c>
      <c r="H232" s="77" t="str">
        <f>VLOOKUP(E232,'B. DATOS'!$B$34:$E$622,2,FALSE)</f>
        <v>M3</v>
      </c>
      <c r="J232" s="29" t="s">
        <v>259</v>
      </c>
      <c r="L232" s="78">
        <f>VLOOKUP(E232,'B. DATOS'!$B$34:$E$622,4,FALSE)</f>
        <v>34000</v>
      </c>
      <c r="M232" s="76">
        <f t="shared" si="33"/>
        <v>2550.0000000000005</v>
      </c>
      <c r="N232" s="351"/>
      <c r="O232" s="80">
        <f t="shared" si="34"/>
        <v>7.5000000000000011E-2</v>
      </c>
      <c r="Q232" s="76">
        <f>+M232*$N$199</f>
        <v>2550.0000000000005</v>
      </c>
    </row>
    <row r="233" spans="2:21" x14ac:dyDescent="0.25">
      <c r="B233" s="83" t="s">
        <v>1644</v>
      </c>
      <c r="C233" s="145" t="s">
        <v>467</v>
      </c>
      <c r="D233" s="145" t="s">
        <v>778</v>
      </c>
      <c r="E233" s="84" t="s">
        <v>731</v>
      </c>
      <c r="G233" s="29">
        <v>15</v>
      </c>
      <c r="H233" s="77" t="str">
        <f>VLOOKUP(E233,'B. DATOS'!$B$34:$E$622,2,FALSE)</f>
        <v>ML</v>
      </c>
      <c r="J233" s="29" t="s">
        <v>739</v>
      </c>
      <c r="L233" s="78">
        <f>VLOOKUP(E233,'B. DATOS'!$B$34:$E$622,4,FALSE)</f>
        <v>15000</v>
      </c>
      <c r="M233" s="76">
        <f t="shared" si="33"/>
        <v>225000</v>
      </c>
      <c r="N233" s="351"/>
      <c r="O233" s="80">
        <f t="shared" si="34"/>
        <v>15</v>
      </c>
      <c r="Q233" s="76">
        <f>+M233*$N$199</f>
        <v>225000</v>
      </c>
    </row>
    <row r="234" spans="2:21" x14ac:dyDescent="0.25">
      <c r="B234" s="83" t="s">
        <v>1645</v>
      </c>
      <c r="C234" s="145" t="s">
        <v>467</v>
      </c>
      <c r="D234" s="145" t="s">
        <v>778</v>
      </c>
      <c r="E234" s="84" t="s">
        <v>329</v>
      </c>
      <c r="G234" s="29">
        <v>13</v>
      </c>
      <c r="H234" s="77" t="str">
        <f>VLOOKUP(E234,'B. DATOS'!$B$34:$E$622,2,FALSE)</f>
        <v>PTO</v>
      </c>
      <c r="J234" s="29" t="s">
        <v>739</v>
      </c>
      <c r="L234" s="78">
        <f>VLOOKUP(E234,'B. DATOS'!$B$34:$E$622,4,FALSE)</f>
        <v>55000</v>
      </c>
      <c r="M234" s="76">
        <f t="shared" si="33"/>
        <v>715000</v>
      </c>
      <c r="N234" s="351"/>
      <c r="O234" s="80">
        <f t="shared" si="34"/>
        <v>13</v>
      </c>
      <c r="Q234" s="76">
        <f>+M234*$N$199</f>
        <v>715000</v>
      </c>
    </row>
    <row r="235" spans="2:21" s="39" customFormat="1" x14ac:dyDescent="0.25">
      <c r="B235" s="110">
        <v>5.2</v>
      </c>
      <c r="C235" s="144" t="s">
        <v>467</v>
      </c>
      <c r="D235" s="369" t="s">
        <v>1608</v>
      </c>
      <c r="E235" s="370"/>
      <c r="F235" s="121"/>
      <c r="G235" s="121"/>
      <c r="H235" s="121"/>
      <c r="I235" s="121"/>
      <c r="J235" s="121"/>
      <c r="K235" s="121"/>
      <c r="L235" s="122"/>
      <c r="M235" s="122"/>
      <c r="N235" s="121"/>
      <c r="O235" s="121"/>
      <c r="P235" s="122">
        <f>+SUM(P236:P241)</f>
        <v>1667338.2000000002</v>
      </c>
      <c r="Q235" s="122">
        <f>+SUM(Q236:Q241)</f>
        <v>1690920</v>
      </c>
      <c r="R235" s="129">
        <f>Q235+P235</f>
        <v>3358258.2</v>
      </c>
      <c r="S235" s="124">
        <f>+R235/G240</f>
        <v>169609</v>
      </c>
      <c r="T235" s="181" cm="1">
        <f t="array" ref="T235:U235">+R235/'[2]1. GENERAL'!$E$31:$F$31</f>
        <v>1.2528269050748591E-2</v>
      </c>
      <c r="U235" s="39" t="e">
        <v>#DIV/0!</v>
      </c>
    </row>
    <row r="236" spans="2:21" x14ac:dyDescent="0.25">
      <c r="B236" s="83" t="s">
        <v>1511</v>
      </c>
      <c r="C236" s="145" t="s">
        <v>467</v>
      </c>
      <c r="D236" s="145" t="s">
        <v>251</v>
      </c>
      <c r="E236" s="84" t="s">
        <v>1351</v>
      </c>
      <c r="F236" s="29">
        <f>8.8+11</f>
        <v>19.8</v>
      </c>
      <c r="G236" s="90">
        <f>0.025*F236</f>
        <v>0.49500000000000005</v>
      </c>
      <c r="H236" s="77" t="str">
        <f>VLOOKUP(E236,'B. DATOS'!$B$34:$E$622,2,FALSE)</f>
        <v>M3</v>
      </c>
      <c r="J236" s="29" t="s">
        <v>717</v>
      </c>
      <c r="L236" s="78">
        <f>VLOOKUP(E236,'B. DATOS'!$B$34:$E$622,4,FALSE)</f>
        <v>421000</v>
      </c>
      <c r="M236" s="76">
        <f t="shared" ref="M236:M241" si="36">+L236*G236</f>
        <v>208395.00000000003</v>
      </c>
      <c r="N236" s="351">
        <v>1</v>
      </c>
      <c r="O236" s="80">
        <f t="shared" ref="O236:O241" si="37">+G236*$N$236</f>
        <v>0.49500000000000005</v>
      </c>
      <c r="P236" s="76">
        <f>+M236*$N$236</f>
        <v>208395.00000000003</v>
      </c>
    </row>
    <row r="237" spans="2:21" x14ac:dyDescent="0.25">
      <c r="B237" s="83" t="s">
        <v>1512</v>
      </c>
      <c r="C237" s="145" t="s">
        <v>467</v>
      </c>
      <c r="D237" s="145" t="s">
        <v>251</v>
      </c>
      <c r="E237" s="84" t="s">
        <v>636</v>
      </c>
      <c r="G237" s="90">
        <f>+(((F236*7)+(0.6*(F236/0.15)))*0.56)*1.1</f>
        <v>134.16480000000004</v>
      </c>
      <c r="H237" s="77" t="str">
        <f>VLOOKUP(E237,'B. DATOS'!$B$34:$E$622,2,FALSE)</f>
        <v>KG</v>
      </c>
      <c r="J237" s="29" t="s">
        <v>274</v>
      </c>
      <c r="L237" s="78">
        <f>VLOOKUP(E237,'B. DATOS'!$B$34:$E$622,4,FALSE)</f>
        <v>4000</v>
      </c>
      <c r="M237" s="76">
        <f t="shared" si="36"/>
        <v>536659.20000000019</v>
      </c>
      <c r="N237" s="351"/>
      <c r="O237" s="80">
        <f t="shared" si="37"/>
        <v>134.16480000000004</v>
      </c>
      <c r="P237" s="76">
        <f>+M237*$N$236</f>
        <v>536659.20000000019</v>
      </c>
    </row>
    <row r="238" spans="2:21" x14ac:dyDescent="0.25">
      <c r="B238" s="83" t="s">
        <v>1513</v>
      </c>
      <c r="C238" s="145" t="s">
        <v>467</v>
      </c>
      <c r="D238" s="145" t="s">
        <v>251</v>
      </c>
      <c r="E238" s="84" t="s">
        <v>290</v>
      </c>
      <c r="G238" s="89">
        <f>+(0.4*F236)*0.05</f>
        <v>0.39600000000000007</v>
      </c>
      <c r="H238" s="77" t="str">
        <f>VLOOKUP(E238,'B. DATOS'!$B$34:$E$622,2,FALSE)</f>
        <v>M3</v>
      </c>
      <c r="J238" s="29" t="s">
        <v>717</v>
      </c>
      <c r="L238" s="78">
        <f>VLOOKUP(E238,'B. DATOS'!$B$34:$E$622,4,FALSE)</f>
        <v>429000</v>
      </c>
      <c r="M238" s="76">
        <f t="shared" si="36"/>
        <v>169884.00000000003</v>
      </c>
      <c r="N238" s="351"/>
      <c r="O238" s="80">
        <f t="shared" si="37"/>
        <v>0.39600000000000007</v>
      </c>
      <c r="P238" s="76">
        <f>+M238*$N$236</f>
        <v>169884.00000000003</v>
      </c>
    </row>
    <row r="239" spans="2:21" x14ac:dyDescent="0.25">
      <c r="B239" s="83" t="s">
        <v>1514</v>
      </c>
      <c r="C239" s="145" t="s">
        <v>467</v>
      </c>
      <c r="D239" s="145" t="s">
        <v>251</v>
      </c>
      <c r="E239" s="84" t="s">
        <v>264</v>
      </c>
      <c r="G239" s="90">
        <f>+G241</f>
        <v>7.9200000000000008</v>
      </c>
      <c r="H239" s="77" t="str">
        <f>VLOOKUP(E239,'B. DATOS'!$B$34:$E$622,2,FALSE)</f>
        <v>M3</v>
      </c>
      <c r="J239" s="29" t="s">
        <v>634</v>
      </c>
      <c r="L239" s="78">
        <f>VLOOKUP(E239,'B. DATOS'!$B$34:$E$622,4,FALSE)</f>
        <v>95000</v>
      </c>
      <c r="M239" s="76">
        <f t="shared" si="36"/>
        <v>752400.00000000012</v>
      </c>
      <c r="N239" s="351"/>
      <c r="O239" s="80">
        <f t="shared" si="37"/>
        <v>7.9200000000000008</v>
      </c>
      <c r="P239" s="76">
        <f>+M239*$N$236</f>
        <v>752400.00000000012</v>
      </c>
    </row>
    <row r="240" spans="2:21" x14ac:dyDescent="0.25">
      <c r="B240" s="83" t="s">
        <v>1515</v>
      </c>
      <c r="C240" s="145" t="s">
        <v>467</v>
      </c>
      <c r="D240" s="145" t="s">
        <v>778</v>
      </c>
      <c r="E240" s="84" t="s">
        <v>1475</v>
      </c>
      <c r="G240" s="90">
        <f>+F236</f>
        <v>19.8</v>
      </c>
      <c r="H240" s="77" t="str">
        <f>VLOOKUP(E240,'B. DATOS'!$B$34:$E$622,2,FALSE)</f>
        <v>ML</v>
      </c>
      <c r="J240" s="29" t="s">
        <v>259</v>
      </c>
      <c r="L240" s="78">
        <f>VLOOKUP(E240,'B. DATOS'!$B$34:$E$622,4,FALSE)</f>
        <v>75000</v>
      </c>
      <c r="M240" s="76">
        <f t="shared" si="36"/>
        <v>1485000</v>
      </c>
      <c r="N240" s="351"/>
      <c r="O240" s="80">
        <f t="shared" si="37"/>
        <v>19.8</v>
      </c>
      <c r="Q240" s="76">
        <f>+M240*$N$236</f>
        <v>1485000</v>
      </c>
    </row>
    <row r="241" spans="2:21" x14ac:dyDescent="0.25">
      <c r="B241" s="83" t="s">
        <v>1516</v>
      </c>
      <c r="C241" s="145" t="s">
        <v>467</v>
      </c>
      <c r="D241" s="145" t="s">
        <v>778</v>
      </c>
      <c r="E241" s="84" t="s">
        <v>267</v>
      </c>
      <c r="G241" s="90">
        <f>+G240*0.4</f>
        <v>7.9200000000000008</v>
      </c>
      <c r="H241" s="77" t="str">
        <f>VLOOKUP(E241,'B. DATOS'!$B$34:$E$622,2,FALSE)</f>
        <v>M3</v>
      </c>
      <c r="J241" s="29" t="s">
        <v>259</v>
      </c>
      <c r="L241" s="78">
        <f>VLOOKUP(E241,'B. DATOS'!$B$34:$E$622,4,FALSE)</f>
        <v>26000</v>
      </c>
      <c r="M241" s="76">
        <f t="shared" si="36"/>
        <v>205920.00000000003</v>
      </c>
      <c r="N241" s="351"/>
      <c r="O241" s="80">
        <f t="shared" si="37"/>
        <v>7.9200000000000008</v>
      </c>
      <c r="Q241" s="76">
        <f>+M241*$N$236</f>
        <v>205920.00000000003</v>
      </c>
    </row>
    <row r="242" spans="2:21" s="39" customFormat="1" x14ac:dyDescent="0.25">
      <c r="B242" s="110">
        <v>5.3</v>
      </c>
      <c r="C242" s="144" t="s">
        <v>467</v>
      </c>
      <c r="D242" s="369" t="s">
        <v>1518</v>
      </c>
      <c r="E242" s="370"/>
      <c r="F242" s="121"/>
      <c r="G242" s="121"/>
      <c r="H242" s="121"/>
      <c r="I242" s="121"/>
      <c r="J242" s="121"/>
      <c r="K242" s="121"/>
      <c r="L242" s="122"/>
      <c r="M242" s="122"/>
      <c r="N242" s="121"/>
      <c r="O242" s="121"/>
      <c r="P242" s="122">
        <f>+SUM(P243:P247)</f>
        <v>3245340</v>
      </c>
      <c r="Q242" s="122">
        <f>+SUM(Q243:Q247)</f>
        <v>831600</v>
      </c>
      <c r="R242" s="129">
        <f>Q242+P242</f>
        <v>4076940</v>
      </c>
      <c r="S242" s="124">
        <f>+R242/G247</f>
        <v>73537.878787878784</v>
      </c>
      <c r="T242" s="181" cm="1">
        <f t="array" ref="T242:U242">+R242/'[4]1. GENERAL'!$E$31:$F$31</f>
        <v>6.0991059393809997E-3</v>
      </c>
      <c r="U242" s="39" t="e">
        <v>#DIV/0!</v>
      </c>
    </row>
    <row r="243" spans="2:21" x14ac:dyDescent="0.25">
      <c r="B243" s="83" t="s">
        <v>1646</v>
      </c>
      <c r="C243" s="145" t="s">
        <v>467</v>
      </c>
      <c r="D243" s="145" t="s">
        <v>251</v>
      </c>
      <c r="E243" s="84" t="s">
        <v>414</v>
      </c>
      <c r="G243" s="90">
        <f>+G247*1.1</f>
        <v>60.984000000000002</v>
      </c>
      <c r="H243" s="77" t="str">
        <f>VLOOKUP(E243,'B. DATOS'!$B$34:$E$622,2,FALSE)</f>
        <v>ML</v>
      </c>
      <c r="J243" s="29" t="s">
        <v>722</v>
      </c>
      <c r="L243" s="78">
        <f>VLOOKUP(E243,'B. DATOS'!$B$34:$E$622,4,FALSE)</f>
        <v>25000</v>
      </c>
      <c r="M243" s="76">
        <f>+L243*G243</f>
        <v>1524600</v>
      </c>
      <c r="N243" s="351">
        <v>1</v>
      </c>
      <c r="O243" s="80">
        <f>+G243*$N$243</f>
        <v>60.984000000000002</v>
      </c>
      <c r="P243" s="76">
        <f>+M243*$N$243</f>
        <v>1524600</v>
      </c>
    </row>
    <row r="244" spans="2:21" x14ac:dyDescent="0.25">
      <c r="B244" s="83" t="s">
        <v>1647</v>
      </c>
      <c r="C244" s="145" t="s">
        <v>467</v>
      </c>
      <c r="D244" s="145" t="s">
        <v>251</v>
      </c>
      <c r="E244" s="84" t="s">
        <v>415</v>
      </c>
      <c r="G244" s="90">
        <f>+G243/3</f>
        <v>20.327999999999999</v>
      </c>
      <c r="H244" s="77" t="str">
        <f>VLOOKUP(E244,'B. DATOS'!$B$34:$E$622,2,FALSE)</f>
        <v>UND</v>
      </c>
      <c r="J244" s="29" t="s">
        <v>722</v>
      </c>
      <c r="L244" s="78">
        <f>VLOOKUP(E244,'B. DATOS'!$B$34:$E$622,4,FALSE)</f>
        <v>20000</v>
      </c>
      <c r="M244" s="76">
        <f>+L244*G244</f>
        <v>406560</v>
      </c>
      <c r="N244" s="351"/>
      <c r="O244" s="80">
        <f>+G244*$N$243</f>
        <v>20.327999999999999</v>
      </c>
      <c r="P244" s="76">
        <f>+M244*$N$243</f>
        <v>406560</v>
      </c>
    </row>
    <row r="245" spans="2:21" x14ac:dyDescent="0.25">
      <c r="B245" s="83" t="s">
        <v>1648</v>
      </c>
      <c r="C245" s="145" t="s">
        <v>467</v>
      </c>
      <c r="D245" s="145" t="s">
        <v>251</v>
      </c>
      <c r="E245" s="84" t="s">
        <v>416</v>
      </c>
      <c r="G245" s="89">
        <f>+G243/0.5</f>
        <v>121.968</v>
      </c>
      <c r="H245" s="77" t="str">
        <f>VLOOKUP(E245,'B. DATOS'!$B$34:$E$622,2,FALSE)</f>
        <v>UND</v>
      </c>
      <c r="J245" s="29" t="s">
        <v>722</v>
      </c>
      <c r="L245" s="78">
        <f>VLOOKUP(E245,'B. DATOS'!$B$34:$E$622,4,FALSE)</f>
        <v>10000</v>
      </c>
      <c r="M245" s="76">
        <f>+L245*G245</f>
        <v>1219680</v>
      </c>
      <c r="N245" s="351"/>
      <c r="O245" s="80">
        <f>+G245*$N$243</f>
        <v>121.968</v>
      </c>
      <c r="P245" s="76">
        <f>+M245*$N$243</f>
        <v>1219680</v>
      </c>
    </row>
    <row r="246" spans="2:21" x14ac:dyDescent="0.25">
      <c r="B246" s="83" t="s">
        <v>1649</v>
      </c>
      <c r="C246" s="145" t="s">
        <v>467</v>
      </c>
      <c r="D246" s="145" t="s">
        <v>251</v>
      </c>
      <c r="E246" s="84" t="s">
        <v>417</v>
      </c>
      <c r="G246" s="90">
        <f>3*3.5</f>
        <v>10.5</v>
      </c>
      <c r="H246" s="77" t="str">
        <f>VLOOKUP(E246,'B. DATOS'!$B$34:$E$622,2,FALSE)</f>
        <v>ML</v>
      </c>
      <c r="J246" s="29" t="s">
        <v>722</v>
      </c>
      <c r="L246" s="78">
        <f>VLOOKUP(E246,'B. DATOS'!$B$34:$E$622,4,FALSE)</f>
        <v>9000</v>
      </c>
      <c r="M246" s="76">
        <f>+L246*G246</f>
        <v>94500</v>
      </c>
      <c r="N246" s="351"/>
      <c r="O246" s="80">
        <f>+G246*$N$243</f>
        <v>10.5</v>
      </c>
      <c r="P246" s="76">
        <f>+M246*$N$243</f>
        <v>94500</v>
      </c>
    </row>
    <row r="247" spans="2:21" x14ac:dyDescent="0.25">
      <c r="B247" s="83" t="s">
        <v>1650</v>
      </c>
      <c r="C247" s="145" t="s">
        <v>467</v>
      </c>
      <c r="D247" s="145" t="s">
        <v>778</v>
      </c>
      <c r="E247" s="84" t="s">
        <v>781</v>
      </c>
      <c r="G247" s="90">
        <f>+'2. CANTIDADES'!AFF2</f>
        <v>55.44</v>
      </c>
      <c r="H247" s="77" t="str">
        <f>VLOOKUP(E247,'B. DATOS'!$B$34:$E$622,2,FALSE)</f>
        <v>ML</v>
      </c>
      <c r="J247" s="29" t="s">
        <v>740</v>
      </c>
      <c r="L247" s="78">
        <f>VLOOKUP(E247,'B. DATOS'!$B$34:$E$622,4,FALSE)</f>
        <v>15000</v>
      </c>
      <c r="M247" s="76">
        <f>+L247*G247</f>
        <v>831600</v>
      </c>
      <c r="N247" s="351"/>
      <c r="O247" s="80">
        <f>+G247*$N$243</f>
        <v>55.44</v>
      </c>
      <c r="Q247" s="76">
        <f>+M247*$N$243</f>
        <v>831600</v>
      </c>
    </row>
    <row r="248" spans="2:21" s="39" customFormat="1" x14ac:dyDescent="0.25">
      <c r="B248" s="109">
        <v>6</v>
      </c>
      <c r="C248" s="143"/>
      <c r="D248" s="375" t="s">
        <v>377</v>
      </c>
      <c r="E248" s="376"/>
      <c r="F248" s="125"/>
      <c r="G248" s="125"/>
      <c r="H248" s="125"/>
      <c r="I248" s="125"/>
      <c r="J248" s="125"/>
      <c r="K248" s="125"/>
      <c r="L248" s="126"/>
      <c r="M248" s="126"/>
      <c r="N248" s="125"/>
      <c r="O248" s="125"/>
      <c r="P248" s="126">
        <f>+P249+P271+P281</f>
        <v>9382250.209999999</v>
      </c>
      <c r="Q248" s="126">
        <f>+Q249+Q271+Q281</f>
        <v>2697277.5</v>
      </c>
      <c r="R248" s="127">
        <f>+Q248+P248</f>
        <v>12079527.709999999</v>
      </c>
      <c r="S248" s="128"/>
      <c r="T248" s="182">
        <f>+T249+T271</f>
        <v>1.7486876295084015E-2</v>
      </c>
    </row>
    <row r="249" spans="2:21" s="39" customFormat="1" x14ac:dyDescent="0.25">
      <c r="B249" s="110">
        <v>6.1</v>
      </c>
      <c r="C249" s="144" t="s">
        <v>467</v>
      </c>
      <c r="D249" s="369" t="s">
        <v>378</v>
      </c>
      <c r="E249" s="370"/>
      <c r="F249" s="121"/>
      <c r="G249" s="121"/>
      <c r="H249" s="121"/>
      <c r="I249" s="121"/>
      <c r="J249" s="121"/>
      <c r="K249" s="121"/>
      <c r="L249" s="122"/>
      <c r="M249" s="122"/>
      <c r="N249" s="121"/>
      <c r="O249" s="121"/>
      <c r="P249" s="122">
        <f>+SUM(P250:P270)</f>
        <v>3534500.65</v>
      </c>
      <c r="Q249" s="122">
        <f>+SUM(Q250:Q270)</f>
        <v>702677.5</v>
      </c>
      <c r="R249" s="123">
        <f>+P249+Q249</f>
        <v>4237178.1500000004</v>
      </c>
      <c r="S249" s="124">
        <f>+R249/'[2]1. GENERAL'!$C$7</f>
        <v>31199.308961048526</v>
      </c>
      <c r="T249" s="181" cm="1">
        <f t="array" ref="T249:U249">+R249/'[2]1. GENERAL'!$E$31:$F$31</f>
        <v>1.5807154994560327E-2</v>
      </c>
      <c r="U249" s="39" t="e">
        <v>#DIV/0!</v>
      </c>
    </row>
    <row r="250" spans="2:21" x14ac:dyDescent="0.25">
      <c r="B250" s="83" t="s">
        <v>518</v>
      </c>
      <c r="C250" s="145" t="s">
        <v>467</v>
      </c>
      <c r="D250" s="145" t="s">
        <v>251</v>
      </c>
      <c r="E250" s="84" t="s">
        <v>383</v>
      </c>
      <c r="G250" s="80">
        <v>15</v>
      </c>
      <c r="H250" s="77" t="str">
        <f>VLOOKUP(E250,'B. DATOS'!$B$34:$E$622,2,FALSE)</f>
        <v>ML</v>
      </c>
      <c r="J250" s="29" t="s">
        <v>669</v>
      </c>
      <c r="L250" s="78">
        <f>VLOOKUP(E250,'B. DATOS'!$B$34:$E$622,4,FALSE)</f>
        <v>8000</v>
      </c>
      <c r="M250" s="76">
        <f t="shared" ref="M250:M270" si="38">+L250*G250</f>
        <v>120000</v>
      </c>
      <c r="N250" s="351">
        <v>1</v>
      </c>
      <c r="O250" s="80">
        <f>+G250*$N$250</f>
        <v>15</v>
      </c>
      <c r="P250" s="76">
        <f>+M250*$N$250</f>
        <v>120000</v>
      </c>
    </row>
    <row r="251" spans="2:21" x14ac:dyDescent="0.25">
      <c r="B251" s="83" t="s">
        <v>519</v>
      </c>
      <c r="C251" s="145" t="s">
        <v>467</v>
      </c>
      <c r="D251" s="145" t="s">
        <v>251</v>
      </c>
      <c r="E251" s="84" t="s">
        <v>385</v>
      </c>
      <c r="G251" s="80">
        <v>40</v>
      </c>
      <c r="H251" s="77" t="str">
        <f>VLOOKUP(E251,'B. DATOS'!$B$34:$E$622,2,FALSE)</f>
        <v>ML</v>
      </c>
      <c r="J251" s="29" t="s">
        <v>669</v>
      </c>
      <c r="L251" s="78">
        <f>VLOOKUP(E251,'B. DATOS'!$B$34:$E$622,4,FALSE)</f>
        <v>19000</v>
      </c>
      <c r="M251" s="76">
        <f t="shared" si="38"/>
        <v>760000</v>
      </c>
      <c r="N251" s="351"/>
      <c r="O251" s="80">
        <f t="shared" ref="O251:O270" si="39">+G251*$N$250</f>
        <v>40</v>
      </c>
      <c r="P251" s="76">
        <f t="shared" ref="P251:P267" si="40">+M251*$N$250</f>
        <v>760000</v>
      </c>
    </row>
    <row r="252" spans="2:21" x14ac:dyDescent="0.25">
      <c r="B252" s="83" t="s">
        <v>520</v>
      </c>
      <c r="C252" s="145" t="s">
        <v>467</v>
      </c>
      <c r="D252" s="145" t="s">
        <v>251</v>
      </c>
      <c r="E252" s="84" t="s">
        <v>386</v>
      </c>
      <c r="G252" s="80">
        <v>30</v>
      </c>
      <c r="H252" s="77" t="str">
        <f>VLOOKUP(E252,'B. DATOS'!$B$34:$E$622,2,FALSE)</f>
        <v>ML</v>
      </c>
      <c r="J252" s="29" t="s">
        <v>669</v>
      </c>
      <c r="L252" s="78">
        <f>VLOOKUP(E252,'B. DATOS'!$B$34:$E$622,4,FALSE)</f>
        <v>37500</v>
      </c>
      <c r="M252" s="76">
        <f t="shared" si="38"/>
        <v>1125000</v>
      </c>
      <c r="N252" s="351"/>
      <c r="O252" s="80">
        <f t="shared" si="39"/>
        <v>30</v>
      </c>
      <c r="P252" s="76">
        <f t="shared" si="40"/>
        <v>1125000</v>
      </c>
    </row>
    <row r="253" spans="2:21" x14ac:dyDescent="0.25">
      <c r="B253" s="83" t="s">
        <v>521</v>
      </c>
      <c r="C253" s="145" t="s">
        <v>467</v>
      </c>
      <c r="D253" s="145" t="s">
        <v>251</v>
      </c>
      <c r="E253" s="84" t="s">
        <v>384</v>
      </c>
      <c r="G253" s="80">
        <v>12</v>
      </c>
      <c r="H253" s="77" t="str">
        <f>VLOOKUP(E253,'B. DATOS'!$B$34:$E$622,2,FALSE)</f>
        <v>ML</v>
      </c>
      <c r="J253" s="29" t="s">
        <v>669</v>
      </c>
      <c r="L253" s="78">
        <f>VLOOKUP(E253,'B. DATOS'!$B$34:$E$622,4,FALSE)</f>
        <v>7500</v>
      </c>
      <c r="M253" s="76">
        <f t="shared" si="38"/>
        <v>90000</v>
      </c>
      <c r="N253" s="351"/>
      <c r="O253" s="80">
        <f t="shared" si="39"/>
        <v>12</v>
      </c>
      <c r="P253" s="76">
        <f t="shared" si="40"/>
        <v>90000</v>
      </c>
    </row>
    <row r="254" spans="2:21" x14ac:dyDescent="0.25">
      <c r="B254" s="83" t="s">
        <v>522</v>
      </c>
      <c r="C254" s="145" t="s">
        <v>467</v>
      </c>
      <c r="D254" s="145" t="s">
        <v>251</v>
      </c>
      <c r="E254" s="84" t="s">
        <v>388</v>
      </c>
      <c r="G254" s="29">
        <v>10</v>
      </c>
      <c r="H254" s="77" t="str">
        <f>VLOOKUP(E254,'B. DATOS'!$B$34:$E$622,2,FALSE)</f>
        <v>UND</v>
      </c>
      <c r="J254" s="29" t="s">
        <v>669</v>
      </c>
      <c r="L254" s="78">
        <f>VLOOKUP(E254,'B. DATOS'!$B$34:$E$622,4,FALSE)</f>
        <v>9800</v>
      </c>
      <c r="M254" s="76">
        <f t="shared" si="38"/>
        <v>98000</v>
      </c>
      <c r="N254" s="351"/>
      <c r="O254" s="80">
        <f t="shared" si="39"/>
        <v>10</v>
      </c>
      <c r="P254" s="76">
        <f t="shared" si="40"/>
        <v>98000</v>
      </c>
    </row>
    <row r="255" spans="2:21" x14ac:dyDescent="0.25">
      <c r="B255" s="83" t="s">
        <v>523</v>
      </c>
      <c r="C255" s="145" t="s">
        <v>467</v>
      </c>
      <c r="D255" s="145" t="s">
        <v>251</v>
      </c>
      <c r="E255" s="84" t="s">
        <v>390</v>
      </c>
      <c r="G255" s="29">
        <v>10</v>
      </c>
      <c r="H255" s="77" t="str">
        <f>VLOOKUP(E255,'B. DATOS'!$B$34:$E$622,2,FALSE)</f>
        <v>UND</v>
      </c>
      <c r="J255" s="29" t="s">
        <v>669</v>
      </c>
      <c r="L255" s="78">
        <f>VLOOKUP(E255,'B. DATOS'!$B$34:$E$622,4,FALSE)</f>
        <v>26000</v>
      </c>
      <c r="M255" s="76">
        <f t="shared" si="38"/>
        <v>260000</v>
      </c>
      <c r="N255" s="351"/>
      <c r="O255" s="80">
        <f t="shared" si="39"/>
        <v>10</v>
      </c>
      <c r="P255" s="76">
        <f t="shared" si="40"/>
        <v>260000</v>
      </c>
    </row>
    <row r="256" spans="2:21" x14ac:dyDescent="0.25">
      <c r="B256" s="83" t="s">
        <v>1593</v>
      </c>
      <c r="C256" s="145" t="s">
        <v>467</v>
      </c>
      <c r="D256" s="145" t="s">
        <v>251</v>
      </c>
      <c r="E256" s="84" t="s">
        <v>408</v>
      </c>
      <c r="G256" s="29">
        <v>5</v>
      </c>
      <c r="H256" s="77" t="str">
        <f>VLOOKUP(E256,'B. DATOS'!$B$34:$E$622,2,FALSE)</f>
        <v>UND</v>
      </c>
      <c r="J256" s="29" t="s">
        <v>669</v>
      </c>
      <c r="L256" s="78">
        <f>VLOOKUP(E256,'B. DATOS'!$B$34:$E$622,4,FALSE)</f>
        <v>9500</v>
      </c>
      <c r="M256" s="76">
        <f t="shared" si="38"/>
        <v>47500</v>
      </c>
      <c r="N256" s="351"/>
      <c r="O256" s="80">
        <f t="shared" si="39"/>
        <v>5</v>
      </c>
      <c r="P256" s="76">
        <f t="shared" si="40"/>
        <v>47500</v>
      </c>
    </row>
    <row r="257" spans="2:21" x14ac:dyDescent="0.25">
      <c r="B257" s="83" t="s">
        <v>1594</v>
      </c>
      <c r="C257" s="145" t="s">
        <v>467</v>
      </c>
      <c r="D257" s="145" t="s">
        <v>251</v>
      </c>
      <c r="E257" s="84" t="s">
        <v>391</v>
      </c>
      <c r="G257" s="29">
        <v>6</v>
      </c>
      <c r="H257" s="77" t="str">
        <f>VLOOKUP(E257,'B. DATOS'!$B$34:$E$622,2,FALSE)</f>
        <v>UND</v>
      </c>
      <c r="J257" s="29" t="s">
        <v>669</v>
      </c>
      <c r="L257" s="78">
        <f>VLOOKUP(E257,'B. DATOS'!$B$34:$E$622,4,FALSE)</f>
        <v>11000</v>
      </c>
      <c r="M257" s="76">
        <f t="shared" si="38"/>
        <v>66000</v>
      </c>
      <c r="N257" s="351"/>
      <c r="O257" s="80">
        <f t="shared" si="39"/>
        <v>6</v>
      </c>
      <c r="P257" s="76">
        <f t="shared" si="40"/>
        <v>66000</v>
      </c>
    </row>
    <row r="258" spans="2:21" x14ac:dyDescent="0.25">
      <c r="B258" s="83" t="s">
        <v>1595</v>
      </c>
      <c r="C258" s="145" t="s">
        <v>467</v>
      </c>
      <c r="D258" s="145" t="s">
        <v>251</v>
      </c>
      <c r="E258" s="84" t="s">
        <v>392</v>
      </c>
      <c r="G258" s="29">
        <v>10</v>
      </c>
      <c r="H258" s="77" t="str">
        <f>VLOOKUP(E258,'B. DATOS'!$B$34:$E$622,2,FALSE)</f>
        <v>UND</v>
      </c>
      <c r="J258" s="29" t="s">
        <v>669</v>
      </c>
      <c r="L258" s="78">
        <f>VLOOKUP(E258,'B. DATOS'!$B$34:$E$622,4,FALSE)</f>
        <v>18000</v>
      </c>
      <c r="M258" s="76">
        <f t="shared" si="38"/>
        <v>180000</v>
      </c>
      <c r="N258" s="351"/>
      <c r="O258" s="80">
        <f t="shared" si="39"/>
        <v>10</v>
      </c>
      <c r="P258" s="76">
        <f t="shared" si="40"/>
        <v>180000</v>
      </c>
    </row>
    <row r="259" spans="2:21" x14ac:dyDescent="0.25">
      <c r="B259" s="83" t="s">
        <v>1596</v>
      </c>
      <c r="C259" s="145" t="s">
        <v>467</v>
      </c>
      <c r="D259" s="145" t="s">
        <v>251</v>
      </c>
      <c r="E259" s="84" t="s">
        <v>393</v>
      </c>
      <c r="G259" s="29">
        <v>15</v>
      </c>
      <c r="H259" s="77" t="str">
        <f>VLOOKUP(E259,'B. DATOS'!$B$34:$E$622,2,FALSE)</f>
        <v>UND</v>
      </c>
      <c r="J259" s="29" t="s">
        <v>669</v>
      </c>
      <c r="L259" s="78">
        <f>VLOOKUP(E259,'B. DATOS'!$B$34:$E$622,4,FALSE)</f>
        <v>2400</v>
      </c>
      <c r="M259" s="76">
        <f t="shared" si="38"/>
        <v>36000</v>
      </c>
      <c r="N259" s="351"/>
      <c r="O259" s="80">
        <f t="shared" si="39"/>
        <v>15</v>
      </c>
      <c r="P259" s="76">
        <f t="shared" si="40"/>
        <v>36000</v>
      </c>
    </row>
    <row r="260" spans="2:21" x14ac:dyDescent="0.25">
      <c r="B260" s="83" t="s">
        <v>1597</v>
      </c>
      <c r="C260" s="145" t="s">
        <v>467</v>
      </c>
      <c r="D260" s="145" t="s">
        <v>251</v>
      </c>
      <c r="E260" s="84" t="s">
        <v>394</v>
      </c>
      <c r="G260" s="29">
        <v>25</v>
      </c>
      <c r="H260" s="77" t="str">
        <f>VLOOKUP(E260,'B. DATOS'!$B$34:$E$622,2,FALSE)</f>
        <v>UND</v>
      </c>
      <c r="J260" s="29" t="s">
        <v>669</v>
      </c>
      <c r="L260" s="78">
        <f>VLOOKUP(E260,'B. DATOS'!$B$34:$E$622,4,FALSE)</f>
        <v>4100</v>
      </c>
      <c r="M260" s="76">
        <f t="shared" si="38"/>
        <v>102500</v>
      </c>
      <c r="N260" s="351"/>
      <c r="O260" s="80">
        <f t="shared" si="39"/>
        <v>25</v>
      </c>
      <c r="P260" s="76">
        <f t="shared" si="40"/>
        <v>102500</v>
      </c>
    </row>
    <row r="261" spans="2:21" x14ac:dyDescent="0.25">
      <c r="B261" s="83" t="s">
        <v>1598</v>
      </c>
      <c r="C261" s="145" t="s">
        <v>467</v>
      </c>
      <c r="D261" s="145" t="s">
        <v>251</v>
      </c>
      <c r="E261" s="84" t="s">
        <v>395</v>
      </c>
      <c r="G261" s="80">
        <v>5.0609999999999991</v>
      </c>
      <c r="H261" s="77" t="str">
        <f>VLOOKUP(E261,'B. DATOS'!$B$34:$E$622,2,FALSE)</f>
        <v>UND</v>
      </c>
      <c r="J261" s="29" t="s">
        <v>669</v>
      </c>
      <c r="L261" s="78">
        <f>VLOOKUP(E261,'B. DATOS'!$B$34:$E$622,4,FALSE)</f>
        <v>1800</v>
      </c>
      <c r="M261" s="76">
        <f t="shared" si="38"/>
        <v>9109.7999999999975</v>
      </c>
      <c r="N261" s="351"/>
      <c r="O261" s="80">
        <f t="shared" si="39"/>
        <v>5.0609999999999991</v>
      </c>
      <c r="P261" s="76">
        <f t="shared" si="40"/>
        <v>9109.7999999999975</v>
      </c>
    </row>
    <row r="262" spans="2:21" x14ac:dyDescent="0.25">
      <c r="B262" s="83" t="s">
        <v>1599</v>
      </c>
      <c r="C262" s="145" t="s">
        <v>467</v>
      </c>
      <c r="D262" s="145" t="s">
        <v>251</v>
      </c>
      <c r="E262" s="84" t="s">
        <v>396</v>
      </c>
      <c r="G262" s="80">
        <v>1.5645000000000004</v>
      </c>
      <c r="H262" s="77" t="str">
        <f>VLOOKUP(E262,'B. DATOS'!$B$34:$E$622,2,FALSE)</f>
        <v>UND</v>
      </c>
      <c r="J262" s="29" t="s">
        <v>669</v>
      </c>
      <c r="L262" s="78">
        <f>VLOOKUP(E262,'B. DATOS'!$B$34:$E$622,4,FALSE)</f>
        <v>4800</v>
      </c>
      <c r="M262" s="76">
        <f t="shared" si="38"/>
        <v>7509.6000000000022</v>
      </c>
      <c r="N262" s="351"/>
      <c r="O262" s="80">
        <f t="shared" si="39"/>
        <v>1.5645000000000004</v>
      </c>
      <c r="P262" s="76">
        <f t="shared" si="40"/>
        <v>7509.6000000000022</v>
      </c>
    </row>
    <row r="263" spans="2:21" x14ac:dyDescent="0.25">
      <c r="B263" s="83" t="s">
        <v>1600</v>
      </c>
      <c r="C263" s="145" t="s">
        <v>467</v>
      </c>
      <c r="D263" s="145" t="s">
        <v>251</v>
      </c>
      <c r="E263" s="84" t="s">
        <v>397</v>
      </c>
      <c r="G263" s="29">
        <v>6</v>
      </c>
      <c r="H263" s="77" t="str">
        <f>VLOOKUP(E263,'B. DATOS'!$B$34:$E$622,2,FALSE)</f>
        <v>UND</v>
      </c>
      <c r="J263" s="29" t="s">
        <v>669</v>
      </c>
      <c r="L263" s="78">
        <f>VLOOKUP(E263,'B. DATOS'!$B$34:$E$622,4,FALSE)</f>
        <v>7400</v>
      </c>
      <c r="M263" s="76">
        <f t="shared" si="38"/>
        <v>44400</v>
      </c>
      <c r="N263" s="351"/>
      <c r="O263" s="80">
        <f t="shared" si="39"/>
        <v>6</v>
      </c>
      <c r="P263" s="76">
        <f t="shared" si="40"/>
        <v>44400</v>
      </c>
    </row>
    <row r="264" spans="2:21" x14ac:dyDescent="0.25">
      <c r="B264" s="83" t="s">
        <v>1601</v>
      </c>
      <c r="C264" s="145" t="s">
        <v>467</v>
      </c>
      <c r="D264" s="145" t="s">
        <v>251</v>
      </c>
      <c r="E264" s="84" t="str">
        <f>+'[2]2.1 UNIONES PVC'!C5</f>
        <v>Soldadura PVC 1/64gl</v>
      </c>
      <c r="G264" s="29">
        <v>2</v>
      </c>
      <c r="H264" s="77" t="str">
        <f>VLOOKUP(E264,'B. DATOS'!$B$34:$E$622,2,FALSE)</f>
        <v>UND</v>
      </c>
      <c r="J264" s="29" t="s">
        <v>669</v>
      </c>
      <c r="L264" s="78">
        <f>VLOOKUP(E264,'B. DATOS'!$B$34:$E$622,4,FALSE)</f>
        <v>24000</v>
      </c>
      <c r="M264" s="76">
        <f t="shared" si="38"/>
        <v>48000</v>
      </c>
      <c r="N264" s="351"/>
      <c r="O264" s="80">
        <f t="shared" si="39"/>
        <v>2</v>
      </c>
      <c r="P264" s="76">
        <f t="shared" si="40"/>
        <v>48000</v>
      </c>
    </row>
    <row r="265" spans="2:21" x14ac:dyDescent="0.25">
      <c r="B265" s="83" t="s">
        <v>1602</v>
      </c>
      <c r="C265" s="145" t="s">
        <v>467</v>
      </c>
      <c r="D265" s="145" t="s">
        <v>251</v>
      </c>
      <c r="E265" s="84" t="s">
        <v>398</v>
      </c>
      <c r="G265" s="29">
        <v>3</v>
      </c>
      <c r="H265" s="77" t="str">
        <f>VLOOKUP(E265,'B. DATOS'!$B$34:$E$622,2,FALSE)</f>
        <v>UND</v>
      </c>
      <c r="J265" s="29" t="s">
        <v>669</v>
      </c>
      <c r="L265" s="78">
        <f>VLOOKUP(E265,'B. DATOS'!$B$34:$E$622,4,FALSE)</f>
        <v>21000</v>
      </c>
      <c r="M265" s="76">
        <f t="shared" si="38"/>
        <v>63000</v>
      </c>
      <c r="N265" s="351"/>
      <c r="O265" s="80">
        <f t="shared" si="39"/>
        <v>3</v>
      </c>
      <c r="P265" s="76">
        <f t="shared" si="40"/>
        <v>63000</v>
      </c>
    </row>
    <row r="266" spans="2:21" x14ac:dyDescent="0.25">
      <c r="B266" s="83" t="s">
        <v>1603</v>
      </c>
      <c r="C266" s="145" t="s">
        <v>467</v>
      </c>
      <c r="D266" s="145" t="s">
        <v>251</v>
      </c>
      <c r="E266" s="84" t="s">
        <v>399</v>
      </c>
      <c r="G266" s="29">
        <v>1</v>
      </c>
      <c r="H266" s="77" t="str">
        <f>VLOOKUP(E266,'B. DATOS'!$B$34:$E$622,2,FALSE)</f>
        <v>UND</v>
      </c>
      <c r="J266" s="29" t="s">
        <v>669</v>
      </c>
      <c r="L266" s="78">
        <f>VLOOKUP(E266,'B. DATOS'!$B$34:$E$622,4,FALSE)</f>
        <v>470000</v>
      </c>
      <c r="M266" s="76">
        <f t="shared" si="38"/>
        <v>470000</v>
      </c>
      <c r="N266" s="351"/>
      <c r="O266" s="80">
        <f t="shared" si="39"/>
        <v>1</v>
      </c>
      <c r="P266" s="76">
        <f t="shared" si="40"/>
        <v>470000</v>
      </c>
    </row>
    <row r="267" spans="2:21" x14ac:dyDescent="0.25">
      <c r="B267" s="83" t="s">
        <v>1604</v>
      </c>
      <c r="C267" s="145" t="s">
        <v>467</v>
      </c>
      <c r="D267" s="145" t="s">
        <v>251</v>
      </c>
      <c r="E267" s="84" t="s">
        <v>264</v>
      </c>
      <c r="G267" s="80">
        <v>7.8750000000000001E-2</v>
      </c>
      <c r="H267" s="77" t="str">
        <f>VLOOKUP(E267,'B. DATOS'!$B$34:$E$622,2,FALSE)</f>
        <v>M3</v>
      </c>
      <c r="J267" s="29" t="s">
        <v>634</v>
      </c>
      <c r="L267" s="78">
        <f>VLOOKUP(E267,'B. DATOS'!$B$34:$E$622,4,FALSE)</f>
        <v>95000</v>
      </c>
      <c r="M267" s="76">
        <f t="shared" si="38"/>
        <v>7481.25</v>
      </c>
      <c r="N267" s="351"/>
      <c r="O267" s="80">
        <f t="shared" si="39"/>
        <v>7.8750000000000001E-2</v>
      </c>
      <c r="P267" s="76">
        <f t="shared" si="40"/>
        <v>7481.25</v>
      </c>
    </row>
    <row r="268" spans="2:21" x14ac:dyDescent="0.25">
      <c r="B268" s="83" t="s">
        <v>1605</v>
      </c>
      <c r="C268" s="145" t="s">
        <v>467</v>
      </c>
      <c r="D268" s="145" t="s">
        <v>778</v>
      </c>
      <c r="E268" s="84" t="s">
        <v>328</v>
      </c>
      <c r="G268" s="80">
        <v>7.8750000000000001E-2</v>
      </c>
      <c r="H268" s="77" t="str">
        <f>VLOOKUP(E268,'B. DATOS'!$B$34:$E$622,2,FALSE)</f>
        <v>M3</v>
      </c>
      <c r="J268" s="29" t="s">
        <v>259</v>
      </c>
      <c r="L268" s="78">
        <f>VLOOKUP(E268,'B. DATOS'!$B$34:$E$622,4,FALSE)</f>
        <v>34000</v>
      </c>
      <c r="M268" s="76">
        <f t="shared" si="38"/>
        <v>2677.5</v>
      </c>
      <c r="N268" s="351"/>
      <c r="O268" s="80">
        <f t="shared" si="39"/>
        <v>7.8750000000000001E-2</v>
      </c>
      <c r="Q268" s="76">
        <f>+M268*$N$250</f>
        <v>2677.5</v>
      </c>
    </row>
    <row r="269" spans="2:21" x14ac:dyDescent="0.25">
      <c r="B269" s="83" t="s">
        <v>1606</v>
      </c>
      <c r="C269" s="145" t="s">
        <v>467</v>
      </c>
      <c r="D269" s="145" t="s">
        <v>778</v>
      </c>
      <c r="E269" s="84" t="s">
        <v>400</v>
      </c>
      <c r="G269" s="29">
        <v>10</v>
      </c>
      <c r="H269" s="77" t="str">
        <f>VLOOKUP(E269,'B. DATOS'!$B$34:$E$622,2,FALSE)</f>
        <v>ML</v>
      </c>
      <c r="J269" s="29" t="s">
        <v>740</v>
      </c>
      <c r="L269" s="78">
        <f>VLOOKUP(E269,'B. DATOS'!$B$34:$E$622,4,FALSE)</f>
        <v>15000</v>
      </c>
      <c r="M269" s="76">
        <f t="shared" si="38"/>
        <v>150000</v>
      </c>
      <c r="N269" s="351"/>
      <c r="O269" s="80">
        <f t="shared" si="39"/>
        <v>10</v>
      </c>
      <c r="Q269" s="76">
        <f>+M269*$N$250</f>
        <v>150000</v>
      </c>
    </row>
    <row r="270" spans="2:21" x14ac:dyDescent="0.25">
      <c r="B270" s="83" t="s">
        <v>1607</v>
      </c>
      <c r="C270" s="145" t="s">
        <v>467</v>
      </c>
      <c r="D270" s="145" t="s">
        <v>778</v>
      </c>
      <c r="E270" s="84" t="s">
        <v>401</v>
      </c>
      <c r="G270" s="29">
        <v>10</v>
      </c>
      <c r="H270" s="77" t="str">
        <f>VLOOKUP(E270,'B. DATOS'!$B$34:$E$622,2,FALSE)</f>
        <v>PTO</v>
      </c>
      <c r="J270" s="29" t="s">
        <v>740</v>
      </c>
      <c r="L270" s="78">
        <f>VLOOKUP(E270,'B. DATOS'!$B$34:$E$622,4,FALSE)</f>
        <v>55000</v>
      </c>
      <c r="M270" s="76">
        <f t="shared" si="38"/>
        <v>550000</v>
      </c>
      <c r="N270" s="351"/>
      <c r="O270" s="80">
        <f t="shared" si="39"/>
        <v>10</v>
      </c>
      <c r="Q270" s="76">
        <f>+M270*$N$250</f>
        <v>550000</v>
      </c>
    </row>
    <row r="271" spans="2:21" s="39" customFormat="1" x14ac:dyDescent="0.25">
      <c r="B271" s="110">
        <v>6.2</v>
      </c>
      <c r="C271" s="144" t="s">
        <v>467</v>
      </c>
      <c r="D271" s="369" t="s">
        <v>412</v>
      </c>
      <c r="E271" s="370"/>
      <c r="F271" s="121"/>
      <c r="G271" s="121"/>
      <c r="H271" s="121"/>
      <c r="I271" s="121"/>
      <c r="J271" s="121"/>
      <c r="K271" s="121"/>
      <c r="L271" s="122"/>
      <c r="M271" s="122">
        <f>+SUM(M272:M280)</f>
        <v>225128.38</v>
      </c>
      <c r="N271" s="121"/>
      <c r="O271" s="121"/>
      <c r="P271" s="122">
        <f>+SUM(P272:P280)</f>
        <v>199256.75999999998</v>
      </c>
      <c r="Q271" s="122">
        <f>+SUM(Q272:Q280)</f>
        <v>251000</v>
      </c>
      <c r="R271" s="129">
        <f>Q271+P271</f>
        <v>450256.76</v>
      </c>
      <c r="S271" s="124">
        <f>+R271/N272</f>
        <v>225128.38</v>
      </c>
      <c r="T271" s="181" cm="1">
        <f t="array" ref="T271:U271">+R271/'[2]1. GENERAL'!$E$31:$F$31</f>
        <v>1.6797213005236868E-3</v>
      </c>
      <c r="U271" s="39" t="e">
        <v>#DIV/0!</v>
      </c>
    </row>
    <row r="272" spans="2:21" x14ac:dyDescent="0.25">
      <c r="B272" s="83" t="s">
        <v>526</v>
      </c>
      <c r="C272" s="145" t="s">
        <v>467</v>
      </c>
      <c r="D272" s="145" t="s">
        <v>251</v>
      </c>
      <c r="E272" s="84" t="s">
        <v>374</v>
      </c>
      <c r="F272" s="29">
        <v>0.6</v>
      </c>
      <c r="G272" s="90">
        <f>+((60*F273)*F272)*1.1</f>
        <v>23.759999999999998</v>
      </c>
      <c r="H272" s="77" t="str">
        <f>VLOOKUP(E272,'B. DATOS'!$B$34:$E$622,2,FALSE)</f>
        <v>UND</v>
      </c>
      <c r="J272" s="29" t="s">
        <v>719</v>
      </c>
      <c r="L272" s="78">
        <f>VLOOKUP(E272,'B. DATOS'!$B$34:$E$622,4,FALSE)</f>
        <v>800</v>
      </c>
      <c r="M272" s="76">
        <f>+L272*G272</f>
        <v>19008</v>
      </c>
      <c r="N272" s="351">
        <v>2</v>
      </c>
      <c r="O272" s="80">
        <f>+G272*$N$272</f>
        <v>47.519999999999996</v>
      </c>
      <c r="P272" s="76">
        <f>+M272*$N$272</f>
        <v>38016</v>
      </c>
    </row>
    <row r="273" spans="2:21" x14ac:dyDescent="0.25">
      <c r="B273" s="83" t="s">
        <v>527</v>
      </c>
      <c r="C273" s="145" t="s">
        <v>467</v>
      </c>
      <c r="D273" s="145" t="s">
        <v>251</v>
      </c>
      <c r="E273" s="84" t="s">
        <v>625</v>
      </c>
      <c r="F273" s="29">
        <v>0.6</v>
      </c>
      <c r="G273" s="90">
        <f>+(F272*F273)*0.22</f>
        <v>7.9199999999999993E-2</v>
      </c>
      <c r="H273" s="77" t="str">
        <f>VLOOKUP(E273,'B. DATOS'!$B$34:$E$622,2,FALSE)</f>
        <v>M3</v>
      </c>
      <c r="J273" s="29" t="s">
        <v>717</v>
      </c>
      <c r="L273" s="78">
        <f>VLOOKUP(E273,'B. DATOS'!$B$34:$E$622,4,FALSE)</f>
        <v>360400</v>
      </c>
      <c r="M273" s="76">
        <f t="shared" ref="M273:M280" si="41">+L273*G273</f>
        <v>28543.679999999997</v>
      </c>
      <c r="N273" s="351"/>
      <c r="O273" s="80">
        <f t="shared" ref="O273:O280" si="42">+G273*$N$272</f>
        <v>0.15839999999999999</v>
      </c>
      <c r="P273" s="76">
        <f>+M273*$N$272</f>
        <v>57087.359999999993</v>
      </c>
    </row>
    <row r="274" spans="2:21" x14ac:dyDescent="0.25">
      <c r="B274" s="83" t="s">
        <v>528</v>
      </c>
      <c r="C274" s="145" t="s">
        <v>467</v>
      </c>
      <c r="D274" s="145" t="s">
        <v>251</v>
      </c>
      <c r="E274" s="84" t="s">
        <v>1284</v>
      </c>
      <c r="G274" s="89">
        <f>+(F272*F273)*2*1.1</f>
        <v>0.79200000000000004</v>
      </c>
      <c r="H274" s="77" t="str">
        <f>VLOOKUP(E274,'B. DATOS'!$B$34:$E$622,2,FALSE)</f>
        <v>M2</v>
      </c>
      <c r="J274" s="29" t="s">
        <v>274</v>
      </c>
      <c r="L274" s="78">
        <f>VLOOKUP(E274,'B. DATOS'!$B$34:$E$622,4,FALSE)</f>
        <v>17000</v>
      </c>
      <c r="M274" s="76">
        <f t="shared" si="41"/>
        <v>13464</v>
      </c>
      <c r="N274" s="351"/>
      <c r="O274" s="80">
        <f t="shared" si="42"/>
        <v>1.5840000000000001</v>
      </c>
      <c r="P274" s="76">
        <f>+M274*$N$272</f>
        <v>26928</v>
      </c>
    </row>
    <row r="275" spans="2:21" x14ac:dyDescent="0.25">
      <c r="B275" s="83" t="s">
        <v>1609</v>
      </c>
      <c r="C275" s="145" t="s">
        <v>467</v>
      </c>
      <c r="D275" s="145" t="s">
        <v>251</v>
      </c>
      <c r="E275" s="84" t="s">
        <v>1353</v>
      </c>
      <c r="G275" s="90">
        <f>(((F272*F273)*0.1)*2)*1.05</f>
        <v>7.5600000000000001E-2</v>
      </c>
      <c r="H275" s="77" t="str">
        <f>VLOOKUP(E275,'B. DATOS'!$B$34:$E$622,2,FALSE)</f>
        <v>M3</v>
      </c>
      <c r="J275" s="29" t="s">
        <v>717</v>
      </c>
      <c r="L275" s="78">
        <f>VLOOKUP(E275,'B. DATOS'!$B$34:$E$622,4,FALSE)</f>
        <v>487000</v>
      </c>
      <c r="M275" s="76">
        <f t="shared" si="41"/>
        <v>36817.199999999997</v>
      </c>
      <c r="N275" s="351"/>
      <c r="O275" s="80">
        <f t="shared" si="42"/>
        <v>0.1512</v>
      </c>
      <c r="P275" s="76">
        <f>+M275*$N$272</f>
        <v>73634.399999999994</v>
      </c>
    </row>
    <row r="276" spans="2:21" x14ac:dyDescent="0.25">
      <c r="B276" s="83" t="s">
        <v>1610</v>
      </c>
      <c r="C276" s="145" t="s">
        <v>467</v>
      </c>
      <c r="D276" s="145" t="s">
        <v>251</v>
      </c>
      <c r="E276" s="84" t="s">
        <v>264</v>
      </c>
      <c r="G276" s="90">
        <f>+((F272*F273)*0.05)*1.05</f>
        <v>1.89E-2</v>
      </c>
      <c r="H276" s="77" t="str">
        <f>VLOOKUP(E276,'B. DATOS'!$B$34:$E$622,2,FALSE)</f>
        <v>M3</v>
      </c>
      <c r="J276" s="29" t="s">
        <v>634</v>
      </c>
      <c r="L276" s="78">
        <f>VLOOKUP(E276,'B. DATOS'!$B$34:$E$622,4,FALSE)</f>
        <v>95000</v>
      </c>
      <c r="M276" s="76">
        <f t="shared" si="41"/>
        <v>1795.5</v>
      </c>
      <c r="N276" s="351"/>
      <c r="O276" s="80">
        <f t="shared" si="42"/>
        <v>3.78E-2</v>
      </c>
      <c r="P276" s="76">
        <f>+M276*$N$272</f>
        <v>3591</v>
      </c>
    </row>
    <row r="277" spans="2:21" x14ac:dyDescent="0.25">
      <c r="B277" s="83" t="s">
        <v>1611</v>
      </c>
      <c r="C277" s="145" t="s">
        <v>467</v>
      </c>
      <c r="D277" s="145" t="s">
        <v>778</v>
      </c>
      <c r="E277" s="84" t="s">
        <v>780</v>
      </c>
      <c r="G277" s="90">
        <f>+G280</f>
        <v>1</v>
      </c>
      <c r="H277" s="77" t="str">
        <f>VLOOKUP(E277,'B. DATOS'!$B$34:$E$622,2,FALSE)</f>
        <v>M2</v>
      </c>
      <c r="J277" s="29" t="s">
        <v>14</v>
      </c>
      <c r="L277" s="78">
        <f>VLOOKUP(E277,'B. DATOS'!$B$34:$E$622,4,FALSE)</f>
        <v>30000</v>
      </c>
      <c r="M277" s="76">
        <f t="shared" si="41"/>
        <v>30000</v>
      </c>
      <c r="N277" s="351"/>
      <c r="O277" s="80">
        <f t="shared" si="42"/>
        <v>2</v>
      </c>
      <c r="Q277" s="76">
        <f>+M277*$N$272</f>
        <v>60000</v>
      </c>
    </row>
    <row r="278" spans="2:21" x14ac:dyDescent="0.25">
      <c r="B278" s="83" t="s">
        <v>1651</v>
      </c>
      <c r="C278" s="145" t="s">
        <v>467</v>
      </c>
      <c r="D278" s="145" t="s">
        <v>778</v>
      </c>
      <c r="E278" s="84" t="s">
        <v>730</v>
      </c>
      <c r="G278" s="90">
        <v>1</v>
      </c>
      <c r="H278" s="77" t="str">
        <f>VLOOKUP(E278,'B. DATOS'!$B$34:$E$622,2,FALSE)</f>
        <v>UND</v>
      </c>
      <c r="J278" s="29" t="s">
        <v>259</v>
      </c>
      <c r="L278" s="78">
        <f>VLOOKUP(E278,'B. DATOS'!$B$34:$E$622,4,FALSE)</f>
        <v>22500</v>
      </c>
      <c r="M278" s="76">
        <f t="shared" si="41"/>
        <v>22500</v>
      </c>
      <c r="N278" s="351"/>
      <c r="O278" s="80">
        <f t="shared" si="42"/>
        <v>2</v>
      </c>
      <c r="Q278" s="76">
        <f>+M278*$N$272</f>
        <v>45000</v>
      </c>
    </row>
    <row r="279" spans="2:21" x14ac:dyDescent="0.25">
      <c r="B279" s="83" t="s">
        <v>1652</v>
      </c>
      <c r="C279" s="145" t="s">
        <v>467</v>
      </c>
      <c r="D279" s="145" t="s">
        <v>778</v>
      </c>
      <c r="E279" s="84" t="s">
        <v>375</v>
      </c>
      <c r="G279" s="90">
        <f>+F272*F273</f>
        <v>0.36</v>
      </c>
      <c r="H279" s="77" t="str">
        <f>VLOOKUP(E279,'B. DATOS'!$B$34:$E$622,2,FALSE)</f>
        <v>M2</v>
      </c>
      <c r="J279" s="29" t="s">
        <v>14</v>
      </c>
      <c r="L279" s="78">
        <f>VLOOKUP(E279,'B. DATOS'!$B$34:$E$622,4,FALSE)</f>
        <v>50000</v>
      </c>
      <c r="M279" s="76">
        <f t="shared" si="41"/>
        <v>18000</v>
      </c>
      <c r="N279" s="351"/>
      <c r="O279" s="80">
        <f t="shared" si="42"/>
        <v>0.72</v>
      </c>
      <c r="Q279" s="76">
        <f>+M279*$N$272</f>
        <v>36000</v>
      </c>
    </row>
    <row r="280" spans="2:21" x14ac:dyDescent="0.25">
      <c r="B280" s="83" t="s">
        <v>1653</v>
      </c>
      <c r="C280" s="145" t="s">
        <v>467</v>
      </c>
      <c r="D280" s="145" t="s">
        <v>778</v>
      </c>
      <c r="E280" s="84" t="s">
        <v>401</v>
      </c>
      <c r="G280" s="89">
        <v>1</v>
      </c>
      <c r="H280" s="77" t="str">
        <f>VLOOKUP(E280,'B. DATOS'!$B$34:$E$622,2,FALSE)</f>
        <v>PTO</v>
      </c>
      <c r="J280" s="29" t="s">
        <v>740</v>
      </c>
      <c r="L280" s="78">
        <f>VLOOKUP(E280,'B. DATOS'!$B$34:$E$622,4,FALSE)</f>
        <v>55000</v>
      </c>
      <c r="M280" s="76">
        <f t="shared" si="41"/>
        <v>55000</v>
      </c>
      <c r="N280" s="351"/>
      <c r="O280" s="80">
        <f t="shared" si="42"/>
        <v>2</v>
      </c>
      <c r="Q280" s="76">
        <f>+M280*$N$272</f>
        <v>110000</v>
      </c>
    </row>
    <row r="281" spans="2:21" s="39" customFormat="1" x14ac:dyDescent="0.25">
      <c r="B281" s="110">
        <v>6.3</v>
      </c>
      <c r="C281" s="144" t="s">
        <v>1812</v>
      </c>
      <c r="D281" s="369" t="s">
        <v>1692</v>
      </c>
      <c r="E281" s="370"/>
      <c r="F281" s="121"/>
      <c r="G281" s="121"/>
      <c r="H281" s="121"/>
      <c r="I281" s="121"/>
      <c r="J281" s="121"/>
      <c r="K281" s="121"/>
      <c r="L281" s="122"/>
      <c r="M281" s="122">
        <f>+SUM(M282:M293)</f>
        <v>1848023.2</v>
      </c>
      <c r="N281" s="121"/>
      <c r="O281" s="121"/>
      <c r="P281" s="122">
        <f>+SUM(P282:P293)</f>
        <v>5648492.7999999998</v>
      </c>
      <c r="Q281" s="122">
        <f>+SUM(Q282:Q293)</f>
        <v>1743600</v>
      </c>
      <c r="R281" s="129">
        <f>Q281+P281</f>
        <v>7392092.7999999998</v>
      </c>
      <c r="S281" s="124">
        <f>+R281/N282</f>
        <v>1848023.2</v>
      </c>
      <c r="T281" s="181" cm="1">
        <f t="array" ref="T281:U281">+R281/'[5]1. GENERAL'!$E$31:$F$31</f>
        <v>2.9116907937755485E-2</v>
      </c>
      <c r="U281" s="39" t="e">
        <v>#DIV/0!</v>
      </c>
    </row>
    <row r="282" spans="2:21" x14ac:dyDescent="0.25">
      <c r="B282" s="83" t="s">
        <v>1693</v>
      </c>
      <c r="C282" s="145" t="s">
        <v>1812</v>
      </c>
      <c r="D282" s="145" t="s">
        <v>251</v>
      </c>
      <c r="E282" s="84" t="s">
        <v>374</v>
      </c>
      <c r="F282" s="29">
        <v>1</v>
      </c>
      <c r="G282" s="90">
        <f>+(G288*60)*1.05</f>
        <v>504</v>
      </c>
      <c r="H282" s="77" t="str">
        <f>VLOOKUP(E282,'B. DATOS'!$B$34:$E$622,2,FALSE)</f>
        <v>UND</v>
      </c>
      <c r="J282" s="29" t="s">
        <v>719</v>
      </c>
      <c r="L282" s="78">
        <f>VLOOKUP(E282,'B. DATOS'!$B$34:$E$622,4,FALSE)</f>
        <v>800</v>
      </c>
      <c r="M282" s="76">
        <f>+L282*G282</f>
        <v>403200</v>
      </c>
      <c r="N282" s="351">
        <v>4</v>
      </c>
      <c r="O282" s="80">
        <f>+G282*$N$282</f>
        <v>2016</v>
      </c>
      <c r="P282" s="76">
        <f t="shared" ref="P282:P287" si="43">+M282*$N$282</f>
        <v>1612800</v>
      </c>
    </row>
    <row r="283" spans="2:21" x14ac:dyDescent="0.25">
      <c r="B283" s="83" t="s">
        <v>1694</v>
      </c>
      <c r="C283" s="145" t="s">
        <v>1812</v>
      </c>
      <c r="D283" s="145" t="s">
        <v>251</v>
      </c>
      <c r="E283" s="84" t="s">
        <v>625</v>
      </c>
      <c r="F283" s="29">
        <v>3</v>
      </c>
      <c r="G283" s="90">
        <f>+(G288)*0.03</f>
        <v>0.24</v>
      </c>
      <c r="H283" s="77" t="str">
        <f>VLOOKUP(E283,'B. DATOS'!$B$34:$E$622,2,FALSE)</f>
        <v>M3</v>
      </c>
      <c r="J283" s="29" t="s">
        <v>717</v>
      </c>
      <c r="L283" s="78">
        <f>VLOOKUP(E283,'B. DATOS'!$B$34:$E$622,4,FALSE)</f>
        <v>360400</v>
      </c>
      <c r="M283" s="76">
        <f t="shared" ref="M283:M293" si="44">+L283*G283</f>
        <v>86496</v>
      </c>
      <c r="N283" s="351"/>
      <c r="O283" s="80">
        <f t="shared" ref="O283:O293" si="45">+G283*$N$282</f>
        <v>0.96</v>
      </c>
      <c r="P283" s="76">
        <f t="shared" si="43"/>
        <v>345984</v>
      </c>
    </row>
    <row r="284" spans="2:21" x14ac:dyDescent="0.25">
      <c r="B284" s="83" t="s">
        <v>1695</v>
      </c>
      <c r="C284" s="145" t="s">
        <v>1812</v>
      </c>
      <c r="D284" s="145" t="s">
        <v>251</v>
      </c>
      <c r="E284" s="84" t="s">
        <v>624</v>
      </c>
      <c r="G284" s="90">
        <f>+(G292*0.02)*1.05</f>
        <v>0.16800000000000001</v>
      </c>
      <c r="H284" s="77" t="str">
        <f>VLOOKUP(E284,'B. DATOS'!$B$34:$E$622,2,FALSE)</f>
        <v>M3</v>
      </c>
      <c r="J284" s="29" t="s">
        <v>717</v>
      </c>
      <c r="L284" s="78">
        <f>VLOOKUP(E284,'B. DATOS'!$B$34:$E$622,4,FALSE)</f>
        <v>360400</v>
      </c>
      <c r="M284" s="76">
        <f t="shared" si="44"/>
        <v>60547.200000000004</v>
      </c>
      <c r="N284" s="351"/>
      <c r="O284" s="80">
        <f t="shared" si="45"/>
        <v>0.67200000000000004</v>
      </c>
      <c r="P284" s="76">
        <f t="shared" si="43"/>
        <v>242188.80000000002</v>
      </c>
    </row>
    <row r="285" spans="2:21" x14ac:dyDescent="0.25">
      <c r="B285" s="83" t="s">
        <v>1696</v>
      </c>
      <c r="C285" s="145" t="s">
        <v>1812</v>
      </c>
      <c r="D285" s="145" t="s">
        <v>251</v>
      </c>
      <c r="E285" s="84" t="s">
        <v>1284</v>
      </c>
      <c r="G285" s="89">
        <f>+G292*1.15</f>
        <v>9.1999999999999993</v>
      </c>
      <c r="H285" s="77" t="str">
        <f>VLOOKUP(E285,'B. DATOS'!$B$34:$E$622,2,FALSE)</f>
        <v>M2</v>
      </c>
      <c r="J285" s="29" t="s">
        <v>274</v>
      </c>
      <c r="L285" s="78">
        <f>VLOOKUP(E285,'B. DATOS'!$B$34:$E$622,4,FALSE)</f>
        <v>17000</v>
      </c>
      <c r="M285" s="76">
        <f t="shared" si="44"/>
        <v>156400</v>
      </c>
      <c r="N285" s="351"/>
      <c r="O285" s="80">
        <f t="shared" si="45"/>
        <v>36.799999999999997</v>
      </c>
      <c r="P285" s="76">
        <f t="shared" si="43"/>
        <v>625600</v>
      </c>
    </row>
    <row r="286" spans="2:21" x14ac:dyDescent="0.25">
      <c r="B286" s="83" t="s">
        <v>1697</v>
      </c>
      <c r="C286" s="145" t="s">
        <v>1812</v>
      </c>
      <c r="D286" s="145" t="s">
        <v>251</v>
      </c>
      <c r="E286" s="84" t="s">
        <v>1353</v>
      </c>
      <c r="G286" s="90">
        <f>+(G292*0.1)*1.05</f>
        <v>0.84000000000000008</v>
      </c>
      <c r="H286" s="77" t="str">
        <f>VLOOKUP(E286,'B. DATOS'!$B$34:$E$622,2,FALSE)</f>
        <v>M3</v>
      </c>
      <c r="J286" s="29" t="s">
        <v>717</v>
      </c>
      <c r="L286" s="78">
        <f>VLOOKUP(E286,'B. DATOS'!$B$34:$E$622,4,FALSE)</f>
        <v>487000</v>
      </c>
      <c r="M286" s="76">
        <f t="shared" si="44"/>
        <v>409080.00000000006</v>
      </c>
      <c r="N286" s="351"/>
      <c r="O286" s="80">
        <f t="shared" si="45"/>
        <v>3.3600000000000003</v>
      </c>
      <c r="P286" s="76">
        <f t="shared" si="43"/>
        <v>1636320.0000000002</v>
      </c>
    </row>
    <row r="287" spans="2:21" x14ac:dyDescent="0.25">
      <c r="B287" s="83" t="s">
        <v>1698</v>
      </c>
      <c r="C287" s="145" t="s">
        <v>1812</v>
      </c>
      <c r="D287" s="145" t="s">
        <v>251</v>
      </c>
      <c r="E287" s="84" t="s">
        <v>264</v>
      </c>
      <c r="G287" s="90">
        <f>+(G292*0.3)*1.3</f>
        <v>3.12</v>
      </c>
      <c r="H287" s="77" t="str">
        <f>VLOOKUP(E287,'B. DATOS'!$B$34:$E$622,2,FALSE)</f>
        <v>M3</v>
      </c>
      <c r="J287" s="29" t="s">
        <v>634</v>
      </c>
      <c r="L287" s="78">
        <f>VLOOKUP(E287,'B. DATOS'!$B$34:$E$622,4,FALSE)</f>
        <v>95000</v>
      </c>
      <c r="M287" s="76">
        <f t="shared" si="44"/>
        <v>296400</v>
      </c>
      <c r="N287" s="351"/>
      <c r="O287" s="80">
        <f t="shared" si="45"/>
        <v>12.48</v>
      </c>
      <c r="P287" s="76">
        <f t="shared" si="43"/>
        <v>1185600</v>
      </c>
    </row>
    <row r="288" spans="2:21" x14ac:dyDescent="0.25">
      <c r="B288" s="83" t="s">
        <v>1699</v>
      </c>
      <c r="C288" s="145" t="s">
        <v>1812</v>
      </c>
      <c r="D288" s="145" t="s">
        <v>778</v>
      </c>
      <c r="E288" s="84" t="s">
        <v>780</v>
      </c>
      <c r="G288" s="90">
        <f>+((F282+F283)*2)*1</f>
        <v>8</v>
      </c>
      <c r="H288" s="77" t="str">
        <f>VLOOKUP(E288,'B. DATOS'!$B$34:$E$622,2,FALSE)</f>
        <v>M2</v>
      </c>
      <c r="J288" s="29" t="s">
        <v>14</v>
      </c>
      <c r="L288" s="78">
        <f>VLOOKUP(E288,'B. DATOS'!$B$34:$E$622,4,FALSE)</f>
        <v>30000</v>
      </c>
      <c r="M288" s="76">
        <f t="shared" si="44"/>
        <v>240000</v>
      </c>
      <c r="N288" s="351"/>
      <c r="O288" s="80">
        <f t="shared" si="45"/>
        <v>32</v>
      </c>
      <c r="Q288" s="76">
        <f t="shared" ref="Q288:Q293" si="46">+M288*$N$282</f>
        <v>960000</v>
      </c>
    </row>
    <row r="289" spans="2:21" x14ac:dyDescent="0.25">
      <c r="B289" s="83" t="s">
        <v>1700</v>
      </c>
      <c r="C289" s="145" t="s">
        <v>1812</v>
      </c>
      <c r="D289" s="145" t="s">
        <v>778</v>
      </c>
      <c r="E289" s="84" t="s">
        <v>1214</v>
      </c>
      <c r="G289" s="90">
        <f>+G290</f>
        <v>0.89999999999999991</v>
      </c>
      <c r="H289" s="77" t="str">
        <f>VLOOKUP(E289,'B. DATOS'!$B$34:$E$622,2,FALSE)</f>
        <v>M3</v>
      </c>
      <c r="J289" s="29" t="s">
        <v>259</v>
      </c>
      <c r="L289" s="78">
        <f>VLOOKUP(E289,'B. DATOS'!$B$34:$E$622,4,FALSE)</f>
        <v>15000</v>
      </c>
      <c r="M289" s="76">
        <f t="shared" si="44"/>
        <v>13499.999999999998</v>
      </c>
      <c r="N289" s="351"/>
      <c r="O289" s="80">
        <f t="shared" si="45"/>
        <v>3.5999999999999996</v>
      </c>
      <c r="Q289" s="76">
        <f t="shared" si="46"/>
        <v>53999.999999999993</v>
      </c>
    </row>
    <row r="290" spans="2:21" x14ac:dyDescent="0.25">
      <c r="B290" s="83" t="s">
        <v>1701</v>
      </c>
      <c r="C290" s="145" t="s">
        <v>1812</v>
      </c>
      <c r="D290" s="145" t="s">
        <v>778</v>
      </c>
      <c r="E290" s="84" t="s">
        <v>267</v>
      </c>
      <c r="G290" s="90">
        <f>+(F282*F283)*0.3</f>
        <v>0.89999999999999991</v>
      </c>
      <c r="H290" s="77" t="str">
        <f>VLOOKUP(E290,'B. DATOS'!$B$34:$E$622,2,FALSE)</f>
        <v>M3</v>
      </c>
      <c r="J290" s="29" t="s">
        <v>259</v>
      </c>
      <c r="L290" s="78">
        <f>VLOOKUP(E290,'B. DATOS'!$B$34:$E$622,4,FALSE)</f>
        <v>26000</v>
      </c>
      <c r="M290" s="76">
        <f t="shared" si="44"/>
        <v>23399.999999999996</v>
      </c>
      <c r="N290" s="351"/>
      <c r="O290" s="80">
        <f t="shared" si="45"/>
        <v>3.5999999999999996</v>
      </c>
      <c r="Q290" s="76">
        <f t="shared" si="46"/>
        <v>93599.999999999985</v>
      </c>
    </row>
    <row r="291" spans="2:21" x14ac:dyDescent="0.25">
      <c r="B291" s="83" t="s">
        <v>1702</v>
      </c>
      <c r="C291" s="145" t="s">
        <v>1812</v>
      </c>
      <c r="D291" s="145" t="s">
        <v>778</v>
      </c>
      <c r="E291" s="84" t="s">
        <v>375</v>
      </c>
      <c r="G291" s="90">
        <f>+F281*F282</f>
        <v>0</v>
      </c>
      <c r="H291" s="77" t="str">
        <f>VLOOKUP(E291,'B. DATOS'!$B$34:$E$622,2,FALSE)</f>
        <v>M2</v>
      </c>
      <c r="J291" s="29" t="s">
        <v>14</v>
      </c>
      <c r="L291" s="78">
        <f>VLOOKUP(E291,'B. DATOS'!$B$34:$E$622,4,FALSE)</f>
        <v>50000</v>
      </c>
      <c r="M291" s="76">
        <f t="shared" si="44"/>
        <v>0</v>
      </c>
      <c r="N291" s="351"/>
      <c r="O291" s="80">
        <f t="shared" si="45"/>
        <v>0</v>
      </c>
      <c r="Q291" s="76">
        <f t="shared" si="46"/>
        <v>0</v>
      </c>
    </row>
    <row r="292" spans="2:21" x14ac:dyDescent="0.25">
      <c r="B292" s="83" t="s">
        <v>1703</v>
      </c>
      <c r="C292" s="145" t="s">
        <v>1812</v>
      </c>
      <c r="D292" s="145" t="s">
        <v>778</v>
      </c>
      <c r="E292" s="84" t="s">
        <v>764</v>
      </c>
      <c r="G292" s="90">
        <f>+G288</f>
        <v>8</v>
      </c>
      <c r="H292" s="77" t="str">
        <f>VLOOKUP(E292,'B. DATOS'!$B$34:$E$622,2,FALSE)</f>
        <v>M2</v>
      </c>
      <c r="J292" s="29" t="s">
        <v>14</v>
      </c>
      <c r="L292" s="78">
        <f>VLOOKUP(E292,'B. DATOS'!$B$34:$E$622,4,FALSE)</f>
        <v>13000</v>
      </c>
      <c r="M292" s="76">
        <f t="shared" si="44"/>
        <v>104000</v>
      </c>
      <c r="N292" s="351"/>
      <c r="O292" s="80">
        <f t="shared" si="45"/>
        <v>32</v>
      </c>
      <c r="Q292" s="76">
        <f t="shared" si="46"/>
        <v>416000</v>
      </c>
    </row>
    <row r="293" spans="2:21" x14ac:dyDescent="0.25">
      <c r="B293" s="83" t="s">
        <v>1704</v>
      </c>
      <c r="C293" s="145" t="s">
        <v>1812</v>
      </c>
      <c r="D293" s="145" t="s">
        <v>778</v>
      </c>
      <c r="E293" s="84" t="s">
        <v>401</v>
      </c>
      <c r="G293" s="89">
        <v>1</v>
      </c>
      <c r="H293" s="77" t="str">
        <f>VLOOKUP(E293,'B. DATOS'!$B$34:$E$622,2,FALSE)</f>
        <v>PTO</v>
      </c>
      <c r="J293" s="29" t="s">
        <v>740</v>
      </c>
      <c r="L293" s="78">
        <f>VLOOKUP(E293,'B. DATOS'!$B$34:$E$622,4,FALSE)</f>
        <v>55000</v>
      </c>
      <c r="M293" s="76">
        <f t="shared" si="44"/>
        <v>55000</v>
      </c>
      <c r="N293" s="351"/>
      <c r="O293" s="80">
        <f t="shared" si="45"/>
        <v>4</v>
      </c>
      <c r="Q293" s="76">
        <f t="shared" si="46"/>
        <v>220000</v>
      </c>
    </row>
    <row r="294" spans="2:21" s="39" customFormat="1" x14ac:dyDescent="0.25">
      <c r="B294" s="109">
        <v>7</v>
      </c>
      <c r="C294" s="143"/>
      <c r="D294" s="375" t="s">
        <v>420</v>
      </c>
      <c r="E294" s="376"/>
      <c r="F294" s="125"/>
      <c r="G294" s="125"/>
      <c r="H294" s="125"/>
      <c r="I294" s="125"/>
      <c r="J294" s="125"/>
      <c r="K294" s="125"/>
      <c r="L294" s="126"/>
      <c r="M294" s="126"/>
      <c r="N294" s="125"/>
      <c r="O294" s="125"/>
      <c r="P294" s="126">
        <f>+P295+P307</f>
        <v>9016292.3200000003</v>
      </c>
      <c r="Q294" s="126">
        <f>+Q295+Q307</f>
        <v>1526785</v>
      </c>
      <c r="R294" s="127">
        <f>+Q294+P294</f>
        <v>10543077.32</v>
      </c>
      <c r="S294" s="128"/>
      <c r="T294" s="182">
        <f>+T295+T307</f>
        <v>3.9331850447891524E-2</v>
      </c>
    </row>
    <row r="295" spans="2:21" s="39" customFormat="1" x14ac:dyDescent="0.25">
      <c r="B295" s="110">
        <v>7.1</v>
      </c>
      <c r="C295" s="144" t="s">
        <v>467</v>
      </c>
      <c r="D295" s="369" t="s">
        <v>421</v>
      </c>
      <c r="E295" s="370"/>
      <c r="F295" s="121"/>
      <c r="G295" s="121"/>
      <c r="H295" s="121"/>
      <c r="I295" s="121"/>
      <c r="J295" s="121"/>
      <c r="K295" s="121"/>
      <c r="L295" s="122"/>
      <c r="M295" s="122"/>
      <c r="N295" s="121"/>
      <c r="O295" s="121"/>
      <c r="P295" s="122">
        <f>+SUM(P296:P306)</f>
        <v>7206487.5</v>
      </c>
      <c r="Q295" s="122">
        <f>+SUM(Q296:Q306)</f>
        <v>151785</v>
      </c>
      <c r="R295" s="123">
        <f>+P295+Q295</f>
        <v>7358272.5</v>
      </c>
      <c r="S295" s="124">
        <f>+R295/'[2]1. GENERAL'!$C$7</f>
        <v>54180.638391870998</v>
      </c>
      <c r="T295" s="181" cm="1">
        <f t="array" ref="T295:U295">+R295/'[2]1. GENERAL'!$E$31:$F$31</f>
        <v>2.7450664046238152E-2</v>
      </c>
      <c r="U295" s="39" t="e">
        <v>#DIV/0!</v>
      </c>
    </row>
    <row r="296" spans="2:21" x14ac:dyDescent="0.25">
      <c r="B296" s="83" t="s">
        <v>1542</v>
      </c>
      <c r="C296" s="145" t="s">
        <v>467</v>
      </c>
      <c r="D296" s="145" t="s">
        <v>251</v>
      </c>
      <c r="E296" s="84" t="s">
        <v>425</v>
      </c>
      <c r="G296" s="80">
        <v>350</v>
      </c>
      <c r="H296" s="77" t="str">
        <f>VLOOKUP(E296,'B. DATOS'!$B$34:$E$622,2,FALSE)</f>
        <v>ML</v>
      </c>
      <c r="J296" s="29" t="s">
        <v>718</v>
      </c>
      <c r="L296" s="78">
        <f>VLOOKUP(E296,'B. DATOS'!$B$34:$E$622,4,FALSE)</f>
        <v>1400</v>
      </c>
      <c r="M296" s="76">
        <f>+L296*G296</f>
        <v>490000</v>
      </c>
      <c r="N296" s="351">
        <v>1</v>
      </c>
      <c r="O296" s="80">
        <f>+G296*$N$296</f>
        <v>350</v>
      </c>
      <c r="P296" s="76">
        <f>+M296*$N$296</f>
        <v>490000</v>
      </c>
    </row>
    <row r="297" spans="2:21" x14ac:dyDescent="0.25">
      <c r="B297" s="83" t="s">
        <v>1543</v>
      </c>
      <c r="C297" s="145" t="s">
        <v>467</v>
      </c>
      <c r="D297" s="145" t="s">
        <v>251</v>
      </c>
      <c r="E297" s="84" t="s">
        <v>426</v>
      </c>
      <c r="G297" s="80">
        <f>+G296*3</f>
        <v>1050</v>
      </c>
      <c r="H297" s="77" t="str">
        <f>VLOOKUP(E297,'B. DATOS'!$B$34:$E$622,2,FALSE)</f>
        <v>UND</v>
      </c>
      <c r="J297" s="29" t="s">
        <v>718</v>
      </c>
      <c r="L297" s="78">
        <f>VLOOKUP(E297,'B. DATOS'!$B$34:$E$622,4,FALSE)</f>
        <v>2300</v>
      </c>
      <c r="M297" s="76">
        <f t="shared" ref="M297:M306" si="47">+L297*G297</f>
        <v>2415000</v>
      </c>
      <c r="N297" s="351"/>
      <c r="O297" s="80">
        <f t="shared" ref="O297:O306" si="48">+G297*$N$296</f>
        <v>1050</v>
      </c>
      <c r="P297" s="76">
        <f t="shared" ref="P297:P304" si="49">+M297*$N$296</f>
        <v>2415000</v>
      </c>
    </row>
    <row r="298" spans="2:21" x14ac:dyDescent="0.25">
      <c r="B298" s="83" t="s">
        <v>1544</v>
      </c>
      <c r="C298" s="145" t="s">
        <v>467</v>
      </c>
      <c r="D298" s="145" t="s">
        <v>251</v>
      </c>
      <c r="E298" s="84" t="s">
        <v>427</v>
      </c>
      <c r="G298" s="80">
        <v>50</v>
      </c>
      <c r="H298" s="77" t="str">
        <f>VLOOKUP(E298,'B. DATOS'!$B$34:$E$622,2,FALSE)</f>
        <v>ML</v>
      </c>
      <c r="J298" s="29" t="s">
        <v>718</v>
      </c>
      <c r="L298" s="78">
        <f>VLOOKUP(E298,'B. DATOS'!$B$34:$E$622,4,FALSE)</f>
        <v>2500</v>
      </c>
      <c r="M298" s="76">
        <f>+L298*G298</f>
        <v>125000</v>
      </c>
      <c r="N298" s="351"/>
      <c r="O298" s="80">
        <f t="shared" si="48"/>
        <v>50</v>
      </c>
      <c r="P298" s="76">
        <f t="shared" si="49"/>
        <v>125000</v>
      </c>
    </row>
    <row r="299" spans="2:21" x14ac:dyDescent="0.25">
      <c r="B299" s="83" t="s">
        <v>1545</v>
      </c>
      <c r="C299" s="145" t="s">
        <v>467</v>
      </c>
      <c r="D299" s="145" t="s">
        <v>251</v>
      </c>
      <c r="E299" s="84" t="s">
        <v>448</v>
      </c>
      <c r="G299" s="80">
        <v>150</v>
      </c>
      <c r="H299" s="77" t="str">
        <f>VLOOKUP(E299,'B. DATOS'!$B$34:$E$622,2,FALSE)</f>
        <v>ML</v>
      </c>
      <c r="J299" s="29" t="s">
        <v>718</v>
      </c>
      <c r="L299" s="78">
        <f>VLOOKUP(E299,'B. DATOS'!$B$34:$E$622,4,FALSE)</f>
        <v>1800</v>
      </c>
      <c r="M299" s="76">
        <f>+L299*G299</f>
        <v>270000</v>
      </c>
      <c r="N299" s="351"/>
      <c r="O299" s="80">
        <f t="shared" si="48"/>
        <v>150</v>
      </c>
      <c r="P299" s="76">
        <f t="shared" si="49"/>
        <v>270000</v>
      </c>
    </row>
    <row r="300" spans="2:21" x14ac:dyDescent="0.25">
      <c r="B300" s="83" t="s">
        <v>1612</v>
      </c>
      <c r="C300" s="145" t="s">
        <v>467</v>
      </c>
      <c r="D300" s="145" t="s">
        <v>251</v>
      </c>
      <c r="E300" s="84" t="s">
        <v>428</v>
      </c>
      <c r="G300" s="80">
        <f>+(G298+G299)*3</f>
        <v>600</v>
      </c>
      <c r="H300" s="77" t="str">
        <f>VLOOKUP(E300,'B. DATOS'!$B$34:$E$622,2,FALSE)</f>
        <v>UND</v>
      </c>
      <c r="J300" s="29" t="s">
        <v>718</v>
      </c>
      <c r="L300" s="78">
        <f>VLOOKUP(E300,'B. DATOS'!$B$34:$E$622,4,FALSE)</f>
        <v>5900</v>
      </c>
      <c r="M300" s="76">
        <f t="shared" si="47"/>
        <v>3540000</v>
      </c>
      <c r="N300" s="351"/>
      <c r="O300" s="80">
        <f t="shared" si="48"/>
        <v>600</v>
      </c>
      <c r="P300" s="76">
        <f t="shared" si="49"/>
        <v>3540000</v>
      </c>
    </row>
    <row r="301" spans="2:21" x14ac:dyDescent="0.25">
      <c r="B301" s="83" t="s">
        <v>1613</v>
      </c>
      <c r="C301" s="145" t="s">
        <v>467</v>
      </c>
      <c r="D301" s="145" t="s">
        <v>251</v>
      </c>
      <c r="E301" s="84" t="s">
        <v>1356</v>
      </c>
      <c r="G301" s="29">
        <v>230</v>
      </c>
      <c r="H301" s="77" t="str">
        <f>VLOOKUP(E301,'B. DATOS'!$B$34:$E$622,2,FALSE)</f>
        <v>UND</v>
      </c>
      <c r="J301" s="29" t="s">
        <v>718</v>
      </c>
      <c r="L301" s="78">
        <f>VLOOKUP(E301,'B. DATOS'!$B$34:$E$622,4,FALSE)</f>
        <v>900</v>
      </c>
      <c r="M301" s="76">
        <f t="shared" si="47"/>
        <v>207000</v>
      </c>
      <c r="N301" s="351"/>
      <c r="O301" s="80">
        <f t="shared" si="48"/>
        <v>230</v>
      </c>
      <c r="P301" s="76">
        <f t="shared" si="49"/>
        <v>207000</v>
      </c>
    </row>
    <row r="302" spans="2:21" x14ac:dyDescent="0.25">
      <c r="B302" s="83" t="s">
        <v>1614</v>
      </c>
      <c r="C302" s="145" t="s">
        <v>467</v>
      </c>
      <c r="D302" s="145" t="s">
        <v>251</v>
      </c>
      <c r="E302" s="84" t="s">
        <v>449</v>
      </c>
      <c r="G302" s="29">
        <f>+G296*0.3</f>
        <v>105</v>
      </c>
      <c r="H302" s="77" t="str">
        <f>VLOOKUP(E302,'B. DATOS'!$B$34:$E$622,2,FALSE)</f>
        <v>UND</v>
      </c>
      <c r="J302" s="29" t="s">
        <v>718</v>
      </c>
      <c r="L302" s="78">
        <f>VLOOKUP(E302,'B. DATOS'!$B$34:$E$622,4,FALSE)</f>
        <v>1300</v>
      </c>
      <c r="M302" s="76">
        <f t="shared" si="47"/>
        <v>136500</v>
      </c>
      <c r="N302" s="351"/>
      <c r="O302" s="80">
        <f t="shared" si="48"/>
        <v>105</v>
      </c>
      <c r="P302" s="76">
        <f t="shared" si="49"/>
        <v>136500</v>
      </c>
    </row>
    <row r="303" spans="2:21" x14ac:dyDescent="0.25">
      <c r="B303" s="83" t="s">
        <v>1615</v>
      </c>
      <c r="C303" s="145" t="s">
        <v>467</v>
      </c>
      <c r="D303" s="145" t="s">
        <v>251</v>
      </c>
      <c r="E303" s="84" t="s">
        <v>430</v>
      </c>
      <c r="G303" s="29">
        <f>+(G298+G299)*0.3</f>
        <v>60</v>
      </c>
      <c r="H303" s="77" t="str">
        <f>VLOOKUP(E303,'B. DATOS'!$B$34:$E$622,2,FALSE)</f>
        <v>UND</v>
      </c>
      <c r="J303" s="29" t="s">
        <v>718</v>
      </c>
      <c r="L303" s="78">
        <f>VLOOKUP(E303,'B. DATOS'!$B$34:$E$622,4,FALSE)</f>
        <v>300</v>
      </c>
      <c r="M303" s="76">
        <f t="shared" si="47"/>
        <v>18000</v>
      </c>
      <c r="N303" s="351"/>
      <c r="O303" s="80">
        <f t="shared" si="48"/>
        <v>60</v>
      </c>
      <c r="P303" s="76">
        <f t="shared" si="49"/>
        <v>18000</v>
      </c>
    </row>
    <row r="304" spans="2:21" x14ac:dyDescent="0.25">
      <c r="B304" s="83" t="s">
        <v>1616</v>
      </c>
      <c r="C304" s="145" t="s">
        <v>467</v>
      </c>
      <c r="D304" s="145" t="s">
        <v>251</v>
      </c>
      <c r="E304" s="84" t="s">
        <v>264</v>
      </c>
      <c r="G304" s="80">
        <v>5.2500000000000012E-2</v>
      </c>
      <c r="H304" s="77" t="str">
        <f>VLOOKUP(E304,'B. DATOS'!$B$34:$E$622,2,FALSE)</f>
        <v>M3</v>
      </c>
      <c r="J304" s="29" t="s">
        <v>634</v>
      </c>
      <c r="L304" s="78">
        <f>VLOOKUP(E304,'B. DATOS'!$B$34:$E$622,4,FALSE)</f>
        <v>95000</v>
      </c>
      <c r="M304" s="76">
        <f t="shared" si="47"/>
        <v>4987.5000000000009</v>
      </c>
      <c r="N304" s="351"/>
      <c r="O304" s="80">
        <f t="shared" si="48"/>
        <v>5.2500000000000012E-2</v>
      </c>
      <c r="P304" s="76">
        <f t="shared" si="49"/>
        <v>4987.5000000000009</v>
      </c>
    </row>
    <row r="305" spans="2:21" x14ac:dyDescent="0.25">
      <c r="B305" s="83" t="s">
        <v>1617</v>
      </c>
      <c r="C305" s="145" t="s">
        <v>467</v>
      </c>
      <c r="D305" s="145" t="s">
        <v>778</v>
      </c>
      <c r="E305" s="84" t="s">
        <v>328</v>
      </c>
      <c r="G305" s="80">
        <v>5.2500000000000012E-2</v>
      </c>
      <c r="H305" s="77" t="str">
        <f>VLOOKUP(E305,'B. DATOS'!$B$34:$E$622,2,FALSE)</f>
        <v>M3</v>
      </c>
      <c r="J305" s="29" t="s">
        <v>259</v>
      </c>
      <c r="L305" s="78">
        <f>VLOOKUP(E305,'B. DATOS'!$B$34:$E$622,4,FALSE)</f>
        <v>34000</v>
      </c>
      <c r="M305" s="76">
        <f t="shared" si="47"/>
        <v>1785.0000000000005</v>
      </c>
      <c r="N305" s="351"/>
      <c r="O305" s="80">
        <f t="shared" si="48"/>
        <v>5.2500000000000012E-2</v>
      </c>
      <c r="Q305" s="76">
        <f>+M305*$N$296</f>
        <v>1785.0000000000005</v>
      </c>
    </row>
    <row r="306" spans="2:21" x14ac:dyDescent="0.25">
      <c r="B306" s="83" t="s">
        <v>1618</v>
      </c>
      <c r="C306" s="145" t="s">
        <v>467</v>
      </c>
      <c r="D306" s="145" t="s">
        <v>778</v>
      </c>
      <c r="E306" s="84" t="s">
        <v>445</v>
      </c>
      <c r="G306" s="29">
        <v>10</v>
      </c>
      <c r="H306" s="77" t="str">
        <f>VLOOKUP(E306,'B. DATOS'!$B$34:$E$622,2,FALSE)</f>
        <v>ML</v>
      </c>
      <c r="J306" s="29" t="s">
        <v>777</v>
      </c>
      <c r="L306" s="78">
        <f>VLOOKUP(E306,'B. DATOS'!$B$34:$E$622,4,FALSE)</f>
        <v>15000</v>
      </c>
      <c r="M306" s="76">
        <f t="shared" si="47"/>
        <v>150000</v>
      </c>
      <c r="N306" s="351"/>
      <c r="O306" s="80">
        <f t="shared" si="48"/>
        <v>10</v>
      </c>
      <c r="Q306" s="76">
        <f>+M306*$N$296</f>
        <v>150000</v>
      </c>
    </row>
    <row r="307" spans="2:21" s="39" customFormat="1" x14ac:dyDescent="0.25">
      <c r="B307" s="110">
        <v>7.2</v>
      </c>
      <c r="C307" s="144" t="s">
        <v>467</v>
      </c>
      <c r="D307" s="369" t="s">
        <v>470</v>
      </c>
      <c r="E307" s="370"/>
      <c r="F307" s="121"/>
      <c r="G307" s="121"/>
      <c r="H307" s="121"/>
      <c r="I307" s="121"/>
      <c r="J307" s="121"/>
      <c r="K307" s="121"/>
      <c r="L307" s="122"/>
      <c r="M307" s="122"/>
      <c r="N307" s="121"/>
      <c r="O307" s="121"/>
      <c r="P307" s="122">
        <f>+SUM(P308:P315)</f>
        <v>1809804.8199999998</v>
      </c>
      <c r="Q307" s="122">
        <f>+SUM(Q308:Q315)</f>
        <v>1375000</v>
      </c>
      <c r="R307" s="123">
        <f>+P307+Q307</f>
        <v>3184804.82</v>
      </c>
      <c r="S307" s="124">
        <f>+R307/'[2]1. GENERAL'!$C$7</f>
        <v>23450.444149915322</v>
      </c>
      <c r="T307" s="181" cm="1">
        <f t="array" ref="T307:U307">+R307/'[2]1. GENERAL'!$E$31:$F$31</f>
        <v>1.1881186401653372E-2</v>
      </c>
      <c r="U307" s="39" t="e">
        <v>#DIV/0!</v>
      </c>
    </row>
    <row r="308" spans="2:21" x14ac:dyDescent="0.25">
      <c r="B308" s="83" t="s">
        <v>1619</v>
      </c>
      <c r="C308" s="145" t="s">
        <v>467</v>
      </c>
      <c r="D308" s="145" t="s">
        <v>251</v>
      </c>
      <c r="E308" s="84" t="s">
        <v>425</v>
      </c>
      <c r="G308" s="80">
        <v>2.3729999999999998</v>
      </c>
      <c r="H308" s="77" t="str">
        <f>VLOOKUP(E308,'B. DATOS'!$B$34:$E$622,2,FALSE)</f>
        <v>ML</v>
      </c>
      <c r="J308" s="29" t="s">
        <v>718</v>
      </c>
      <c r="L308" s="78">
        <f>VLOOKUP(E308,'B. DATOS'!$B$34:$E$622,4,FALSE)</f>
        <v>1400</v>
      </c>
      <c r="M308" s="76">
        <f>+L308*G308</f>
        <v>3322.2</v>
      </c>
      <c r="N308" s="351">
        <v>1</v>
      </c>
      <c r="O308" s="80">
        <f>+G308*$N$311</f>
        <v>0</v>
      </c>
      <c r="P308" s="76">
        <f>+M308*$N$308</f>
        <v>3322.2</v>
      </c>
    </row>
    <row r="309" spans="2:21" x14ac:dyDescent="0.25">
      <c r="B309" s="83" t="s">
        <v>1620</v>
      </c>
      <c r="C309" s="145" t="s">
        <v>467</v>
      </c>
      <c r="D309" s="145" t="s">
        <v>251</v>
      </c>
      <c r="E309" s="84" t="s">
        <v>448</v>
      </c>
      <c r="G309" s="80">
        <v>104.97900000000001</v>
      </c>
      <c r="H309" s="77" t="str">
        <f>VLOOKUP(E309,'B. DATOS'!$B$34:$E$622,2,FALSE)</f>
        <v>ML</v>
      </c>
      <c r="J309" s="29" t="s">
        <v>718</v>
      </c>
      <c r="L309" s="78">
        <f>VLOOKUP(E309,'B. DATOS'!$B$34:$E$622,4,FALSE)</f>
        <v>1800</v>
      </c>
      <c r="M309" s="76">
        <f>+L309*G309</f>
        <v>188962.2</v>
      </c>
      <c r="N309" s="351"/>
      <c r="O309" s="80">
        <f>+G309*$N$311</f>
        <v>0</v>
      </c>
      <c r="P309" s="76">
        <f t="shared" ref="P309:P314" si="50">+M309*$N$308</f>
        <v>188962.2</v>
      </c>
    </row>
    <row r="310" spans="2:21" x14ac:dyDescent="0.25">
      <c r="B310" s="83" t="s">
        <v>1621</v>
      </c>
      <c r="C310" s="145" t="s">
        <v>467</v>
      </c>
      <c r="D310" s="145" t="s">
        <v>251</v>
      </c>
      <c r="E310" s="84" t="s">
        <v>426</v>
      </c>
      <c r="G310" s="80">
        <v>7.1189999999999998</v>
      </c>
      <c r="H310" s="77" t="str">
        <f>VLOOKUP(E310,'B. DATOS'!$B$34:$E$622,2,FALSE)</f>
        <v>UND</v>
      </c>
      <c r="J310" s="29" t="s">
        <v>718</v>
      </c>
      <c r="L310" s="78">
        <f>VLOOKUP(E310,'B. DATOS'!$B$34:$E$622,4,FALSE)</f>
        <v>2300</v>
      </c>
      <c r="M310" s="76">
        <f t="shared" ref="M310:M315" si="51">+L310*G310</f>
        <v>16373.699999999999</v>
      </c>
      <c r="N310" s="351"/>
      <c r="O310" s="80">
        <f t="shared" ref="O310:O315" si="52">+G310*$N$311</f>
        <v>0</v>
      </c>
      <c r="P310" s="76">
        <f t="shared" si="50"/>
        <v>16373.699999999999</v>
      </c>
    </row>
    <row r="311" spans="2:21" x14ac:dyDescent="0.25">
      <c r="B311" s="83" t="s">
        <v>1622</v>
      </c>
      <c r="C311" s="145" t="s">
        <v>467</v>
      </c>
      <c r="D311" s="145" t="s">
        <v>251</v>
      </c>
      <c r="E311" s="84" t="s">
        <v>430</v>
      </c>
      <c r="G311" s="29">
        <v>53.676000000000009</v>
      </c>
      <c r="H311" s="77" t="str">
        <f>VLOOKUP(E311,'B. DATOS'!$B$34:$E$622,2,FALSE)</f>
        <v>UND</v>
      </c>
      <c r="J311" s="29" t="s">
        <v>718</v>
      </c>
      <c r="L311" s="78">
        <f>VLOOKUP(E311,'B. DATOS'!$B$34:$E$622,4,FALSE)</f>
        <v>300</v>
      </c>
      <c r="M311" s="76">
        <f t="shared" si="51"/>
        <v>16102.800000000003</v>
      </c>
      <c r="N311" s="351"/>
      <c r="O311" s="80">
        <f t="shared" si="52"/>
        <v>0</v>
      </c>
      <c r="P311" s="76">
        <f t="shared" si="50"/>
        <v>16102.800000000003</v>
      </c>
    </row>
    <row r="312" spans="2:21" x14ac:dyDescent="0.25">
      <c r="B312" s="83" t="s">
        <v>1623</v>
      </c>
      <c r="C312" s="145" t="s">
        <v>467</v>
      </c>
      <c r="D312" s="145" t="s">
        <v>251</v>
      </c>
      <c r="E312" s="84" t="s">
        <v>452</v>
      </c>
      <c r="G312" s="29">
        <v>25</v>
      </c>
      <c r="H312" s="77" t="str">
        <f>VLOOKUP(E312,'B. DATOS'!$B$34:$E$622,2,FALSE)</f>
        <v>UND</v>
      </c>
      <c r="J312" s="29" t="s">
        <v>718</v>
      </c>
      <c r="L312" s="78">
        <f>VLOOKUP(E312,'B. DATOS'!$B$34:$E$622,4,FALSE)</f>
        <v>60000</v>
      </c>
      <c r="M312" s="76">
        <f t="shared" si="51"/>
        <v>1500000</v>
      </c>
      <c r="N312" s="351"/>
      <c r="O312" s="80">
        <f t="shared" si="52"/>
        <v>0</v>
      </c>
      <c r="P312" s="76">
        <f t="shared" si="50"/>
        <v>1500000</v>
      </c>
    </row>
    <row r="313" spans="2:21" x14ac:dyDescent="0.25">
      <c r="B313" s="83" t="s">
        <v>1624</v>
      </c>
      <c r="C313" s="145" t="s">
        <v>467</v>
      </c>
      <c r="D313" s="145" t="s">
        <v>251</v>
      </c>
      <c r="E313" s="84" t="s">
        <v>442</v>
      </c>
      <c r="G313" s="29">
        <v>10.735200000000003</v>
      </c>
      <c r="H313" s="77" t="str">
        <f>VLOOKUP(E313,'B. DATOS'!$B$34:$E$622,2,FALSE)</f>
        <v>UND</v>
      </c>
      <c r="J313" s="29" t="s">
        <v>718</v>
      </c>
      <c r="L313" s="78">
        <f>VLOOKUP(E313,'B. DATOS'!$B$34:$E$622,4,FALSE)</f>
        <v>2100</v>
      </c>
      <c r="M313" s="76">
        <f t="shared" si="51"/>
        <v>22543.920000000006</v>
      </c>
      <c r="N313" s="351"/>
      <c r="O313" s="80">
        <f>+G313*$N$299</f>
        <v>0</v>
      </c>
      <c r="P313" s="76">
        <f t="shared" si="50"/>
        <v>22543.920000000006</v>
      </c>
    </row>
    <row r="314" spans="2:21" x14ac:dyDescent="0.25">
      <c r="B314" s="83" t="s">
        <v>1625</v>
      </c>
      <c r="C314" s="145" t="s">
        <v>467</v>
      </c>
      <c r="D314" s="145" t="s">
        <v>251</v>
      </c>
      <c r="E314" s="84" t="s">
        <v>441</v>
      </c>
      <c r="G314" s="29">
        <f>+G312</f>
        <v>25</v>
      </c>
      <c r="H314" s="77" t="str">
        <f>VLOOKUP(E314,'B. DATOS'!$B$34:$E$622,2,FALSE)</f>
        <v>UND</v>
      </c>
      <c r="J314" s="29" t="s">
        <v>718</v>
      </c>
      <c r="L314" s="78">
        <f>VLOOKUP(E314,'B. DATOS'!$B$34:$E$622,4,FALSE)</f>
        <v>2500</v>
      </c>
      <c r="M314" s="76">
        <f t="shared" si="51"/>
        <v>62500</v>
      </c>
      <c r="N314" s="351"/>
      <c r="O314" s="80">
        <f t="shared" si="52"/>
        <v>0</v>
      </c>
      <c r="P314" s="76">
        <f t="shared" si="50"/>
        <v>62500</v>
      </c>
    </row>
    <row r="315" spans="2:21" x14ac:dyDescent="0.25">
      <c r="B315" s="83" t="s">
        <v>1626</v>
      </c>
      <c r="C315" s="145" t="s">
        <v>467</v>
      </c>
      <c r="D315" s="145" t="s">
        <v>778</v>
      </c>
      <c r="E315" s="84" t="s">
        <v>447</v>
      </c>
      <c r="G315" s="29">
        <f>+G312</f>
        <v>25</v>
      </c>
      <c r="H315" s="77" t="str">
        <f>VLOOKUP(E315,'B. DATOS'!$B$34:$E$622,2,FALSE)</f>
        <v>PTO</v>
      </c>
      <c r="J315" s="29" t="s">
        <v>777</v>
      </c>
      <c r="L315" s="78">
        <f>VLOOKUP(E315,'B. DATOS'!$B$34:$E$622,4,FALSE)</f>
        <v>55000</v>
      </c>
      <c r="M315" s="76">
        <f t="shared" si="51"/>
        <v>1375000</v>
      </c>
      <c r="N315" s="351"/>
      <c r="O315" s="80">
        <f t="shared" si="52"/>
        <v>0</v>
      </c>
      <c r="Q315" s="76">
        <f>+M315*$N$308</f>
        <v>1375000</v>
      </c>
    </row>
    <row r="316" spans="2:21" s="39" customFormat="1" x14ac:dyDescent="0.25">
      <c r="B316" s="109">
        <v>9</v>
      </c>
      <c r="C316" s="143"/>
      <c r="D316" s="375" t="s">
        <v>512</v>
      </c>
      <c r="E316" s="376"/>
      <c r="F316" s="125"/>
      <c r="G316" s="125"/>
      <c r="H316" s="125"/>
      <c r="I316" s="125"/>
      <c r="J316" s="125"/>
      <c r="K316" s="125"/>
      <c r="L316" s="126"/>
      <c r="M316" s="126"/>
      <c r="N316" s="125"/>
      <c r="O316" s="125"/>
      <c r="P316" s="126">
        <f>+P335+P317+P326+P340</f>
        <v>14891131.195000004</v>
      </c>
      <c r="Q316" s="126">
        <f>+Q335+Q317+Q326+Q340</f>
        <v>19677075</v>
      </c>
      <c r="R316" s="127">
        <f>+Q316+P316</f>
        <v>34568206.195000008</v>
      </c>
      <c r="S316" s="128"/>
      <c r="T316" s="182">
        <f>+T335</f>
        <v>4.9195658248065467E-3</v>
      </c>
    </row>
    <row r="317" spans="2:21" s="39" customFormat="1" x14ac:dyDescent="0.25">
      <c r="B317" s="110">
        <v>9.1</v>
      </c>
      <c r="C317" s="144" t="s">
        <v>1812</v>
      </c>
      <c r="D317" s="369" t="s">
        <v>1894</v>
      </c>
      <c r="E317" s="370"/>
      <c r="F317" s="121"/>
      <c r="G317" s="121"/>
      <c r="H317" s="121"/>
      <c r="I317" s="121"/>
      <c r="J317" s="121"/>
      <c r="K317" s="121"/>
      <c r="L317" s="122"/>
      <c r="M317" s="122"/>
      <c r="N317" s="121"/>
      <c r="O317" s="121"/>
      <c r="P317" s="122">
        <f>+SUM(P318:P325)</f>
        <v>11128235.355000004</v>
      </c>
      <c r="Q317" s="122">
        <f>+SUM(Q318:Q325)</f>
        <v>19130175</v>
      </c>
      <c r="R317" s="123">
        <f>+P317+Q317</f>
        <v>30258410.355000004</v>
      </c>
      <c r="S317" s="124">
        <f>+R317/G325</f>
        <v>106765.5</v>
      </c>
      <c r="T317" s="181">
        <f t="array" ref="T317:U317">+R317/'[6]1. GENERAL'!$E$31:$F$31</f>
        <v>0.11713012320808246</v>
      </c>
      <c r="U317" s="39" t="e">
        <v>#REF!</v>
      </c>
    </row>
    <row r="318" spans="2:21" x14ac:dyDescent="0.25">
      <c r="B318" s="83" t="s">
        <v>1654</v>
      </c>
      <c r="C318" s="145" t="s">
        <v>1812</v>
      </c>
      <c r="D318" s="145" t="s">
        <v>251</v>
      </c>
      <c r="E318" s="84" t="s">
        <v>515</v>
      </c>
      <c r="G318" s="89">
        <f>+(G324/1.2)*1.05</f>
        <v>247.98375000000004</v>
      </c>
      <c r="H318" s="77" t="str">
        <f>VLOOKUP(E318,'B. DATOS'!$B$34:$E$622,2,FALSE)</f>
        <v>BTO</v>
      </c>
      <c r="J318" s="29" t="s">
        <v>508</v>
      </c>
      <c r="L318" s="78">
        <f>VLOOKUP(E318,'B. DATOS'!$B$34:$E$622,4,FALSE)</f>
        <v>18000</v>
      </c>
      <c r="M318" s="76">
        <f>+L318*G318</f>
        <v>4463707.5000000009</v>
      </c>
      <c r="N318" s="351">
        <v>1</v>
      </c>
      <c r="O318" s="80">
        <f>+G318*$N$318</f>
        <v>247.98375000000004</v>
      </c>
      <c r="P318" s="76">
        <f>+M318*$N$318</f>
        <v>4463707.5000000009</v>
      </c>
      <c r="T318"/>
    </row>
    <row r="319" spans="2:21" x14ac:dyDescent="0.25">
      <c r="B319" s="83" t="s">
        <v>1655</v>
      </c>
      <c r="C319" s="145" t="s">
        <v>1812</v>
      </c>
      <c r="D319" s="145" t="s">
        <v>251</v>
      </c>
      <c r="E319" s="84" t="s">
        <v>266</v>
      </c>
      <c r="G319" s="89">
        <f>+G318*0.01</f>
        <v>2.4798375000000004</v>
      </c>
      <c r="H319" s="77" t="str">
        <f>VLOOKUP(E319,'B. DATOS'!$B$34:$E$622,2,FALSE)</f>
        <v>KG</v>
      </c>
      <c r="J319" s="29" t="s">
        <v>274</v>
      </c>
      <c r="L319" s="78">
        <f>VLOOKUP(E319,'B. DATOS'!$B$34:$E$622,4,FALSE)</f>
        <v>8000</v>
      </c>
      <c r="M319" s="76">
        <f t="shared" ref="M319:M325" si="53">+L319*G319</f>
        <v>19838.700000000004</v>
      </c>
      <c r="N319" s="351"/>
      <c r="O319" s="80">
        <f t="shared" ref="O319:O325" si="54">+G319*$N$318</f>
        <v>2.4798375000000004</v>
      </c>
      <c r="P319" s="76">
        <f>+M319*$N$318</f>
        <v>19838.700000000004</v>
      </c>
      <c r="T319"/>
    </row>
    <row r="320" spans="2:21" x14ac:dyDescent="0.25">
      <c r="B320" s="83" t="s">
        <v>1656</v>
      </c>
      <c r="C320" s="145" t="s">
        <v>1812</v>
      </c>
      <c r="D320" s="145" t="s">
        <v>251</v>
      </c>
      <c r="E320" s="84" t="s">
        <v>278</v>
      </c>
      <c r="G320" s="89">
        <f>+G318*0.01</f>
        <v>2.4798375000000004</v>
      </c>
      <c r="H320" s="77" t="str">
        <f>VLOOKUP(E320,'B. DATOS'!$B$34:$E$622,2,FALSE)</f>
        <v>LB</v>
      </c>
      <c r="J320" s="29" t="s">
        <v>274</v>
      </c>
      <c r="L320" s="78">
        <f>VLOOKUP(E320,'B. DATOS'!$B$34:$E$622,4,FALSE)</f>
        <v>5200</v>
      </c>
      <c r="M320" s="76">
        <f t="shared" si="53"/>
        <v>12895.155000000002</v>
      </c>
      <c r="N320" s="351"/>
      <c r="O320" s="80">
        <f t="shared" si="54"/>
        <v>2.4798375000000004</v>
      </c>
      <c r="P320" s="76">
        <f>+M320*$N$318</f>
        <v>12895.155000000002</v>
      </c>
      <c r="T320"/>
    </row>
    <row r="321" spans="2:21" x14ac:dyDescent="0.25">
      <c r="B321" s="83" t="s">
        <v>1657</v>
      </c>
      <c r="C321" s="145" t="s">
        <v>1812</v>
      </c>
      <c r="D321" s="145" t="s">
        <v>251</v>
      </c>
      <c r="E321" s="84" t="s">
        <v>1668</v>
      </c>
      <c r="G321" s="80">
        <f>+G325*1.2</f>
        <v>340.09200000000004</v>
      </c>
      <c r="H321" s="77" t="str">
        <f>VLOOKUP(E321,'B. DATOS'!$B$34:$E$622,2,FALSE)</f>
        <v>M2</v>
      </c>
      <c r="J321" s="29" t="s">
        <v>512</v>
      </c>
      <c r="L321" s="78">
        <f>VLOOKUP(E321,'B. DATOS'!$B$34:$E$622,4,FALSE)</f>
        <v>18100</v>
      </c>
      <c r="M321" s="76">
        <f t="shared" si="53"/>
        <v>6155665.2000000011</v>
      </c>
      <c r="N321" s="351"/>
      <c r="O321" s="80">
        <f t="shared" si="54"/>
        <v>340.09200000000004</v>
      </c>
      <c r="P321" s="76">
        <f>+M321*$N$318</f>
        <v>6155665.2000000011</v>
      </c>
      <c r="T321"/>
    </row>
    <row r="322" spans="2:21" x14ac:dyDescent="0.25">
      <c r="B322" s="83" t="s">
        <v>1658</v>
      </c>
      <c r="C322" s="145" t="s">
        <v>1812</v>
      </c>
      <c r="D322" s="145" t="s">
        <v>251</v>
      </c>
      <c r="E322" s="84" t="s">
        <v>1670</v>
      </c>
      <c r="G322" s="80">
        <f>+G321*2</f>
        <v>680.18400000000008</v>
      </c>
      <c r="H322" s="77" t="str">
        <f>VLOOKUP(E322,'B. DATOS'!$B$34:$E$622,2,FALSE)</f>
        <v>UND</v>
      </c>
      <c r="J322" s="29" t="s">
        <v>512</v>
      </c>
      <c r="L322" s="78">
        <f>VLOOKUP(E322,'B. DATOS'!$B$34:$E$622,4,FALSE)</f>
        <v>700</v>
      </c>
      <c r="M322" s="76">
        <f t="shared" si="53"/>
        <v>476128.80000000005</v>
      </c>
      <c r="N322" s="351"/>
      <c r="O322" s="80">
        <f t="shared" si="54"/>
        <v>680.18400000000008</v>
      </c>
      <c r="P322" s="76">
        <f>+M322*$N$318</f>
        <v>476128.80000000005</v>
      </c>
      <c r="T322"/>
    </row>
    <row r="323" spans="2:21" x14ac:dyDescent="0.25">
      <c r="B323" s="83" t="s">
        <v>1659</v>
      </c>
      <c r="C323" s="145" t="s">
        <v>1812</v>
      </c>
      <c r="D323" s="145" t="s">
        <v>778</v>
      </c>
      <c r="E323" s="84" t="s">
        <v>563</v>
      </c>
      <c r="G323" s="89">
        <f>+G324</f>
        <v>283.41000000000003</v>
      </c>
      <c r="H323" s="77" t="str">
        <f>VLOOKUP(E323,'B. DATOS'!$B$34:$E$622,2,FALSE)</f>
        <v>M2</v>
      </c>
      <c r="J323" s="29" t="s">
        <v>751</v>
      </c>
      <c r="L323" s="78">
        <f>VLOOKUP(E323,'B. DATOS'!$B$34:$E$622,4,FALSE)</f>
        <v>12500</v>
      </c>
      <c r="M323" s="76">
        <f t="shared" si="53"/>
        <v>3542625.0000000005</v>
      </c>
      <c r="N323" s="351"/>
      <c r="O323" s="80">
        <f t="shared" si="54"/>
        <v>283.41000000000003</v>
      </c>
      <c r="Q323" s="76">
        <f>+M323*$N$318</f>
        <v>3542625.0000000005</v>
      </c>
      <c r="T323"/>
    </row>
    <row r="324" spans="2:21" x14ac:dyDescent="0.25">
      <c r="B324" s="83" t="s">
        <v>1660</v>
      </c>
      <c r="C324" s="145" t="s">
        <v>1812</v>
      </c>
      <c r="D324" s="145" t="s">
        <v>778</v>
      </c>
      <c r="E324" s="84" t="s">
        <v>517</v>
      </c>
      <c r="G324" s="89">
        <f>+G325</f>
        <v>283.41000000000003</v>
      </c>
      <c r="H324" s="77" t="str">
        <f>VLOOKUP(E324,'B. DATOS'!$B$34:$E$622,2,FALSE)</f>
        <v>M2</v>
      </c>
      <c r="J324" s="29" t="s">
        <v>14</v>
      </c>
      <c r="L324" s="78">
        <f>VLOOKUP(E324,'B. DATOS'!$B$34:$E$622,4,FALSE)</f>
        <v>25000</v>
      </c>
      <c r="M324" s="76">
        <f t="shared" si="53"/>
        <v>7085250.0000000009</v>
      </c>
      <c r="N324" s="351"/>
      <c r="O324" s="80">
        <f t="shared" si="54"/>
        <v>283.41000000000003</v>
      </c>
      <c r="Q324" s="76">
        <f>+M324*$N$318</f>
        <v>7085250.0000000009</v>
      </c>
      <c r="T324"/>
    </row>
    <row r="325" spans="2:21" s="82" customFormat="1" x14ac:dyDescent="0.25">
      <c r="B325" s="83" t="s">
        <v>1661</v>
      </c>
      <c r="C325" s="145" t="s">
        <v>1812</v>
      </c>
      <c r="D325" s="145" t="s">
        <v>778</v>
      </c>
      <c r="E325" s="84" t="s">
        <v>1403</v>
      </c>
      <c r="F325" s="29"/>
      <c r="G325" s="80">
        <f>+'2. CANTIDADES'!HO2+'2. CANTIDADES'!HE2+'2. CANTIDADES'!GU2</f>
        <v>283.41000000000003</v>
      </c>
      <c r="H325" s="77" t="str">
        <f>VLOOKUP(E325,'B. DATOS'!$B$34:$E$622,2,FALSE)</f>
        <v>M2</v>
      </c>
      <c r="I325" s="29"/>
      <c r="J325" s="29" t="s">
        <v>14</v>
      </c>
      <c r="K325" s="29"/>
      <c r="L325" s="78">
        <f>VLOOKUP(E325,'B. DATOS'!$B$34:$E$622,4,FALSE)</f>
        <v>30000</v>
      </c>
      <c r="M325" s="76">
        <f t="shared" si="53"/>
        <v>8502300</v>
      </c>
      <c r="N325" s="351"/>
      <c r="O325" s="80">
        <f t="shared" si="54"/>
        <v>283.41000000000003</v>
      </c>
      <c r="P325" s="76"/>
      <c r="Q325" s="76">
        <f>+M325*$N$318</f>
        <v>8502300</v>
      </c>
      <c r="S325" s="4"/>
      <c r="T325"/>
      <c r="U325" s="6"/>
    </row>
    <row r="326" spans="2:21" s="39" customFormat="1" x14ac:dyDescent="0.25">
      <c r="B326" s="110">
        <v>9.1999999999999993</v>
      </c>
      <c r="C326" s="144" t="s">
        <v>1812</v>
      </c>
      <c r="D326" s="369" t="s">
        <v>1742</v>
      </c>
      <c r="E326" s="370"/>
      <c r="F326" s="121"/>
      <c r="G326" s="121"/>
      <c r="H326" s="121"/>
      <c r="I326" s="121"/>
      <c r="J326" s="121"/>
      <c r="K326" s="121"/>
      <c r="L326" s="122"/>
      <c r="M326" s="122"/>
      <c r="N326" s="121"/>
      <c r="O326" s="121"/>
      <c r="P326" s="122">
        <f>+SUM(P330:P334)</f>
        <v>1356580.6</v>
      </c>
      <c r="Q326" s="122">
        <f>+SUM(Q330:Q334)</f>
        <v>93900</v>
      </c>
      <c r="R326" s="123">
        <f>+P326+Q326</f>
        <v>1450480.6</v>
      </c>
      <c r="S326" s="124">
        <f>+R326/G334</f>
        <v>231706.16613418533</v>
      </c>
      <c r="T326" s="181" cm="1">
        <f t="array" ref="T326:U326">+R326/'1. GENERAL'!$E$31:$F$31</f>
        <v>2.9666228347254835E-3</v>
      </c>
      <c r="U326" s="39" t="e">
        <v>#DIV/0!</v>
      </c>
    </row>
    <row r="327" spans="2:21" x14ac:dyDescent="0.25">
      <c r="B327" s="83" t="s">
        <v>1662</v>
      </c>
      <c r="C327" s="145" t="s">
        <v>1812</v>
      </c>
      <c r="D327" s="145" t="s">
        <v>251</v>
      </c>
      <c r="E327" s="84" t="s">
        <v>1398</v>
      </c>
      <c r="G327" s="79">
        <f>+('2. CANTIDADES'!DM2*6)*1.1</f>
        <v>69.300000000000011</v>
      </c>
      <c r="H327" s="77" t="str">
        <f>VLOOKUP(E327,'B. DATOS'!$B$34:$E$622,2,FALSE)</f>
        <v>ML</v>
      </c>
      <c r="J327" s="29" t="s">
        <v>508</v>
      </c>
      <c r="L327" s="78">
        <f>VLOOKUP(E327,'B. DATOS'!$B$34:$E$622,4,FALSE)</f>
        <v>4500</v>
      </c>
      <c r="M327" s="76">
        <f t="shared" ref="M327:M334" si="55">+L327*G327</f>
        <v>311850.00000000006</v>
      </c>
      <c r="N327" s="351">
        <v>1</v>
      </c>
      <c r="O327" s="80">
        <f>+G327*$N$327</f>
        <v>69.300000000000011</v>
      </c>
      <c r="P327" s="76">
        <f>+M327*$N$327</f>
        <v>311850.00000000006</v>
      </c>
    </row>
    <row r="328" spans="2:21" x14ac:dyDescent="0.25">
      <c r="B328" s="83" t="s">
        <v>1663</v>
      </c>
      <c r="C328" s="145" t="s">
        <v>1812</v>
      </c>
      <c r="D328" s="145" t="s">
        <v>251</v>
      </c>
      <c r="E328" s="84" t="s">
        <v>534</v>
      </c>
      <c r="G328" s="80">
        <f>+G327*0.4</f>
        <v>27.720000000000006</v>
      </c>
      <c r="H328" s="77" t="str">
        <f>VLOOKUP(E328,'B. DATOS'!$B$34:$E$622,2,FALSE)</f>
        <v>ML</v>
      </c>
      <c r="J328" s="29" t="s">
        <v>274</v>
      </c>
      <c r="L328" s="78">
        <f>VLOOKUP(E328,'B. DATOS'!$B$34:$E$622,4,FALSE)</f>
        <v>3500</v>
      </c>
      <c r="M328" s="76">
        <f t="shared" si="55"/>
        <v>97020.000000000015</v>
      </c>
      <c r="N328" s="351"/>
      <c r="O328" s="80">
        <f t="shared" ref="O328:O334" si="56">+G328*$N$327</f>
        <v>27.720000000000006</v>
      </c>
      <c r="P328" s="76">
        <f t="shared" ref="P328:P333" si="57">+M328*$N$327</f>
        <v>97020.000000000015</v>
      </c>
    </row>
    <row r="329" spans="2:21" x14ac:dyDescent="0.25">
      <c r="B329" s="83" t="s">
        <v>1664</v>
      </c>
      <c r="C329" s="145" t="s">
        <v>1812</v>
      </c>
      <c r="D329" s="145" t="s">
        <v>251</v>
      </c>
      <c r="E329" s="84" t="s">
        <v>535</v>
      </c>
      <c r="G329" s="80">
        <f>+G328*8</f>
        <v>221.76000000000005</v>
      </c>
      <c r="H329" s="77" t="str">
        <f>VLOOKUP(E329,'B. DATOS'!$B$34:$E$622,2,FALSE)</f>
        <v>PAR</v>
      </c>
      <c r="J329" s="29" t="s">
        <v>274</v>
      </c>
      <c r="L329" s="78">
        <f>VLOOKUP(E329,'B. DATOS'!$B$34:$E$622,4,FALSE)</f>
        <v>330</v>
      </c>
      <c r="M329" s="76">
        <f t="shared" si="55"/>
        <v>73180.800000000017</v>
      </c>
      <c r="N329" s="351"/>
      <c r="O329" s="80">
        <f t="shared" si="56"/>
        <v>221.76000000000005</v>
      </c>
      <c r="P329" s="76">
        <f t="shared" si="57"/>
        <v>73180.800000000017</v>
      </c>
    </row>
    <row r="330" spans="2:21" x14ac:dyDescent="0.25">
      <c r="B330" s="83" t="s">
        <v>1665</v>
      </c>
      <c r="C330" s="145" t="s">
        <v>1812</v>
      </c>
      <c r="D330" s="145" t="s">
        <v>251</v>
      </c>
      <c r="E330" s="84" t="s">
        <v>693</v>
      </c>
      <c r="G330" s="89">
        <f>+G334</f>
        <v>6.26</v>
      </c>
      <c r="H330" s="77" t="str">
        <f>VLOOKUP(E330,'B. DATOS'!$B$34:$E$622,2,FALSE)</f>
        <v>M2</v>
      </c>
      <c r="J330" s="29" t="s">
        <v>529</v>
      </c>
      <c r="L330" s="78">
        <f>VLOOKUP(E330,'B. DATOS'!$B$34:$E$622,4,FALSE)</f>
        <v>55000</v>
      </c>
      <c r="M330" s="76">
        <f t="shared" si="55"/>
        <v>344300</v>
      </c>
      <c r="N330" s="351"/>
      <c r="O330" s="80">
        <f t="shared" si="56"/>
        <v>6.26</v>
      </c>
      <c r="P330" s="76">
        <f t="shared" si="57"/>
        <v>344300</v>
      </c>
      <c r="T330"/>
    </row>
    <row r="331" spans="2:21" x14ac:dyDescent="0.25">
      <c r="B331" s="83" t="s">
        <v>1743</v>
      </c>
      <c r="C331" s="145" t="s">
        <v>1812</v>
      </c>
      <c r="D331" s="145" t="s">
        <v>251</v>
      </c>
      <c r="E331" s="84" t="s">
        <v>700</v>
      </c>
      <c r="G331" s="89">
        <f>+G334*2</f>
        <v>12.52</v>
      </c>
      <c r="H331" s="77" t="str">
        <f>VLOOKUP(E331,'B. DATOS'!$B$34:$E$622,2,FALSE)</f>
        <v>UND</v>
      </c>
      <c r="J331" s="29" t="s">
        <v>529</v>
      </c>
      <c r="L331" s="78">
        <f>VLOOKUP(E331,'B. DATOS'!$B$34:$E$622,4,FALSE)</f>
        <v>38000</v>
      </c>
      <c r="M331" s="76">
        <f t="shared" si="55"/>
        <v>475760</v>
      </c>
      <c r="N331" s="351"/>
      <c r="O331" s="80">
        <f t="shared" si="56"/>
        <v>12.52</v>
      </c>
      <c r="P331" s="76">
        <f t="shared" si="57"/>
        <v>475760</v>
      </c>
      <c r="T331"/>
    </row>
    <row r="332" spans="2:21" x14ac:dyDescent="0.25">
      <c r="B332" s="83" t="s">
        <v>1744</v>
      </c>
      <c r="C332" s="145" t="s">
        <v>1812</v>
      </c>
      <c r="D332" s="145" t="s">
        <v>251</v>
      </c>
      <c r="E332" s="84" t="s">
        <v>1261</v>
      </c>
      <c r="G332" s="89">
        <f>+'2. CANTIDADES'!DT2*1.05</f>
        <v>19.908000000000001</v>
      </c>
      <c r="H332" s="77" t="str">
        <f>VLOOKUP(E332,'B. DATOS'!$B$34:$E$622,2,FALSE)</f>
        <v>ML</v>
      </c>
      <c r="J332" s="29" t="s">
        <v>274</v>
      </c>
      <c r="L332" s="78">
        <f>VLOOKUP(E332,'B. DATOS'!$B$34:$E$622,4,FALSE)</f>
        <v>11200</v>
      </c>
      <c r="M332" s="76">
        <f t="shared" si="55"/>
        <v>222969.60000000001</v>
      </c>
      <c r="N332" s="351"/>
      <c r="O332" s="80">
        <f t="shared" si="56"/>
        <v>19.908000000000001</v>
      </c>
      <c r="P332" s="76">
        <f t="shared" si="57"/>
        <v>222969.60000000001</v>
      </c>
      <c r="T332"/>
    </row>
    <row r="333" spans="2:21" x14ac:dyDescent="0.25">
      <c r="B333" s="83" t="s">
        <v>1744</v>
      </c>
      <c r="C333" s="145" t="s">
        <v>1812</v>
      </c>
      <c r="D333" s="145" t="s">
        <v>251</v>
      </c>
      <c r="E333" s="84" t="s">
        <v>788</v>
      </c>
      <c r="G333" s="89">
        <f>+G332*3</f>
        <v>59.724000000000004</v>
      </c>
      <c r="H333" s="77" t="str">
        <f>VLOOKUP(E333,'B. DATOS'!$B$34:$E$622,2,FALSE)</f>
        <v>UND</v>
      </c>
      <c r="J333" s="29" t="s">
        <v>274</v>
      </c>
      <c r="L333" s="78">
        <f>VLOOKUP(E333,'B. DATOS'!$B$34:$E$622,4,FALSE)</f>
        <v>5250</v>
      </c>
      <c r="M333" s="76">
        <f t="shared" si="55"/>
        <v>313551</v>
      </c>
      <c r="N333" s="351"/>
      <c r="O333" s="80">
        <f t="shared" si="56"/>
        <v>59.724000000000004</v>
      </c>
      <c r="P333" s="76">
        <f t="shared" si="57"/>
        <v>313551</v>
      </c>
      <c r="T333"/>
    </row>
    <row r="334" spans="2:21" x14ac:dyDescent="0.25">
      <c r="B334" s="83" t="s">
        <v>1745</v>
      </c>
      <c r="C334" s="145" t="s">
        <v>1812</v>
      </c>
      <c r="D334" s="145" t="s">
        <v>778</v>
      </c>
      <c r="E334" s="84" t="s">
        <v>771</v>
      </c>
      <c r="G334" s="80">
        <f>+'2. CANTIDADES'!II2</f>
        <v>6.26</v>
      </c>
      <c r="H334" s="77" t="str">
        <f>VLOOKUP(E334,'B. DATOS'!$B$34:$E$622,2,FALSE)</f>
        <v>M2</v>
      </c>
      <c r="J334" s="29" t="s">
        <v>14</v>
      </c>
      <c r="L334" s="78">
        <f>VLOOKUP(E334,'B. DATOS'!$B$34:$E$622,4,FALSE)</f>
        <v>15000</v>
      </c>
      <c r="M334" s="76">
        <f t="shared" si="55"/>
        <v>93900</v>
      </c>
      <c r="N334" s="351"/>
      <c r="O334" s="80">
        <f t="shared" si="56"/>
        <v>6.26</v>
      </c>
      <c r="Q334" s="76">
        <f>+M334*$N$327</f>
        <v>93900</v>
      </c>
      <c r="T334"/>
    </row>
    <row r="335" spans="2:21" s="39" customFormat="1" x14ac:dyDescent="0.25">
      <c r="B335" s="110">
        <v>9.3000000000000007</v>
      </c>
      <c r="C335" s="144" t="s">
        <v>1812</v>
      </c>
      <c r="D335" s="369" t="s">
        <v>1746</v>
      </c>
      <c r="E335" s="370"/>
      <c r="F335" s="121"/>
      <c r="G335" s="121"/>
      <c r="H335" s="121"/>
      <c r="I335" s="121"/>
      <c r="J335" s="121"/>
      <c r="K335" s="121"/>
      <c r="L335" s="122"/>
      <c r="M335" s="122"/>
      <c r="N335" s="121"/>
      <c r="O335" s="121"/>
      <c r="P335" s="122">
        <f>+SUM(P336:P339)</f>
        <v>2224139.4000000004</v>
      </c>
      <c r="Q335" s="122">
        <f>+SUM(Q336:Q339)</f>
        <v>181200</v>
      </c>
      <c r="R335" s="123">
        <f>+P335+Q335</f>
        <v>2405339.4000000004</v>
      </c>
      <c r="S335" s="124">
        <f>+R335/G339</f>
        <v>132745</v>
      </c>
      <c r="T335" s="181" cm="1">
        <f t="array" ref="T335:U335">+R335/'1. GENERAL'!$E$31:$F$31</f>
        <v>4.9195658248065467E-3</v>
      </c>
      <c r="U335" s="39" t="e">
        <v>#DIV/0!</v>
      </c>
    </row>
    <row r="336" spans="2:21" x14ac:dyDescent="0.25">
      <c r="B336" s="83" t="s">
        <v>1747</v>
      </c>
      <c r="C336" s="145" t="s">
        <v>1812</v>
      </c>
      <c r="D336" s="145" t="s">
        <v>251</v>
      </c>
      <c r="E336" s="84" t="s">
        <v>530</v>
      </c>
      <c r="G336" s="89">
        <f>+G339*1.05</f>
        <v>19.026000000000003</v>
      </c>
      <c r="H336" s="77" t="str">
        <f>VLOOKUP(E336,'B. DATOS'!$B$34:$E$622,2,FALSE)</f>
        <v>M2</v>
      </c>
      <c r="J336" s="29" t="s">
        <v>529</v>
      </c>
      <c r="L336" s="78">
        <f>VLOOKUP(E336,'B. DATOS'!$B$34:$E$622,4,FALSE)</f>
        <v>34000</v>
      </c>
      <c r="M336" s="76">
        <f>+L336*G336</f>
        <v>646884.00000000012</v>
      </c>
      <c r="N336" s="351">
        <v>1</v>
      </c>
      <c r="O336" s="80">
        <f>+G336*$N$336</f>
        <v>19.026000000000003</v>
      </c>
      <c r="P336" s="76">
        <f>+M336*$N$336</f>
        <v>646884.00000000012</v>
      </c>
      <c r="T336"/>
    </row>
    <row r="337" spans="2:21" x14ac:dyDescent="0.25">
      <c r="B337" s="83" t="s">
        <v>1748</v>
      </c>
      <c r="C337" s="145" t="s">
        <v>1812</v>
      </c>
      <c r="D337" s="145" t="s">
        <v>251</v>
      </c>
      <c r="E337" s="84" t="s">
        <v>700</v>
      </c>
      <c r="G337" s="89">
        <f>+G336*0.8</f>
        <v>15.220800000000004</v>
      </c>
      <c r="H337" s="77" t="str">
        <f>VLOOKUP(E337,'B. DATOS'!$B$34:$E$622,2,FALSE)</f>
        <v>UND</v>
      </c>
      <c r="J337" s="29" t="s">
        <v>529</v>
      </c>
      <c r="L337" s="78">
        <f>VLOOKUP(E337,'B. DATOS'!$B$34:$E$622,4,FALSE)</f>
        <v>38000</v>
      </c>
      <c r="M337" s="76">
        <f>+L337*G337</f>
        <v>578390.40000000014</v>
      </c>
      <c r="N337" s="351"/>
      <c r="O337" s="80">
        <f>+G337*$N$336</f>
        <v>15.220800000000004</v>
      </c>
      <c r="P337" s="76">
        <f>+M337*$N$336</f>
        <v>578390.40000000014</v>
      </c>
      <c r="T337"/>
    </row>
    <row r="338" spans="2:21" x14ac:dyDescent="0.25">
      <c r="B338" s="83" t="s">
        <v>1749</v>
      </c>
      <c r="C338" s="145" t="s">
        <v>1812</v>
      </c>
      <c r="D338" s="145" t="s">
        <v>251</v>
      </c>
      <c r="E338" s="84" t="s">
        <v>788</v>
      </c>
      <c r="G338" s="89">
        <f>+G336*10</f>
        <v>190.26000000000005</v>
      </c>
      <c r="H338" s="77" t="str">
        <f>VLOOKUP(E338,'B. DATOS'!$B$34:$E$622,2,FALSE)</f>
        <v>UND</v>
      </c>
      <c r="J338" s="29" t="s">
        <v>274</v>
      </c>
      <c r="L338" s="78">
        <f>VLOOKUP(E338,'B. DATOS'!$B$34:$E$622,4,FALSE)</f>
        <v>5250</v>
      </c>
      <c r="M338" s="76">
        <f>+L338*G338</f>
        <v>998865.00000000023</v>
      </c>
      <c r="N338" s="351"/>
      <c r="O338" s="80">
        <f>+G338*$N$336</f>
        <v>190.26000000000005</v>
      </c>
      <c r="P338" s="76">
        <f>+M338*$N$336</f>
        <v>998865.00000000023</v>
      </c>
      <c r="T338"/>
    </row>
    <row r="339" spans="2:21" x14ac:dyDescent="0.25">
      <c r="B339" s="83" t="s">
        <v>1750</v>
      </c>
      <c r="C339" s="145" t="s">
        <v>1812</v>
      </c>
      <c r="D339" s="145" t="s">
        <v>778</v>
      </c>
      <c r="E339" s="84" t="s">
        <v>531</v>
      </c>
      <c r="G339" s="80">
        <f>+'2. CANTIDADES'!HY2</f>
        <v>18.12</v>
      </c>
      <c r="H339" s="77" t="str">
        <f>VLOOKUP(E339,'B. DATOS'!$B$34:$E$622,2,FALSE)</f>
        <v>M2</v>
      </c>
      <c r="J339" s="29" t="s">
        <v>14</v>
      </c>
      <c r="L339" s="78">
        <f>VLOOKUP(E339,'B. DATOS'!$B$34:$E$622,4,FALSE)</f>
        <v>10000</v>
      </c>
      <c r="M339" s="76">
        <f>+L339*G339</f>
        <v>181200</v>
      </c>
      <c r="N339" s="351"/>
      <c r="O339" s="80">
        <f>+G339*$N$336</f>
        <v>18.12</v>
      </c>
      <c r="Q339" s="76">
        <f>+M339*$N$336</f>
        <v>181200</v>
      </c>
      <c r="T339"/>
    </row>
    <row r="340" spans="2:21" s="39" customFormat="1" x14ac:dyDescent="0.25">
      <c r="B340" s="110">
        <v>9.4</v>
      </c>
      <c r="C340" s="144" t="s">
        <v>1812</v>
      </c>
      <c r="D340" s="369" t="s">
        <v>1754</v>
      </c>
      <c r="E340" s="370"/>
      <c r="F340" s="121"/>
      <c r="G340" s="121"/>
      <c r="H340" s="121"/>
      <c r="I340" s="121"/>
      <c r="J340" s="121"/>
      <c r="K340" s="121"/>
      <c r="L340" s="122"/>
      <c r="M340" s="122"/>
      <c r="N340" s="121"/>
      <c r="O340" s="121"/>
      <c r="P340" s="122">
        <f>+SUM(P341:P343)</f>
        <v>182175.84000000005</v>
      </c>
      <c r="Q340" s="122">
        <f>+SUM(Q341:Q343)</f>
        <v>271800</v>
      </c>
      <c r="R340" s="123">
        <f>+P340+Q340</f>
        <v>453975.84000000008</v>
      </c>
      <c r="S340" s="124">
        <f>+R340/G343</f>
        <v>25053.854304635766</v>
      </c>
      <c r="T340" s="181" cm="1">
        <f t="array" ref="T340:U340">+R340/'1. GENERAL'!$E$31:$F$31</f>
        <v>9.2850265860686641E-4</v>
      </c>
      <c r="U340" s="39" t="e">
        <v>#DIV/0!</v>
      </c>
    </row>
    <row r="341" spans="2:21" x14ac:dyDescent="0.25">
      <c r="B341" s="83" t="s">
        <v>1751</v>
      </c>
      <c r="C341" s="145" t="s">
        <v>1812</v>
      </c>
      <c r="D341" s="145" t="s">
        <v>251</v>
      </c>
      <c r="E341" s="84" t="s">
        <v>1755</v>
      </c>
      <c r="G341" s="89">
        <f>+'2. CANTIDADES'!DF2*1.05</f>
        <v>107.41500000000003</v>
      </c>
      <c r="H341" s="77" t="str">
        <f>VLOOKUP(E341,'B. DATOS'!$B$34:$E$622,2,FALSE)</f>
        <v>ML</v>
      </c>
      <c r="J341" s="29" t="s">
        <v>586</v>
      </c>
      <c r="L341" s="78">
        <f>VLOOKUP(E341,'B. DATOS'!$B$34:$E$622,4,FALSE)</f>
        <v>1500</v>
      </c>
      <c r="M341" s="76">
        <f>+L341*G341</f>
        <v>161122.50000000006</v>
      </c>
      <c r="N341" s="351">
        <v>1</v>
      </c>
      <c r="O341" s="80">
        <f>+G341*$N$341</f>
        <v>107.41500000000003</v>
      </c>
      <c r="P341" s="76">
        <f>+M341*$N$341</f>
        <v>161122.50000000006</v>
      </c>
      <c r="T341"/>
    </row>
    <row r="342" spans="2:21" x14ac:dyDescent="0.25">
      <c r="B342" s="83" t="s">
        <v>1752</v>
      </c>
      <c r="C342" s="145" t="s">
        <v>1812</v>
      </c>
      <c r="D342" s="145" t="s">
        <v>251</v>
      </c>
      <c r="E342" s="84" t="s">
        <v>1290</v>
      </c>
      <c r="G342" s="89">
        <f>+G341*2</f>
        <v>214.83000000000007</v>
      </c>
      <c r="H342" s="77" t="str">
        <f>VLOOKUP(E342,'B. DATOS'!$B$34:$E$622,2,FALSE)</f>
        <v>UND</v>
      </c>
      <c r="J342" s="29" t="s">
        <v>274</v>
      </c>
      <c r="L342" s="78">
        <f>VLOOKUP(E342,'B. DATOS'!$B$34:$E$622,4,FALSE)</f>
        <v>98</v>
      </c>
      <c r="M342" s="76">
        <f>+L342*G342</f>
        <v>21053.340000000007</v>
      </c>
      <c r="N342" s="351"/>
      <c r="O342" s="80">
        <f>+G342*$N$341</f>
        <v>214.83000000000007</v>
      </c>
      <c r="P342" s="76">
        <f>+M342*$N$341</f>
        <v>21053.340000000007</v>
      </c>
      <c r="T342"/>
    </row>
    <row r="343" spans="2:21" x14ac:dyDescent="0.25">
      <c r="B343" s="83" t="s">
        <v>1753</v>
      </c>
      <c r="C343" s="145" t="s">
        <v>1812</v>
      </c>
      <c r="D343" s="145" t="s">
        <v>778</v>
      </c>
      <c r="E343" s="84" t="s">
        <v>1757</v>
      </c>
      <c r="G343" s="80">
        <f>+G339</f>
        <v>18.12</v>
      </c>
      <c r="H343" s="77" t="str">
        <f>VLOOKUP(E343,'B. DATOS'!$B$34:$E$622,2,FALSE)</f>
        <v>M2</v>
      </c>
      <c r="J343" s="29" t="s">
        <v>752</v>
      </c>
      <c r="L343" s="78">
        <f>VLOOKUP(E343,'B. DATOS'!$B$34:$E$622,4,FALSE)</f>
        <v>15000</v>
      </c>
      <c r="M343" s="76">
        <f>+L343*G343</f>
        <v>271800</v>
      </c>
      <c r="N343" s="351"/>
      <c r="O343" s="80">
        <f>+G343*$N$341</f>
        <v>18.12</v>
      </c>
      <c r="Q343" s="76">
        <f>+M343*$N$341</f>
        <v>271800</v>
      </c>
      <c r="T343"/>
    </row>
    <row r="345" spans="2:21" ht="15.75" thickBot="1" x14ac:dyDescent="0.3">
      <c r="D345" s="209"/>
    </row>
    <row r="346" spans="2:21" ht="15.75" thickBot="1" x14ac:dyDescent="0.3">
      <c r="G346" s="278"/>
      <c r="N346" s="388" t="s">
        <v>1864</v>
      </c>
      <c r="O346" s="389"/>
      <c r="P346" s="138">
        <f>+P10+P4-P350+P106+P316+P294+P248+P197+P176</f>
        <v>125800134.70720002</v>
      </c>
      <c r="Q346" s="138">
        <f>+Q10+Q4-Q350+Q106+Q316+Q294+Q248+Q197+Q176</f>
        <v>138015006.00826666</v>
      </c>
      <c r="R346" s="139">
        <f>+Q346+P346</f>
        <v>263815140.71546668</v>
      </c>
    </row>
    <row r="347" spans="2:21" x14ac:dyDescent="0.25">
      <c r="E347" s="254"/>
      <c r="N347" s="379" t="s">
        <v>460</v>
      </c>
      <c r="O347" s="379"/>
      <c r="P347" s="92"/>
      <c r="Q347" s="92"/>
      <c r="R347" s="93">
        <f>+$R$346/'1. GENERAL'!C6</f>
        <v>844154.42440633138</v>
      </c>
    </row>
    <row r="348" spans="2:21" x14ac:dyDescent="0.25">
      <c r="N348" s="379" t="s">
        <v>461</v>
      </c>
      <c r="O348" s="379"/>
      <c r="P348" s="92"/>
      <c r="Q348" s="92"/>
      <c r="R348" s="93">
        <f>+$R$346/'1. GENERAL'!C7</f>
        <v>774453.60037278105</v>
      </c>
    </row>
    <row r="349" spans="2:21" ht="15.75" thickBot="1" x14ac:dyDescent="0.3">
      <c r="E349" s="184"/>
      <c r="N349" s="379" t="s">
        <v>462</v>
      </c>
      <c r="O349" s="379"/>
      <c r="P349" s="92"/>
      <c r="Q349" s="92"/>
      <c r="R349" s="93">
        <f>+$R$346/'1. GENERAL'!C8</f>
        <v>624532.78896706284</v>
      </c>
    </row>
    <row r="350" spans="2:21" ht="15.75" thickBot="1" x14ac:dyDescent="0.3">
      <c r="N350" s="404" t="s">
        <v>1865</v>
      </c>
      <c r="O350" s="405"/>
      <c r="P350" s="136">
        <f>+P92+P60+P30+P15+P113+P124+P135+P148+P159+P187</f>
        <v>10442630.286968002</v>
      </c>
      <c r="Q350" s="136">
        <f>+Q92+Q60+Q30+Q15+Q113+Q124+Q135+Q148+Q159+Q187</f>
        <v>6657988.7229333334</v>
      </c>
      <c r="R350" s="137">
        <f>+Q350+P350</f>
        <v>17100619.009901337</v>
      </c>
    </row>
    <row r="351" spans="2:21" ht="15.75" thickBot="1" x14ac:dyDescent="0.3">
      <c r="N351" s="401" t="s">
        <v>461</v>
      </c>
      <c r="O351" s="401"/>
      <c r="P351" s="91"/>
      <c r="Q351" s="91"/>
      <c r="R351" s="94">
        <f>+R350/'1. GENERAL'!I7</f>
        <v>50200.439311043985</v>
      </c>
    </row>
    <row r="352" spans="2:21" x14ac:dyDescent="0.25">
      <c r="N352" s="395" t="s">
        <v>85</v>
      </c>
      <c r="O352" s="396"/>
      <c r="P352" s="111">
        <f>+P346+P350</f>
        <v>136242764.99416801</v>
      </c>
      <c r="Q352" s="111">
        <f>+Q346+Q350</f>
        <v>144672994.73119998</v>
      </c>
      <c r="R352" s="112">
        <f>+Q352+P352</f>
        <v>280915759.72536802</v>
      </c>
    </row>
    <row r="353" spans="3:18" x14ac:dyDescent="0.25">
      <c r="N353" s="397" t="s">
        <v>455</v>
      </c>
      <c r="O353" s="398"/>
      <c r="P353" s="113"/>
      <c r="Q353" s="113"/>
      <c r="R353" s="114">
        <f>+R346*0.05</f>
        <v>13190757.035773335</v>
      </c>
    </row>
    <row r="354" spans="3:18" x14ac:dyDescent="0.25">
      <c r="N354" s="397" t="s">
        <v>456</v>
      </c>
      <c r="O354" s="398"/>
      <c r="P354" s="113"/>
      <c r="Q354" s="113"/>
      <c r="R354" s="114">
        <f>+$R$352*0.04</f>
        <v>11236630.389014721</v>
      </c>
    </row>
    <row r="355" spans="3:18" ht="15.75" thickBot="1" x14ac:dyDescent="0.3">
      <c r="N355" s="399" t="s">
        <v>457</v>
      </c>
      <c r="O355" s="400"/>
      <c r="P355" s="115"/>
      <c r="Q355" s="115"/>
      <c r="R355" s="116">
        <f>+$R$352*0.06</f>
        <v>16854945.583522081</v>
      </c>
    </row>
    <row r="356" spans="3:18" ht="15.75" thickBot="1" x14ac:dyDescent="0.3">
      <c r="P356" s="117"/>
      <c r="Q356" s="117"/>
      <c r="R356" s="118"/>
    </row>
    <row r="357" spans="3:18" ht="15.75" thickBot="1" x14ac:dyDescent="0.3">
      <c r="P357" s="117"/>
      <c r="Q357" s="119" t="s">
        <v>254</v>
      </c>
      <c r="R357" s="120">
        <f>+SUM(R352:R355)</f>
        <v>322198092.73367816</v>
      </c>
    </row>
    <row r="358" spans="3:18" ht="15.75" thickBot="1" x14ac:dyDescent="0.3">
      <c r="E358" s="184"/>
    </row>
    <row r="359" spans="3:18" ht="15.75" thickBot="1" x14ac:dyDescent="0.3">
      <c r="E359" s="184"/>
      <c r="F359" s="372" t="s">
        <v>501</v>
      </c>
      <c r="G359" s="373"/>
      <c r="H359" s="373"/>
      <c r="I359" s="373"/>
      <c r="J359" s="373"/>
      <c r="K359" s="374"/>
      <c r="L359" s="159" t="s">
        <v>498</v>
      </c>
      <c r="M359" s="157" t="s">
        <v>499</v>
      </c>
      <c r="N359" s="372" t="s">
        <v>500</v>
      </c>
      <c r="O359" s="374"/>
      <c r="P359" s="161" t="s">
        <v>241</v>
      </c>
    </row>
    <row r="360" spans="3:18" ht="15.75" thickBot="1" x14ac:dyDescent="0.3">
      <c r="F360" s="372" t="s">
        <v>478</v>
      </c>
      <c r="G360" s="373"/>
      <c r="H360" s="373"/>
      <c r="I360" s="373"/>
      <c r="J360" s="373"/>
      <c r="K360" s="374"/>
      <c r="L360" s="154" t="e">
        <f>+M417</f>
        <v>#REF!</v>
      </c>
      <c r="M360" s="152">
        <f>+P352</f>
        <v>136242764.99416801</v>
      </c>
      <c r="N360" s="406" t="e">
        <f>+L360-M360</f>
        <v>#REF!</v>
      </c>
      <c r="O360" s="407"/>
      <c r="P360" s="178" t="e">
        <f>+L360/$R$352</f>
        <v>#REF!</v>
      </c>
    </row>
    <row r="361" spans="3:18" ht="15.75" thickBot="1" x14ac:dyDescent="0.3">
      <c r="F361" s="372" t="s">
        <v>480</v>
      </c>
      <c r="G361" s="373"/>
      <c r="H361" s="373"/>
      <c r="I361" s="373"/>
      <c r="J361" s="373"/>
      <c r="K361" s="374"/>
      <c r="L361" s="155" t="e">
        <f>+M460</f>
        <v>#REF!</v>
      </c>
      <c r="M361" s="153">
        <f>+Q352</f>
        <v>144672994.73119998</v>
      </c>
      <c r="N361" s="408" t="e">
        <f>+L361-M361</f>
        <v>#REF!</v>
      </c>
      <c r="O361" s="409"/>
      <c r="P361" s="179" t="e">
        <f>+L361/$R$352</f>
        <v>#REF!</v>
      </c>
    </row>
    <row r="362" spans="3:18" ht="15.75" thickBot="1" x14ac:dyDescent="0.3"/>
    <row r="363" spans="3:18" ht="15.75" thickBot="1" x14ac:dyDescent="0.3">
      <c r="C363" s="101" t="s">
        <v>9</v>
      </c>
      <c r="D363" s="160"/>
      <c r="E363" s="161" t="s">
        <v>479</v>
      </c>
      <c r="F363" s="162"/>
      <c r="G363" s="163" t="s">
        <v>177</v>
      </c>
      <c r="H363" s="163" t="s">
        <v>248</v>
      </c>
      <c r="I363" s="163"/>
      <c r="J363" s="163" t="s">
        <v>261</v>
      </c>
      <c r="K363" s="163"/>
      <c r="L363" s="157" t="s">
        <v>249</v>
      </c>
      <c r="M363" s="156" t="s">
        <v>250</v>
      </c>
      <c r="N363" s="161" t="s">
        <v>241</v>
      </c>
      <c r="O363" s="372" t="s">
        <v>481</v>
      </c>
      <c r="P363" s="374"/>
    </row>
    <row r="364" spans="3:18" x14ac:dyDescent="0.25">
      <c r="C364" s="2" t="s">
        <v>467</v>
      </c>
      <c r="E364" s="140" t="s">
        <v>482</v>
      </c>
      <c r="F364" s="146"/>
      <c r="G364" s="80">
        <f>(SUMIFS($O$4:$O$344,$E$4:$E$344,'B. DATOS'!$B$45,$C$4:$C$344,C364))*'B. DATOS'!$C$19</f>
        <v>2.3760000000000003</v>
      </c>
      <c r="H364" s="29" t="s">
        <v>488</v>
      </c>
      <c r="J364" s="29" t="s">
        <v>272</v>
      </c>
      <c r="L364" s="76">
        <f>+'B. DATOS'!C23</f>
        <v>33000</v>
      </c>
      <c r="M364" s="141">
        <f>+L364*G364</f>
        <v>78408.000000000015</v>
      </c>
      <c r="N364" s="165">
        <f t="shared" ref="N364:N407" si="58">+M364/$R$357</f>
        <v>2.4335339584027375E-4</v>
      </c>
      <c r="O364" s="390" t="s">
        <v>502</v>
      </c>
      <c r="P364" s="380"/>
    </row>
    <row r="365" spans="3:18" x14ac:dyDescent="0.25">
      <c r="C365" s="2" t="s">
        <v>467</v>
      </c>
      <c r="E365" s="140" t="s">
        <v>483</v>
      </c>
      <c r="F365" s="146"/>
      <c r="G365" s="80">
        <f>(SUMIFS($O$4:$O$344,$E$4:$E$344,'B. DATOS'!$B$42,$C$4:$C$344,C365))*'B. DATOS'!$C$17</f>
        <v>0.95039999999999991</v>
      </c>
      <c r="H365" s="29" t="s">
        <v>488</v>
      </c>
      <c r="J365" s="29" t="s">
        <v>489</v>
      </c>
      <c r="L365" s="76">
        <f>+'B. DATOS'!C23</f>
        <v>33000</v>
      </c>
      <c r="M365" s="141">
        <f t="shared" ref="M365:M415" si="59">+L365*G365</f>
        <v>31363.199999999997</v>
      </c>
      <c r="N365" s="165">
        <f t="shared" si="58"/>
        <v>9.7341358336109471E-5</v>
      </c>
      <c r="O365" s="371" t="s">
        <v>502</v>
      </c>
      <c r="P365" s="351"/>
    </row>
    <row r="366" spans="3:18" x14ac:dyDescent="0.25">
      <c r="C366" s="2" t="s">
        <v>467</v>
      </c>
      <c r="E366" s="140" t="s">
        <v>1130</v>
      </c>
      <c r="F366" s="146"/>
      <c r="G366" s="80">
        <f>(SUMIFS($O$4:$O$344,$E$4:$E$344,'B. DATOS'!$B$37,$C$4:$C$344,C366))*'B. DATOS'!$C$11</f>
        <v>0.75600000000000001</v>
      </c>
      <c r="H366" s="29" t="s">
        <v>488</v>
      </c>
      <c r="J366" s="29" t="s">
        <v>272</v>
      </c>
      <c r="L366" s="76">
        <f>+'B. DATOS'!C23</f>
        <v>33000</v>
      </c>
      <c r="M366" s="141">
        <f>+L366*G366</f>
        <v>24948</v>
      </c>
      <c r="N366" s="165">
        <f>+M366/$R$357</f>
        <v>7.7430625949177997E-5</v>
      </c>
      <c r="O366" s="371" t="s">
        <v>502</v>
      </c>
      <c r="P366" s="351"/>
    </row>
    <row r="367" spans="3:18" x14ac:dyDescent="0.25">
      <c r="C367" s="2" t="s">
        <v>467</v>
      </c>
      <c r="E367" s="140" t="s">
        <v>484</v>
      </c>
      <c r="F367" s="146"/>
      <c r="G367" s="80">
        <f>(SUMIFS($O$4:$O$344,$E$4:$E$344,'B. DATOS'!$B$37,$C$4:$C$344,C367))*'B. DATOS'!$C$13</f>
        <v>1.0584</v>
      </c>
      <c r="H367" s="29" t="s">
        <v>488</v>
      </c>
      <c r="J367" s="29" t="s">
        <v>272</v>
      </c>
      <c r="L367" s="76">
        <f>+'B. DATOS'!C23</f>
        <v>33000</v>
      </c>
      <c r="M367" s="141">
        <f t="shared" si="59"/>
        <v>34927.199999999997</v>
      </c>
      <c r="N367" s="165">
        <f t="shared" si="58"/>
        <v>1.0840287632884919E-4</v>
      </c>
      <c r="O367" s="371" t="s">
        <v>502</v>
      </c>
      <c r="P367" s="351"/>
    </row>
    <row r="368" spans="3:18" x14ac:dyDescent="0.25">
      <c r="C368" s="2" t="s">
        <v>467</v>
      </c>
      <c r="E368" s="140" t="s">
        <v>485</v>
      </c>
      <c r="F368" s="146"/>
      <c r="G368" s="80">
        <f>(SUMIFS($O$4:$O$344,$E$4:$E$344,'B. DATOS'!$B$45,$C$4:$C$344,C368))*'B. DATOS'!$G$19</f>
        <v>0.19800000000000004</v>
      </c>
      <c r="H368" s="29" t="s">
        <v>269</v>
      </c>
      <c r="J368" s="29" t="s">
        <v>272</v>
      </c>
      <c r="L368" s="76">
        <f>+'B. DATOS'!C27</f>
        <v>110000</v>
      </c>
      <c r="M368" s="141">
        <f t="shared" si="59"/>
        <v>21780.000000000004</v>
      </c>
      <c r="N368" s="165">
        <f t="shared" si="58"/>
        <v>6.7598165511187152E-5</v>
      </c>
      <c r="O368" s="371" t="s">
        <v>502</v>
      </c>
      <c r="P368" s="351"/>
    </row>
    <row r="369" spans="2:18" x14ac:dyDescent="0.25">
      <c r="C369" s="2" t="s">
        <v>467</v>
      </c>
      <c r="E369" s="140" t="s">
        <v>486</v>
      </c>
      <c r="F369" s="146"/>
      <c r="G369" s="80">
        <f>((SUMIFS($O$4:$O$344,$E$4:$E$344,'B. DATOS'!$B$37,$C$4:$C$344,C369))*'B. DATOS'!$D$13)+((SUMIFS($O$4:$O$344,$E$4:$E$344,'B. DATOS'!$B$45,$C$4:$C$344,C369))*'B. DATOS'!$D$19)+((SUMIFS($O$4:$O$344,$E$4:$E$344,'B. DATOS'!$B$45,$C$4:$C$344,C369))*'B. DATOS'!$D$11)</f>
        <v>1.3111200000000003</v>
      </c>
      <c r="H369" s="29" t="s">
        <v>269</v>
      </c>
      <c r="J369" s="29" t="s">
        <v>272</v>
      </c>
      <c r="L369" s="76">
        <f>+'B. DATOS'!C24</f>
        <v>160000</v>
      </c>
      <c r="M369" s="141">
        <f t="shared" si="59"/>
        <v>209779.20000000004</v>
      </c>
      <c r="N369" s="165">
        <f t="shared" si="58"/>
        <v>6.510876530029583E-4</v>
      </c>
      <c r="O369" s="371" t="s">
        <v>502</v>
      </c>
      <c r="P369" s="351"/>
    </row>
    <row r="370" spans="2:18" x14ac:dyDescent="0.25">
      <c r="C370" s="2" t="s">
        <v>467</v>
      </c>
      <c r="E370" s="140" t="s">
        <v>487</v>
      </c>
      <c r="F370" s="146"/>
      <c r="G370" s="80">
        <f>(SUMIFS($O$4:$O$344,$E$4:$E$344,'B. DATOS'!$B$42,$C$4:$C$344,C370))*'B. DATOS'!$E$17</f>
        <v>0.18374399999999996</v>
      </c>
      <c r="H370" s="29" t="s">
        <v>269</v>
      </c>
      <c r="J370" s="29" t="s">
        <v>489</v>
      </c>
      <c r="L370" s="76">
        <f>+'B. DATOS'!C25</f>
        <v>140000</v>
      </c>
      <c r="M370" s="141">
        <f t="shared" si="59"/>
        <v>25724.159999999996</v>
      </c>
      <c r="N370" s="165">
        <f t="shared" si="58"/>
        <v>7.9839578756485749E-5</v>
      </c>
      <c r="O370" s="371" t="s">
        <v>502</v>
      </c>
      <c r="P370" s="351"/>
    </row>
    <row r="371" spans="2:18" s="4" customFormat="1" x14ac:dyDescent="0.25">
      <c r="B371" s="85"/>
      <c r="C371" s="2" t="s">
        <v>467</v>
      </c>
      <c r="D371" s="2"/>
      <c r="E371" s="140" t="s">
        <v>623</v>
      </c>
      <c r="F371" s="146"/>
      <c r="G371" s="80">
        <f>((SUMIFS($O$4:$O$344,$E$4:$E$344,'B. DATOS'!B16,$C$4:$C$344,C371))*'B. DATOS'!F16)</f>
        <v>0</v>
      </c>
      <c r="H371" s="151" t="e">
        <f t="shared" ref="H371:H415" si="60">+VLOOKUP(E371,$E$4:$L$344,4,FALSE)</f>
        <v>#N/A</v>
      </c>
      <c r="I371" s="29"/>
      <c r="J371" s="29" t="s">
        <v>489</v>
      </c>
      <c r="K371" s="29"/>
      <c r="L371" s="76">
        <f>+'B. DATOS'!C26</f>
        <v>140000</v>
      </c>
      <c r="M371" s="141">
        <f t="shared" si="59"/>
        <v>0</v>
      </c>
      <c r="N371" s="165">
        <f t="shared" si="58"/>
        <v>0</v>
      </c>
      <c r="O371" s="351" t="s">
        <v>502</v>
      </c>
      <c r="P371" s="351"/>
      <c r="Q371" s="76"/>
      <c r="R371" s="82"/>
    </row>
    <row r="372" spans="2:18" x14ac:dyDescent="0.25">
      <c r="C372" s="2" t="s">
        <v>467</v>
      </c>
      <c r="E372" s="140" t="str">
        <f>+E21</f>
        <v>Plástico calibre 6 polietileno</v>
      </c>
      <c r="F372" s="183"/>
      <c r="G372" s="80">
        <f t="shared" ref="G372:G415" si="61">(SUMIFS($O$4:$O$344,$E$4:$E$344,E372,$C$4:$C$344,C372))</f>
        <v>0</v>
      </c>
      <c r="H372" s="151" t="str">
        <f t="shared" si="60"/>
        <v>M2</v>
      </c>
      <c r="I372" s="29" t="e">
        <f>+#REF!</f>
        <v>#REF!</v>
      </c>
      <c r="J372" s="151" t="str">
        <f t="shared" ref="J372:J415" si="62">+VLOOKUP(E372,$E$4:$L$344,6,FALSE)</f>
        <v>AISLANTES</v>
      </c>
      <c r="K372" s="29" t="e">
        <f>+#REF!</f>
        <v>#REF!</v>
      </c>
      <c r="L372" s="76">
        <f t="shared" ref="L372:L415" si="63">+VLOOKUP(E372,$E$4:$L$344,8,FALSE)</f>
        <v>1700</v>
      </c>
      <c r="M372" s="141">
        <f t="shared" si="59"/>
        <v>0</v>
      </c>
      <c r="N372" s="165">
        <f t="shared" si="58"/>
        <v>0</v>
      </c>
      <c r="O372" s="371" t="s">
        <v>502</v>
      </c>
      <c r="P372" s="351"/>
    </row>
    <row r="373" spans="2:18" x14ac:dyDescent="0.25">
      <c r="C373" s="2" t="s">
        <v>467</v>
      </c>
      <c r="E373" s="140" t="str">
        <f>+E22</f>
        <v>Varilla 1/2"</v>
      </c>
      <c r="G373" s="80">
        <f t="shared" si="61"/>
        <v>0</v>
      </c>
      <c r="H373" s="151" t="str">
        <f t="shared" si="60"/>
        <v>KG</v>
      </c>
      <c r="I373" s="29">
        <f>+I21</f>
        <v>0</v>
      </c>
      <c r="J373" s="151" t="str">
        <f t="shared" si="62"/>
        <v>ACERO</v>
      </c>
      <c r="K373" s="29">
        <f>+K21</f>
        <v>0</v>
      </c>
      <c r="L373" s="76">
        <f t="shared" si="63"/>
        <v>4000</v>
      </c>
      <c r="M373" s="141">
        <f t="shared" si="59"/>
        <v>0</v>
      </c>
      <c r="N373" s="165">
        <f t="shared" si="58"/>
        <v>0</v>
      </c>
      <c r="O373" s="371" t="s">
        <v>502</v>
      </c>
      <c r="P373" s="351"/>
    </row>
    <row r="374" spans="2:18" x14ac:dyDescent="0.25">
      <c r="C374" s="2" t="s">
        <v>467</v>
      </c>
      <c r="E374" s="140" t="str">
        <f>+E23</f>
        <v>Alambre negro No 18</v>
      </c>
      <c r="G374" s="80">
        <f t="shared" si="61"/>
        <v>0</v>
      </c>
      <c r="H374" s="151" t="str">
        <f t="shared" si="60"/>
        <v>KG</v>
      </c>
      <c r="I374" s="29">
        <f>+I22</f>
        <v>0</v>
      </c>
      <c r="J374" s="151" t="str">
        <f t="shared" si="62"/>
        <v>ACERO</v>
      </c>
      <c r="K374" s="29">
        <f>+K22</f>
        <v>0</v>
      </c>
      <c r="L374" s="76">
        <f t="shared" si="63"/>
        <v>8000</v>
      </c>
      <c r="M374" s="141">
        <f t="shared" si="59"/>
        <v>0</v>
      </c>
      <c r="N374" s="165">
        <f t="shared" si="58"/>
        <v>0</v>
      </c>
      <c r="O374" s="371" t="s">
        <v>502</v>
      </c>
      <c r="P374" s="351"/>
    </row>
    <row r="375" spans="2:18" x14ac:dyDescent="0.25">
      <c r="C375" s="2" t="s">
        <v>467</v>
      </c>
      <c r="E375" s="140" t="str">
        <f>+E24</f>
        <v>Base B200</v>
      </c>
      <c r="G375" s="80">
        <f t="shared" si="61"/>
        <v>8.1640500000000014</v>
      </c>
      <c r="H375" s="151" t="str">
        <f t="shared" si="60"/>
        <v>M3</v>
      </c>
      <c r="I375" s="29">
        <f>+I23</f>
        <v>0</v>
      </c>
      <c r="J375" s="151" t="str">
        <f t="shared" si="62"/>
        <v>TERROSOS</v>
      </c>
      <c r="K375" s="29">
        <f>+K23</f>
        <v>0</v>
      </c>
      <c r="L375" s="76">
        <f t="shared" si="63"/>
        <v>95000</v>
      </c>
      <c r="M375" s="141">
        <f>+L375*G375</f>
        <v>775584.75000000012</v>
      </c>
      <c r="N375" s="165">
        <f>+M375/$R$357</f>
        <v>2.4071674149886459E-3</v>
      </c>
      <c r="O375" s="371" t="s">
        <v>502</v>
      </c>
      <c r="P375" s="351"/>
    </row>
    <row r="376" spans="2:18" x14ac:dyDescent="0.25">
      <c r="C376" s="2" t="s">
        <v>467</v>
      </c>
      <c r="E376" s="140" t="str">
        <f>+E45</f>
        <v>Varilla 3/8"</v>
      </c>
      <c r="G376" s="80">
        <f t="shared" si="61"/>
        <v>134.16480000000004</v>
      </c>
      <c r="H376" s="151" t="str">
        <f t="shared" si="60"/>
        <v>KG</v>
      </c>
      <c r="I376" s="29">
        <f>+I23</f>
        <v>0</v>
      </c>
      <c r="J376" s="151" t="str">
        <f t="shared" si="62"/>
        <v>ACERO</v>
      </c>
      <c r="K376" s="29">
        <f>+K23</f>
        <v>0</v>
      </c>
      <c r="L376" s="76">
        <f t="shared" si="63"/>
        <v>4000</v>
      </c>
      <c r="M376" s="141">
        <f t="shared" si="59"/>
        <v>536659.20000000019</v>
      </c>
      <c r="N376" s="165">
        <f t="shared" si="58"/>
        <v>1.6656187981956517E-3</v>
      </c>
      <c r="O376" s="371" t="s">
        <v>502</v>
      </c>
      <c r="P376" s="351"/>
    </row>
    <row r="377" spans="2:18" x14ac:dyDescent="0.25">
      <c r="C377" s="2" t="s">
        <v>467</v>
      </c>
      <c r="E377" s="140" t="str">
        <f>+E108</f>
        <v>Guadua 12cm limpia e inmunizada</v>
      </c>
      <c r="G377" s="80">
        <f t="shared" si="61"/>
        <v>0</v>
      </c>
      <c r="H377" s="151" t="str">
        <f t="shared" si="60"/>
        <v>ML</v>
      </c>
      <c r="I377" s="29" t="e">
        <f>+'4. CD - Obra gris'!#REF!</f>
        <v>#REF!</v>
      </c>
      <c r="J377" s="151" t="str">
        <f t="shared" si="62"/>
        <v>GUADUA</v>
      </c>
      <c r="K377" s="29" t="e">
        <f>+'4. CD - Obra gris'!#REF!</f>
        <v>#REF!</v>
      </c>
      <c r="L377" s="76">
        <f t="shared" si="63"/>
        <v>4500</v>
      </c>
      <c r="M377" s="141">
        <f t="shared" si="59"/>
        <v>0</v>
      </c>
      <c r="N377" s="165">
        <f t="shared" si="58"/>
        <v>0</v>
      </c>
      <c r="O377" s="371" t="s">
        <v>502</v>
      </c>
      <c r="P377" s="351"/>
    </row>
    <row r="378" spans="2:18" x14ac:dyDescent="0.25">
      <c r="C378" s="2" t="s">
        <v>467</v>
      </c>
      <c r="E378" s="140" t="str">
        <f>+E110</f>
        <v>Varilla roscada zincada 1/2"</v>
      </c>
      <c r="F378" s="146"/>
      <c r="G378" s="80">
        <f t="shared" si="61"/>
        <v>0</v>
      </c>
      <c r="H378" s="151" t="str">
        <f t="shared" si="60"/>
        <v>ML</v>
      </c>
      <c r="I378" s="29" t="e">
        <f>+#REF!</f>
        <v>#REF!</v>
      </c>
      <c r="J378" s="151" t="str">
        <f t="shared" si="62"/>
        <v>ACERO</v>
      </c>
      <c r="K378" s="29" t="e">
        <f>+#REF!</f>
        <v>#REF!</v>
      </c>
      <c r="L378" s="76">
        <f t="shared" si="63"/>
        <v>6000</v>
      </c>
      <c r="M378" s="141">
        <f t="shared" ref="M378:M388" si="64">+L378*G378</f>
        <v>0</v>
      </c>
      <c r="N378" s="165">
        <f t="shared" ref="N378:N388" si="65">+M378/$R$357</f>
        <v>0</v>
      </c>
      <c r="O378" s="371" t="s">
        <v>502</v>
      </c>
      <c r="P378" s="351"/>
    </row>
    <row r="379" spans="2:18" x14ac:dyDescent="0.25">
      <c r="C379" s="2" t="s">
        <v>467</v>
      </c>
      <c r="E379" s="140" t="str">
        <f>+E111</f>
        <v>Tuerca+arandela zincada 1/2"</v>
      </c>
      <c r="F379" s="146"/>
      <c r="G379" s="80">
        <f t="shared" si="61"/>
        <v>0</v>
      </c>
      <c r="H379" s="151" t="str">
        <f t="shared" si="60"/>
        <v>PAR</v>
      </c>
      <c r="I379" s="29" t="e">
        <f>+#REF!</f>
        <v>#REF!</v>
      </c>
      <c r="J379" s="151" t="str">
        <f t="shared" si="62"/>
        <v>ACERO</v>
      </c>
      <c r="K379" s="29" t="e">
        <f>+#REF!</f>
        <v>#REF!</v>
      </c>
      <c r="L379" s="76">
        <f t="shared" si="63"/>
        <v>830</v>
      </c>
      <c r="M379" s="141">
        <f t="shared" si="64"/>
        <v>0</v>
      </c>
      <c r="N379" s="165">
        <f t="shared" si="65"/>
        <v>0</v>
      </c>
      <c r="O379" s="371" t="s">
        <v>1430</v>
      </c>
      <c r="P379" s="351"/>
    </row>
    <row r="380" spans="2:18" x14ac:dyDescent="0.25">
      <c r="C380" s="2" t="s">
        <v>467</v>
      </c>
      <c r="E380" s="277" t="str">
        <f>+E145</f>
        <v>Varilla roscada zincada 3/8"</v>
      </c>
      <c r="F380" s="146"/>
      <c r="G380" s="80">
        <f t="shared" si="61"/>
        <v>0</v>
      </c>
      <c r="H380" s="151" t="str">
        <f t="shared" si="60"/>
        <v>ML</v>
      </c>
      <c r="I380" s="29" t="e">
        <f>+#REF!</f>
        <v>#REF!</v>
      </c>
      <c r="J380" s="151" t="str">
        <f t="shared" si="62"/>
        <v>ACERO</v>
      </c>
      <c r="K380" s="29" t="e">
        <f>+#REF!</f>
        <v>#REF!</v>
      </c>
      <c r="L380" s="76">
        <f t="shared" si="63"/>
        <v>3500</v>
      </c>
      <c r="M380" s="141">
        <f t="shared" si="64"/>
        <v>0</v>
      </c>
      <c r="N380" s="165">
        <f t="shared" si="65"/>
        <v>0</v>
      </c>
      <c r="O380" s="371" t="s">
        <v>1434</v>
      </c>
      <c r="P380" s="351"/>
    </row>
    <row r="381" spans="2:18" x14ac:dyDescent="0.25">
      <c r="C381" s="2" t="s">
        <v>467</v>
      </c>
      <c r="E381" s="277" t="str">
        <f>+E146</f>
        <v>Tuerca+arandela zincada 3/8"</v>
      </c>
      <c r="F381" s="146"/>
      <c r="G381" s="80">
        <f t="shared" si="61"/>
        <v>0</v>
      </c>
      <c r="H381" s="151" t="str">
        <f t="shared" si="60"/>
        <v>PAR</v>
      </c>
      <c r="I381" s="29" t="e">
        <f>+#REF!</f>
        <v>#REF!</v>
      </c>
      <c r="J381" s="151" t="str">
        <f t="shared" si="62"/>
        <v>ACERO</v>
      </c>
      <c r="K381" s="29" t="e">
        <f>+#REF!</f>
        <v>#REF!</v>
      </c>
      <c r="L381" s="76">
        <f t="shared" si="63"/>
        <v>330</v>
      </c>
      <c r="M381" s="141">
        <f t="shared" si="64"/>
        <v>0</v>
      </c>
      <c r="N381" s="165">
        <f t="shared" si="65"/>
        <v>0</v>
      </c>
      <c r="O381" s="371" t="s">
        <v>1434</v>
      </c>
      <c r="P381" s="351"/>
    </row>
    <row r="382" spans="2:18" x14ac:dyDescent="0.25">
      <c r="C382" s="2" t="s">
        <v>467</v>
      </c>
      <c r="E382" s="277" t="e">
        <f>+#REF!</f>
        <v>#REF!</v>
      </c>
      <c r="F382" s="146"/>
      <c r="G382" s="80">
        <f t="shared" si="61"/>
        <v>0</v>
      </c>
      <c r="H382" s="151" t="e">
        <f t="shared" si="60"/>
        <v>#REF!</v>
      </c>
      <c r="I382" s="29" t="e">
        <f>+#REF!</f>
        <v>#REF!</v>
      </c>
      <c r="J382" s="151" t="e">
        <f t="shared" si="62"/>
        <v>#REF!</v>
      </c>
      <c r="K382" s="29" t="e">
        <f>+#REF!</f>
        <v>#REF!</v>
      </c>
      <c r="L382" s="76" t="e">
        <f t="shared" si="63"/>
        <v>#REF!</v>
      </c>
      <c r="M382" s="141" t="e">
        <f t="shared" si="64"/>
        <v>#REF!</v>
      </c>
      <c r="N382" s="165" t="e">
        <f t="shared" si="65"/>
        <v>#REF!</v>
      </c>
      <c r="O382" s="371" t="s">
        <v>502</v>
      </c>
      <c r="P382" s="351"/>
    </row>
    <row r="383" spans="2:18" x14ac:dyDescent="0.25">
      <c r="C383" s="2" t="s">
        <v>467</v>
      </c>
      <c r="E383" s="277" t="e">
        <f>+#REF!</f>
        <v>#REF!</v>
      </c>
      <c r="F383" s="146"/>
      <c r="G383" s="80">
        <f t="shared" si="61"/>
        <v>0</v>
      </c>
      <c r="H383" s="151" t="e">
        <f t="shared" si="60"/>
        <v>#REF!</v>
      </c>
      <c r="I383" s="29" t="e">
        <f>+#REF!</f>
        <v>#REF!</v>
      </c>
      <c r="J383" s="151" t="e">
        <f t="shared" si="62"/>
        <v>#REF!</v>
      </c>
      <c r="K383" s="29" t="e">
        <f>+#REF!</f>
        <v>#REF!</v>
      </c>
      <c r="L383" s="76" t="e">
        <f t="shared" si="63"/>
        <v>#REF!</v>
      </c>
      <c r="M383" s="141" t="e">
        <f t="shared" si="64"/>
        <v>#REF!</v>
      </c>
      <c r="N383" s="165" t="e">
        <f t="shared" si="65"/>
        <v>#REF!</v>
      </c>
      <c r="O383" s="371" t="s">
        <v>502</v>
      </c>
      <c r="P383" s="351"/>
    </row>
    <row r="384" spans="2:18" x14ac:dyDescent="0.25">
      <c r="C384" s="2" t="s">
        <v>467</v>
      </c>
      <c r="E384" s="277" t="e">
        <f>+#REF!</f>
        <v>#REF!</v>
      </c>
      <c r="F384" s="146"/>
      <c r="G384" s="80">
        <f t="shared" si="61"/>
        <v>0</v>
      </c>
      <c r="H384" s="151" t="e">
        <f t="shared" si="60"/>
        <v>#REF!</v>
      </c>
      <c r="I384" s="29" t="e">
        <f>+#REF!</f>
        <v>#REF!</v>
      </c>
      <c r="J384" s="151" t="e">
        <f t="shared" si="62"/>
        <v>#REF!</v>
      </c>
      <c r="K384" s="29" t="e">
        <f>+#REF!</f>
        <v>#REF!</v>
      </c>
      <c r="L384" s="76" t="e">
        <f t="shared" si="63"/>
        <v>#REF!</v>
      </c>
      <c r="M384" s="141" t="e">
        <f t="shared" si="64"/>
        <v>#REF!</v>
      </c>
      <c r="N384" s="165" t="e">
        <f t="shared" si="65"/>
        <v>#REF!</v>
      </c>
      <c r="O384" s="371" t="s">
        <v>502</v>
      </c>
      <c r="P384" s="351"/>
    </row>
    <row r="385" spans="3:16" x14ac:dyDescent="0.25">
      <c r="C385" s="2" t="s">
        <v>467</v>
      </c>
      <c r="E385" s="277" t="e">
        <f>+#REF!</f>
        <v>#REF!</v>
      </c>
      <c r="F385" s="146"/>
      <c r="G385" s="80">
        <f t="shared" si="61"/>
        <v>0</v>
      </c>
      <c r="H385" s="151" t="e">
        <f t="shared" si="60"/>
        <v>#REF!</v>
      </c>
      <c r="I385" s="29" t="e">
        <f>+#REF!</f>
        <v>#REF!</v>
      </c>
      <c r="J385" s="151" t="e">
        <f t="shared" si="62"/>
        <v>#REF!</v>
      </c>
      <c r="K385" s="29" t="e">
        <f>+#REF!</f>
        <v>#REF!</v>
      </c>
      <c r="L385" s="76" t="e">
        <f t="shared" si="63"/>
        <v>#REF!</v>
      </c>
      <c r="M385" s="141" t="e">
        <f t="shared" si="64"/>
        <v>#REF!</v>
      </c>
      <c r="N385" s="165" t="e">
        <f t="shared" si="65"/>
        <v>#REF!</v>
      </c>
      <c r="O385" s="371" t="s">
        <v>502</v>
      </c>
      <c r="P385" s="351"/>
    </row>
    <row r="386" spans="3:16" x14ac:dyDescent="0.25">
      <c r="C386" s="2" t="s">
        <v>467</v>
      </c>
      <c r="E386" s="277" t="e">
        <f>+#REF!</f>
        <v>#REF!</v>
      </c>
      <c r="F386" s="146"/>
      <c r="G386" s="80">
        <f t="shared" si="61"/>
        <v>0</v>
      </c>
      <c r="H386" s="151" t="e">
        <f t="shared" si="60"/>
        <v>#REF!</v>
      </c>
      <c r="I386" s="29" t="e">
        <f>+#REF!</f>
        <v>#REF!</v>
      </c>
      <c r="J386" s="151" t="e">
        <f t="shared" si="62"/>
        <v>#REF!</v>
      </c>
      <c r="K386" s="29" t="e">
        <f>+#REF!</f>
        <v>#REF!</v>
      </c>
      <c r="L386" s="76" t="e">
        <f t="shared" si="63"/>
        <v>#REF!</v>
      </c>
      <c r="M386" s="141" t="e">
        <f t="shared" si="64"/>
        <v>#REF!</v>
      </c>
      <c r="N386" s="165" t="e">
        <f t="shared" si="65"/>
        <v>#REF!</v>
      </c>
      <c r="O386" s="371" t="s">
        <v>502</v>
      </c>
      <c r="P386" s="351"/>
    </row>
    <row r="387" spans="3:16" x14ac:dyDescent="0.25">
      <c r="C387" s="2" t="s">
        <v>467</v>
      </c>
      <c r="E387" s="277" t="e">
        <f>+#REF!</f>
        <v>#REF!</v>
      </c>
      <c r="F387" s="146"/>
      <c r="G387" s="80">
        <f t="shared" si="61"/>
        <v>0</v>
      </c>
      <c r="H387" s="151" t="e">
        <f t="shared" si="60"/>
        <v>#REF!</v>
      </c>
      <c r="I387" s="29" t="e">
        <f>+#REF!</f>
        <v>#REF!</v>
      </c>
      <c r="J387" s="151" t="e">
        <f t="shared" si="62"/>
        <v>#REF!</v>
      </c>
      <c r="K387" s="29" t="e">
        <f>+#REF!</f>
        <v>#REF!</v>
      </c>
      <c r="L387" s="76" t="e">
        <f t="shared" si="63"/>
        <v>#REF!</v>
      </c>
      <c r="M387" s="141" t="e">
        <f t="shared" si="64"/>
        <v>#REF!</v>
      </c>
      <c r="N387" s="165" t="e">
        <f t="shared" si="65"/>
        <v>#REF!</v>
      </c>
      <c r="O387" s="371" t="s">
        <v>502</v>
      </c>
      <c r="P387" s="351"/>
    </row>
    <row r="388" spans="3:16" x14ac:dyDescent="0.25">
      <c r="C388" s="2" t="s">
        <v>467</v>
      </c>
      <c r="E388" s="277" t="e">
        <f>+#REF!</f>
        <v>#REF!</v>
      </c>
      <c r="F388" s="146"/>
      <c r="G388" s="80">
        <f t="shared" si="61"/>
        <v>0</v>
      </c>
      <c r="H388" s="151" t="e">
        <f t="shared" si="60"/>
        <v>#REF!</v>
      </c>
      <c r="I388" s="29" t="e">
        <f>+#REF!</f>
        <v>#REF!</v>
      </c>
      <c r="J388" s="151" t="e">
        <f t="shared" si="62"/>
        <v>#REF!</v>
      </c>
      <c r="K388" s="29" t="e">
        <f>+#REF!</f>
        <v>#REF!</v>
      </c>
      <c r="L388" s="76" t="e">
        <f t="shared" si="63"/>
        <v>#REF!</v>
      </c>
      <c r="M388" s="141" t="e">
        <f t="shared" si="64"/>
        <v>#REF!</v>
      </c>
      <c r="N388" s="165" t="e">
        <f t="shared" si="65"/>
        <v>#REF!</v>
      </c>
      <c r="O388" s="371" t="s">
        <v>502</v>
      </c>
      <c r="P388" s="351"/>
    </row>
    <row r="389" spans="3:16" x14ac:dyDescent="0.25">
      <c r="C389" s="2" t="s">
        <v>467</v>
      </c>
      <c r="E389" s="277" t="e">
        <f>+#REF!</f>
        <v>#REF!</v>
      </c>
      <c r="F389" s="146"/>
      <c r="G389" s="80">
        <f t="shared" si="61"/>
        <v>0</v>
      </c>
      <c r="H389" s="151" t="e">
        <f t="shared" si="60"/>
        <v>#REF!</v>
      </c>
      <c r="I389" s="29" t="e">
        <f>+#REF!</f>
        <v>#REF!</v>
      </c>
      <c r="J389" s="151" t="e">
        <f t="shared" si="62"/>
        <v>#REF!</v>
      </c>
      <c r="K389" s="29" t="e">
        <f>+#REF!</f>
        <v>#REF!</v>
      </c>
      <c r="L389" s="76" t="e">
        <f t="shared" si="63"/>
        <v>#REF!</v>
      </c>
      <c r="M389" s="141" t="e">
        <f t="shared" si="59"/>
        <v>#REF!</v>
      </c>
      <c r="N389" s="165" t="e">
        <f t="shared" si="58"/>
        <v>#REF!</v>
      </c>
      <c r="O389" s="371" t="s">
        <v>502</v>
      </c>
      <c r="P389" s="351"/>
    </row>
    <row r="390" spans="3:16" x14ac:dyDescent="0.25">
      <c r="C390" s="2" t="s">
        <v>467</v>
      </c>
      <c r="E390" s="277" t="e">
        <f>+#REF!</f>
        <v>#REF!</v>
      </c>
      <c r="F390" s="146"/>
      <c r="G390" s="80">
        <f t="shared" si="61"/>
        <v>0</v>
      </c>
      <c r="H390" s="151" t="e">
        <f t="shared" si="60"/>
        <v>#REF!</v>
      </c>
      <c r="I390" s="29" t="e">
        <f>+#REF!</f>
        <v>#REF!</v>
      </c>
      <c r="J390" s="151" t="e">
        <f t="shared" si="62"/>
        <v>#REF!</v>
      </c>
      <c r="K390" s="29" t="e">
        <f>+#REF!</f>
        <v>#REF!</v>
      </c>
      <c r="L390" s="76" t="e">
        <f t="shared" si="63"/>
        <v>#REF!</v>
      </c>
      <c r="M390" s="141" t="e">
        <f t="shared" si="59"/>
        <v>#REF!</v>
      </c>
      <c r="N390" s="165" t="e">
        <f t="shared" si="58"/>
        <v>#REF!</v>
      </c>
      <c r="O390" s="371" t="s">
        <v>502</v>
      </c>
      <c r="P390" s="351"/>
    </row>
    <row r="391" spans="3:16" x14ac:dyDescent="0.25">
      <c r="C391" s="2" t="s">
        <v>467</v>
      </c>
      <c r="E391" s="277" t="e">
        <f>+#REF!</f>
        <v>#REF!</v>
      </c>
      <c r="F391" s="146"/>
      <c r="G391" s="80">
        <f t="shared" si="61"/>
        <v>0</v>
      </c>
      <c r="H391" s="151" t="e">
        <f t="shared" si="60"/>
        <v>#REF!</v>
      </c>
      <c r="I391" s="29" t="e">
        <f>+#REF!</f>
        <v>#REF!</v>
      </c>
      <c r="J391" s="151" t="e">
        <f t="shared" si="62"/>
        <v>#REF!</v>
      </c>
      <c r="K391" s="29" t="e">
        <f>+#REF!</f>
        <v>#REF!</v>
      </c>
      <c r="L391" s="76" t="e">
        <f t="shared" si="63"/>
        <v>#REF!</v>
      </c>
      <c r="M391" s="141" t="e">
        <f t="shared" si="59"/>
        <v>#REF!</v>
      </c>
      <c r="N391" s="165" t="e">
        <f t="shared" si="58"/>
        <v>#REF!</v>
      </c>
      <c r="O391" s="371" t="s">
        <v>502</v>
      </c>
      <c r="P391" s="351"/>
    </row>
    <row r="392" spans="3:16" x14ac:dyDescent="0.25">
      <c r="C392" s="2" t="s">
        <v>467</v>
      </c>
      <c r="E392" s="277" t="e">
        <f>+#REF!</f>
        <v>#REF!</v>
      </c>
      <c r="F392" s="146"/>
      <c r="G392" s="80">
        <f t="shared" si="61"/>
        <v>0</v>
      </c>
      <c r="H392" s="151" t="e">
        <f t="shared" si="60"/>
        <v>#REF!</v>
      </c>
      <c r="I392" s="29" t="e">
        <f>+#REF!</f>
        <v>#REF!</v>
      </c>
      <c r="J392" s="151" t="e">
        <f t="shared" si="62"/>
        <v>#REF!</v>
      </c>
      <c r="K392" s="29" t="e">
        <f>+#REF!</f>
        <v>#REF!</v>
      </c>
      <c r="L392" s="76" t="e">
        <f t="shared" si="63"/>
        <v>#REF!</v>
      </c>
      <c r="M392" s="141" t="e">
        <f t="shared" si="59"/>
        <v>#REF!</v>
      </c>
      <c r="N392" s="165" t="e">
        <f t="shared" si="58"/>
        <v>#REF!</v>
      </c>
      <c r="O392" s="371" t="s">
        <v>502</v>
      </c>
      <c r="P392" s="351"/>
    </row>
    <row r="393" spans="3:16" x14ac:dyDescent="0.25">
      <c r="C393" s="2" t="s">
        <v>467</v>
      </c>
      <c r="E393" s="277" t="e">
        <f>+#REF!</f>
        <v>#REF!</v>
      </c>
      <c r="F393" s="146"/>
      <c r="G393" s="80">
        <f t="shared" si="61"/>
        <v>0</v>
      </c>
      <c r="H393" s="151" t="e">
        <f t="shared" si="60"/>
        <v>#REF!</v>
      </c>
      <c r="I393" s="29" t="e">
        <f>+#REF!</f>
        <v>#REF!</v>
      </c>
      <c r="J393" s="151" t="e">
        <f t="shared" si="62"/>
        <v>#REF!</v>
      </c>
      <c r="K393" s="29" t="e">
        <f>+#REF!</f>
        <v>#REF!</v>
      </c>
      <c r="L393" s="76" t="e">
        <f t="shared" si="63"/>
        <v>#REF!</v>
      </c>
      <c r="M393" s="141" t="e">
        <f t="shared" si="59"/>
        <v>#REF!</v>
      </c>
      <c r="N393" s="165" t="e">
        <f t="shared" si="58"/>
        <v>#REF!</v>
      </c>
      <c r="O393" s="371" t="s">
        <v>502</v>
      </c>
      <c r="P393" s="351"/>
    </row>
    <row r="394" spans="3:16" x14ac:dyDescent="0.25">
      <c r="C394" s="2" t="s">
        <v>467</v>
      </c>
      <c r="E394" s="277" t="e">
        <f>+#REF!</f>
        <v>#REF!</v>
      </c>
      <c r="F394" s="146"/>
      <c r="G394" s="80">
        <f t="shared" si="61"/>
        <v>0</v>
      </c>
      <c r="H394" s="151" t="e">
        <f t="shared" si="60"/>
        <v>#REF!</v>
      </c>
      <c r="I394" s="29" t="e">
        <f>+#REF!</f>
        <v>#REF!</v>
      </c>
      <c r="J394" s="151" t="e">
        <f t="shared" si="62"/>
        <v>#REF!</v>
      </c>
      <c r="K394" s="29" t="e">
        <f>+#REF!</f>
        <v>#REF!</v>
      </c>
      <c r="L394" s="76" t="e">
        <f t="shared" si="63"/>
        <v>#REF!</v>
      </c>
      <c r="M394" s="141" t="e">
        <f t="shared" si="59"/>
        <v>#REF!</v>
      </c>
      <c r="N394" s="165" t="e">
        <f t="shared" si="58"/>
        <v>#REF!</v>
      </c>
      <c r="O394" s="371" t="s">
        <v>502</v>
      </c>
      <c r="P394" s="351"/>
    </row>
    <row r="395" spans="3:16" x14ac:dyDescent="0.25">
      <c r="C395" s="2" t="s">
        <v>467</v>
      </c>
      <c r="E395" s="277" t="e">
        <f>+#REF!</f>
        <v>#REF!</v>
      </c>
      <c r="F395" s="146"/>
      <c r="G395" s="80">
        <f t="shared" si="61"/>
        <v>0</v>
      </c>
      <c r="H395" s="151" t="e">
        <f t="shared" si="60"/>
        <v>#REF!</v>
      </c>
      <c r="I395" s="29" t="e">
        <f>+#REF!</f>
        <v>#REF!</v>
      </c>
      <c r="J395" s="151" t="e">
        <f t="shared" si="62"/>
        <v>#REF!</v>
      </c>
      <c r="K395" s="29" t="e">
        <f>+#REF!</f>
        <v>#REF!</v>
      </c>
      <c r="L395" s="76" t="e">
        <f t="shared" si="63"/>
        <v>#REF!</v>
      </c>
      <c r="M395" s="141" t="e">
        <f t="shared" si="59"/>
        <v>#REF!</v>
      </c>
      <c r="N395" s="165" t="e">
        <f t="shared" si="58"/>
        <v>#REF!</v>
      </c>
      <c r="O395" s="371" t="s">
        <v>502</v>
      </c>
      <c r="P395" s="351"/>
    </row>
    <row r="396" spans="3:16" x14ac:dyDescent="0.25">
      <c r="C396" s="2" t="s">
        <v>467</v>
      </c>
      <c r="E396" s="277" t="e">
        <f>+#REF!</f>
        <v>#REF!</v>
      </c>
      <c r="F396" s="146"/>
      <c r="G396" s="80">
        <f t="shared" si="61"/>
        <v>0</v>
      </c>
      <c r="H396" s="151" t="e">
        <f t="shared" si="60"/>
        <v>#REF!</v>
      </c>
      <c r="I396" s="29" t="e">
        <f>+#REF!</f>
        <v>#REF!</v>
      </c>
      <c r="J396" s="151" t="e">
        <f t="shared" si="62"/>
        <v>#REF!</v>
      </c>
      <c r="K396" s="29" t="e">
        <f>+#REF!</f>
        <v>#REF!</v>
      </c>
      <c r="L396" s="76" t="e">
        <f t="shared" si="63"/>
        <v>#REF!</v>
      </c>
      <c r="M396" s="141" t="e">
        <f t="shared" si="59"/>
        <v>#REF!</v>
      </c>
      <c r="N396" s="165" t="e">
        <f t="shared" si="58"/>
        <v>#REF!</v>
      </c>
      <c r="O396" s="371" t="s">
        <v>502</v>
      </c>
      <c r="P396" s="351"/>
    </row>
    <row r="397" spans="3:16" x14ac:dyDescent="0.25">
      <c r="C397" s="2" t="s">
        <v>467</v>
      </c>
      <c r="E397" s="277" t="e">
        <f>+#REF!</f>
        <v>#REF!</v>
      </c>
      <c r="F397" s="146"/>
      <c r="G397" s="80">
        <f t="shared" si="61"/>
        <v>0</v>
      </c>
      <c r="H397" s="151" t="e">
        <f t="shared" si="60"/>
        <v>#REF!</v>
      </c>
      <c r="I397" s="29" t="e">
        <f>+#REF!</f>
        <v>#REF!</v>
      </c>
      <c r="J397" s="151" t="e">
        <f t="shared" si="62"/>
        <v>#REF!</v>
      </c>
      <c r="K397" s="29" t="e">
        <f>+#REF!</f>
        <v>#REF!</v>
      </c>
      <c r="L397" s="76" t="e">
        <f t="shared" si="63"/>
        <v>#REF!</v>
      </c>
      <c r="M397" s="141" t="e">
        <f t="shared" si="59"/>
        <v>#REF!</v>
      </c>
      <c r="N397" s="165" t="e">
        <f t="shared" si="58"/>
        <v>#REF!</v>
      </c>
      <c r="O397" s="371" t="s">
        <v>502</v>
      </c>
      <c r="P397" s="351"/>
    </row>
    <row r="398" spans="3:16" x14ac:dyDescent="0.25">
      <c r="C398" s="2" t="s">
        <v>467</v>
      </c>
      <c r="E398" s="277" t="e">
        <f>+#REF!</f>
        <v>#REF!</v>
      </c>
      <c r="F398" s="146"/>
      <c r="G398" s="80">
        <f t="shared" si="61"/>
        <v>0</v>
      </c>
      <c r="H398" s="151" t="e">
        <f t="shared" si="60"/>
        <v>#REF!</v>
      </c>
      <c r="I398" s="29" t="e">
        <f>+#REF!</f>
        <v>#REF!</v>
      </c>
      <c r="J398" s="151" t="e">
        <f t="shared" si="62"/>
        <v>#REF!</v>
      </c>
      <c r="K398" s="29" t="e">
        <f>+#REF!</f>
        <v>#REF!</v>
      </c>
      <c r="L398" s="76" t="e">
        <f t="shared" si="63"/>
        <v>#REF!</v>
      </c>
      <c r="M398" s="141" t="e">
        <f t="shared" si="59"/>
        <v>#REF!</v>
      </c>
      <c r="N398" s="165" t="e">
        <f t="shared" si="58"/>
        <v>#REF!</v>
      </c>
      <c r="O398" s="371" t="s">
        <v>502</v>
      </c>
      <c r="P398" s="351"/>
    </row>
    <row r="399" spans="3:16" x14ac:dyDescent="0.25">
      <c r="C399" s="2" t="s">
        <v>467</v>
      </c>
      <c r="E399" s="277" t="e">
        <f>+#REF!</f>
        <v>#REF!</v>
      </c>
      <c r="F399" s="146"/>
      <c r="G399" s="80">
        <f t="shared" si="61"/>
        <v>0</v>
      </c>
      <c r="H399" s="151" t="e">
        <f t="shared" si="60"/>
        <v>#REF!</v>
      </c>
      <c r="I399" s="29" t="e">
        <f>+#REF!</f>
        <v>#REF!</v>
      </c>
      <c r="J399" s="151" t="e">
        <f t="shared" si="62"/>
        <v>#REF!</v>
      </c>
      <c r="K399" s="29" t="e">
        <f>+#REF!</f>
        <v>#REF!</v>
      </c>
      <c r="L399" s="76" t="e">
        <f t="shared" si="63"/>
        <v>#REF!</v>
      </c>
      <c r="M399" s="141" t="e">
        <f t="shared" si="59"/>
        <v>#REF!</v>
      </c>
      <c r="N399" s="165" t="e">
        <f t="shared" si="58"/>
        <v>#REF!</v>
      </c>
      <c r="O399" s="371" t="s">
        <v>502</v>
      </c>
      <c r="P399" s="351"/>
    </row>
    <row r="400" spans="3:16" x14ac:dyDescent="0.25">
      <c r="C400" s="2" t="s">
        <v>467</v>
      </c>
      <c r="E400" s="277" t="e">
        <f>+#REF!</f>
        <v>#REF!</v>
      </c>
      <c r="F400" s="146"/>
      <c r="G400" s="80">
        <f t="shared" si="61"/>
        <v>0</v>
      </c>
      <c r="H400" s="151" t="e">
        <f t="shared" si="60"/>
        <v>#REF!</v>
      </c>
      <c r="I400" s="29" t="e">
        <f>+#REF!</f>
        <v>#REF!</v>
      </c>
      <c r="J400" s="151" t="e">
        <f t="shared" si="62"/>
        <v>#REF!</v>
      </c>
      <c r="K400" s="29" t="e">
        <f>+#REF!</f>
        <v>#REF!</v>
      </c>
      <c r="L400" s="76" t="e">
        <f t="shared" si="63"/>
        <v>#REF!</v>
      </c>
      <c r="M400" s="141" t="e">
        <f t="shared" si="59"/>
        <v>#REF!</v>
      </c>
      <c r="N400" s="165" t="e">
        <f t="shared" si="58"/>
        <v>#REF!</v>
      </c>
      <c r="O400" s="371" t="s">
        <v>502</v>
      </c>
      <c r="P400" s="351"/>
    </row>
    <row r="401" spans="3:16" x14ac:dyDescent="0.25">
      <c r="C401" s="2" t="s">
        <v>467</v>
      </c>
      <c r="E401" s="277" t="e">
        <f>+#REF!</f>
        <v>#REF!</v>
      </c>
      <c r="F401" s="146"/>
      <c r="G401" s="80">
        <f t="shared" si="61"/>
        <v>0</v>
      </c>
      <c r="H401" s="151" t="e">
        <f t="shared" si="60"/>
        <v>#REF!</v>
      </c>
      <c r="I401" s="29" t="e">
        <f>+#REF!</f>
        <v>#REF!</v>
      </c>
      <c r="J401" s="151" t="e">
        <f t="shared" si="62"/>
        <v>#REF!</v>
      </c>
      <c r="K401" s="29" t="e">
        <f>+#REF!</f>
        <v>#REF!</v>
      </c>
      <c r="L401" s="76" t="e">
        <f t="shared" si="63"/>
        <v>#REF!</v>
      </c>
      <c r="M401" s="141" t="e">
        <f t="shared" si="59"/>
        <v>#REF!</v>
      </c>
      <c r="N401" s="165" t="e">
        <f t="shared" si="58"/>
        <v>#REF!</v>
      </c>
      <c r="O401" s="371" t="s">
        <v>502</v>
      </c>
      <c r="P401" s="351"/>
    </row>
    <row r="402" spans="3:16" x14ac:dyDescent="0.25">
      <c r="C402" s="2" t="s">
        <v>467</v>
      </c>
      <c r="E402" s="277" t="e">
        <f>+#REF!</f>
        <v>#REF!</v>
      </c>
      <c r="F402" s="146"/>
      <c r="G402" s="80">
        <f t="shared" si="61"/>
        <v>0</v>
      </c>
      <c r="H402" s="151" t="e">
        <f t="shared" si="60"/>
        <v>#REF!</v>
      </c>
      <c r="I402" s="29" t="e">
        <f>+#REF!</f>
        <v>#REF!</v>
      </c>
      <c r="J402" s="151" t="e">
        <f t="shared" si="62"/>
        <v>#REF!</v>
      </c>
      <c r="K402" s="29" t="e">
        <f>+#REF!</f>
        <v>#REF!</v>
      </c>
      <c r="L402" s="76" t="e">
        <f t="shared" si="63"/>
        <v>#REF!</v>
      </c>
      <c r="M402" s="141" t="e">
        <f t="shared" si="59"/>
        <v>#REF!</v>
      </c>
      <c r="N402" s="165" t="e">
        <f t="shared" si="58"/>
        <v>#REF!</v>
      </c>
      <c r="O402" s="371" t="s">
        <v>502</v>
      </c>
      <c r="P402" s="351"/>
    </row>
    <row r="403" spans="3:16" x14ac:dyDescent="0.25">
      <c r="C403" s="2" t="s">
        <v>467</v>
      </c>
      <c r="E403" s="277" t="e">
        <f>+#REF!</f>
        <v>#REF!</v>
      </c>
      <c r="F403" s="146"/>
      <c r="G403" s="80">
        <f t="shared" si="61"/>
        <v>0</v>
      </c>
      <c r="H403" s="151" t="e">
        <f t="shared" si="60"/>
        <v>#REF!</v>
      </c>
      <c r="I403" s="29" t="e">
        <f>+#REF!</f>
        <v>#REF!</v>
      </c>
      <c r="J403" s="151" t="e">
        <f t="shared" si="62"/>
        <v>#REF!</v>
      </c>
      <c r="K403" s="29" t="e">
        <f>+#REF!</f>
        <v>#REF!</v>
      </c>
      <c r="L403" s="76" t="e">
        <f t="shared" si="63"/>
        <v>#REF!</v>
      </c>
      <c r="M403" s="141" t="e">
        <f t="shared" si="59"/>
        <v>#REF!</v>
      </c>
      <c r="N403" s="165" t="e">
        <f t="shared" si="58"/>
        <v>#REF!</v>
      </c>
      <c r="O403" s="371" t="s">
        <v>502</v>
      </c>
      <c r="P403" s="351"/>
    </row>
    <row r="404" spans="3:16" x14ac:dyDescent="0.25">
      <c r="C404" s="2" t="s">
        <v>467</v>
      </c>
      <c r="E404" s="277" t="e">
        <f>+#REF!</f>
        <v>#REF!</v>
      </c>
      <c r="F404" s="146"/>
      <c r="G404" s="80">
        <f t="shared" si="61"/>
        <v>0</v>
      </c>
      <c r="H404" s="151" t="e">
        <f t="shared" si="60"/>
        <v>#REF!</v>
      </c>
      <c r="I404" s="29" t="e">
        <f>+#REF!</f>
        <v>#REF!</v>
      </c>
      <c r="J404" s="151" t="e">
        <f t="shared" si="62"/>
        <v>#REF!</v>
      </c>
      <c r="K404" s="29" t="e">
        <f>+#REF!</f>
        <v>#REF!</v>
      </c>
      <c r="L404" s="76" t="e">
        <f t="shared" si="63"/>
        <v>#REF!</v>
      </c>
      <c r="M404" s="141" t="e">
        <f t="shared" si="59"/>
        <v>#REF!</v>
      </c>
      <c r="N404" s="165" t="e">
        <f t="shared" si="58"/>
        <v>#REF!</v>
      </c>
      <c r="O404" s="371" t="s">
        <v>502</v>
      </c>
      <c r="P404" s="351"/>
    </row>
    <row r="405" spans="3:16" x14ac:dyDescent="0.25">
      <c r="C405" s="2" t="s">
        <v>467</v>
      </c>
      <c r="E405" s="277" t="e">
        <f>+#REF!</f>
        <v>#REF!</v>
      </c>
      <c r="F405" s="146"/>
      <c r="G405" s="80">
        <f t="shared" si="61"/>
        <v>0</v>
      </c>
      <c r="H405" s="151" t="e">
        <f t="shared" si="60"/>
        <v>#REF!</v>
      </c>
      <c r="I405" s="29" t="e">
        <f>+#REF!</f>
        <v>#REF!</v>
      </c>
      <c r="J405" s="151" t="e">
        <f t="shared" si="62"/>
        <v>#REF!</v>
      </c>
      <c r="K405" s="29" t="e">
        <f>+#REF!</f>
        <v>#REF!</v>
      </c>
      <c r="L405" s="76" t="e">
        <f t="shared" si="63"/>
        <v>#REF!</v>
      </c>
      <c r="M405" s="141" t="e">
        <f t="shared" si="59"/>
        <v>#REF!</v>
      </c>
      <c r="N405" s="165" t="e">
        <f t="shared" si="58"/>
        <v>#REF!</v>
      </c>
      <c r="O405" s="371" t="s">
        <v>502</v>
      </c>
      <c r="P405" s="351"/>
    </row>
    <row r="406" spans="3:16" x14ac:dyDescent="0.25">
      <c r="C406" s="2" t="s">
        <v>467</v>
      </c>
      <c r="E406" s="277" t="e">
        <f>+#REF!</f>
        <v>#REF!</v>
      </c>
      <c r="F406" s="146"/>
      <c r="G406" s="80">
        <f t="shared" si="61"/>
        <v>0</v>
      </c>
      <c r="H406" s="151" t="e">
        <f t="shared" si="60"/>
        <v>#REF!</v>
      </c>
      <c r="I406" s="29" t="e">
        <f>+#REF!</f>
        <v>#REF!</v>
      </c>
      <c r="J406" s="151" t="e">
        <f t="shared" si="62"/>
        <v>#REF!</v>
      </c>
      <c r="K406" s="29" t="e">
        <f>+#REF!</f>
        <v>#REF!</v>
      </c>
      <c r="L406" s="76" t="e">
        <f t="shared" si="63"/>
        <v>#REF!</v>
      </c>
      <c r="M406" s="141" t="e">
        <f t="shared" si="59"/>
        <v>#REF!</v>
      </c>
      <c r="N406" s="165" t="e">
        <f t="shared" si="58"/>
        <v>#REF!</v>
      </c>
      <c r="O406" s="371" t="s">
        <v>502</v>
      </c>
      <c r="P406" s="351"/>
    </row>
    <row r="407" spans="3:16" x14ac:dyDescent="0.25">
      <c r="C407" s="2" t="s">
        <v>467</v>
      </c>
      <c r="E407" s="277" t="e">
        <f>+#REF!</f>
        <v>#REF!</v>
      </c>
      <c r="F407" s="146"/>
      <c r="G407" s="80">
        <f t="shared" si="61"/>
        <v>0</v>
      </c>
      <c r="H407" s="151" t="e">
        <f t="shared" si="60"/>
        <v>#REF!</v>
      </c>
      <c r="I407" s="29" t="e">
        <f>+#REF!</f>
        <v>#REF!</v>
      </c>
      <c r="J407" s="151" t="e">
        <f t="shared" si="62"/>
        <v>#REF!</v>
      </c>
      <c r="K407" s="29" t="e">
        <f>+#REF!</f>
        <v>#REF!</v>
      </c>
      <c r="L407" s="76" t="e">
        <f t="shared" si="63"/>
        <v>#REF!</v>
      </c>
      <c r="M407" s="141" t="e">
        <f t="shared" si="59"/>
        <v>#REF!</v>
      </c>
      <c r="N407" s="165" t="e">
        <f t="shared" si="58"/>
        <v>#REF!</v>
      </c>
      <c r="O407" s="371" t="s">
        <v>502</v>
      </c>
      <c r="P407" s="351"/>
    </row>
    <row r="408" spans="3:16" x14ac:dyDescent="0.25">
      <c r="C408" s="2" t="s">
        <v>467</v>
      </c>
      <c r="E408" s="277" t="e">
        <f>+#REF!</f>
        <v>#REF!</v>
      </c>
      <c r="F408" s="146"/>
      <c r="G408" s="80">
        <f t="shared" si="61"/>
        <v>0</v>
      </c>
      <c r="H408" s="151" t="e">
        <f t="shared" si="60"/>
        <v>#REF!</v>
      </c>
      <c r="I408" s="29" t="e">
        <f>+#REF!</f>
        <v>#REF!</v>
      </c>
      <c r="J408" s="151" t="e">
        <f t="shared" si="62"/>
        <v>#REF!</v>
      </c>
      <c r="K408" s="29" t="e">
        <f>+#REF!</f>
        <v>#REF!</v>
      </c>
      <c r="L408" s="76" t="e">
        <f t="shared" si="63"/>
        <v>#REF!</v>
      </c>
      <c r="M408" s="141" t="e">
        <f t="shared" si="59"/>
        <v>#REF!</v>
      </c>
      <c r="N408" s="165" t="e">
        <f t="shared" ref="N408:N415" si="66">+M408/$R$357</f>
        <v>#REF!</v>
      </c>
      <c r="O408" s="371" t="s">
        <v>502</v>
      </c>
      <c r="P408" s="351"/>
    </row>
    <row r="409" spans="3:16" x14ac:dyDescent="0.25">
      <c r="C409" s="2" t="s">
        <v>467</v>
      </c>
      <c r="E409" s="277" t="e">
        <f>+#REF!</f>
        <v>#REF!</v>
      </c>
      <c r="F409" s="146"/>
      <c r="G409" s="80">
        <f t="shared" si="61"/>
        <v>0</v>
      </c>
      <c r="H409" s="151" t="e">
        <f t="shared" si="60"/>
        <v>#REF!</v>
      </c>
      <c r="I409" s="29" t="e">
        <f>+#REF!</f>
        <v>#REF!</v>
      </c>
      <c r="J409" s="151" t="e">
        <f t="shared" si="62"/>
        <v>#REF!</v>
      </c>
      <c r="K409" s="29" t="e">
        <f>+#REF!</f>
        <v>#REF!</v>
      </c>
      <c r="L409" s="76" t="e">
        <f t="shared" si="63"/>
        <v>#REF!</v>
      </c>
      <c r="M409" s="141" t="e">
        <f t="shared" si="59"/>
        <v>#REF!</v>
      </c>
      <c r="N409" s="165" t="e">
        <f t="shared" si="66"/>
        <v>#REF!</v>
      </c>
      <c r="O409" s="371" t="s">
        <v>502</v>
      </c>
      <c r="P409" s="351"/>
    </row>
    <row r="410" spans="3:16" x14ac:dyDescent="0.25">
      <c r="C410" s="2" t="s">
        <v>467</v>
      </c>
      <c r="E410" s="277" t="e">
        <f>+#REF!</f>
        <v>#REF!</v>
      </c>
      <c r="F410" s="146"/>
      <c r="G410" s="80">
        <f t="shared" si="61"/>
        <v>0</v>
      </c>
      <c r="H410" s="151" t="e">
        <f t="shared" si="60"/>
        <v>#REF!</v>
      </c>
      <c r="I410" s="29" t="e">
        <f>+#REF!</f>
        <v>#REF!</v>
      </c>
      <c r="J410" s="151" t="e">
        <f t="shared" si="62"/>
        <v>#REF!</v>
      </c>
      <c r="K410" s="29" t="e">
        <f>+#REF!</f>
        <v>#REF!</v>
      </c>
      <c r="L410" s="76" t="e">
        <f t="shared" si="63"/>
        <v>#REF!</v>
      </c>
      <c r="M410" s="141" t="e">
        <f t="shared" si="59"/>
        <v>#REF!</v>
      </c>
      <c r="N410" s="165" t="e">
        <f t="shared" si="66"/>
        <v>#REF!</v>
      </c>
      <c r="O410" s="371" t="s">
        <v>502</v>
      </c>
      <c r="P410" s="351"/>
    </row>
    <row r="411" spans="3:16" x14ac:dyDescent="0.25">
      <c r="C411" s="2" t="s">
        <v>467</v>
      </c>
      <c r="E411" s="277" t="e">
        <f>+#REF!</f>
        <v>#REF!</v>
      </c>
      <c r="F411" s="146"/>
      <c r="G411" s="80">
        <f t="shared" si="61"/>
        <v>0</v>
      </c>
      <c r="H411" s="151" t="e">
        <f t="shared" si="60"/>
        <v>#REF!</v>
      </c>
      <c r="I411" s="29" t="e">
        <f>+#REF!</f>
        <v>#REF!</v>
      </c>
      <c r="J411" s="151" t="e">
        <f t="shared" si="62"/>
        <v>#REF!</v>
      </c>
      <c r="K411" s="29" t="e">
        <f>+#REF!</f>
        <v>#REF!</v>
      </c>
      <c r="L411" s="76" t="e">
        <f t="shared" si="63"/>
        <v>#REF!</v>
      </c>
      <c r="M411" s="141" t="e">
        <f t="shared" si="59"/>
        <v>#REF!</v>
      </c>
      <c r="N411" s="165" t="e">
        <f t="shared" si="66"/>
        <v>#REF!</v>
      </c>
      <c r="O411" s="371" t="s">
        <v>502</v>
      </c>
      <c r="P411" s="351"/>
    </row>
    <row r="412" spans="3:16" x14ac:dyDescent="0.25">
      <c r="C412" s="2" t="s">
        <v>467</v>
      </c>
      <c r="E412" s="277" t="e">
        <f>+#REF!</f>
        <v>#REF!</v>
      </c>
      <c r="F412" s="146"/>
      <c r="G412" s="80">
        <f t="shared" si="61"/>
        <v>0</v>
      </c>
      <c r="H412" s="151" t="e">
        <f t="shared" si="60"/>
        <v>#REF!</v>
      </c>
      <c r="I412" s="29" t="e">
        <f>+#REF!</f>
        <v>#REF!</v>
      </c>
      <c r="J412" s="151" t="e">
        <f t="shared" si="62"/>
        <v>#REF!</v>
      </c>
      <c r="K412" s="29" t="e">
        <f>+#REF!</f>
        <v>#REF!</v>
      </c>
      <c r="L412" s="76" t="e">
        <f t="shared" si="63"/>
        <v>#REF!</v>
      </c>
      <c r="M412" s="141" t="e">
        <f t="shared" si="59"/>
        <v>#REF!</v>
      </c>
      <c r="N412" s="165" t="e">
        <f t="shared" si="66"/>
        <v>#REF!</v>
      </c>
      <c r="O412" s="371" t="s">
        <v>502</v>
      </c>
      <c r="P412" s="351"/>
    </row>
    <row r="413" spans="3:16" x14ac:dyDescent="0.25">
      <c r="C413" s="2" t="s">
        <v>467</v>
      </c>
      <c r="E413" s="277" t="str">
        <f>+E336</f>
        <v>Policarbonato Alveolar</v>
      </c>
      <c r="F413" s="146"/>
      <c r="G413" s="80">
        <f t="shared" si="61"/>
        <v>0</v>
      </c>
      <c r="H413" s="151" t="str">
        <f t="shared" si="60"/>
        <v>M2</v>
      </c>
      <c r="I413" s="29" t="e">
        <f>+#REF!</f>
        <v>#REF!</v>
      </c>
      <c r="J413" s="151" t="str">
        <f t="shared" si="62"/>
        <v>VIDRIO</v>
      </c>
      <c r="K413" s="29" t="e">
        <f>+#REF!</f>
        <v>#REF!</v>
      </c>
      <c r="L413" s="76">
        <f t="shared" si="63"/>
        <v>34000</v>
      </c>
      <c r="M413" s="141">
        <f t="shared" si="59"/>
        <v>0</v>
      </c>
      <c r="N413" s="165">
        <f t="shared" si="66"/>
        <v>0</v>
      </c>
      <c r="O413" s="371" t="s">
        <v>502</v>
      </c>
      <c r="P413" s="351"/>
    </row>
    <row r="414" spans="3:16" x14ac:dyDescent="0.25">
      <c r="C414" s="2" t="s">
        <v>467</v>
      </c>
      <c r="E414" s="277" t="str">
        <f>+E337</f>
        <v>Sista FT 101</v>
      </c>
      <c r="F414" s="146"/>
      <c r="G414" s="80">
        <f t="shared" si="61"/>
        <v>0</v>
      </c>
      <c r="H414" s="151" t="str">
        <f t="shared" si="60"/>
        <v>UND</v>
      </c>
      <c r="I414" s="29" t="e">
        <f>+#REF!</f>
        <v>#REF!</v>
      </c>
      <c r="J414" s="151" t="str">
        <f t="shared" si="62"/>
        <v>VIDRIO</v>
      </c>
      <c r="K414" s="29" t="e">
        <f>+#REF!</f>
        <v>#REF!</v>
      </c>
      <c r="L414" s="76">
        <f t="shared" si="63"/>
        <v>38000</v>
      </c>
      <c r="M414" s="141">
        <f t="shared" si="59"/>
        <v>0</v>
      </c>
      <c r="N414" s="165">
        <f t="shared" si="66"/>
        <v>0</v>
      </c>
      <c r="O414" s="371" t="s">
        <v>502</v>
      </c>
      <c r="P414" s="351"/>
    </row>
    <row r="415" spans="3:16" x14ac:dyDescent="0.25">
      <c r="C415" s="2" t="s">
        <v>467</v>
      </c>
      <c r="E415" s="277" t="str">
        <f>+E338</f>
        <v>Tornillo autoperforante capuchón 2"</v>
      </c>
      <c r="F415" s="146"/>
      <c r="G415" s="80">
        <f t="shared" si="61"/>
        <v>0</v>
      </c>
      <c r="H415" s="151" t="str">
        <f t="shared" si="60"/>
        <v>UND</v>
      </c>
      <c r="I415" s="29" t="e">
        <f>+#REF!</f>
        <v>#REF!</v>
      </c>
      <c r="J415" s="151" t="str">
        <f t="shared" si="62"/>
        <v>ACERO</v>
      </c>
      <c r="K415" s="29" t="e">
        <f>+#REF!</f>
        <v>#REF!</v>
      </c>
      <c r="L415" s="76">
        <f t="shared" si="63"/>
        <v>5250</v>
      </c>
      <c r="M415" s="141">
        <f t="shared" si="59"/>
        <v>0</v>
      </c>
      <c r="N415" s="165">
        <f t="shared" si="66"/>
        <v>0</v>
      </c>
      <c r="O415" s="371" t="s">
        <v>502</v>
      </c>
      <c r="P415" s="351"/>
    </row>
    <row r="416" spans="3:16" ht="15.75" thickBot="1" x14ac:dyDescent="0.3">
      <c r="E416" s="140"/>
      <c r="L416" s="151"/>
      <c r="N416" s="149"/>
    </row>
    <row r="417" spans="3:16" ht="15.75" thickBot="1" x14ac:dyDescent="0.3">
      <c r="E417" s="142"/>
      <c r="F417" s="146"/>
      <c r="L417" s="156" t="s">
        <v>254</v>
      </c>
      <c r="M417" s="159" t="e">
        <f>SUM(M364:M416)</f>
        <v>#REF!</v>
      </c>
      <c r="N417" s="267" t="e">
        <f>SUM(N364:N416)</f>
        <v>#REF!</v>
      </c>
    </row>
    <row r="418" spans="3:16" ht="15.75" thickBot="1" x14ac:dyDescent="0.3">
      <c r="E418" s="142"/>
      <c r="F418" s="146"/>
      <c r="N418" s="147"/>
    </row>
    <row r="419" spans="3:16" ht="15.75" thickBot="1" x14ac:dyDescent="0.3">
      <c r="C419" s="101" t="s">
        <v>9</v>
      </c>
      <c r="D419" s="160"/>
      <c r="E419" s="161" t="s">
        <v>479</v>
      </c>
      <c r="F419" s="162"/>
      <c r="G419" s="163" t="s">
        <v>177</v>
      </c>
      <c r="H419" s="163" t="s">
        <v>248</v>
      </c>
      <c r="I419" s="163"/>
      <c r="J419" s="163" t="s">
        <v>261</v>
      </c>
      <c r="K419" s="163"/>
      <c r="L419" s="157" t="s">
        <v>249</v>
      </c>
      <c r="M419" s="156" t="s">
        <v>250</v>
      </c>
      <c r="N419" s="161" t="s">
        <v>241</v>
      </c>
      <c r="O419" s="373" t="s">
        <v>481</v>
      </c>
      <c r="P419" s="374"/>
    </row>
    <row r="420" spans="3:16" outlineLevel="1" x14ac:dyDescent="0.25">
      <c r="C420" s="2" t="s">
        <v>469</v>
      </c>
      <c r="E420" s="140" t="s">
        <v>482</v>
      </c>
      <c r="F420" s="146"/>
      <c r="G420" s="80">
        <f>(SUMIFS($O$4:$O$344,$E$4:$E$344,'B. DATOS'!$B$45,$C$4:$C$344,C420))*'B. DATOS'!$C$19</f>
        <v>0</v>
      </c>
      <c r="H420" s="29" t="s">
        <v>488</v>
      </c>
      <c r="J420" s="29" t="s">
        <v>272</v>
      </c>
      <c r="L420" s="76">
        <f>+'B. DATOS'!C23</f>
        <v>33000</v>
      </c>
      <c r="M420" s="275">
        <f t="shared" ref="M420:M427" si="67">+L420*G420</f>
        <v>0</v>
      </c>
      <c r="N420" s="276">
        <f t="shared" ref="N420:N427" si="68">+M420/$R$357</f>
        <v>0</v>
      </c>
      <c r="O420" s="380" t="s">
        <v>502</v>
      </c>
      <c r="P420" s="380"/>
    </row>
    <row r="421" spans="3:16" outlineLevel="1" x14ac:dyDescent="0.25">
      <c r="C421" s="2" t="s">
        <v>469</v>
      </c>
      <c r="E421" s="140" t="s">
        <v>483</v>
      </c>
      <c r="F421" s="146"/>
      <c r="G421" s="80">
        <f>(SUMIFS($O$4:$O$344,$E$4:$E$344,'B. DATOS'!$B$42,$C$4:$C$344,C421))*'B. DATOS'!$C$17</f>
        <v>0</v>
      </c>
      <c r="H421" s="29" t="s">
        <v>488</v>
      </c>
      <c r="J421" s="29" t="s">
        <v>489</v>
      </c>
      <c r="L421" s="76">
        <f>+'B. DATOS'!C23</f>
        <v>33000</v>
      </c>
      <c r="M421" s="141">
        <f t="shared" si="67"/>
        <v>0</v>
      </c>
      <c r="N421" s="165">
        <f t="shared" si="68"/>
        <v>0</v>
      </c>
      <c r="O421" s="371" t="s">
        <v>502</v>
      </c>
      <c r="P421" s="351"/>
    </row>
    <row r="422" spans="3:16" outlineLevel="1" x14ac:dyDescent="0.25">
      <c r="C422" s="2" t="s">
        <v>469</v>
      </c>
      <c r="E422" s="140" t="s">
        <v>484</v>
      </c>
      <c r="F422" s="146"/>
      <c r="G422" s="80">
        <f>(SUMIFS($O$4:$O$344,$E$4:$E$344,'B. DATOS'!$B$37,$C$4:$C$344,C422))*'B. DATOS'!$C$13</f>
        <v>0</v>
      </c>
      <c r="H422" s="29" t="s">
        <v>488</v>
      </c>
      <c r="J422" s="29" t="s">
        <v>272</v>
      </c>
      <c r="L422" s="76">
        <f>+'B. DATOS'!C23</f>
        <v>33000</v>
      </c>
      <c r="M422" s="141">
        <f t="shared" si="67"/>
        <v>0</v>
      </c>
      <c r="N422" s="165">
        <f t="shared" si="68"/>
        <v>0</v>
      </c>
      <c r="O422" s="371" t="s">
        <v>502</v>
      </c>
      <c r="P422" s="351"/>
    </row>
    <row r="423" spans="3:16" outlineLevel="1" x14ac:dyDescent="0.25">
      <c r="C423" s="2" t="s">
        <v>469</v>
      </c>
      <c r="E423" s="140" t="s">
        <v>485</v>
      </c>
      <c r="F423" s="146"/>
      <c r="G423" s="80">
        <f>(SUMIFS($O$4:$O$344,$E$4:$E$344,'B. DATOS'!$B$45,$C$4:$C$344,C423))*'B. DATOS'!$G$19</f>
        <v>0</v>
      </c>
      <c r="H423" s="29" t="s">
        <v>269</v>
      </c>
      <c r="J423" s="29" t="s">
        <v>272</v>
      </c>
      <c r="L423" s="76">
        <f>+'B. DATOS'!C27</f>
        <v>110000</v>
      </c>
      <c r="M423" s="141">
        <f t="shared" si="67"/>
        <v>0</v>
      </c>
      <c r="N423" s="165">
        <f t="shared" si="68"/>
        <v>0</v>
      </c>
      <c r="O423" s="371" t="s">
        <v>502</v>
      </c>
      <c r="P423" s="351"/>
    </row>
    <row r="424" spans="3:16" outlineLevel="1" x14ac:dyDescent="0.25">
      <c r="C424" s="2" t="s">
        <v>469</v>
      </c>
      <c r="E424" s="140" t="s">
        <v>486</v>
      </c>
      <c r="F424" s="146"/>
      <c r="G424" s="80">
        <f>((SUMIFS($O$4:$O$344,$E$4:$E$344,'B. DATOS'!$B$37,$C$4:$C$344,C424))*'B. DATOS'!$D$13)+((SUMIFS($O$4:$O$344,$E$4:$E$344,'B. DATOS'!$B$45,$C$4:$C$344,C424))*'B. DATOS'!$D$19)</f>
        <v>0</v>
      </c>
      <c r="H424" s="29" t="s">
        <v>269</v>
      </c>
      <c r="J424" s="29" t="s">
        <v>272</v>
      </c>
      <c r="L424" s="76">
        <f>+'B. DATOS'!C24</f>
        <v>160000</v>
      </c>
      <c r="M424" s="141">
        <f t="shared" si="67"/>
        <v>0</v>
      </c>
      <c r="N424" s="165">
        <f t="shared" si="68"/>
        <v>0</v>
      </c>
      <c r="O424" s="371" t="s">
        <v>502</v>
      </c>
      <c r="P424" s="351"/>
    </row>
    <row r="425" spans="3:16" outlineLevel="1" x14ac:dyDescent="0.25">
      <c r="C425" s="2" t="s">
        <v>469</v>
      </c>
      <c r="E425" s="140" t="s">
        <v>487</v>
      </c>
      <c r="F425" s="146"/>
      <c r="G425" s="80">
        <f>(SUMIFS($O$4:$O$344,$E$4:$E$344,'B. DATOS'!$B$42,$C$4:$C$344,C425))*'B. DATOS'!$E$17</f>
        <v>0</v>
      </c>
      <c r="H425" s="29" t="s">
        <v>269</v>
      </c>
      <c r="J425" s="29" t="s">
        <v>489</v>
      </c>
      <c r="L425" s="76">
        <f>+'B. DATOS'!C25</f>
        <v>140000</v>
      </c>
      <c r="M425" s="141">
        <f t="shared" si="67"/>
        <v>0</v>
      </c>
      <c r="N425" s="165">
        <f t="shared" si="68"/>
        <v>0</v>
      </c>
      <c r="O425" s="371" t="s">
        <v>502</v>
      </c>
      <c r="P425" s="351"/>
    </row>
    <row r="426" spans="3:16" outlineLevel="1" x14ac:dyDescent="0.25">
      <c r="C426" s="2" t="s">
        <v>469</v>
      </c>
      <c r="E426" s="140" t="e">
        <f>+#REF!</f>
        <v>#REF!</v>
      </c>
      <c r="G426" s="80">
        <f>(SUMIFS($O$4:$O$344,$E$4:$E$344,E426,$C$4:$C$344,C426))</f>
        <v>0</v>
      </c>
      <c r="H426" s="151" t="e">
        <f>+VLOOKUP(E426,$E$4:$L$344,4,FALSE)</f>
        <v>#REF!</v>
      </c>
      <c r="I426" s="29" t="e">
        <f>+'4. CD - Obra gris'!#REF!</f>
        <v>#REF!</v>
      </c>
      <c r="J426" s="151" t="e">
        <f>+VLOOKUP(E426,$E$4:$L$344,6,FALSE)</f>
        <v>#REF!</v>
      </c>
      <c r="K426" s="26" t="e">
        <f>+#REF!</f>
        <v>#REF!</v>
      </c>
      <c r="L426" s="76" t="e">
        <f>+VLOOKUP(E426,$E$4:$L$344,8,FALSE)</f>
        <v>#REF!</v>
      </c>
      <c r="M426" s="141" t="e">
        <f t="shared" si="67"/>
        <v>#REF!</v>
      </c>
      <c r="N426" s="165" t="e">
        <f t="shared" si="68"/>
        <v>#REF!</v>
      </c>
      <c r="O426" s="371" t="s">
        <v>502</v>
      </c>
      <c r="P426" s="351"/>
    </row>
    <row r="427" spans="3:16" outlineLevel="1" x14ac:dyDescent="0.25">
      <c r="C427" s="2" t="s">
        <v>469</v>
      </c>
      <c r="E427" s="140" t="e">
        <f>+#REF!</f>
        <v>#REF!</v>
      </c>
      <c r="G427" s="80">
        <f>(SUMIFS($O$4:$O$344,$E$4:$E$344,E427,$C$4:$C$344,C427))</f>
        <v>0</v>
      </c>
      <c r="H427" s="151" t="e">
        <f>+VLOOKUP(E427,$E$4:$L$344,4,FALSE)</f>
        <v>#REF!</v>
      </c>
      <c r="I427" s="29" t="e">
        <f>+'4. CD - Obra gris'!#REF!</f>
        <v>#REF!</v>
      </c>
      <c r="J427" s="151" t="e">
        <f>+VLOOKUP(E427,$E$4:$L$344,6,FALSE)</f>
        <v>#REF!</v>
      </c>
      <c r="K427" s="26" t="e">
        <f>+#REF!</f>
        <v>#REF!</v>
      </c>
      <c r="L427" s="76" t="e">
        <f>+VLOOKUP(E427,$E$4:$L$344,8,FALSE)</f>
        <v>#REF!</v>
      </c>
      <c r="M427" s="141" t="e">
        <f t="shared" si="67"/>
        <v>#REF!</v>
      </c>
      <c r="N427" s="165" t="e">
        <f t="shared" si="68"/>
        <v>#REF!</v>
      </c>
      <c r="O427" s="371" t="s">
        <v>502</v>
      </c>
      <c r="P427" s="351"/>
    </row>
    <row r="428" spans="3:16" ht="15.75" outlineLevel="1" thickBot="1" x14ac:dyDescent="0.3"/>
    <row r="429" spans="3:16" ht="15.75" outlineLevel="1" thickBot="1" x14ac:dyDescent="0.3">
      <c r="L429" s="156" t="s">
        <v>254</v>
      </c>
      <c r="M429" s="159" t="e">
        <f>SUM(M420:M428)</f>
        <v>#REF!</v>
      </c>
      <c r="N429" s="267" t="e">
        <f>SUM(N420:N428)</f>
        <v>#REF!</v>
      </c>
    </row>
    <row r="431" spans="3:16" ht="15.75" thickBot="1" x14ac:dyDescent="0.3"/>
    <row r="432" spans="3:16" ht="15.75" thickBot="1" x14ac:dyDescent="0.3">
      <c r="C432" s="101" t="s">
        <v>9</v>
      </c>
      <c r="D432" s="160"/>
      <c r="E432" s="161" t="s">
        <v>252</v>
      </c>
      <c r="F432" s="162"/>
      <c r="G432" s="163" t="s">
        <v>177</v>
      </c>
      <c r="H432" s="163" t="s">
        <v>248</v>
      </c>
      <c r="I432" s="163"/>
      <c r="J432" s="163" t="s">
        <v>261</v>
      </c>
      <c r="K432" s="163"/>
      <c r="L432" s="157" t="s">
        <v>249</v>
      </c>
      <c r="M432" s="156" t="s">
        <v>250</v>
      </c>
      <c r="N432" s="161" t="s">
        <v>241</v>
      </c>
      <c r="O432" s="373" t="s">
        <v>481</v>
      </c>
      <c r="P432" s="374"/>
    </row>
    <row r="433" spans="3:16" x14ac:dyDescent="0.25">
      <c r="C433" s="2" t="s">
        <v>467</v>
      </c>
      <c r="E433" s="140" t="str">
        <f>+E6</f>
        <v>Replanteo arquitectura</v>
      </c>
      <c r="G433" s="80">
        <f t="shared" ref="G433:G458" si="69">(SUMIFS($O$4:$O$344,$E$4:$E$344,E433,$C$4:$C$344,C433))</f>
        <v>0</v>
      </c>
      <c r="H433" s="151" t="str">
        <f t="shared" ref="H433:H458" si="70">+VLOOKUP(E433,$E$4:$L$344,4,FALSE)</f>
        <v>M2</v>
      </c>
      <c r="I433" s="29" t="e">
        <f>+'4. CD - Obra gris'!#REF!</f>
        <v>#REF!</v>
      </c>
      <c r="J433" s="151" t="str">
        <f t="shared" ref="J433:J458" si="71">+VLOOKUP(E433,$E$4:$L$344,6,FALSE)</f>
        <v>PRELIMINARES</v>
      </c>
      <c r="K433" s="29">
        <f>+K6</f>
        <v>0</v>
      </c>
      <c r="L433" s="76">
        <f t="shared" ref="L433:L458" si="72">+VLOOKUP(E433,$E$4:$L$344,8,FALSE)</f>
        <v>5000</v>
      </c>
      <c r="M433" s="141">
        <f t="shared" ref="M433:M457" si="73">+L433*G433</f>
        <v>0</v>
      </c>
      <c r="N433" s="165">
        <f t="shared" ref="N433:N463" si="74">+M433/$R$357</f>
        <v>0</v>
      </c>
      <c r="O433" s="380" t="s">
        <v>503</v>
      </c>
      <c r="P433" s="380"/>
    </row>
    <row r="434" spans="3:16" x14ac:dyDescent="0.25">
      <c r="C434" s="2" t="s">
        <v>467</v>
      </c>
      <c r="E434" s="140" t="str">
        <f>+E7</f>
        <v>Descapote</v>
      </c>
      <c r="G434" s="80">
        <f t="shared" si="69"/>
        <v>0</v>
      </c>
      <c r="H434" s="151" t="str">
        <f t="shared" si="70"/>
        <v>M2</v>
      </c>
      <c r="I434" s="29">
        <f>+'4. CD - Obra gris'!I17</f>
        <v>0</v>
      </c>
      <c r="J434" s="151" t="str">
        <f t="shared" si="71"/>
        <v>PRELIMINARES</v>
      </c>
      <c r="K434" s="29" t="e">
        <f>+#REF!</f>
        <v>#REF!</v>
      </c>
      <c r="L434" s="76">
        <f t="shared" si="72"/>
        <v>5000</v>
      </c>
      <c r="M434" s="141">
        <f t="shared" si="73"/>
        <v>0</v>
      </c>
      <c r="N434" s="165">
        <f>+M434/$R$357</f>
        <v>0</v>
      </c>
      <c r="O434" s="351" t="s">
        <v>503</v>
      </c>
      <c r="P434" s="351"/>
    </row>
    <row r="435" spans="3:16" x14ac:dyDescent="0.25">
      <c r="C435" s="2" t="s">
        <v>467</v>
      </c>
      <c r="E435" s="140" t="str">
        <f>+E12</f>
        <v>Excavación manual</v>
      </c>
      <c r="G435" s="80">
        <f t="shared" si="69"/>
        <v>7.9200000000000008</v>
      </c>
      <c r="H435" s="151" t="str">
        <f t="shared" si="70"/>
        <v>M3</v>
      </c>
      <c r="I435" s="29" t="e">
        <f>+'4. CD - Obra gris'!#REF!</f>
        <v>#REF!</v>
      </c>
      <c r="J435" s="151" t="str">
        <f t="shared" si="71"/>
        <v>CIMIENTOS</v>
      </c>
      <c r="K435" s="29" t="e">
        <f>+#REF!</f>
        <v>#REF!</v>
      </c>
      <c r="L435" s="76">
        <f t="shared" si="72"/>
        <v>26000</v>
      </c>
      <c r="M435" s="141">
        <f t="shared" si="73"/>
        <v>205920.00000000003</v>
      </c>
      <c r="N435" s="165">
        <f t="shared" si="74"/>
        <v>6.3910992846940586E-4</v>
      </c>
      <c r="O435" s="351" t="s">
        <v>503</v>
      </c>
      <c r="P435" s="351"/>
    </row>
    <row r="436" spans="3:16" x14ac:dyDescent="0.25">
      <c r="C436" s="2" t="s">
        <v>467</v>
      </c>
      <c r="E436" s="140" t="str">
        <f>+E14</f>
        <v>Trasiego material</v>
      </c>
      <c r="G436" s="80">
        <f t="shared" si="69"/>
        <v>0</v>
      </c>
      <c r="H436" s="151" t="str">
        <f t="shared" si="70"/>
        <v>M3</v>
      </c>
      <c r="I436" s="29">
        <f>+'4. CD - Obra gris'!I17</f>
        <v>0</v>
      </c>
      <c r="J436" s="151" t="str">
        <f t="shared" si="71"/>
        <v>CIMIENTOS</v>
      </c>
      <c r="K436" s="29" t="e">
        <f>+'4. CD - Obra gris'!#REF!</f>
        <v>#REF!</v>
      </c>
      <c r="L436" s="76">
        <f t="shared" si="72"/>
        <v>15000</v>
      </c>
      <c r="M436" s="141">
        <f t="shared" si="73"/>
        <v>0</v>
      </c>
      <c r="N436" s="165">
        <f>+M436/$R$357</f>
        <v>0</v>
      </c>
      <c r="O436" s="351" t="s">
        <v>503</v>
      </c>
      <c r="P436" s="351"/>
    </row>
    <row r="437" spans="3:16" x14ac:dyDescent="0.25">
      <c r="C437" s="2" t="s">
        <v>467</v>
      </c>
      <c r="E437" s="29" t="e">
        <f>+#REF!</f>
        <v>#REF!</v>
      </c>
      <c r="G437" s="80">
        <f t="shared" si="69"/>
        <v>0</v>
      </c>
      <c r="H437" s="151" t="e">
        <f t="shared" si="70"/>
        <v>#REF!</v>
      </c>
      <c r="I437" s="29" t="e">
        <f>+'4. CD - Obra gris'!#REF!</f>
        <v>#REF!</v>
      </c>
      <c r="J437" s="151" t="e">
        <f t="shared" si="71"/>
        <v>#REF!</v>
      </c>
      <c r="K437" s="29">
        <f>+K26</f>
        <v>0</v>
      </c>
      <c r="L437" s="76" t="e">
        <f t="shared" si="72"/>
        <v>#REF!</v>
      </c>
      <c r="M437" s="141" t="e">
        <f t="shared" si="73"/>
        <v>#REF!</v>
      </c>
      <c r="N437" s="165" t="e">
        <f t="shared" si="74"/>
        <v>#REF!</v>
      </c>
      <c r="O437" s="351" t="s">
        <v>503</v>
      </c>
      <c r="P437" s="351"/>
    </row>
    <row r="438" spans="3:16" x14ac:dyDescent="0.25">
      <c r="C438" s="2" t="s">
        <v>467</v>
      </c>
      <c r="E438" s="29" t="e">
        <f>+#REF!</f>
        <v>#REF!</v>
      </c>
      <c r="G438" s="80">
        <f t="shared" si="69"/>
        <v>0</v>
      </c>
      <c r="H438" s="151" t="e">
        <f t="shared" si="70"/>
        <v>#REF!</v>
      </c>
      <c r="I438" s="29" t="e">
        <f>+'4. CD - Obra gris'!#REF!</f>
        <v>#REF!</v>
      </c>
      <c r="J438" s="151" t="e">
        <f t="shared" si="71"/>
        <v>#REF!</v>
      </c>
      <c r="K438" s="29" t="e">
        <f>+#REF!</f>
        <v>#REF!</v>
      </c>
      <c r="L438" s="76" t="e">
        <f t="shared" si="72"/>
        <v>#REF!</v>
      </c>
      <c r="M438" s="141" t="e">
        <f t="shared" si="73"/>
        <v>#REF!</v>
      </c>
      <c r="N438" s="165" t="e">
        <f t="shared" si="74"/>
        <v>#REF!</v>
      </c>
      <c r="O438" s="351" t="s">
        <v>503</v>
      </c>
      <c r="P438" s="351"/>
    </row>
    <row r="439" spans="3:16" x14ac:dyDescent="0.25">
      <c r="C439" s="2" t="s">
        <v>467</v>
      </c>
      <c r="E439" s="29" t="e">
        <f>+#REF!</f>
        <v>#REF!</v>
      </c>
      <c r="G439" s="80">
        <f t="shared" si="69"/>
        <v>0</v>
      </c>
      <c r="H439" s="151" t="e">
        <f t="shared" si="70"/>
        <v>#REF!</v>
      </c>
      <c r="I439" s="29">
        <f>+'4. CD - Obra gris'!I18</f>
        <v>0</v>
      </c>
      <c r="J439" s="151" t="e">
        <f t="shared" si="71"/>
        <v>#REF!</v>
      </c>
      <c r="K439" s="29" t="e">
        <f>+#REF!</f>
        <v>#REF!</v>
      </c>
      <c r="L439" s="76" t="e">
        <f t="shared" si="72"/>
        <v>#REF!</v>
      </c>
      <c r="M439" s="141" t="e">
        <f t="shared" si="73"/>
        <v>#REF!</v>
      </c>
      <c r="N439" s="165" t="e">
        <f t="shared" si="74"/>
        <v>#REF!</v>
      </c>
      <c r="O439" s="351" t="s">
        <v>503</v>
      </c>
      <c r="P439" s="351"/>
    </row>
    <row r="440" spans="3:16" x14ac:dyDescent="0.25">
      <c r="C440" s="2" t="s">
        <v>467</v>
      </c>
      <c r="E440" s="29" t="str">
        <f>+E25</f>
        <v>Figuración hierro</v>
      </c>
      <c r="G440" s="80">
        <f t="shared" si="69"/>
        <v>0</v>
      </c>
      <c r="H440" s="151" t="str">
        <f t="shared" si="70"/>
        <v>KG</v>
      </c>
      <c r="I440" s="29" t="e">
        <f>+'4. CD - Obra gris'!#REF!</f>
        <v>#REF!</v>
      </c>
      <c r="J440" s="151" t="str">
        <f t="shared" si="71"/>
        <v>CIMIENTOS</v>
      </c>
      <c r="K440" s="29">
        <f>+K29</f>
        <v>0</v>
      </c>
      <c r="L440" s="76">
        <f t="shared" si="72"/>
        <v>700</v>
      </c>
      <c r="M440" s="141">
        <f t="shared" si="73"/>
        <v>0</v>
      </c>
      <c r="N440" s="165">
        <f t="shared" si="74"/>
        <v>0</v>
      </c>
      <c r="O440" s="351" t="s">
        <v>503</v>
      </c>
      <c r="P440" s="351"/>
    </row>
    <row r="441" spans="3:16" x14ac:dyDescent="0.25">
      <c r="C441" s="2" t="s">
        <v>467</v>
      </c>
      <c r="E441" s="29" t="str">
        <f>+E26</f>
        <v>Alquiler canguro</v>
      </c>
      <c r="G441" s="80">
        <f t="shared" si="69"/>
        <v>0</v>
      </c>
      <c r="H441" s="151" t="str">
        <f t="shared" si="70"/>
        <v>DÍA</v>
      </c>
      <c r="I441" s="29" t="e">
        <f>+'4. CD - Obra gris'!#REF!</f>
        <v>#REF!</v>
      </c>
      <c r="J441" s="151" t="str">
        <f t="shared" si="71"/>
        <v>EQUIPOS</v>
      </c>
      <c r="K441" s="29" t="e">
        <f>+'4. CD - Obra gris'!#REF!</f>
        <v>#REF!</v>
      </c>
      <c r="L441" s="76">
        <f t="shared" si="72"/>
        <v>95000</v>
      </c>
      <c r="M441" s="141">
        <f t="shared" si="73"/>
        <v>0</v>
      </c>
      <c r="N441" s="165">
        <f t="shared" si="74"/>
        <v>0</v>
      </c>
      <c r="O441" s="351" t="s">
        <v>503</v>
      </c>
      <c r="P441" s="351"/>
    </row>
    <row r="442" spans="3:16" x14ac:dyDescent="0.25">
      <c r="C442" s="2" t="s">
        <v>467</v>
      </c>
      <c r="E442" s="29" t="e">
        <f>+#REF!</f>
        <v>#REF!</v>
      </c>
      <c r="G442" s="80">
        <f t="shared" si="69"/>
        <v>0</v>
      </c>
      <c r="H442" s="151" t="e">
        <f t="shared" si="70"/>
        <v>#REF!</v>
      </c>
      <c r="I442" s="29">
        <f>+'4. CD - Obra gris'!I19</f>
        <v>0</v>
      </c>
      <c r="J442" s="151" t="e">
        <f t="shared" si="71"/>
        <v>#REF!</v>
      </c>
      <c r="K442" s="26" t="e">
        <f>+#REF!</f>
        <v>#REF!</v>
      </c>
      <c r="L442" s="76" t="e">
        <f t="shared" si="72"/>
        <v>#REF!</v>
      </c>
      <c r="M442" s="141" t="e">
        <f t="shared" si="73"/>
        <v>#REF!</v>
      </c>
      <c r="N442" s="165" t="e">
        <f t="shared" si="74"/>
        <v>#REF!</v>
      </c>
      <c r="O442" s="351" t="s">
        <v>503</v>
      </c>
      <c r="P442" s="351"/>
    </row>
    <row r="443" spans="3:16" x14ac:dyDescent="0.25">
      <c r="C443" s="2" t="s">
        <v>467</v>
      </c>
      <c r="E443" s="29" t="e">
        <f>+#REF!</f>
        <v>#REF!</v>
      </c>
      <c r="G443" s="80">
        <f t="shared" si="69"/>
        <v>0</v>
      </c>
      <c r="H443" s="151" t="e">
        <f t="shared" si="70"/>
        <v>#REF!</v>
      </c>
      <c r="I443" s="29" t="e">
        <f>+'4. CD - Obra gris'!#REF!</f>
        <v>#REF!</v>
      </c>
      <c r="J443" s="151" t="e">
        <f t="shared" si="71"/>
        <v>#REF!</v>
      </c>
      <c r="K443" s="26" t="e">
        <f>+#REF!</f>
        <v>#REF!</v>
      </c>
      <c r="L443" s="76" t="e">
        <f t="shared" si="72"/>
        <v>#REF!</v>
      </c>
      <c r="M443" s="141" t="e">
        <f t="shared" si="73"/>
        <v>#REF!</v>
      </c>
      <c r="N443" s="165" t="e">
        <f t="shared" si="74"/>
        <v>#REF!</v>
      </c>
      <c r="O443" s="351" t="s">
        <v>503</v>
      </c>
      <c r="P443" s="351"/>
    </row>
    <row r="444" spans="3:16" x14ac:dyDescent="0.25">
      <c r="C444" s="2" t="s">
        <v>467</v>
      </c>
      <c r="E444" s="29" t="str">
        <f>+E27</f>
        <v>Compactación recebo</v>
      </c>
      <c r="G444" s="80">
        <f t="shared" si="69"/>
        <v>0.20625000000000002</v>
      </c>
      <c r="H444" s="151" t="str">
        <f t="shared" si="70"/>
        <v>M3</v>
      </c>
      <c r="I444" s="29" t="e">
        <f>+'4. CD - Obra gris'!#REF!</f>
        <v>#REF!</v>
      </c>
      <c r="J444" s="151" t="str">
        <f t="shared" si="71"/>
        <v>CIMIENTOS</v>
      </c>
      <c r="K444" s="26" t="e">
        <f>+#REF!</f>
        <v>#REF!</v>
      </c>
      <c r="L444" s="76">
        <f t="shared" si="72"/>
        <v>34000</v>
      </c>
      <c r="M444" s="141">
        <f t="shared" si="73"/>
        <v>7012.5000000000009</v>
      </c>
      <c r="N444" s="165">
        <f t="shared" si="74"/>
        <v>2.1764560865344348E-5</v>
      </c>
      <c r="O444" s="351" t="s">
        <v>503</v>
      </c>
      <c r="P444" s="351"/>
    </row>
    <row r="445" spans="3:16" x14ac:dyDescent="0.25">
      <c r="C445" s="2" t="s">
        <v>467</v>
      </c>
      <c r="E445" s="29" t="str">
        <f>+E28</f>
        <v>Concreto ciclopeo</v>
      </c>
      <c r="G445" s="80">
        <f t="shared" si="69"/>
        <v>0</v>
      </c>
      <c r="H445" s="151" t="str">
        <f t="shared" si="70"/>
        <v>M2</v>
      </c>
      <c r="I445" s="29" t="e">
        <f>+'4. CD - Obra gris'!#REF!</f>
        <v>#REF!</v>
      </c>
      <c r="J445" s="151" t="str">
        <f t="shared" si="71"/>
        <v>CIMIENTOS</v>
      </c>
      <c r="K445" s="26" t="e">
        <f>+#REF!</f>
        <v>#REF!</v>
      </c>
      <c r="L445" s="76">
        <f t="shared" si="72"/>
        <v>20000</v>
      </c>
      <c r="M445" s="141">
        <f t="shared" si="73"/>
        <v>0</v>
      </c>
      <c r="N445" s="165">
        <f>+M445/$R$357</f>
        <v>0</v>
      </c>
      <c r="O445" s="351" t="s">
        <v>503</v>
      </c>
      <c r="P445" s="351"/>
    </row>
    <row r="446" spans="3:16" x14ac:dyDescent="0.25">
      <c r="C446" s="2" t="s">
        <v>467</v>
      </c>
      <c r="E446" s="29" t="str">
        <f>+E29</f>
        <v>Fabricación zapata &gt;50x50</v>
      </c>
      <c r="G446" s="80">
        <f t="shared" si="69"/>
        <v>0</v>
      </c>
      <c r="H446" s="151" t="str">
        <f t="shared" si="70"/>
        <v>UND</v>
      </c>
      <c r="I446" s="29" t="e">
        <f>+'4. CD - Obra gris'!#REF!</f>
        <v>#REF!</v>
      </c>
      <c r="J446" s="151" t="str">
        <f t="shared" si="71"/>
        <v>CIMIENTOS</v>
      </c>
      <c r="K446" s="26" t="e">
        <f>+#REF!</f>
        <v>#REF!</v>
      </c>
      <c r="L446" s="76">
        <f t="shared" si="72"/>
        <v>200000</v>
      </c>
      <c r="M446" s="141">
        <f t="shared" si="73"/>
        <v>0</v>
      </c>
      <c r="N446" s="165">
        <f>+M446/$R$357</f>
        <v>0</v>
      </c>
      <c r="O446" s="351" t="s">
        <v>503</v>
      </c>
      <c r="P446" s="351"/>
    </row>
    <row r="447" spans="3:16" x14ac:dyDescent="0.25">
      <c r="C447" s="2" t="s">
        <v>467</v>
      </c>
      <c r="E447" s="29" t="str">
        <f>+E48</f>
        <v>Alquiler formaleta columna</v>
      </c>
      <c r="G447" s="80">
        <f t="shared" si="69"/>
        <v>0</v>
      </c>
      <c r="H447" s="151" t="str">
        <f t="shared" si="70"/>
        <v>ML/DÍA</v>
      </c>
      <c r="I447" s="29" t="e">
        <f>+'4. CD - Obra gris'!#REF!</f>
        <v>#REF!</v>
      </c>
      <c r="J447" s="151" t="str">
        <f t="shared" si="71"/>
        <v>FORMALETA</v>
      </c>
      <c r="K447" s="26" t="e">
        <f>+#REF!</f>
        <v>#REF!</v>
      </c>
      <c r="L447" s="76">
        <f t="shared" si="72"/>
        <v>25000</v>
      </c>
      <c r="M447" s="141">
        <f t="shared" si="73"/>
        <v>0</v>
      </c>
      <c r="N447" s="165">
        <f>+M447/$R$357</f>
        <v>0</v>
      </c>
      <c r="O447" s="351" t="s">
        <v>503</v>
      </c>
      <c r="P447" s="351"/>
    </row>
    <row r="448" spans="3:16" x14ac:dyDescent="0.25">
      <c r="C448" s="2" t="s">
        <v>467</v>
      </c>
      <c r="E448" s="29" t="str">
        <f>+E49</f>
        <v>Fabricación columna &lt;2M</v>
      </c>
      <c r="G448" s="80">
        <f t="shared" si="69"/>
        <v>0</v>
      </c>
      <c r="H448" s="151" t="str">
        <f t="shared" si="70"/>
        <v>UND</v>
      </c>
      <c r="I448" s="29" t="e">
        <f>+'4. CD - Obra gris'!#REF!</f>
        <v>#REF!</v>
      </c>
      <c r="J448" s="151" t="str">
        <f t="shared" si="71"/>
        <v>CIMIENTOS</v>
      </c>
      <c r="K448" s="26" t="e">
        <f>+#REF!</f>
        <v>#REF!</v>
      </c>
      <c r="L448" s="76">
        <f t="shared" si="72"/>
        <v>120000</v>
      </c>
      <c r="M448" s="141">
        <f t="shared" si="73"/>
        <v>0</v>
      </c>
      <c r="N448" s="165">
        <f t="shared" si="74"/>
        <v>0</v>
      </c>
      <c r="O448" s="351" t="s">
        <v>1431</v>
      </c>
      <c r="P448" s="351"/>
    </row>
    <row r="449" spans="3:16" x14ac:dyDescent="0.25">
      <c r="C449" s="2" t="s">
        <v>467</v>
      </c>
      <c r="E449" s="140" t="str">
        <f>+E173</f>
        <v>Estructura de entrepiso en guadua</v>
      </c>
      <c r="G449" s="80">
        <f t="shared" si="69"/>
        <v>0</v>
      </c>
      <c r="H449" s="151" t="str">
        <f t="shared" si="70"/>
        <v>M2</v>
      </c>
      <c r="I449" s="29" t="e">
        <f>+'4. CD - Obra gris'!#REF!</f>
        <v>#REF!</v>
      </c>
      <c r="J449" s="151" t="str">
        <f t="shared" si="71"/>
        <v>I.GUADUA</v>
      </c>
      <c r="K449" s="26" t="e">
        <f>+#REF!</f>
        <v>#REF!</v>
      </c>
      <c r="L449" s="76">
        <f t="shared" si="72"/>
        <v>110400</v>
      </c>
      <c r="M449" s="141">
        <f t="shared" si="73"/>
        <v>0</v>
      </c>
      <c r="N449" s="165">
        <f t="shared" si="74"/>
        <v>0</v>
      </c>
      <c r="O449" s="351" t="s">
        <v>1431</v>
      </c>
      <c r="P449" s="351"/>
    </row>
    <row r="450" spans="3:16" x14ac:dyDescent="0.25">
      <c r="C450" s="2" t="s">
        <v>467</v>
      </c>
      <c r="E450" s="140" t="str">
        <f>+E175</f>
        <v>Alquiler de andamios + planchón</v>
      </c>
      <c r="G450" s="80">
        <f t="shared" si="69"/>
        <v>0</v>
      </c>
      <c r="H450" s="151" t="str">
        <f t="shared" si="70"/>
        <v>DÍA</v>
      </c>
      <c r="I450" s="29" t="e">
        <f>+'4. CD - Obra gris'!#REF!</f>
        <v>#REF!</v>
      </c>
      <c r="J450" s="151" t="str">
        <f t="shared" si="71"/>
        <v>EQUIPOS</v>
      </c>
      <c r="K450" s="26" t="e">
        <f>+#REF!</f>
        <v>#REF!</v>
      </c>
      <c r="L450" s="76">
        <f t="shared" si="72"/>
        <v>25000</v>
      </c>
      <c r="M450" s="141">
        <f t="shared" si="73"/>
        <v>0</v>
      </c>
      <c r="N450" s="165">
        <f t="shared" si="74"/>
        <v>0</v>
      </c>
      <c r="O450" s="351" t="s">
        <v>503</v>
      </c>
      <c r="P450" s="351"/>
    </row>
    <row r="451" spans="3:16" x14ac:dyDescent="0.25">
      <c r="C451" s="2" t="s">
        <v>467</v>
      </c>
      <c r="E451" s="140" t="e">
        <f>+#REF!</f>
        <v>#REF!</v>
      </c>
      <c r="G451" s="80">
        <f t="shared" si="69"/>
        <v>0</v>
      </c>
      <c r="H451" s="151" t="e">
        <f t="shared" si="70"/>
        <v>#REF!</v>
      </c>
      <c r="I451" s="29" t="e">
        <f>+'4. CD - Obra gris'!#REF!</f>
        <v>#REF!</v>
      </c>
      <c r="J451" s="151" t="e">
        <f t="shared" si="71"/>
        <v>#REF!</v>
      </c>
      <c r="K451" s="29" t="e">
        <f>+#REF!</f>
        <v>#REF!</v>
      </c>
      <c r="L451" s="76" t="e">
        <f t="shared" si="72"/>
        <v>#REF!</v>
      </c>
      <c r="M451" s="141" t="e">
        <f t="shared" si="73"/>
        <v>#REF!</v>
      </c>
      <c r="N451" s="165" t="e">
        <f t="shared" si="74"/>
        <v>#REF!</v>
      </c>
      <c r="O451" s="351" t="s">
        <v>504</v>
      </c>
      <c r="P451" s="351"/>
    </row>
    <row r="452" spans="3:16" x14ac:dyDescent="0.25">
      <c r="C452" s="2" t="s">
        <v>467</v>
      </c>
      <c r="E452" s="140" t="e">
        <f>+#REF!</f>
        <v>#REF!</v>
      </c>
      <c r="G452" s="80">
        <f t="shared" si="69"/>
        <v>0</v>
      </c>
      <c r="H452" s="151" t="e">
        <f t="shared" si="70"/>
        <v>#REF!</v>
      </c>
      <c r="I452" s="29" t="e">
        <f>+#REF!</f>
        <v>#REF!</v>
      </c>
      <c r="J452" s="151" t="e">
        <f t="shared" si="71"/>
        <v>#REF!</v>
      </c>
      <c r="K452" s="29" t="e">
        <f>+#REF!</f>
        <v>#REF!</v>
      </c>
      <c r="L452" s="76" t="e">
        <f t="shared" si="72"/>
        <v>#REF!</v>
      </c>
      <c r="M452" s="141" t="e">
        <f t="shared" si="73"/>
        <v>#REF!</v>
      </c>
      <c r="N452" s="165" t="e">
        <f t="shared" si="74"/>
        <v>#REF!</v>
      </c>
      <c r="O452" s="351" t="s">
        <v>504</v>
      </c>
      <c r="P452" s="351"/>
    </row>
    <row r="453" spans="3:16" x14ac:dyDescent="0.25">
      <c r="C453" s="2" t="s">
        <v>467</v>
      </c>
      <c r="E453" s="140" t="e">
        <f>+#REF!</f>
        <v>#REF!</v>
      </c>
      <c r="G453" s="80">
        <f t="shared" si="69"/>
        <v>0</v>
      </c>
      <c r="H453" s="151" t="e">
        <f t="shared" si="70"/>
        <v>#REF!</v>
      </c>
      <c r="I453" s="29" t="e">
        <f>+#REF!</f>
        <v>#REF!</v>
      </c>
      <c r="J453" s="151" t="e">
        <f t="shared" si="71"/>
        <v>#REF!</v>
      </c>
      <c r="K453" s="29" t="e">
        <f>+#REF!</f>
        <v>#REF!</v>
      </c>
      <c r="L453" s="76" t="e">
        <f t="shared" si="72"/>
        <v>#REF!</v>
      </c>
      <c r="M453" s="141" t="e">
        <f t="shared" si="73"/>
        <v>#REF!</v>
      </c>
      <c r="N453" s="165" t="e">
        <f t="shared" si="74"/>
        <v>#REF!</v>
      </c>
      <c r="O453" s="351" t="s">
        <v>504</v>
      </c>
      <c r="P453" s="351"/>
    </row>
    <row r="454" spans="3:16" x14ac:dyDescent="0.25">
      <c r="C454" s="2" t="s">
        <v>467</v>
      </c>
      <c r="E454" s="29" t="e">
        <f>+#REF!</f>
        <v>#REF!</v>
      </c>
      <c r="G454" s="80">
        <f t="shared" si="69"/>
        <v>0</v>
      </c>
      <c r="H454" s="151" t="e">
        <f t="shared" si="70"/>
        <v>#REF!</v>
      </c>
      <c r="I454" s="29" t="e">
        <f>+#REF!</f>
        <v>#REF!</v>
      </c>
      <c r="J454" s="151" t="e">
        <f t="shared" si="71"/>
        <v>#REF!</v>
      </c>
      <c r="K454" s="29" t="e">
        <f>+#REF!</f>
        <v>#REF!</v>
      </c>
      <c r="L454" s="76" t="e">
        <f t="shared" si="72"/>
        <v>#REF!</v>
      </c>
      <c r="M454" s="141" t="e">
        <f t="shared" si="73"/>
        <v>#REF!</v>
      </c>
      <c r="N454" s="165" t="e">
        <f t="shared" si="74"/>
        <v>#REF!</v>
      </c>
      <c r="O454" s="351" t="s">
        <v>504</v>
      </c>
      <c r="P454" s="351"/>
    </row>
    <row r="455" spans="3:16" x14ac:dyDescent="0.25">
      <c r="C455" s="2" t="s">
        <v>467</v>
      </c>
      <c r="E455" s="29" t="e">
        <f>+#REF!</f>
        <v>#REF!</v>
      </c>
      <c r="G455" s="80">
        <f t="shared" si="69"/>
        <v>0</v>
      </c>
      <c r="H455" s="151" t="e">
        <f t="shared" si="70"/>
        <v>#REF!</v>
      </c>
      <c r="I455" s="29" t="e">
        <f>+#REF!</f>
        <v>#REF!</v>
      </c>
      <c r="J455" s="151" t="e">
        <f t="shared" si="71"/>
        <v>#REF!</v>
      </c>
      <c r="K455" s="29" t="e">
        <f>+#REF!</f>
        <v>#REF!</v>
      </c>
      <c r="L455" s="76" t="e">
        <f t="shared" si="72"/>
        <v>#REF!</v>
      </c>
      <c r="M455" s="141" t="e">
        <f t="shared" si="73"/>
        <v>#REF!</v>
      </c>
      <c r="N455" s="165" t="e">
        <f t="shared" si="74"/>
        <v>#REF!</v>
      </c>
      <c r="O455" s="351" t="s">
        <v>504</v>
      </c>
      <c r="P455" s="351"/>
    </row>
    <row r="456" spans="3:16" x14ac:dyDescent="0.25">
      <c r="C456" s="2" t="s">
        <v>467</v>
      </c>
      <c r="E456" s="29" t="e">
        <f>+#REF!</f>
        <v>#REF!</v>
      </c>
      <c r="G456" s="80">
        <f t="shared" si="69"/>
        <v>0</v>
      </c>
      <c r="H456" s="151" t="e">
        <f t="shared" si="70"/>
        <v>#REF!</v>
      </c>
      <c r="I456" s="29" t="e">
        <f>+#REF!</f>
        <v>#REF!</v>
      </c>
      <c r="J456" s="151" t="e">
        <f t="shared" si="71"/>
        <v>#REF!</v>
      </c>
      <c r="K456" s="26" t="e">
        <f>+#REF!</f>
        <v>#REF!</v>
      </c>
      <c r="L456" s="76" t="e">
        <f t="shared" si="72"/>
        <v>#REF!</v>
      </c>
      <c r="M456" s="141" t="e">
        <f t="shared" si="73"/>
        <v>#REF!</v>
      </c>
      <c r="N456" s="165" t="e">
        <f t="shared" si="74"/>
        <v>#REF!</v>
      </c>
      <c r="O456" s="351" t="s">
        <v>505</v>
      </c>
      <c r="P456" s="351"/>
    </row>
    <row r="457" spans="3:16" x14ac:dyDescent="0.25">
      <c r="C457" s="2" t="s">
        <v>467</v>
      </c>
      <c r="E457" s="140" t="e">
        <f>+#REF!</f>
        <v>#REF!</v>
      </c>
      <c r="G457" s="80">
        <f t="shared" si="69"/>
        <v>0</v>
      </c>
      <c r="H457" s="151" t="e">
        <f t="shared" si="70"/>
        <v>#REF!</v>
      </c>
      <c r="I457" s="29" t="e">
        <f>+#REF!</f>
        <v>#REF!</v>
      </c>
      <c r="J457" s="151" t="e">
        <f t="shared" si="71"/>
        <v>#REF!</v>
      </c>
      <c r="K457" s="26" t="e">
        <f>+#REF!</f>
        <v>#REF!</v>
      </c>
      <c r="L457" s="76" t="e">
        <f t="shared" si="72"/>
        <v>#REF!</v>
      </c>
      <c r="M457" s="141" t="e">
        <f t="shared" si="73"/>
        <v>#REF!</v>
      </c>
      <c r="N457" s="165" t="e">
        <f t="shared" si="74"/>
        <v>#REF!</v>
      </c>
      <c r="O457" s="351" t="s">
        <v>505</v>
      </c>
      <c r="P457" s="351"/>
    </row>
    <row r="458" spans="3:16" x14ac:dyDescent="0.25">
      <c r="C458" s="2" t="s">
        <v>467</v>
      </c>
      <c r="E458" s="140" t="str">
        <f>+E339</f>
        <v>Instalación policarbonato</v>
      </c>
      <c r="G458" s="80">
        <f t="shared" si="69"/>
        <v>0</v>
      </c>
      <c r="H458" s="151" t="str">
        <f t="shared" si="70"/>
        <v>M2</v>
      </c>
      <c r="I458" s="29" t="e">
        <f>+#REF!</f>
        <v>#REF!</v>
      </c>
      <c r="J458" s="151" t="str">
        <f t="shared" si="71"/>
        <v>ACABADOS</v>
      </c>
      <c r="K458" s="29" t="e">
        <f>+#REF!</f>
        <v>#REF!</v>
      </c>
      <c r="L458" s="76">
        <f t="shared" si="72"/>
        <v>10000</v>
      </c>
      <c r="M458" s="141">
        <f>+L458*G458</f>
        <v>0</v>
      </c>
      <c r="N458" s="165">
        <f>+M458/$R$357</f>
        <v>0</v>
      </c>
      <c r="O458" s="351" t="s">
        <v>1432</v>
      </c>
      <c r="P458" s="351"/>
    </row>
    <row r="459" spans="3:16" ht="15.75" thickBot="1" x14ac:dyDescent="0.3">
      <c r="M459" s="151"/>
      <c r="N459" s="164"/>
    </row>
    <row r="460" spans="3:16" ht="15.75" thickBot="1" x14ac:dyDescent="0.3">
      <c r="L460" s="156" t="s">
        <v>254</v>
      </c>
      <c r="M460" s="159" t="e">
        <f>SUM(M433:M459)</f>
        <v>#REF!</v>
      </c>
      <c r="N460" s="267" t="e">
        <f>SUM(N433:N459)</f>
        <v>#REF!</v>
      </c>
    </row>
    <row r="461" spans="3:16" ht="15.75" thickBot="1" x14ac:dyDescent="0.3">
      <c r="M461" s="151"/>
      <c r="N461" s="164"/>
    </row>
    <row r="462" spans="3:16" ht="15.75" thickBot="1" x14ac:dyDescent="0.3">
      <c r="C462" s="101" t="s">
        <v>9</v>
      </c>
      <c r="D462" s="160"/>
      <c r="E462" s="161" t="s">
        <v>252</v>
      </c>
      <c r="F462" s="162"/>
      <c r="G462" s="163" t="s">
        <v>177</v>
      </c>
      <c r="H462" s="163" t="s">
        <v>248</v>
      </c>
      <c r="I462" s="163"/>
      <c r="J462" s="163" t="s">
        <v>261</v>
      </c>
      <c r="K462" s="163"/>
      <c r="L462" s="157" t="s">
        <v>249</v>
      </c>
      <c r="M462" s="156" t="s">
        <v>250</v>
      </c>
      <c r="N462" s="161" t="s">
        <v>241</v>
      </c>
      <c r="O462" s="373" t="s">
        <v>481</v>
      </c>
      <c r="P462" s="374"/>
    </row>
    <row r="463" spans="3:16" outlineLevel="1" x14ac:dyDescent="0.25">
      <c r="C463" s="2" t="s">
        <v>469</v>
      </c>
      <c r="E463" s="140" t="e">
        <f>+#REF!</f>
        <v>#REF!</v>
      </c>
      <c r="G463" s="80">
        <f>(SUMIFS($O$4:$O$344,$E$4:$E$344,E463,$C$4:$C$344,C463))</f>
        <v>0</v>
      </c>
      <c r="H463" s="151" t="e">
        <f>+VLOOKUP(E463,$E$4:$L$344,4,FALSE)</f>
        <v>#REF!</v>
      </c>
      <c r="I463" s="29" t="e">
        <f>+#REF!</f>
        <v>#REF!</v>
      </c>
      <c r="J463" s="151" t="e">
        <f>+VLOOKUP(E463,$E$4:$L$344,6,FALSE)</f>
        <v>#REF!</v>
      </c>
      <c r="K463" s="29" t="e">
        <f>+#REF!</f>
        <v>#REF!</v>
      </c>
      <c r="L463" s="76" t="e">
        <f>+VLOOKUP(E463,$E$4:$L$344,8,FALSE)</f>
        <v>#REF!</v>
      </c>
      <c r="M463" s="141" t="e">
        <f>+L463*G463</f>
        <v>#REF!</v>
      </c>
      <c r="N463" s="165" t="e">
        <f t="shared" si="74"/>
        <v>#REF!</v>
      </c>
      <c r="O463" s="380" t="s">
        <v>503</v>
      </c>
      <c r="P463" s="380"/>
    </row>
    <row r="464" spans="3:16" ht="15.75" outlineLevel="1" thickBot="1" x14ac:dyDescent="0.3">
      <c r="M464" s="151"/>
      <c r="N464" s="164"/>
    </row>
    <row r="465" spans="12:14" ht="15.75" outlineLevel="1" thickBot="1" x14ac:dyDescent="0.3">
      <c r="L465" s="156" t="s">
        <v>254</v>
      </c>
      <c r="M465" s="159" t="e">
        <f>SUM(M463:M464)</f>
        <v>#REF!</v>
      </c>
      <c r="N465" s="267" t="e">
        <f>SUM(N463:N464)</f>
        <v>#REF!</v>
      </c>
    </row>
  </sheetData>
  <autoFilter ref="B2:T316" xr:uid="{44CE9A78-2A4F-4986-B5B2-2BB58FEF4DA7}"/>
  <mergeCells count="208">
    <mergeCell ref="D148:E148"/>
    <mergeCell ref="N149:N154"/>
    <mergeCell ref="D135:E135"/>
    <mergeCell ref="N136:N140"/>
    <mergeCell ref="D187:E187"/>
    <mergeCell ref="N188:N196"/>
    <mergeCell ref="D163:E163"/>
    <mergeCell ref="N164:N167"/>
    <mergeCell ref="D168:E168"/>
    <mergeCell ref="N169:N171"/>
    <mergeCell ref="O462:P462"/>
    <mergeCell ref="O463:P463"/>
    <mergeCell ref="O425:P425"/>
    <mergeCell ref="O426:P426"/>
    <mergeCell ref="O427:P427"/>
    <mergeCell ref="O419:P419"/>
    <mergeCell ref="O448:P448"/>
    <mergeCell ref="O449:P449"/>
    <mergeCell ref="O458:P458"/>
    <mergeCell ref="O455:P455"/>
    <mergeCell ref="O424:P424"/>
    <mergeCell ref="O423:P423"/>
    <mergeCell ref="O456:P456"/>
    <mergeCell ref="O457:P457"/>
    <mergeCell ref="O434:P434"/>
    <mergeCell ref="O435:P435"/>
    <mergeCell ref="O445:P445"/>
    <mergeCell ref="O446:P446"/>
    <mergeCell ref="O447:P447"/>
    <mergeCell ref="O452:P452"/>
    <mergeCell ref="N296:N306"/>
    <mergeCell ref="O444:P444"/>
    <mergeCell ref="T2:T3"/>
    <mergeCell ref="O436:P436"/>
    <mergeCell ref="O453:P453"/>
    <mergeCell ref="O454:P454"/>
    <mergeCell ref="O433:P433"/>
    <mergeCell ref="O437:P437"/>
    <mergeCell ref="N350:O350"/>
    <mergeCell ref="N347:O347"/>
    <mergeCell ref="N360:O360"/>
    <mergeCell ref="N361:O361"/>
    <mergeCell ref="O439:P439"/>
    <mergeCell ref="O432:P432"/>
    <mergeCell ref="O450:P450"/>
    <mergeCell ref="O438:P438"/>
    <mergeCell ref="O440:P440"/>
    <mergeCell ref="O385:P385"/>
    <mergeCell ref="O386:P386"/>
    <mergeCell ref="O405:P405"/>
    <mergeCell ref="O406:P406"/>
    <mergeCell ref="O389:P389"/>
    <mergeCell ref="O383:P383"/>
    <mergeCell ref="O381:P381"/>
    <mergeCell ref="D281:E281"/>
    <mergeCell ref="D172:E172"/>
    <mergeCell ref="S2:S3"/>
    <mergeCell ref="M2:M3"/>
    <mergeCell ref="L2:L3"/>
    <mergeCell ref="O369:P369"/>
    <mergeCell ref="O370:P370"/>
    <mergeCell ref="O372:P372"/>
    <mergeCell ref="O363:P363"/>
    <mergeCell ref="N359:O359"/>
    <mergeCell ref="N352:O352"/>
    <mergeCell ref="N353:O353"/>
    <mergeCell ref="N354:O354"/>
    <mergeCell ref="N355:O355"/>
    <mergeCell ref="N351:O351"/>
    <mergeCell ref="N108:N112"/>
    <mergeCell ref="P2:P3"/>
    <mergeCell ref="N156:N158"/>
    <mergeCell ref="N51:N59"/>
    <mergeCell ref="N282:N293"/>
    <mergeCell ref="R2:R3"/>
    <mergeCell ref="Q2:Q3"/>
    <mergeCell ref="O2:O3"/>
    <mergeCell ref="N250:N270"/>
    <mergeCell ref="D129:E129"/>
    <mergeCell ref="N130:N134"/>
    <mergeCell ref="N125:N128"/>
    <mergeCell ref="D242:E242"/>
    <mergeCell ref="N243:N247"/>
    <mergeCell ref="D316:E316"/>
    <mergeCell ref="D106:E106"/>
    <mergeCell ref="N173:N175"/>
    <mergeCell ref="O393:P393"/>
    <mergeCell ref="O390:P390"/>
    <mergeCell ref="O391:P391"/>
    <mergeCell ref="D317:E317"/>
    <mergeCell ref="N336:N339"/>
    <mergeCell ref="O373:P373"/>
    <mergeCell ref="N346:O346"/>
    <mergeCell ref="F359:K359"/>
    <mergeCell ref="O367:P367"/>
    <mergeCell ref="O368:P368"/>
    <mergeCell ref="O375:P375"/>
    <mergeCell ref="O366:P366"/>
    <mergeCell ref="O364:P364"/>
    <mergeCell ref="O365:P365"/>
    <mergeCell ref="O371:P371"/>
    <mergeCell ref="O374:P374"/>
    <mergeCell ref="B1:M1"/>
    <mergeCell ref="N2:N3"/>
    <mergeCell ref="B2:B3"/>
    <mergeCell ref="C2:C3"/>
    <mergeCell ref="D10:E10"/>
    <mergeCell ref="D5:E5"/>
    <mergeCell ref="D18:E18"/>
    <mergeCell ref="N19:N29"/>
    <mergeCell ref="D11:E11"/>
    <mergeCell ref="N12:N14"/>
    <mergeCell ref="J2:J3"/>
    <mergeCell ref="H2:H3"/>
    <mergeCell ref="G2:G3"/>
    <mergeCell ref="F2:F3"/>
    <mergeCell ref="E2:E3"/>
    <mergeCell ref="D4:E4"/>
    <mergeCell ref="D2:D3"/>
    <mergeCell ref="D15:E15"/>
    <mergeCell ref="N16:N17"/>
    <mergeCell ref="D249:E249"/>
    <mergeCell ref="O400:P400"/>
    <mergeCell ref="O401:P401"/>
    <mergeCell ref="O402:P402"/>
    <mergeCell ref="O403:P403"/>
    <mergeCell ref="O413:P413"/>
    <mergeCell ref="O441:P441"/>
    <mergeCell ref="O442:P442"/>
    <mergeCell ref="O420:P420"/>
    <mergeCell ref="O421:P421"/>
    <mergeCell ref="O422:P422"/>
    <mergeCell ref="O404:P404"/>
    <mergeCell ref="O414:P414"/>
    <mergeCell ref="O410:P410"/>
    <mergeCell ref="O411:P411"/>
    <mergeCell ref="O412:P412"/>
    <mergeCell ref="O407:P407"/>
    <mergeCell ref="O408:P408"/>
    <mergeCell ref="O409:P409"/>
    <mergeCell ref="O415:P415"/>
    <mergeCell ref="N272:N280"/>
    <mergeCell ref="D294:E294"/>
    <mergeCell ref="D295:E295"/>
    <mergeCell ref="O388:P388"/>
    <mergeCell ref="O451:P451"/>
    <mergeCell ref="O395:P395"/>
    <mergeCell ref="N308:N315"/>
    <mergeCell ref="N318:N325"/>
    <mergeCell ref="D176:E176"/>
    <mergeCell ref="D177:E177"/>
    <mergeCell ref="O396:P396"/>
    <mergeCell ref="O376:P376"/>
    <mergeCell ref="N348:O348"/>
    <mergeCell ref="N349:O349"/>
    <mergeCell ref="D335:E335"/>
    <mergeCell ref="O378:P378"/>
    <mergeCell ref="O380:P380"/>
    <mergeCell ref="O382:P382"/>
    <mergeCell ref="O377:P377"/>
    <mergeCell ref="O379:P379"/>
    <mergeCell ref="N178:N186"/>
    <mergeCell ref="D197:E197"/>
    <mergeCell ref="D198:E198"/>
    <mergeCell ref="N199:N234"/>
    <mergeCell ref="D235:E235"/>
    <mergeCell ref="N236:N241"/>
    <mergeCell ref="D271:E271"/>
    <mergeCell ref="D248:E248"/>
    <mergeCell ref="D307:E307"/>
    <mergeCell ref="O397:P397"/>
    <mergeCell ref="O398:P398"/>
    <mergeCell ref="O399:P399"/>
    <mergeCell ref="O394:P394"/>
    <mergeCell ref="F360:K360"/>
    <mergeCell ref="F361:K361"/>
    <mergeCell ref="O384:P384"/>
    <mergeCell ref="O443:P443"/>
    <mergeCell ref="D326:E326"/>
    <mergeCell ref="N327:N334"/>
    <mergeCell ref="D340:E340"/>
    <mergeCell ref="N341:N343"/>
    <mergeCell ref="O392:P392"/>
    <mergeCell ref="O387:P387"/>
    <mergeCell ref="D159:E159"/>
    <mergeCell ref="N160:N162"/>
    <mergeCell ref="D30:E30"/>
    <mergeCell ref="N31:N41"/>
    <mergeCell ref="D60:E60"/>
    <mergeCell ref="N61:N69"/>
    <mergeCell ref="D92:E92"/>
    <mergeCell ref="N93:N105"/>
    <mergeCell ref="D113:E113"/>
    <mergeCell ref="N114:N118"/>
    <mergeCell ref="D124:E124"/>
    <mergeCell ref="D42:E42"/>
    <mergeCell ref="N43:N49"/>
    <mergeCell ref="D141:E141"/>
    <mergeCell ref="N142:N147"/>
    <mergeCell ref="D107:E107"/>
    <mergeCell ref="D155:E155"/>
    <mergeCell ref="D50:E50"/>
    <mergeCell ref="D70:E70"/>
    <mergeCell ref="N71:N77"/>
    <mergeCell ref="D78:E78"/>
    <mergeCell ref="N79:N91"/>
    <mergeCell ref="D119:E119"/>
    <mergeCell ref="N120:N123"/>
  </mergeCells>
  <phoneticPr fontId="7" type="noConversion"/>
  <conditionalFormatting sqref="N364:N415 N433:N458 N463">
    <cfRule type="cellIs" dxfId="7" priority="4" operator="greaterThan">
      <formula>0.02</formula>
    </cfRule>
  </conditionalFormatting>
  <conditionalFormatting sqref="N420:N427">
    <cfRule type="cellIs" dxfId="6" priority="3" operator="greaterThan">
      <formula>0.02</formula>
    </cfRule>
  </conditionalFormatting>
  <dataValidations count="4">
    <dataValidation type="list" allowBlank="1" showInputMessage="1" showErrorMessage="1" sqref="D199:D234 D160:D162 D136:D140 D327:D334 D149:D154 D164:D167 D341:D343 D173:D175 D169:D171 D282:D293 D250:D270 D308:D315 D243:D247 D236:D241 D296:D306 D272:D280 D125:D128 D318:D325 D336:D339 D16:D17 D114:D118 D6:D9 D43:D49 D31:D41 D71:D77 D61:D69 D12:D14 D19:D29 D51:D59 D79:D91 D93:D105 D108:D112 D120:D123 D156:D158 D142:D147 D130:D134 D178:D186 D188:D196" xr:uid="{9113E428-F678-49B2-A0F6-7FE6DA9CE865}">
      <formula1>TIPO</formula1>
    </dataValidation>
    <dataValidation type="list" allowBlank="1" showInputMessage="1" showErrorMessage="1" sqref="C107:C175 C11:C105 C198:C247 C317:C343 C295:C315 C249:C293 C5:C9 C177:C196" xr:uid="{28A555BE-0DA9-4EA0-9020-A0E768DBF7DB}">
      <formula1>ESPACIO</formula1>
    </dataValidation>
    <dataValidation type="list" allowBlank="1" showInputMessage="1" showErrorMessage="1" sqref="J199:J234 J136:J140 J160:J162 J327:J334 J149:J154 J164:J167 J341:J343 J173:J175 J169:J171 J282:J293 J308:J315 J250:J270 J243:J247 J236:J241 J296:J306 J272:J280 J125:J128 J318:J325 J336:J339 J16:J17 J114:J118 J6:J9 J43:J49 J31:J41 J71:J77 J61:J69 J12:J14 J19:J29 J51:J59 J79:J91 J93:J105 J108:J112 J120:J123 J156:J158 J142:J147 J130:J134 J178:J186 J188:J196" xr:uid="{E0619907-72F0-4C1C-8755-F12747E7CEF9}">
      <formula1>INDIRECT($D6)</formula1>
    </dataValidation>
    <dataValidation type="list" allowBlank="1" showInputMessage="1" showErrorMessage="1" sqref="E199:E234 E136:E140 E160:E162 E327:E334 E149:E154 E164:E167 E341:E343 E173:E175 E169:E171 E282:E293 E308:E315 E250:E270 E243:E247 E236:E241 E296:E306 E272:E280 E125:E128 E318:E325 E336:E339 E16:E17 E114:E118 E6:E9 E43:E49 E31:E41 E71:E77 E61:E69 E12:E14 E19:E29 E51:E59 E79:E91 E93:E105 E108:E112 E120:E123 E156:E158 E142:E147 E130:E134 E178:E186 E188:E196" xr:uid="{487620BB-AF04-4507-ACBC-1FB4391B6290}">
      <formula1>INDIRECT($J6)</formula1>
    </dataValidation>
  </dataValidation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6922C-3486-4FA7-BFAB-9771907D8599}">
  <sheetPr codeName="Hoja8"/>
  <dimension ref="B1:U141"/>
  <sheetViews>
    <sheetView zoomScale="90" zoomScaleNormal="90" workbookViewId="0">
      <pane xSplit="5" ySplit="3" topLeftCell="F4" activePane="bottomRight" state="frozen"/>
      <selection activeCell="L100" sqref="L100:L101"/>
      <selection pane="topRight" activeCell="L100" sqref="L100:L101"/>
      <selection pane="bottomLeft" activeCell="L100" sqref="L100:L101"/>
      <selection pane="bottomRight" activeCell="S55" sqref="S55"/>
    </sheetView>
  </sheetViews>
  <sheetFormatPr baseColWidth="10" defaultRowHeight="15" outlineLevelRow="1" x14ac:dyDescent="0.25"/>
  <cols>
    <col min="1" max="1" width="2.140625" customWidth="1"/>
    <col min="2" max="2" width="8.42578125" style="85" customWidth="1"/>
    <col min="3" max="3" width="11.42578125" style="2"/>
    <col min="4" max="4" width="16.28515625" style="2" customWidth="1"/>
    <col min="5" max="5" width="31.140625" style="86" customWidth="1"/>
    <col min="6" max="7" width="13.28515625" style="29" customWidth="1"/>
    <col min="8" max="8" width="9.5703125" style="29" customWidth="1"/>
    <col min="9" max="9" width="0.85546875" style="29" customWidth="1"/>
    <col min="10" max="10" width="11.42578125" style="29"/>
    <col min="11" max="11" width="0.7109375" style="29" customWidth="1"/>
    <col min="12" max="12" width="16.42578125" style="76" customWidth="1"/>
    <col min="13" max="13" width="17.140625" style="76" customWidth="1"/>
    <col min="14" max="14" width="12.42578125" style="29" customWidth="1"/>
    <col min="15" max="15" width="12.28515625" style="29" customWidth="1"/>
    <col min="16" max="16" width="19.7109375" style="76" customWidth="1"/>
    <col min="17" max="17" width="23.42578125" style="76" customWidth="1"/>
    <col min="18" max="18" width="18.140625" style="82" customWidth="1"/>
    <col min="19" max="19" width="16.42578125" style="4" customWidth="1"/>
  </cols>
  <sheetData>
    <row r="1" spans="2:21" ht="15" customHeight="1" thickBot="1" x14ac:dyDescent="0.3">
      <c r="B1" s="381" t="s">
        <v>245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R1" s="185"/>
    </row>
    <row r="2" spans="2:21" ht="29.25" customHeight="1" x14ac:dyDescent="0.25">
      <c r="B2" s="384" t="s">
        <v>247</v>
      </c>
      <c r="C2" s="384" t="s">
        <v>9</v>
      </c>
      <c r="D2" s="384" t="s">
        <v>276</v>
      </c>
      <c r="E2" s="382" t="s">
        <v>246</v>
      </c>
      <c r="F2" s="386" t="s">
        <v>11</v>
      </c>
      <c r="G2" s="382" t="s">
        <v>177</v>
      </c>
      <c r="H2" s="382" t="s">
        <v>248</v>
      </c>
      <c r="I2" s="108"/>
      <c r="J2" s="382" t="s">
        <v>261</v>
      </c>
      <c r="K2" s="108"/>
      <c r="L2" s="393" t="s">
        <v>249</v>
      </c>
      <c r="M2" s="393" t="s">
        <v>250</v>
      </c>
      <c r="N2" s="382" t="s">
        <v>253</v>
      </c>
      <c r="O2" s="382" t="s">
        <v>281</v>
      </c>
      <c r="P2" s="393" t="s">
        <v>255</v>
      </c>
      <c r="Q2" s="402" t="s">
        <v>256</v>
      </c>
      <c r="R2" s="382" t="s">
        <v>254</v>
      </c>
      <c r="S2" s="391" t="s">
        <v>363</v>
      </c>
      <c r="T2" s="391" t="s">
        <v>795</v>
      </c>
    </row>
    <row r="3" spans="2:21" ht="15.75" thickBot="1" x14ac:dyDescent="0.3">
      <c r="B3" s="385"/>
      <c r="C3" s="385"/>
      <c r="D3" s="385"/>
      <c r="E3" s="383"/>
      <c r="F3" s="387"/>
      <c r="G3" s="383"/>
      <c r="H3" s="383"/>
      <c r="I3" s="169"/>
      <c r="J3" s="383"/>
      <c r="K3" s="169"/>
      <c r="L3" s="394"/>
      <c r="M3" s="394"/>
      <c r="N3" s="383"/>
      <c r="O3" s="383"/>
      <c r="P3" s="394"/>
      <c r="Q3" s="403"/>
      <c r="R3" s="383"/>
      <c r="S3" s="392"/>
      <c r="T3" s="392"/>
    </row>
    <row r="4" spans="2:21" s="39" customFormat="1" x14ac:dyDescent="0.25">
      <c r="B4" s="109">
        <v>1</v>
      </c>
      <c r="C4" s="143"/>
      <c r="D4" s="375" t="s">
        <v>575</v>
      </c>
      <c r="E4" s="376"/>
      <c r="F4" s="125"/>
      <c r="G4" s="125"/>
      <c r="H4" s="125"/>
      <c r="I4" s="125"/>
      <c r="J4" s="125"/>
      <c r="K4" s="125"/>
      <c r="L4" s="126"/>
      <c r="M4" s="126"/>
      <c r="N4" s="125"/>
      <c r="O4" s="125"/>
      <c r="P4" s="126">
        <f>+P5</f>
        <v>7268275.1999999993</v>
      </c>
      <c r="Q4" s="126">
        <f>+Q5</f>
        <v>5860000</v>
      </c>
      <c r="R4" s="127">
        <f>Q4+P4</f>
        <v>13128275.199999999</v>
      </c>
      <c r="S4" s="128"/>
      <c r="T4" s="182">
        <f>+T5</f>
        <v>5.1711307030658286E-2</v>
      </c>
    </row>
    <row r="5" spans="2:21" s="39" customFormat="1" ht="30" customHeight="1" x14ac:dyDescent="0.25">
      <c r="B5" s="110">
        <v>1.1000000000000001</v>
      </c>
      <c r="C5" s="144" t="s">
        <v>1812</v>
      </c>
      <c r="D5" s="377" t="s">
        <v>1684</v>
      </c>
      <c r="E5" s="378"/>
      <c r="F5" s="121"/>
      <c r="G5" s="121"/>
      <c r="H5" s="121"/>
      <c r="I5" s="121"/>
      <c r="J5" s="121"/>
      <c r="K5" s="121"/>
      <c r="L5" s="122"/>
      <c r="M5" s="122"/>
      <c r="N5" s="121"/>
      <c r="O5" s="121"/>
      <c r="P5" s="122">
        <f>+SUM(P6:P13)</f>
        <v>7268275.1999999993</v>
      </c>
      <c r="Q5" s="122">
        <f>+SUM(Q6:Q13)</f>
        <v>5860000</v>
      </c>
      <c r="R5" s="123">
        <f>+P5+Q5</f>
        <v>13128275.199999999</v>
      </c>
      <c r="S5" s="166">
        <f>+R5/G13</f>
        <v>140020</v>
      </c>
      <c r="T5" s="181" cm="1">
        <f t="array" ref="T5:U5">+R5/'[5]1. GENERAL'!$E$31:$F$31</f>
        <v>5.1711307030658286E-2</v>
      </c>
      <c r="U5" s="39" t="e">
        <v>#DIV/0!</v>
      </c>
    </row>
    <row r="6" spans="2:21" x14ac:dyDescent="0.25">
      <c r="B6" s="83" t="s">
        <v>258</v>
      </c>
      <c r="C6" s="145" t="s">
        <v>1812</v>
      </c>
      <c r="D6" s="145" t="s">
        <v>251</v>
      </c>
      <c r="E6" s="84" t="s">
        <v>515</v>
      </c>
      <c r="G6" s="89">
        <f>+(G13/1.2)*1.05</f>
        <v>82.039999999999992</v>
      </c>
      <c r="H6" s="77" t="str">
        <f>VLOOKUP(E6,'B. DATOS'!$B$34:$E$622,2,FALSE)</f>
        <v>BTO</v>
      </c>
      <c r="J6" s="29" t="s">
        <v>508</v>
      </c>
      <c r="L6" s="78">
        <f>VLOOKUP(E6,'B. DATOS'!$B$34:$E$622,4,FALSE)</f>
        <v>18000</v>
      </c>
      <c r="M6" s="88">
        <f t="shared" ref="M6:M13" si="0">+L6*G6</f>
        <v>1476719.9999999998</v>
      </c>
      <c r="N6" s="351">
        <v>1</v>
      </c>
      <c r="O6" s="80">
        <f t="shared" ref="O6:O13" si="1">+G6*$N$6</f>
        <v>82.039999999999992</v>
      </c>
      <c r="P6" s="76">
        <f t="shared" ref="P6:P11" si="2">+M6*$N$6</f>
        <v>1476719.9999999998</v>
      </c>
    </row>
    <row r="7" spans="2:21" x14ac:dyDescent="0.25">
      <c r="B7" s="83" t="s">
        <v>507</v>
      </c>
      <c r="C7" s="145" t="s">
        <v>1812</v>
      </c>
      <c r="D7" s="145" t="s">
        <v>251</v>
      </c>
      <c r="E7" s="84" t="s">
        <v>266</v>
      </c>
      <c r="G7" s="89">
        <f>+G6*0.01</f>
        <v>0.82039999999999991</v>
      </c>
      <c r="H7" s="77" t="str">
        <f>VLOOKUP(E7,'B. DATOS'!$B$34:$E$622,2,FALSE)</f>
        <v>KG</v>
      </c>
      <c r="J7" s="29" t="s">
        <v>274</v>
      </c>
      <c r="L7" s="78">
        <f>VLOOKUP(E7,'B. DATOS'!$B$34:$E$622,4,FALSE)</f>
        <v>8000</v>
      </c>
      <c r="M7" s="88">
        <f t="shared" si="0"/>
        <v>6563.1999999999989</v>
      </c>
      <c r="N7" s="351"/>
      <c r="O7" s="80">
        <f t="shared" si="1"/>
        <v>0.82039999999999991</v>
      </c>
      <c r="P7" s="76">
        <f t="shared" si="2"/>
        <v>6563.1999999999989</v>
      </c>
    </row>
    <row r="8" spans="2:21" x14ac:dyDescent="0.25">
      <c r="B8" s="83" t="s">
        <v>546</v>
      </c>
      <c r="C8" s="145" t="s">
        <v>1812</v>
      </c>
      <c r="D8" s="145" t="s">
        <v>251</v>
      </c>
      <c r="E8" s="84" t="s">
        <v>278</v>
      </c>
      <c r="G8" s="89">
        <f>+G6*0.01</f>
        <v>0.82039999999999991</v>
      </c>
      <c r="H8" s="77" t="str">
        <f>VLOOKUP(E8,'B. DATOS'!$B$34:$E$622,2,FALSE)</f>
        <v>LB</v>
      </c>
      <c r="J8" s="29" t="s">
        <v>274</v>
      </c>
      <c r="L8" s="78">
        <f>VLOOKUP(E8,'B. DATOS'!$B$34:$E$622,4,FALSE)</f>
        <v>5200</v>
      </c>
      <c r="M8" s="88">
        <f t="shared" si="0"/>
        <v>4266.08</v>
      </c>
      <c r="N8" s="351"/>
      <c r="O8" s="80">
        <f t="shared" si="1"/>
        <v>0.82039999999999991</v>
      </c>
      <c r="P8" s="76">
        <f t="shared" si="2"/>
        <v>4266.08</v>
      </c>
    </row>
    <row r="9" spans="2:21" x14ac:dyDescent="0.25">
      <c r="B9" s="83" t="s">
        <v>547</v>
      </c>
      <c r="C9" s="145" t="s">
        <v>1812</v>
      </c>
      <c r="D9" s="145" t="s">
        <v>251</v>
      </c>
      <c r="E9" s="84" t="s">
        <v>1353</v>
      </c>
      <c r="F9" s="80"/>
      <c r="G9" s="89">
        <f>+(G13*0.07)*1.05</f>
        <v>6.8913600000000006</v>
      </c>
      <c r="H9" s="77" t="str">
        <f>VLOOKUP(E9,'B. DATOS'!$B$34:$E$622,2,FALSE)</f>
        <v>M3</v>
      </c>
      <c r="J9" s="29" t="s">
        <v>717</v>
      </c>
      <c r="L9" s="78">
        <f>VLOOKUP(E9,'B. DATOS'!$B$34:$E$622,4,FALSE)</f>
        <v>487000</v>
      </c>
      <c r="M9" s="88">
        <f t="shared" si="0"/>
        <v>3356092.3200000003</v>
      </c>
      <c r="N9" s="351"/>
      <c r="O9" s="80">
        <f t="shared" si="1"/>
        <v>6.8913600000000006</v>
      </c>
      <c r="P9" s="76">
        <f t="shared" si="2"/>
        <v>3356092.3200000003</v>
      </c>
    </row>
    <row r="10" spans="2:21" x14ac:dyDescent="0.25">
      <c r="B10" s="83" t="s">
        <v>548</v>
      </c>
      <c r="C10" s="145" t="s">
        <v>1812</v>
      </c>
      <c r="D10" s="145" t="s">
        <v>251</v>
      </c>
      <c r="E10" s="84" t="s">
        <v>1284</v>
      </c>
      <c r="G10" s="89">
        <f>+G13*1.5</f>
        <v>140.63999999999999</v>
      </c>
      <c r="H10" s="77" t="str">
        <f>VLOOKUP(E10,'B. DATOS'!$B$34:$E$622,2,FALSE)</f>
        <v>M2</v>
      </c>
      <c r="J10" s="29" t="s">
        <v>274</v>
      </c>
      <c r="L10" s="78">
        <f>VLOOKUP(E10,'B. DATOS'!$B$34:$E$622,4,FALSE)</f>
        <v>17000</v>
      </c>
      <c r="M10" s="88">
        <f t="shared" si="0"/>
        <v>2390880</v>
      </c>
      <c r="N10" s="351"/>
      <c r="O10" s="80">
        <f t="shared" si="1"/>
        <v>140.63999999999999</v>
      </c>
      <c r="P10" s="76">
        <f t="shared" si="2"/>
        <v>2390880</v>
      </c>
    </row>
    <row r="11" spans="2:21" x14ac:dyDescent="0.25">
      <c r="B11" s="83" t="s">
        <v>549</v>
      </c>
      <c r="C11" s="145" t="s">
        <v>1812</v>
      </c>
      <c r="D11" s="145" t="s">
        <v>251</v>
      </c>
      <c r="E11" s="84" t="s">
        <v>266</v>
      </c>
      <c r="G11" s="89">
        <f>+G10*0.03</f>
        <v>4.2191999999999998</v>
      </c>
      <c r="H11" s="77" t="str">
        <f>VLOOKUP(E11,'B. DATOS'!$B$34:$E$622,2,FALSE)</f>
        <v>KG</v>
      </c>
      <c r="J11" s="29" t="s">
        <v>274</v>
      </c>
      <c r="L11" s="78">
        <f>VLOOKUP(E11,'B. DATOS'!$B$34:$E$622,4,FALSE)</f>
        <v>8000</v>
      </c>
      <c r="M11" s="88">
        <f t="shared" si="0"/>
        <v>33753.599999999999</v>
      </c>
      <c r="N11" s="351"/>
      <c r="O11" s="80">
        <f t="shared" si="1"/>
        <v>4.2191999999999998</v>
      </c>
      <c r="P11" s="76">
        <f t="shared" si="2"/>
        <v>33753.599999999999</v>
      </c>
      <c r="S11" s="150"/>
    </row>
    <row r="12" spans="2:21" x14ac:dyDescent="0.25">
      <c r="B12" s="83" t="s">
        <v>550</v>
      </c>
      <c r="C12" s="145" t="s">
        <v>1812</v>
      </c>
      <c r="D12" s="145" t="s">
        <v>778</v>
      </c>
      <c r="E12" s="84" t="s">
        <v>563</v>
      </c>
      <c r="G12" s="89">
        <f>+G13</f>
        <v>93.759999999999991</v>
      </c>
      <c r="H12" s="77" t="str">
        <f>VLOOKUP(E12,'B. DATOS'!$B$34:$E$622,2,FALSE)</f>
        <v>M2</v>
      </c>
      <c r="J12" s="29" t="s">
        <v>751</v>
      </c>
      <c r="L12" s="78">
        <f>VLOOKUP(E12,'B. DATOS'!$B$34:$E$622,4,FALSE)</f>
        <v>12500</v>
      </c>
      <c r="M12" s="76">
        <f t="shared" si="0"/>
        <v>1172000</v>
      </c>
      <c r="N12" s="351"/>
      <c r="O12" s="80">
        <f t="shared" si="1"/>
        <v>93.759999999999991</v>
      </c>
      <c r="Q12" s="76">
        <f>+M12*$N$6</f>
        <v>1172000</v>
      </c>
    </row>
    <row r="13" spans="2:21" x14ac:dyDescent="0.25">
      <c r="B13" s="83" t="s">
        <v>551</v>
      </c>
      <c r="C13" s="145" t="s">
        <v>1812</v>
      </c>
      <c r="D13" s="145" t="s">
        <v>778</v>
      </c>
      <c r="E13" s="84" t="s">
        <v>375</v>
      </c>
      <c r="G13" s="89">
        <f>+'2. CANTIDADES'!TS4+'2. CANTIDADES'!TS18+'2. CANTIDADES'!UC4+'2. CANTIDADES'!WU4+'2. CANTIDADES'!WU8+'2. CANTIDADES'!XE4+'2. CANTIDADES'!XO4+'2. CANTIDADES'!AAC4</f>
        <v>93.759999999999991</v>
      </c>
      <c r="H13" s="77" t="str">
        <f>VLOOKUP(E13,'B. DATOS'!$B$34:$E$622,2,FALSE)</f>
        <v>M2</v>
      </c>
      <c r="J13" s="29" t="s">
        <v>14</v>
      </c>
      <c r="L13" s="78">
        <f>VLOOKUP(E13,'B. DATOS'!$B$34:$E$622,4,FALSE)</f>
        <v>50000</v>
      </c>
      <c r="M13" s="88">
        <f t="shared" si="0"/>
        <v>4688000</v>
      </c>
      <c r="N13" s="351"/>
      <c r="O13" s="80">
        <f t="shared" si="1"/>
        <v>93.759999999999991</v>
      </c>
      <c r="Q13" s="76">
        <f>+M13*$N$6</f>
        <v>4688000</v>
      </c>
    </row>
    <row r="14" spans="2:21" s="39" customFormat="1" x14ac:dyDescent="0.25">
      <c r="B14" s="109">
        <v>2</v>
      </c>
      <c r="C14" s="143"/>
      <c r="D14" s="375" t="s">
        <v>293</v>
      </c>
      <c r="E14" s="376"/>
      <c r="F14" s="125"/>
      <c r="G14" s="125"/>
      <c r="H14" s="125"/>
      <c r="I14" s="125"/>
      <c r="J14" s="125"/>
      <c r="K14" s="125"/>
      <c r="L14" s="126"/>
      <c r="M14" s="126"/>
      <c r="N14" s="125"/>
      <c r="O14" s="125"/>
      <c r="P14" s="126">
        <f>+P15</f>
        <v>301000</v>
      </c>
      <c r="Q14" s="126">
        <f>+Q15</f>
        <v>550000</v>
      </c>
      <c r="R14" s="127">
        <f>+Q14+P14</f>
        <v>851000</v>
      </c>
      <c r="S14" s="128"/>
      <c r="T14" s="182">
        <f>+T15</f>
        <v>1.740523818347785E-3</v>
      </c>
    </row>
    <row r="15" spans="2:21" s="39" customFormat="1" x14ac:dyDescent="0.25">
      <c r="B15" s="110">
        <v>2.1</v>
      </c>
      <c r="C15" s="144" t="s">
        <v>467</v>
      </c>
      <c r="D15" s="369" t="s">
        <v>365</v>
      </c>
      <c r="E15" s="370"/>
      <c r="F15" s="121"/>
      <c r="G15" s="121"/>
      <c r="H15" s="121"/>
      <c r="I15" s="121"/>
      <c r="J15" s="121"/>
      <c r="K15" s="121"/>
      <c r="L15" s="122"/>
      <c r="M15" s="122"/>
      <c r="N15" s="121"/>
      <c r="O15" s="121"/>
      <c r="P15" s="122">
        <f>+SUM(P16:P20)</f>
        <v>301000</v>
      </c>
      <c r="Q15" s="122">
        <f>+SUM(Q16:Q20)</f>
        <v>550000</v>
      </c>
      <c r="R15" s="123">
        <f>+P15+Q15</f>
        <v>851000</v>
      </c>
      <c r="S15" s="124">
        <f>+R15/'1. GENERAL'!$C$7</f>
        <v>2498.1887397738656</v>
      </c>
      <c r="T15" s="181" cm="1">
        <f t="array" ref="T15:U15">+R15/'1. GENERAL'!$E$31:$F$31</f>
        <v>1.740523818347785E-3</v>
      </c>
      <c r="U15" s="39" t="e">
        <v>#DIV/0!</v>
      </c>
    </row>
    <row r="16" spans="2:21" x14ac:dyDescent="0.25">
      <c r="B16" s="83" t="s">
        <v>262</v>
      </c>
      <c r="C16" s="145" t="s">
        <v>467</v>
      </c>
      <c r="D16" s="145" t="s">
        <v>251</v>
      </c>
      <c r="E16" s="84" t="s">
        <v>1414</v>
      </c>
      <c r="G16" s="29">
        <v>2</v>
      </c>
      <c r="H16" s="77" t="str">
        <f>VLOOKUP(E16,'B. DATOS'!$B$34:$E$622,2,FALSE)</f>
        <v>UND</v>
      </c>
      <c r="J16" s="29" t="s">
        <v>670</v>
      </c>
      <c r="L16" s="78">
        <f>VLOOKUP(E16,'B. DATOS'!$B$34:$E$622,4,FALSE)</f>
        <v>62000</v>
      </c>
      <c r="M16" s="76">
        <f>+L16*G16</f>
        <v>124000</v>
      </c>
      <c r="N16" s="351">
        <v>1</v>
      </c>
      <c r="O16" s="80">
        <f>+G16*$N$16</f>
        <v>2</v>
      </c>
      <c r="P16" s="76">
        <f>+M16*$N$16</f>
        <v>124000</v>
      </c>
      <c r="T16" s="4"/>
    </row>
    <row r="17" spans="2:21" x14ac:dyDescent="0.25">
      <c r="B17" s="83" t="s">
        <v>263</v>
      </c>
      <c r="C17" s="145" t="s">
        <v>467</v>
      </c>
      <c r="D17" s="145" t="s">
        <v>251</v>
      </c>
      <c r="E17" s="84" t="s">
        <v>321</v>
      </c>
      <c r="G17" s="29">
        <v>4</v>
      </c>
      <c r="H17" s="77" t="str">
        <f>VLOOKUP(E17,'B. DATOS'!$B$34:$E$622,2,FALSE)</f>
        <v>UND</v>
      </c>
      <c r="J17" s="29" t="s">
        <v>670</v>
      </c>
      <c r="L17" s="78">
        <f>VLOOKUP(E17,'B. DATOS'!$B$34:$E$622,4,FALSE)</f>
        <v>7000</v>
      </c>
      <c r="M17" s="76">
        <f>+L17*G17</f>
        <v>28000</v>
      </c>
      <c r="N17" s="351"/>
      <c r="O17" s="80">
        <f>+G17*$N$16</f>
        <v>4</v>
      </c>
      <c r="P17" s="76">
        <f>+M17*$N$16</f>
        <v>28000</v>
      </c>
      <c r="T17" s="4"/>
    </row>
    <row r="18" spans="2:21" x14ac:dyDescent="0.25">
      <c r="B18" s="83" t="s">
        <v>1322</v>
      </c>
      <c r="C18" s="145" t="s">
        <v>467</v>
      </c>
      <c r="D18" s="145" t="s">
        <v>251</v>
      </c>
      <c r="E18" s="84" t="s">
        <v>324</v>
      </c>
      <c r="G18" s="29">
        <v>4</v>
      </c>
      <c r="H18" s="77" t="str">
        <f>VLOOKUP(E18,'B. DATOS'!$B$34:$E$622,2,FALSE)</f>
        <v>UND</v>
      </c>
      <c r="J18" s="29" t="s">
        <v>670</v>
      </c>
      <c r="L18" s="78">
        <f>VLOOKUP(E18,'B. DATOS'!$B$34:$E$622,4,FALSE)</f>
        <v>35000</v>
      </c>
      <c r="M18" s="76">
        <f>+L18*G18</f>
        <v>140000</v>
      </c>
      <c r="N18" s="351"/>
      <c r="O18" s="80">
        <f>+G18*$N$16</f>
        <v>4</v>
      </c>
      <c r="P18" s="76">
        <f>+M18*$N$16</f>
        <v>140000</v>
      </c>
      <c r="T18" s="4"/>
    </row>
    <row r="19" spans="2:21" x14ac:dyDescent="0.25">
      <c r="B19" s="83" t="s">
        <v>1323</v>
      </c>
      <c r="C19" s="145" t="s">
        <v>467</v>
      </c>
      <c r="D19" s="145" t="s">
        <v>251</v>
      </c>
      <c r="E19" s="84" t="s">
        <v>490</v>
      </c>
      <c r="G19" s="29">
        <v>1</v>
      </c>
      <c r="H19" s="77" t="str">
        <f>VLOOKUP(E19,'B. DATOS'!$B$34:$E$622,2,FALSE)</f>
        <v>UND</v>
      </c>
      <c r="J19" s="29" t="s">
        <v>670</v>
      </c>
      <c r="L19" s="78">
        <f>VLOOKUP(E19,'B. DATOS'!$B$34:$E$622,4,FALSE)</f>
        <v>9000</v>
      </c>
      <c r="M19" s="76">
        <f>+L19*G19</f>
        <v>9000</v>
      </c>
      <c r="N19" s="351"/>
      <c r="O19" s="80">
        <f>+G19*$N$16</f>
        <v>1</v>
      </c>
      <c r="P19" s="76">
        <f>+M19*$N$16</f>
        <v>9000</v>
      </c>
      <c r="T19" s="4"/>
    </row>
    <row r="20" spans="2:21" x14ac:dyDescent="0.25">
      <c r="B20" s="83" t="s">
        <v>1324</v>
      </c>
      <c r="C20" s="145" t="s">
        <v>467</v>
      </c>
      <c r="D20" s="145" t="s">
        <v>778</v>
      </c>
      <c r="E20" s="84" t="s">
        <v>329</v>
      </c>
      <c r="G20" s="29">
        <f>+G16+G17+G18</f>
        <v>10</v>
      </c>
      <c r="H20" s="77" t="str">
        <f>VLOOKUP(E20,'B. DATOS'!$B$34:$E$622,2,FALSE)</f>
        <v>PTO</v>
      </c>
      <c r="J20" s="29" t="s">
        <v>739</v>
      </c>
      <c r="L20" s="78">
        <f>VLOOKUP(E20,'B. DATOS'!$B$34:$E$622,4,FALSE)</f>
        <v>55000</v>
      </c>
      <c r="M20" s="76">
        <f>+L20*G20</f>
        <v>550000</v>
      </c>
      <c r="N20" s="351"/>
      <c r="O20" s="80">
        <f>+G20*$N$16</f>
        <v>10</v>
      </c>
      <c r="Q20" s="76">
        <f>+M20*$N$16</f>
        <v>550000</v>
      </c>
      <c r="T20" s="4"/>
    </row>
    <row r="21" spans="2:21" s="39" customFormat="1" x14ac:dyDescent="0.25">
      <c r="B21" s="109">
        <v>3</v>
      </c>
      <c r="C21" s="143"/>
      <c r="D21" s="375" t="s">
        <v>420</v>
      </c>
      <c r="E21" s="376"/>
      <c r="F21" s="125"/>
      <c r="G21" s="125"/>
      <c r="H21" s="125"/>
      <c r="I21" s="125"/>
      <c r="J21" s="125"/>
      <c r="K21" s="125"/>
      <c r="L21" s="126"/>
      <c r="M21" s="126"/>
      <c r="N21" s="125"/>
      <c r="O21" s="125"/>
      <c r="P21" s="126">
        <f>+P22</f>
        <v>2375600</v>
      </c>
      <c r="Q21" s="126">
        <f>+Q22</f>
        <v>5115000</v>
      </c>
      <c r="R21" s="127">
        <f>+Q21+P21</f>
        <v>7490600</v>
      </c>
      <c r="S21" s="128"/>
      <c r="T21" s="182">
        <f>+T22</f>
        <v>1.5320291085447614E-2</v>
      </c>
    </row>
    <row r="22" spans="2:21" s="39" customFormat="1" x14ac:dyDescent="0.25">
      <c r="B22" s="110">
        <v>3.1</v>
      </c>
      <c r="C22" s="144" t="s">
        <v>467</v>
      </c>
      <c r="D22" s="369" t="s">
        <v>450</v>
      </c>
      <c r="E22" s="370"/>
      <c r="F22" s="121"/>
      <c r="G22" s="121"/>
      <c r="H22" s="121"/>
      <c r="I22" s="121"/>
      <c r="J22" s="121"/>
      <c r="K22" s="121"/>
      <c r="L22" s="122"/>
      <c r="M22" s="122"/>
      <c r="N22" s="121"/>
      <c r="O22" s="121"/>
      <c r="P22" s="122">
        <f>+SUM(P23:P34)</f>
        <v>2375600</v>
      </c>
      <c r="Q22" s="122">
        <f>+SUM(Q23:Q34)</f>
        <v>5115000</v>
      </c>
      <c r="R22" s="123">
        <f>+P22+Q22</f>
        <v>7490600</v>
      </c>
      <c r="S22" s="124">
        <f>+R22/'1. GENERAL'!$C$7</f>
        <v>21989.344975499549</v>
      </c>
      <c r="T22" s="181" cm="1">
        <f t="array" ref="T22:U22">+R22/'1. GENERAL'!$E$31:$F$31</f>
        <v>1.5320291085447614E-2</v>
      </c>
      <c r="U22" s="39" t="e">
        <v>#DIV/0!</v>
      </c>
    </row>
    <row r="23" spans="2:21" x14ac:dyDescent="0.25">
      <c r="B23" s="83" t="s">
        <v>330</v>
      </c>
      <c r="C23" s="145" t="s">
        <v>467</v>
      </c>
      <c r="D23" s="145" t="s">
        <v>251</v>
      </c>
      <c r="E23" s="84" t="s">
        <v>431</v>
      </c>
      <c r="G23" s="29">
        <v>1</v>
      </c>
      <c r="H23" s="77" t="str">
        <f>VLOOKUP(E23,'B. DATOS'!$B$34:$E$622,2,FALSE)</f>
        <v>UND</v>
      </c>
      <c r="J23" s="29" t="s">
        <v>718</v>
      </c>
      <c r="L23" s="78">
        <f>VLOOKUP(E23,'B. DATOS'!$B$34:$E$622,4,FALSE)</f>
        <v>275000</v>
      </c>
      <c r="M23" s="76">
        <f t="shared" ref="M23:M34" si="3">+L23*G23</f>
        <v>275000</v>
      </c>
      <c r="N23" s="351">
        <v>1</v>
      </c>
      <c r="O23" s="80">
        <f>+G23*$N$23</f>
        <v>1</v>
      </c>
      <c r="P23" s="76">
        <f>+M23*$N$23</f>
        <v>275000</v>
      </c>
      <c r="T23" s="4"/>
    </row>
    <row r="24" spans="2:21" x14ac:dyDescent="0.25">
      <c r="B24" s="83" t="s">
        <v>331</v>
      </c>
      <c r="C24" s="145" t="s">
        <v>467</v>
      </c>
      <c r="D24" s="145" t="s">
        <v>251</v>
      </c>
      <c r="E24" s="84" t="s">
        <v>433</v>
      </c>
      <c r="G24" s="29">
        <v>18</v>
      </c>
      <c r="H24" s="77" t="str">
        <f>VLOOKUP(E24,'B. DATOS'!$B$34:$E$622,2,FALSE)</f>
        <v>UND</v>
      </c>
      <c r="J24" s="29" t="s">
        <v>718</v>
      </c>
      <c r="L24" s="78">
        <f>VLOOKUP(E24,'B. DATOS'!$B$34:$E$622,4,FALSE)</f>
        <v>13000</v>
      </c>
      <c r="M24" s="76">
        <f t="shared" si="3"/>
        <v>234000</v>
      </c>
      <c r="N24" s="351"/>
      <c r="O24" s="80">
        <f t="shared" ref="O24:O34" si="4">+G24*$N$23</f>
        <v>18</v>
      </c>
      <c r="P24" s="76">
        <f t="shared" ref="P24:P32" si="5">+M24*$N$23</f>
        <v>234000</v>
      </c>
      <c r="T24" s="4"/>
    </row>
    <row r="25" spans="2:21" x14ac:dyDescent="0.25">
      <c r="B25" s="83" t="s">
        <v>332</v>
      </c>
      <c r="C25" s="145" t="s">
        <v>467</v>
      </c>
      <c r="D25" s="145" t="s">
        <v>251</v>
      </c>
      <c r="E25" s="84" t="s">
        <v>451</v>
      </c>
      <c r="G25" s="29">
        <v>7</v>
      </c>
      <c r="H25" s="77" t="str">
        <f>VLOOKUP(E25,'B. DATOS'!$B$34:$E$622,2,FALSE)</f>
        <v>UND</v>
      </c>
      <c r="J25" s="29" t="s">
        <v>718</v>
      </c>
      <c r="L25" s="78">
        <f>VLOOKUP(E25,'B. DATOS'!$B$34:$E$622,4,FALSE)</f>
        <v>70000</v>
      </c>
      <c r="M25" s="76">
        <f t="shared" si="3"/>
        <v>490000</v>
      </c>
      <c r="N25" s="351"/>
      <c r="O25" s="80">
        <f t="shared" si="4"/>
        <v>7</v>
      </c>
      <c r="P25" s="76">
        <f t="shared" si="5"/>
        <v>490000</v>
      </c>
      <c r="T25" s="4"/>
    </row>
    <row r="26" spans="2:21" x14ac:dyDescent="0.25">
      <c r="B26" s="83" t="s">
        <v>333</v>
      </c>
      <c r="C26" s="145" t="s">
        <v>467</v>
      </c>
      <c r="D26" s="145" t="s">
        <v>251</v>
      </c>
      <c r="E26" s="84" t="s">
        <v>437</v>
      </c>
      <c r="G26" s="29">
        <v>4</v>
      </c>
      <c r="H26" s="77" t="str">
        <f>VLOOKUP(E26,'B. DATOS'!$B$34:$E$622,2,FALSE)</f>
        <v>UND</v>
      </c>
      <c r="J26" s="29" t="s">
        <v>718</v>
      </c>
      <c r="L26" s="78">
        <f>VLOOKUP(E26,'B. DATOS'!$B$34:$E$622,4,FALSE)</f>
        <v>12000</v>
      </c>
      <c r="M26" s="76">
        <f t="shared" si="3"/>
        <v>48000</v>
      </c>
      <c r="N26" s="351"/>
      <c r="O26" s="80">
        <f t="shared" si="4"/>
        <v>4</v>
      </c>
      <c r="P26" s="76">
        <f t="shared" si="5"/>
        <v>48000</v>
      </c>
      <c r="T26" s="4"/>
    </row>
    <row r="27" spans="2:21" x14ac:dyDescent="0.25">
      <c r="B27" s="83" t="s">
        <v>334</v>
      </c>
      <c r="C27" s="145" t="s">
        <v>467</v>
      </c>
      <c r="D27" s="145" t="s">
        <v>251</v>
      </c>
      <c r="E27" s="84" t="s">
        <v>440</v>
      </c>
      <c r="G27" s="29">
        <v>2</v>
      </c>
      <c r="H27" s="77" t="str">
        <f>VLOOKUP(E27,'B. DATOS'!$B$34:$E$622,2,FALSE)</f>
        <v>UND</v>
      </c>
      <c r="J27" s="29" t="s">
        <v>718</v>
      </c>
      <c r="L27" s="78">
        <f>VLOOKUP(E27,'B. DATOS'!$B$34:$E$622,4,FALSE)</f>
        <v>34000</v>
      </c>
      <c r="M27" s="76">
        <f t="shared" si="3"/>
        <v>68000</v>
      </c>
      <c r="N27" s="351"/>
      <c r="O27" s="80">
        <f t="shared" si="4"/>
        <v>2</v>
      </c>
      <c r="P27" s="76">
        <f t="shared" si="5"/>
        <v>68000</v>
      </c>
      <c r="T27" s="4"/>
    </row>
    <row r="28" spans="2:21" x14ac:dyDescent="0.25">
      <c r="B28" s="83" t="s">
        <v>1685</v>
      </c>
      <c r="C28" s="145" t="s">
        <v>467</v>
      </c>
      <c r="D28" s="145" t="s">
        <v>251</v>
      </c>
      <c r="E28" s="84" t="s">
        <v>441</v>
      </c>
      <c r="G28" s="29">
        <f>+'3. CD - Obra negra'!G312</f>
        <v>25</v>
      </c>
      <c r="H28" s="77" t="str">
        <f>VLOOKUP(E28,'B. DATOS'!$B$34:$E$622,2,FALSE)</f>
        <v>UND</v>
      </c>
      <c r="J28" s="29" t="s">
        <v>718</v>
      </c>
      <c r="L28" s="78">
        <f>VLOOKUP(E28,'B. DATOS'!$B$34:$E$622,4,FALSE)</f>
        <v>2500</v>
      </c>
      <c r="M28" s="76">
        <f t="shared" si="3"/>
        <v>62500</v>
      </c>
      <c r="N28" s="351"/>
      <c r="O28" s="80">
        <f t="shared" si="4"/>
        <v>25</v>
      </c>
      <c r="P28" s="76">
        <f t="shared" si="5"/>
        <v>62500</v>
      </c>
      <c r="T28" s="4"/>
    </row>
    <row r="29" spans="2:21" x14ac:dyDescent="0.25">
      <c r="B29" s="83" t="s">
        <v>1686</v>
      </c>
      <c r="C29" s="145" t="s">
        <v>467</v>
      </c>
      <c r="D29" s="145" t="s">
        <v>251</v>
      </c>
      <c r="E29" s="84" t="s">
        <v>442</v>
      </c>
      <c r="G29" s="29">
        <f>+G30+G31+G32</f>
        <v>41</v>
      </c>
      <c r="H29" s="77" t="str">
        <f>VLOOKUP(E29,'B. DATOS'!$B$34:$E$622,2,FALSE)</f>
        <v>UND</v>
      </c>
      <c r="J29" s="29" t="s">
        <v>718</v>
      </c>
      <c r="L29" s="78">
        <f>VLOOKUP(E29,'B. DATOS'!$B$34:$E$622,4,FALSE)</f>
        <v>2100</v>
      </c>
      <c r="M29" s="76">
        <f t="shared" si="3"/>
        <v>86100</v>
      </c>
      <c r="N29" s="351"/>
      <c r="O29" s="80">
        <f t="shared" si="4"/>
        <v>41</v>
      </c>
      <c r="P29" s="76">
        <f t="shared" si="5"/>
        <v>86100</v>
      </c>
      <c r="T29" s="4"/>
    </row>
    <row r="30" spans="2:21" x14ac:dyDescent="0.25">
      <c r="B30" s="83" t="s">
        <v>1687</v>
      </c>
      <c r="C30" s="145" t="s">
        <v>467</v>
      </c>
      <c r="D30" s="145" t="s">
        <v>251</v>
      </c>
      <c r="E30" s="84" t="s">
        <v>443</v>
      </c>
      <c r="G30" s="29">
        <v>24</v>
      </c>
      <c r="H30" s="77" t="str">
        <f>VLOOKUP(E30,'B. DATOS'!$B$34:$E$622,2,FALSE)</f>
        <v>UND</v>
      </c>
      <c r="J30" s="29" t="s">
        <v>718</v>
      </c>
      <c r="L30" s="78">
        <f>VLOOKUP(E30,'B. DATOS'!$B$34:$E$622,4,FALSE)</f>
        <v>8000</v>
      </c>
      <c r="M30" s="76">
        <f t="shared" si="3"/>
        <v>192000</v>
      </c>
      <c r="N30" s="351"/>
      <c r="O30" s="80">
        <f t="shared" si="4"/>
        <v>24</v>
      </c>
      <c r="P30" s="76">
        <f t="shared" si="5"/>
        <v>192000</v>
      </c>
      <c r="T30" s="4"/>
    </row>
    <row r="31" spans="2:21" x14ac:dyDescent="0.25">
      <c r="B31" s="83" t="s">
        <v>1688</v>
      </c>
      <c r="C31" s="145" t="s">
        <v>467</v>
      </c>
      <c r="D31" s="145" t="s">
        <v>251</v>
      </c>
      <c r="E31" s="84" t="s">
        <v>444</v>
      </c>
      <c r="G31" s="29">
        <v>16</v>
      </c>
      <c r="H31" s="77" t="str">
        <f>VLOOKUP(E31,'B. DATOS'!$B$34:$E$622,2,FALSE)</f>
        <v>UND</v>
      </c>
      <c r="J31" s="29" t="s">
        <v>718</v>
      </c>
      <c r="L31" s="78">
        <f>VLOOKUP(E31,'B. DATOS'!$B$34:$E$622,4,FALSE)</f>
        <v>55000</v>
      </c>
      <c r="M31" s="76">
        <f t="shared" si="3"/>
        <v>880000</v>
      </c>
      <c r="N31" s="351"/>
      <c r="O31" s="80">
        <f t="shared" si="4"/>
        <v>16</v>
      </c>
      <c r="P31" s="76">
        <f t="shared" si="5"/>
        <v>880000</v>
      </c>
      <c r="T31" s="4"/>
    </row>
    <row r="32" spans="2:21" x14ac:dyDescent="0.25">
      <c r="B32" s="83" t="s">
        <v>1689</v>
      </c>
      <c r="C32" s="145" t="s">
        <v>467</v>
      </c>
      <c r="D32" s="145" t="s">
        <v>251</v>
      </c>
      <c r="E32" s="84" t="s">
        <v>1152</v>
      </c>
      <c r="G32" s="29">
        <v>1</v>
      </c>
      <c r="H32" s="77" t="str">
        <f>VLOOKUP(E32,'B. DATOS'!$B$34:$E$622,2,FALSE)</f>
        <v>UND</v>
      </c>
      <c r="J32" s="29" t="s">
        <v>718</v>
      </c>
      <c r="L32" s="78">
        <f>VLOOKUP(E32,'B. DATOS'!$B$34:$E$622,4,FALSE)</f>
        <v>40000</v>
      </c>
      <c r="M32" s="76">
        <f t="shared" si="3"/>
        <v>40000</v>
      </c>
      <c r="N32" s="351"/>
      <c r="O32" s="80">
        <f t="shared" si="4"/>
        <v>1</v>
      </c>
      <c r="P32" s="76">
        <f t="shared" si="5"/>
        <v>40000</v>
      </c>
      <c r="T32" s="4"/>
    </row>
    <row r="33" spans="2:21" x14ac:dyDescent="0.25">
      <c r="B33" s="83" t="s">
        <v>1690</v>
      </c>
      <c r="C33" s="145" t="s">
        <v>467</v>
      </c>
      <c r="D33" s="145" t="s">
        <v>778</v>
      </c>
      <c r="E33" s="84" t="s">
        <v>735</v>
      </c>
      <c r="G33" s="29">
        <v>1.5</v>
      </c>
      <c r="H33" s="77" t="str">
        <f>VLOOKUP(E33,'B. DATOS'!$B$34:$E$622,2,FALSE)</f>
        <v>PTO</v>
      </c>
      <c r="J33" s="29" t="s">
        <v>777</v>
      </c>
      <c r="L33" s="78">
        <f>VLOOKUP(E33,'B. DATOS'!$B$34:$E$622,4,FALSE)</f>
        <v>330000</v>
      </c>
      <c r="M33" s="76">
        <f t="shared" si="3"/>
        <v>495000</v>
      </c>
      <c r="N33" s="351"/>
      <c r="O33" s="80">
        <f t="shared" si="4"/>
        <v>1.5</v>
      </c>
      <c r="Q33" s="76">
        <f>+M33*$N$23</f>
        <v>495000</v>
      </c>
      <c r="T33" s="4"/>
    </row>
    <row r="34" spans="2:21" x14ac:dyDescent="0.25">
      <c r="B34" s="83" t="s">
        <v>1691</v>
      </c>
      <c r="C34" s="145" t="s">
        <v>467</v>
      </c>
      <c r="D34" s="145" t="s">
        <v>778</v>
      </c>
      <c r="E34" s="84" t="s">
        <v>447</v>
      </c>
      <c r="G34" s="29">
        <f>+G29+G28+G24</f>
        <v>84</v>
      </c>
      <c r="H34" s="77" t="str">
        <f>VLOOKUP(E34,'B. DATOS'!$B$34:$E$622,2,FALSE)</f>
        <v>PTO</v>
      </c>
      <c r="J34" s="29" t="s">
        <v>777</v>
      </c>
      <c r="L34" s="78">
        <f>VLOOKUP(E34,'B. DATOS'!$B$34:$E$622,4,FALSE)</f>
        <v>55000</v>
      </c>
      <c r="M34" s="76">
        <f t="shared" si="3"/>
        <v>4620000</v>
      </c>
      <c r="N34" s="351"/>
      <c r="O34" s="80">
        <f t="shared" si="4"/>
        <v>84</v>
      </c>
      <c r="Q34" s="76">
        <f>+M34*$N$23</f>
        <v>4620000</v>
      </c>
      <c r="T34" s="4"/>
    </row>
    <row r="35" spans="2:21" s="39" customFormat="1" x14ac:dyDescent="0.25">
      <c r="B35" s="109">
        <v>4</v>
      </c>
      <c r="C35" s="143"/>
      <c r="D35" s="375" t="s">
        <v>353</v>
      </c>
      <c r="E35" s="376"/>
      <c r="F35" s="125"/>
      <c r="G35" s="125"/>
      <c r="H35" s="125"/>
      <c r="I35" s="125"/>
      <c r="J35" s="125"/>
      <c r="K35" s="125"/>
      <c r="L35" s="126"/>
      <c r="M35" s="126"/>
      <c r="N35" s="125"/>
      <c r="O35" s="125"/>
      <c r="P35" s="126">
        <f>+P36+P60+P48+P65</f>
        <v>18101033.998000003</v>
      </c>
      <c r="Q35" s="126">
        <f>+Q36+Q60+Q48+Q65</f>
        <v>38881226.288000003</v>
      </c>
      <c r="R35" s="127">
        <f>Q35+P35</f>
        <v>56982260.286000006</v>
      </c>
      <c r="S35" s="128"/>
      <c r="T35" s="182">
        <f>+T36+T60</f>
        <v>8.014563467302456E-2</v>
      </c>
    </row>
    <row r="36" spans="2:21" s="39" customFormat="1" ht="30" customHeight="1" x14ac:dyDescent="0.25">
      <c r="B36" s="110">
        <v>4.0999999999999996</v>
      </c>
      <c r="C36" s="144" t="s">
        <v>1812</v>
      </c>
      <c r="D36" s="377" t="s">
        <v>1776</v>
      </c>
      <c r="E36" s="378"/>
      <c r="F36" s="121"/>
      <c r="G36" s="121"/>
      <c r="H36" s="121"/>
      <c r="I36" s="121"/>
      <c r="J36" s="121"/>
      <c r="K36" s="121"/>
      <c r="L36" s="122"/>
      <c r="M36" s="122"/>
      <c r="N36" s="121"/>
      <c r="O36" s="121"/>
      <c r="P36" s="122">
        <f>+SUM(P37:P47)</f>
        <v>6162414.0480000023</v>
      </c>
      <c r="Q36" s="122">
        <f>+SUM(Q37:Q47)</f>
        <v>23560632.296</v>
      </c>
      <c r="R36" s="123">
        <f>+P36+Q36</f>
        <v>29723046.344000004</v>
      </c>
      <c r="S36" s="166">
        <f>+R36/G47</f>
        <v>91828.492165101328</v>
      </c>
      <c r="T36" s="181" cm="1">
        <f t="array" ref="T36:U36">+R36/'1. GENERAL'!$E$31:$F$31</f>
        <v>6.0791621757446603E-2</v>
      </c>
      <c r="U36" s="39" t="e">
        <v>#DIV/0!</v>
      </c>
    </row>
    <row r="37" spans="2:21" x14ac:dyDescent="0.25">
      <c r="B37" s="83" t="s">
        <v>402</v>
      </c>
      <c r="C37" s="145" t="s">
        <v>1812</v>
      </c>
      <c r="D37" s="145" t="s">
        <v>251</v>
      </c>
      <c r="E37" s="84" t="s">
        <v>515</v>
      </c>
      <c r="G37" s="89">
        <f>+G47*1.05</f>
        <v>339.86400000000009</v>
      </c>
      <c r="H37" s="77" t="str">
        <f>VLOOKUP(E37,'B. DATOS'!$B$34:$E$622,2,FALSE)</f>
        <v>BTO</v>
      </c>
      <c r="J37" s="29" t="s">
        <v>508</v>
      </c>
      <c r="L37" s="78">
        <f>VLOOKUP(E37,'B. DATOS'!$B$34:$E$622,4,FALSE)</f>
        <v>18000</v>
      </c>
      <c r="M37" s="76">
        <f t="shared" ref="M37:M47" si="6">+L37*G37</f>
        <v>6117552.0000000019</v>
      </c>
      <c r="N37" s="351">
        <v>1</v>
      </c>
      <c r="O37" s="80">
        <f t="shared" ref="O37:O47" si="7">+G37*$N$37</f>
        <v>339.86400000000009</v>
      </c>
      <c r="P37" s="76">
        <f>+M37*$N$37</f>
        <v>6117552.0000000019</v>
      </c>
    </row>
    <row r="38" spans="2:21" x14ac:dyDescent="0.25">
      <c r="B38" s="83" t="s">
        <v>403</v>
      </c>
      <c r="C38" s="145" t="s">
        <v>1812</v>
      </c>
      <c r="D38" s="145" t="s">
        <v>251</v>
      </c>
      <c r="E38" s="84" t="s">
        <v>266</v>
      </c>
      <c r="G38" s="89">
        <f>+G37*0.01</f>
        <v>3.3986400000000008</v>
      </c>
      <c r="H38" s="77" t="str">
        <f>VLOOKUP(E38,'B. DATOS'!$B$34:$E$622,2,FALSE)</f>
        <v>KG</v>
      </c>
      <c r="J38" s="29" t="s">
        <v>274</v>
      </c>
      <c r="L38" s="78">
        <f>VLOOKUP(E38,'B. DATOS'!$B$34:$E$622,4,FALSE)</f>
        <v>8000</v>
      </c>
      <c r="M38" s="76">
        <f t="shared" si="6"/>
        <v>27189.120000000006</v>
      </c>
      <c r="N38" s="351"/>
      <c r="O38" s="80">
        <f t="shared" si="7"/>
        <v>3.3986400000000008</v>
      </c>
      <c r="P38" s="76">
        <f>+M38*$N$37</f>
        <v>27189.120000000006</v>
      </c>
    </row>
    <row r="39" spans="2:21" x14ac:dyDescent="0.25">
      <c r="B39" s="83" t="s">
        <v>404</v>
      </c>
      <c r="C39" s="145" t="s">
        <v>1812</v>
      </c>
      <c r="D39" s="145" t="s">
        <v>251</v>
      </c>
      <c r="E39" s="84" t="s">
        <v>278</v>
      </c>
      <c r="G39" s="89">
        <f>+G37*0.01</f>
        <v>3.3986400000000008</v>
      </c>
      <c r="H39" s="77" t="str">
        <f>VLOOKUP(E39,'B. DATOS'!$B$34:$E$622,2,FALSE)</f>
        <v>LB</v>
      </c>
      <c r="J39" s="29" t="s">
        <v>274</v>
      </c>
      <c r="L39" s="78">
        <f>VLOOKUP(E39,'B. DATOS'!$B$34:$E$622,4,FALSE)</f>
        <v>5200</v>
      </c>
      <c r="M39" s="76">
        <f t="shared" si="6"/>
        <v>17672.928000000004</v>
      </c>
      <c r="N39" s="351"/>
      <c r="O39" s="80">
        <f t="shared" si="7"/>
        <v>3.3986400000000008</v>
      </c>
      <c r="P39" s="76">
        <f>+M39*$N$37</f>
        <v>17672.928000000004</v>
      </c>
    </row>
    <row r="40" spans="2:21" x14ac:dyDescent="0.25">
      <c r="B40" s="83" t="s">
        <v>405</v>
      </c>
      <c r="C40" s="145" t="s">
        <v>1812</v>
      </c>
      <c r="D40" s="145" t="s">
        <v>251</v>
      </c>
      <c r="E40" s="84" t="s">
        <v>624</v>
      </c>
      <c r="G40" s="89">
        <f>+G45*0.02</f>
        <v>1.2772000000000001</v>
      </c>
      <c r="H40" s="77" t="str">
        <f>VLOOKUP(E40,'B. DATOS'!$B$34:$E$622,2,FALSE)</f>
        <v>M3</v>
      </c>
      <c r="J40" s="29" t="s">
        <v>717</v>
      </c>
      <c r="L40" s="78">
        <f>VLOOKUP(E40,'B. DATOS'!$B$34:$E$622,4,FALSE)</f>
        <v>360400</v>
      </c>
      <c r="M40" s="76">
        <f t="shared" si="6"/>
        <v>460302.88000000006</v>
      </c>
      <c r="N40" s="351"/>
      <c r="O40" s="80">
        <f t="shared" si="7"/>
        <v>1.2772000000000001</v>
      </c>
      <c r="Q40" s="76">
        <f t="shared" ref="Q40:Q47" si="8">+M40*$N$37</f>
        <v>460302.88000000006</v>
      </c>
    </row>
    <row r="41" spans="2:21" x14ac:dyDescent="0.25">
      <c r="B41" s="83" t="s">
        <v>405</v>
      </c>
      <c r="C41" s="145" t="s">
        <v>1812</v>
      </c>
      <c r="D41" s="145" t="s">
        <v>251</v>
      </c>
      <c r="E41" s="84" t="s">
        <v>559</v>
      </c>
      <c r="G41" s="89">
        <f>+((((G44*2)*0.01)*0.5)*1.1)</f>
        <v>2.9542700000000006</v>
      </c>
      <c r="H41" s="77" t="str">
        <f>VLOOKUP(E41,'B. DATOS'!$B$34:$E$622,2,FALSE)</f>
        <v>M3</v>
      </c>
      <c r="J41" s="29" t="s">
        <v>634</v>
      </c>
      <c r="L41" s="78">
        <f>VLOOKUP(E41,'B. DATOS'!$B$34:$E$622,4,FALSE)</f>
        <v>300000</v>
      </c>
      <c r="M41" s="76">
        <f t="shared" si="6"/>
        <v>886281.00000000023</v>
      </c>
      <c r="N41" s="351"/>
      <c r="O41" s="80">
        <f t="shared" si="7"/>
        <v>2.9542700000000006</v>
      </c>
      <c r="Q41" s="76">
        <f t="shared" si="8"/>
        <v>886281.00000000023</v>
      </c>
    </row>
    <row r="42" spans="2:21" x14ac:dyDescent="0.25">
      <c r="B42" s="83" t="s">
        <v>405</v>
      </c>
      <c r="C42" s="145" t="s">
        <v>1812</v>
      </c>
      <c r="D42" s="145" t="s">
        <v>251</v>
      </c>
      <c r="E42" s="84" t="s">
        <v>1283</v>
      </c>
      <c r="G42" s="89">
        <f>+((((G44*2)*0.01)*0.32)*1.1)+((((G44*2)*0.005)*0.33)*1.1)</f>
        <v>2.8656419000000004</v>
      </c>
      <c r="H42" s="77" t="str">
        <f>VLOOKUP(E42,'B. DATOS'!$B$34:$E$622,2,FALSE)</f>
        <v>M3</v>
      </c>
      <c r="J42" s="29" t="s">
        <v>634</v>
      </c>
      <c r="L42" s="78">
        <f>VLOOKUP(E42,'B. DATOS'!$B$34:$E$622,4,FALSE)</f>
        <v>1400000</v>
      </c>
      <c r="M42" s="76">
        <f t="shared" si="6"/>
        <v>4011898.6600000006</v>
      </c>
      <c r="N42" s="351"/>
      <c r="O42" s="80">
        <f t="shared" si="7"/>
        <v>2.8656419000000004</v>
      </c>
      <c r="Q42" s="76">
        <f t="shared" si="8"/>
        <v>4011898.6600000006</v>
      </c>
    </row>
    <row r="43" spans="2:21" x14ac:dyDescent="0.25">
      <c r="B43" s="83" t="s">
        <v>405</v>
      </c>
      <c r="C43" s="145" t="s">
        <v>1812</v>
      </c>
      <c r="D43" s="145" t="s">
        <v>251</v>
      </c>
      <c r="E43" s="84" t="s">
        <v>623</v>
      </c>
      <c r="G43" s="89">
        <f>+((((G44*2)*0.01)*0.18)*1.1)+((((G44*2)*0.005)*0.66)*1.1)</f>
        <v>3.0133554000000005</v>
      </c>
      <c r="H43" s="77" t="str">
        <f>VLOOKUP(E43,'B. DATOS'!$B$34:$E$622,2,FALSE)</f>
        <v>M3</v>
      </c>
      <c r="J43" s="29" t="s">
        <v>634</v>
      </c>
      <c r="L43" s="78">
        <f>VLOOKUP(E43,'B. DATOS'!$B$34:$E$622,4,FALSE)</f>
        <v>140000</v>
      </c>
      <c r="M43" s="76">
        <f t="shared" si="6"/>
        <v>421869.75600000005</v>
      </c>
      <c r="N43" s="351"/>
      <c r="O43" s="80">
        <f t="shared" si="7"/>
        <v>3.0133554000000005</v>
      </c>
      <c r="Q43" s="76">
        <f t="shared" si="8"/>
        <v>421869.75600000005</v>
      </c>
    </row>
    <row r="44" spans="2:21" x14ac:dyDescent="0.25">
      <c r="B44" s="83" t="s">
        <v>406</v>
      </c>
      <c r="C44" s="145" t="s">
        <v>1812</v>
      </c>
      <c r="D44" s="145" t="s">
        <v>778</v>
      </c>
      <c r="E44" s="84" t="s">
        <v>763</v>
      </c>
      <c r="G44" s="89">
        <f>+'2. CANTIDADES'!JG6+'2. CANTIDADES'!JQ22+'2. CANTIDADES'!JQ30+'2. CANTIDADES'!KA22+'2. CANTIDADES'!KK8+'2. CANTIDADES'!KU34+'2. CANTIDADES'!LE12+'2. CANTIDADES'!LO7+'2. CANTIDADES'!MI25+'2. CANTIDADES'!MS10+'2. CANTIDADES'!NM9+'2. CANTIDADES'!NW17+'2. CANTIDADES'!OG10+'2. CANTIDADES'!PK42+'2. CANTIDADES'!QE32</f>
        <v>268.57</v>
      </c>
      <c r="H44" s="77" t="str">
        <f>VLOOKUP(E44,'B. DATOS'!$B$34:$E$622,2,FALSE)</f>
        <v>M2</v>
      </c>
      <c r="J44" s="29" t="s">
        <v>14</v>
      </c>
      <c r="L44" s="78">
        <f>VLOOKUP(E44,'B. DATOS'!$B$34:$E$622,4,FALSE)</f>
        <v>20000</v>
      </c>
      <c r="M44" s="76">
        <f t="shared" si="6"/>
        <v>5371400</v>
      </c>
      <c r="N44" s="351"/>
      <c r="O44" s="80">
        <f t="shared" si="7"/>
        <v>268.57</v>
      </c>
      <c r="Q44" s="76">
        <f t="shared" si="8"/>
        <v>5371400</v>
      </c>
    </row>
    <row r="45" spans="2:21" x14ac:dyDescent="0.25">
      <c r="B45" s="83" t="s">
        <v>406</v>
      </c>
      <c r="C45" s="145" t="s">
        <v>1812</v>
      </c>
      <c r="D45" s="145" t="s">
        <v>778</v>
      </c>
      <c r="E45" s="84" t="s">
        <v>764</v>
      </c>
      <c r="G45" s="89">
        <f>+'2. CANTIDADES'!KU42+'2. CANTIDADES'!LO8+'2. CANTIDADES'!MS12+'2. CANTIDADES'!NC4+'2. CANTIDADES'!NM10+'2. CANTIDADES'!NW20+'2. CANTIDADES'!OG12+'2. CANTIDADES'!OQ16+'2. CANTIDADES'!PK4+'2. CANTIDADES'!PU4+'2. CANTIDADES'!QE4+'2. CANTIDADES'!QO4+'2. CANTIDADES'!QO10</f>
        <v>63.86</v>
      </c>
      <c r="H45" s="77" t="str">
        <f>VLOOKUP(E45,'B. DATOS'!$B$34:$E$622,2,FALSE)</f>
        <v>M2</v>
      </c>
      <c r="J45" s="29" t="s">
        <v>14</v>
      </c>
      <c r="L45" s="78">
        <f>VLOOKUP(E45,'B. DATOS'!$B$34:$E$622,4,FALSE)</f>
        <v>13000</v>
      </c>
      <c r="M45" s="76">
        <f t="shared" si="6"/>
        <v>830180</v>
      </c>
      <c r="N45" s="351"/>
      <c r="O45" s="80">
        <f t="shared" si="7"/>
        <v>63.86</v>
      </c>
      <c r="Q45" s="76">
        <f t="shared" si="8"/>
        <v>830180</v>
      </c>
    </row>
    <row r="46" spans="2:21" x14ac:dyDescent="0.25">
      <c r="B46" s="83" t="s">
        <v>407</v>
      </c>
      <c r="C46" s="145" t="s">
        <v>1812</v>
      </c>
      <c r="D46" s="145" t="s">
        <v>778</v>
      </c>
      <c r="E46" s="84" t="s">
        <v>747</v>
      </c>
      <c r="G46" s="89">
        <f>+'2. CANTIDADES'!JG7+'2. CANTIDADES'!JQ38+Tabla5202122242526[[#This Row],[TOTAL]]+'2. CANTIDADES'!KK6+'2. CANTIDADES'!KU58+'2. CANTIDADES'!LE8+'2. CANTIDADES'!LO7+'2. CANTIDADES'!MI4+'2. CANTIDADES'!MS14+'2. CANTIDADES'!NM11+'2. CANTIDADES'!NW23+'2. CANTIDADES'!OG14+'2. CANTIDADES'!PK50+'2. CANTIDADES'!PU11+'2. CANTIDADES'!QE38+'2. CANTIDADES'!QO11+37.76</f>
        <v>215.22000000000003</v>
      </c>
      <c r="H46" s="77" t="str">
        <f>VLOOKUP(E46,'B. DATOS'!$B$34:$E$622,2,FALSE)</f>
        <v>M2</v>
      </c>
      <c r="J46" s="29" t="s">
        <v>751</v>
      </c>
      <c r="L46" s="78">
        <f>VLOOKUP(E46,'B. DATOS'!$B$34:$E$622,4,FALSE)</f>
        <v>35000</v>
      </c>
      <c r="M46" s="76">
        <f t="shared" si="6"/>
        <v>7532700.0000000009</v>
      </c>
      <c r="N46" s="351"/>
      <c r="O46" s="80">
        <f t="shared" si="7"/>
        <v>215.22000000000003</v>
      </c>
      <c r="Q46" s="76">
        <f t="shared" si="8"/>
        <v>7532700.0000000009</v>
      </c>
    </row>
    <row r="47" spans="2:21" x14ac:dyDescent="0.25">
      <c r="B47" s="83" t="s">
        <v>1635</v>
      </c>
      <c r="C47" s="145" t="s">
        <v>1812</v>
      </c>
      <c r="D47" s="145" t="s">
        <v>778</v>
      </c>
      <c r="E47" s="84" t="s">
        <v>563</v>
      </c>
      <c r="G47" s="89">
        <f>+'2. CANTIDADES'!JQ4+'2. CANTIDADES'!KA4+'2. CANTIDADES'!KK4+'2. CANTIDADES'!KU4+'2. CANTIDADES'!LE4+'2. CANTIDADES'!LO4+'2. CANTIDADES'!MI4+'2. CANTIDADES'!MS4+'2. CANTIDADES'!NM4+'2. CANTIDADES'!NW4+'2. CANTIDADES'!OG4+'2. CANTIDADES'!PK12+'2. CANTIDADES'!PU5+'2. CANTIDADES'!QE10+'2. CANTIDADES'!QO5+37.76</f>
        <v>323.68000000000006</v>
      </c>
      <c r="H47" s="77" t="str">
        <f>VLOOKUP(E47,'B. DATOS'!$B$34:$E$622,2,FALSE)</f>
        <v>M2</v>
      </c>
      <c r="J47" s="29" t="s">
        <v>751</v>
      </c>
      <c r="L47" s="78">
        <f>VLOOKUP(E47,'B. DATOS'!$B$34:$E$622,4,FALSE)</f>
        <v>12500</v>
      </c>
      <c r="M47" s="76">
        <f t="shared" si="6"/>
        <v>4046000.0000000009</v>
      </c>
      <c r="N47" s="351"/>
      <c r="O47" s="80">
        <f t="shared" si="7"/>
        <v>323.68000000000006</v>
      </c>
      <c r="Q47" s="76">
        <f t="shared" si="8"/>
        <v>4046000.0000000009</v>
      </c>
    </row>
    <row r="48" spans="2:21" s="39" customFormat="1" ht="30" customHeight="1" x14ac:dyDescent="0.25">
      <c r="B48" s="288">
        <v>4.2</v>
      </c>
      <c r="C48" s="289" t="s">
        <v>1400</v>
      </c>
      <c r="D48" s="412" t="s">
        <v>1776</v>
      </c>
      <c r="E48" s="413"/>
      <c r="F48" s="290"/>
      <c r="G48" s="290"/>
      <c r="H48" s="290"/>
      <c r="I48" s="290"/>
      <c r="J48" s="290"/>
      <c r="K48" s="290"/>
      <c r="L48" s="291"/>
      <c r="M48" s="291"/>
      <c r="N48" s="290"/>
      <c r="O48" s="290"/>
      <c r="P48" s="291">
        <f>+SUM(P49:P59)</f>
        <v>2089486.3500000008</v>
      </c>
      <c r="Q48" s="291">
        <f>+SUM(Q49:Q59)</f>
        <v>9710593.9920000006</v>
      </c>
      <c r="R48" s="298">
        <f>+P48+Q48</f>
        <v>11800080.342000002</v>
      </c>
      <c r="S48" s="414">
        <f>+R48/G59</f>
        <v>107517.81632801822</v>
      </c>
      <c r="T48" s="294" cm="1">
        <f t="array" ref="T48:U48">+R48/'1. GENERAL'!$E$31:$F$31</f>
        <v>2.4134337125344865E-2</v>
      </c>
      <c r="U48" s="39" t="e">
        <v>#DIV/0!</v>
      </c>
    </row>
    <row r="49" spans="2:21" x14ac:dyDescent="0.25">
      <c r="B49" s="295" t="s">
        <v>410</v>
      </c>
      <c r="C49" s="296" t="s">
        <v>1400</v>
      </c>
      <c r="D49" s="296" t="s">
        <v>251</v>
      </c>
      <c r="E49" s="297" t="s">
        <v>515</v>
      </c>
      <c r="G49" s="89">
        <f>+G59*1.05</f>
        <v>115.23750000000004</v>
      </c>
      <c r="H49" s="77" t="str">
        <f>VLOOKUP(E49,'B. DATOS'!$B$34:$E$622,2,FALSE)</f>
        <v>BTO</v>
      </c>
      <c r="J49" s="29" t="s">
        <v>508</v>
      </c>
      <c r="L49" s="78">
        <f>VLOOKUP(E49,'B. DATOS'!$B$34:$E$622,4,FALSE)</f>
        <v>18000</v>
      </c>
      <c r="M49" s="76">
        <f t="shared" ref="M49:M59" si="9">+L49*G49</f>
        <v>2074275.0000000007</v>
      </c>
      <c r="N49" s="351">
        <v>1</v>
      </c>
      <c r="O49" s="80">
        <f t="shared" ref="O49:O59" si="10">+G49*$N$37</f>
        <v>115.23750000000004</v>
      </c>
      <c r="P49" s="76">
        <f>+M49*$N$37</f>
        <v>2074275.0000000007</v>
      </c>
    </row>
    <row r="50" spans="2:21" x14ac:dyDescent="0.25">
      <c r="B50" s="295" t="s">
        <v>409</v>
      </c>
      <c r="C50" s="296" t="s">
        <v>1400</v>
      </c>
      <c r="D50" s="296" t="s">
        <v>251</v>
      </c>
      <c r="E50" s="297" t="s">
        <v>266</v>
      </c>
      <c r="G50" s="89">
        <f>+G49*0.01</f>
        <v>1.1523750000000004</v>
      </c>
      <c r="H50" s="77" t="str">
        <f>VLOOKUP(E50,'B. DATOS'!$B$34:$E$622,2,FALSE)</f>
        <v>KG</v>
      </c>
      <c r="J50" s="29" t="s">
        <v>274</v>
      </c>
      <c r="L50" s="78">
        <f>VLOOKUP(E50,'B. DATOS'!$B$34:$E$622,4,FALSE)</f>
        <v>8000</v>
      </c>
      <c r="M50" s="76">
        <f t="shared" si="9"/>
        <v>9219.0000000000036</v>
      </c>
      <c r="N50" s="351"/>
      <c r="O50" s="80">
        <f t="shared" si="10"/>
        <v>1.1523750000000004</v>
      </c>
      <c r="P50" s="76">
        <f>+M50*$N$37</f>
        <v>9219.0000000000036</v>
      </c>
    </row>
    <row r="51" spans="2:21" x14ac:dyDescent="0.25">
      <c r="B51" s="295" t="s">
        <v>411</v>
      </c>
      <c r="C51" s="296" t="s">
        <v>1400</v>
      </c>
      <c r="D51" s="296" t="s">
        <v>251</v>
      </c>
      <c r="E51" s="297" t="s">
        <v>278</v>
      </c>
      <c r="G51" s="89">
        <f>+G49*0.01</f>
        <v>1.1523750000000004</v>
      </c>
      <c r="H51" s="77" t="str">
        <f>VLOOKUP(E51,'B. DATOS'!$B$34:$E$622,2,FALSE)</f>
        <v>LB</v>
      </c>
      <c r="J51" s="29" t="s">
        <v>274</v>
      </c>
      <c r="L51" s="78">
        <f>VLOOKUP(E51,'B. DATOS'!$B$34:$E$622,4,FALSE)</f>
        <v>5200</v>
      </c>
      <c r="M51" s="76">
        <f t="shared" si="9"/>
        <v>5992.3500000000022</v>
      </c>
      <c r="N51" s="351"/>
      <c r="O51" s="80">
        <f t="shared" si="10"/>
        <v>1.1523750000000004</v>
      </c>
      <c r="P51" s="76">
        <f>+M51*$N$37</f>
        <v>5992.3500000000022</v>
      </c>
    </row>
    <row r="52" spans="2:21" x14ac:dyDescent="0.25">
      <c r="B52" s="295" t="s">
        <v>1393</v>
      </c>
      <c r="C52" s="296" t="s">
        <v>1400</v>
      </c>
      <c r="D52" s="296" t="s">
        <v>251</v>
      </c>
      <c r="E52" s="297" t="s">
        <v>624</v>
      </c>
      <c r="G52" s="89">
        <f>+G57*0.02</f>
        <v>0.53639999999999999</v>
      </c>
      <c r="H52" s="77" t="str">
        <f>VLOOKUP(E52,'B. DATOS'!$B$34:$E$622,2,FALSE)</f>
        <v>M3</v>
      </c>
      <c r="J52" s="29" t="s">
        <v>717</v>
      </c>
      <c r="L52" s="78">
        <f>VLOOKUP(E52,'B. DATOS'!$B$34:$E$622,4,FALSE)</f>
        <v>360400</v>
      </c>
      <c r="M52" s="76">
        <f t="shared" si="9"/>
        <v>193318.56</v>
      </c>
      <c r="N52" s="351"/>
      <c r="O52" s="80">
        <f t="shared" si="10"/>
        <v>0.53639999999999999</v>
      </c>
      <c r="Q52" s="76">
        <f t="shared" ref="Q52:Q59" si="11">+M52*$N$37</f>
        <v>193318.56</v>
      </c>
    </row>
    <row r="53" spans="2:21" x14ac:dyDescent="0.25">
      <c r="B53" s="295" t="s">
        <v>1394</v>
      </c>
      <c r="C53" s="296" t="s">
        <v>1400</v>
      </c>
      <c r="D53" s="296" t="s">
        <v>251</v>
      </c>
      <c r="E53" s="297" t="s">
        <v>559</v>
      </c>
      <c r="G53" s="89">
        <f>+((((G56*2)*0.01)*0.5)*1.1)</f>
        <v>1.5855400000000004</v>
      </c>
      <c r="H53" s="77" t="str">
        <f>VLOOKUP(E53,'B. DATOS'!$B$34:$E$622,2,FALSE)</f>
        <v>M3</v>
      </c>
      <c r="J53" s="29" t="s">
        <v>634</v>
      </c>
      <c r="L53" s="78">
        <f>VLOOKUP(E53,'B. DATOS'!$B$34:$E$622,4,FALSE)</f>
        <v>300000</v>
      </c>
      <c r="M53" s="76">
        <f t="shared" si="9"/>
        <v>475662.00000000012</v>
      </c>
      <c r="N53" s="351"/>
      <c r="O53" s="80">
        <f t="shared" si="10"/>
        <v>1.5855400000000004</v>
      </c>
      <c r="Q53" s="76">
        <f t="shared" si="11"/>
        <v>475662.00000000012</v>
      </c>
    </row>
    <row r="54" spans="2:21" x14ac:dyDescent="0.25">
      <c r="B54" s="295" t="s">
        <v>1897</v>
      </c>
      <c r="C54" s="296" t="s">
        <v>1400</v>
      </c>
      <c r="D54" s="296" t="s">
        <v>251</v>
      </c>
      <c r="E54" s="297" t="s">
        <v>1283</v>
      </c>
      <c r="G54" s="89">
        <f>+((((G56*2)*0.01)*0.32)*1.1)+((((G56*2)*0.005)*0.33)*1.1)</f>
        <v>1.5379738000000005</v>
      </c>
      <c r="H54" s="77" t="str">
        <f>VLOOKUP(E54,'B. DATOS'!$B$34:$E$622,2,FALSE)</f>
        <v>M3</v>
      </c>
      <c r="J54" s="29" t="s">
        <v>634</v>
      </c>
      <c r="L54" s="78">
        <f>VLOOKUP(E54,'B. DATOS'!$B$34:$E$622,4,FALSE)</f>
        <v>1400000</v>
      </c>
      <c r="M54" s="76">
        <f t="shared" si="9"/>
        <v>2153163.3200000008</v>
      </c>
      <c r="N54" s="351"/>
      <c r="O54" s="80">
        <f t="shared" si="10"/>
        <v>1.5379738000000005</v>
      </c>
      <c r="Q54" s="76">
        <f t="shared" si="11"/>
        <v>2153163.3200000008</v>
      </c>
    </row>
    <row r="55" spans="2:21" x14ac:dyDescent="0.25">
      <c r="B55" s="295" t="s">
        <v>1898</v>
      </c>
      <c r="C55" s="296" t="s">
        <v>1400</v>
      </c>
      <c r="D55" s="296" t="s">
        <v>251</v>
      </c>
      <c r="E55" s="297" t="s">
        <v>623</v>
      </c>
      <c r="G55" s="89">
        <f>+((((G56*2)*0.01)*0.18)*1.1)+((((G56*2)*0.005)*0.66)*1.1)</f>
        <v>1.6172508000000003</v>
      </c>
      <c r="H55" s="77" t="str">
        <f>VLOOKUP(E55,'B. DATOS'!$B$34:$E$622,2,FALSE)</f>
        <v>M3</v>
      </c>
      <c r="J55" s="29" t="s">
        <v>634</v>
      </c>
      <c r="L55" s="78">
        <f>VLOOKUP(E55,'B. DATOS'!$B$34:$E$622,4,FALSE)</f>
        <v>140000</v>
      </c>
      <c r="M55" s="76">
        <f t="shared" si="9"/>
        <v>226415.11200000005</v>
      </c>
      <c r="N55" s="351"/>
      <c r="O55" s="80">
        <f t="shared" si="10"/>
        <v>1.6172508000000003</v>
      </c>
      <c r="Q55" s="76">
        <f t="shared" si="11"/>
        <v>226415.11200000005</v>
      </c>
    </row>
    <row r="56" spans="2:21" x14ac:dyDescent="0.25">
      <c r="B56" s="295" t="s">
        <v>1899</v>
      </c>
      <c r="C56" s="296" t="s">
        <v>1400</v>
      </c>
      <c r="D56" s="296" t="s">
        <v>778</v>
      </c>
      <c r="E56" s="297" t="s">
        <v>763</v>
      </c>
      <c r="G56" s="89">
        <f>+'2. CANTIDADES'!JQ55+'2. CANTIDADES'!JQ58+'2. CANTIDADES'!KU78+'2. CANTIDADES'!LE20+'2. CANTIDADES'!LY10+'2. CANTIDADES'!MI47+'2. CANTIDADES'!MS19+'2. CANTIDADES'!PA7+'2. CANTIDADES'!PK68+'2. CANTIDADES'!QE57</f>
        <v>144.14000000000001</v>
      </c>
      <c r="H56" s="77" t="str">
        <f>VLOOKUP(E56,'B. DATOS'!$B$34:$E$622,2,FALSE)</f>
        <v>M2</v>
      </c>
      <c r="J56" s="29" t="s">
        <v>14</v>
      </c>
      <c r="L56" s="78">
        <f>VLOOKUP(E56,'B. DATOS'!$B$34:$E$622,4,FALSE)</f>
        <v>20000</v>
      </c>
      <c r="M56" s="76">
        <f t="shared" si="9"/>
        <v>2882800.0000000005</v>
      </c>
      <c r="N56" s="351"/>
      <c r="O56" s="80">
        <f t="shared" si="10"/>
        <v>144.14000000000001</v>
      </c>
      <c r="Q56" s="76">
        <f t="shared" si="11"/>
        <v>2882800.0000000005</v>
      </c>
    </row>
    <row r="57" spans="2:21" x14ac:dyDescent="0.25">
      <c r="B57" s="295" t="s">
        <v>1900</v>
      </c>
      <c r="C57" s="296" t="s">
        <v>1400</v>
      </c>
      <c r="D57" s="296" t="s">
        <v>778</v>
      </c>
      <c r="E57" s="297" t="s">
        <v>764</v>
      </c>
      <c r="G57" s="89">
        <f>+'2. CANTIDADES'!KA69+'2. CANTIDADES'!KU81+'2. CANTIDADES'!LY12+'2. CANTIDADES'!MS20+'2. CANTIDADES'!PA8+'2. CANTIDADES'!PU17+'2. CANTIDADES'!QE44</f>
        <v>26.82</v>
      </c>
      <c r="H57" s="77" t="str">
        <f>VLOOKUP(E57,'B. DATOS'!$B$34:$E$622,2,FALSE)</f>
        <v>M2</v>
      </c>
      <c r="J57" s="29" t="s">
        <v>14</v>
      </c>
      <c r="L57" s="78">
        <f>VLOOKUP(E57,'B. DATOS'!$B$34:$E$622,4,FALSE)</f>
        <v>13000</v>
      </c>
      <c r="M57" s="76">
        <f t="shared" si="9"/>
        <v>348660</v>
      </c>
      <c r="N57" s="351"/>
      <c r="O57" s="80">
        <f t="shared" si="10"/>
        <v>26.82</v>
      </c>
      <c r="Q57" s="76">
        <f t="shared" si="11"/>
        <v>348660</v>
      </c>
    </row>
    <row r="58" spans="2:21" x14ac:dyDescent="0.25">
      <c r="B58" s="295" t="s">
        <v>1901</v>
      </c>
      <c r="C58" s="296" t="s">
        <v>1400</v>
      </c>
      <c r="D58" s="296" t="s">
        <v>778</v>
      </c>
      <c r="E58" s="297" t="s">
        <v>747</v>
      </c>
      <c r="G58" s="89">
        <f>+'2. CANTIDADES'!QE60+'2. CANTIDADES'!PU19+'2. CANTIDADES'!PK70+'2. CANTIDADES'!PA9+'2. CANTIDADES'!MS21+'2. CANTIDADES'!MI35+'2. CANTIDADES'!LY4+'2. CANTIDADES'!LE18+'2. CANTIDADES'!KU87+'2. CANTIDADES'!KA77+'2. CANTIDADES'!JQ61-37.76</f>
        <v>58.819999999999986</v>
      </c>
      <c r="H58" s="77" t="str">
        <f>VLOOKUP(E58,'B. DATOS'!$B$34:$E$622,2,FALSE)</f>
        <v>M2</v>
      </c>
      <c r="J58" s="29" t="s">
        <v>751</v>
      </c>
      <c r="L58" s="78">
        <f>VLOOKUP(E58,'B. DATOS'!$B$34:$E$622,4,FALSE)</f>
        <v>35000</v>
      </c>
      <c r="M58" s="76">
        <f t="shared" si="9"/>
        <v>2058699.9999999995</v>
      </c>
      <c r="N58" s="351"/>
      <c r="O58" s="80">
        <f t="shared" si="10"/>
        <v>58.819999999999986</v>
      </c>
      <c r="Q58" s="76">
        <f t="shared" si="11"/>
        <v>2058699.9999999995</v>
      </c>
    </row>
    <row r="59" spans="2:21" x14ac:dyDescent="0.25">
      <c r="B59" s="295" t="s">
        <v>1902</v>
      </c>
      <c r="C59" s="296" t="s">
        <v>1400</v>
      </c>
      <c r="D59" s="296" t="s">
        <v>778</v>
      </c>
      <c r="E59" s="297" t="s">
        <v>563</v>
      </c>
      <c r="G59" s="89">
        <f>+'2. CANTIDADES'!JQ47+'2. CANTIDADES'!KA54+'2. CANTIDADES'!KU66+'2. CANTIDADES'!LE16+'2. CANTIDADES'!LY4+'2. CANTIDADES'!MI35+'2. CANTIDADES'!MS16+'2. CANTIDADES'!PA4+'2. CANTIDADES'!PK60+'2. CANTIDADES'!PU13+'2. CANTIDADES'!QE47-37.76</f>
        <v>109.75000000000003</v>
      </c>
      <c r="H59" s="77" t="str">
        <f>VLOOKUP(E59,'B. DATOS'!$B$34:$E$622,2,FALSE)</f>
        <v>M2</v>
      </c>
      <c r="J59" s="29" t="s">
        <v>751</v>
      </c>
      <c r="L59" s="78">
        <f>VLOOKUP(E59,'B. DATOS'!$B$34:$E$622,4,FALSE)</f>
        <v>12500</v>
      </c>
      <c r="M59" s="76">
        <f t="shared" si="9"/>
        <v>1371875.0000000005</v>
      </c>
      <c r="N59" s="351"/>
      <c r="O59" s="80">
        <f t="shared" si="10"/>
        <v>109.75000000000003</v>
      </c>
      <c r="Q59" s="76">
        <f t="shared" si="11"/>
        <v>1371875.0000000005</v>
      </c>
    </row>
    <row r="60" spans="2:21" s="39" customFormat="1" ht="30" customHeight="1" x14ac:dyDescent="0.25">
      <c r="B60" s="110">
        <v>4.2</v>
      </c>
      <c r="C60" s="144" t="s">
        <v>1812</v>
      </c>
      <c r="D60" s="377" t="s">
        <v>1801</v>
      </c>
      <c r="E60" s="378"/>
      <c r="F60" s="121"/>
      <c r="G60" s="121"/>
      <c r="H60" s="121"/>
      <c r="I60" s="121"/>
      <c r="J60" s="121"/>
      <c r="K60" s="121"/>
      <c r="L60" s="122"/>
      <c r="M60" s="122"/>
      <c r="N60" s="121"/>
      <c r="O60" s="121"/>
      <c r="P60" s="122">
        <f>+SUM(P61:P64)</f>
        <v>6042820.7999999998</v>
      </c>
      <c r="Q60" s="122">
        <f>+SUM(Q61:Q64)</f>
        <v>3420000</v>
      </c>
      <c r="R60" s="123">
        <f>+P60+Q60</f>
        <v>9462820.8000000007</v>
      </c>
      <c r="S60" s="166">
        <f>+R60/G64</f>
        <v>166014.40000000002</v>
      </c>
      <c r="T60" s="181" cm="1">
        <f t="array" ref="T60:U60">+R60/'1. GENERAL'!$E$31:$F$31</f>
        <v>1.9354012915577961E-2</v>
      </c>
      <c r="U60" s="39" t="e">
        <v>#DIV/0!</v>
      </c>
    </row>
    <row r="61" spans="2:21" x14ac:dyDescent="0.25">
      <c r="B61" s="83" t="s">
        <v>410</v>
      </c>
      <c r="C61" s="145" t="s">
        <v>1812</v>
      </c>
      <c r="D61" s="145" t="s">
        <v>251</v>
      </c>
      <c r="E61" s="84" t="s">
        <v>678</v>
      </c>
      <c r="G61" s="89">
        <f>+G64*56</f>
        <v>3192</v>
      </c>
      <c r="H61" s="77" t="str">
        <f>VLOOKUP(E61,'B. DATOS'!$B$34:$E$622,2,FALSE)</f>
        <v>UND</v>
      </c>
      <c r="J61" s="29" t="s">
        <v>719</v>
      </c>
      <c r="L61" s="78">
        <f>VLOOKUP(E61,'B. DATOS'!$B$34:$E$622,4,FALSE)</f>
        <v>1200</v>
      </c>
      <c r="M61" s="76">
        <f>+L61*G61</f>
        <v>3830400</v>
      </c>
      <c r="N61" s="351">
        <v>1</v>
      </c>
      <c r="O61" s="80">
        <f>+G61*$N$61</f>
        <v>3192</v>
      </c>
      <c r="P61" s="76">
        <f>+M61*$N$61</f>
        <v>3830400</v>
      </c>
    </row>
    <row r="62" spans="2:21" x14ac:dyDescent="0.25">
      <c r="B62" s="83" t="s">
        <v>409</v>
      </c>
      <c r="C62" s="145" t="s">
        <v>1812</v>
      </c>
      <c r="D62" s="145" t="s">
        <v>251</v>
      </c>
      <c r="E62" s="84" t="s">
        <v>625</v>
      </c>
      <c r="G62" s="89">
        <f>+G64*0.02</f>
        <v>1.1400000000000001</v>
      </c>
      <c r="H62" s="77" t="str">
        <f>VLOOKUP(E62,'B. DATOS'!$B$34:$E$622,2,FALSE)</f>
        <v>M3</v>
      </c>
      <c r="J62" s="29" t="s">
        <v>717</v>
      </c>
      <c r="L62" s="78">
        <f>VLOOKUP(E62,'B. DATOS'!$B$34:$E$622,4,FALSE)</f>
        <v>360400</v>
      </c>
      <c r="M62" s="76">
        <f>+L62*G62</f>
        <v>410856.00000000006</v>
      </c>
      <c r="N62" s="351"/>
      <c r="O62" s="80">
        <f t="shared" ref="O62:O64" si="12">+G62*$N$61</f>
        <v>1.1400000000000001</v>
      </c>
      <c r="P62" s="76">
        <f t="shared" ref="P62:P63" si="13">+M62*$N$61</f>
        <v>410856.00000000006</v>
      </c>
    </row>
    <row r="63" spans="2:21" x14ac:dyDescent="0.25">
      <c r="B63" s="83" t="s">
        <v>411</v>
      </c>
      <c r="C63" s="145" t="s">
        <v>1812</v>
      </c>
      <c r="D63" s="145" t="s">
        <v>251</v>
      </c>
      <c r="E63" s="84" t="s">
        <v>574</v>
      </c>
      <c r="G63" s="89">
        <f>+(((SUM('2. CANTIDADES'!QZ4:QZ33)/0.15)*1.7)*0.996)*1.05</f>
        <v>450.39120000000003</v>
      </c>
      <c r="H63" s="77" t="str">
        <f>VLOOKUP(E63,'B. DATOS'!$B$34:$E$622,2,FALSE)</f>
        <v>KG</v>
      </c>
      <c r="J63" s="29" t="s">
        <v>274</v>
      </c>
      <c r="L63" s="78">
        <f>VLOOKUP(E63,'B. DATOS'!$B$34:$E$622,4,FALSE)</f>
        <v>4000</v>
      </c>
      <c r="M63" s="76">
        <f>+L63*G63</f>
        <v>1801564.8</v>
      </c>
      <c r="N63" s="351"/>
      <c r="O63" s="80">
        <f t="shared" si="12"/>
        <v>450.39120000000003</v>
      </c>
      <c r="P63" s="76">
        <f t="shared" si="13"/>
        <v>1801564.8</v>
      </c>
    </row>
    <row r="64" spans="2:21" x14ac:dyDescent="0.25">
      <c r="B64" s="83" t="s">
        <v>1393</v>
      </c>
      <c r="C64" s="145" t="s">
        <v>1812</v>
      </c>
      <c r="D64" s="145" t="s">
        <v>778</v>
      </c>
      <c r="E64" s="84" t="s">
        <v>1800</v>
      </c>
      <c r="G64" s="89">
        <f>+'2. CANTIDADES'!RA2</f>
        <v>57</v>
      </c>
      <c r="H64" s="77" t="str">
        <f>VLOOKUP(E64,'B. DATOS'!$B$34:$E$622,2,FALSE)</f>
        <v>M2</v>
      </c>
      <c r="J64" s="29" t="s">
        <v>259</v>
      </c>
      <c r="L64" s="78">
        <f>VLOOKUP(E64,'B. DATOS'!$B$34:$E$622,4,FALSE)</f>
        <v>60000</v>
      </c>
      <c r="M64" s="76">
        <f>+L64*G64</f>
        <v>3420000</v>
      </c>
      <c r="N64" s="351"/>
      <c r="O64" s="80">
        <f t="shared" si="12"/>
        <v>57</v>
      </c>
      <c r="Q64" s="76">
        <f>+M64*$N$61</f>
        <v>3420000</v>
      </c>
    </row>
    <row r="65" spans="2:21" s="39" customFormat="1" ht="30" customHeight="1" x14ac:dyDescent="0.25">
      <c r="B65" s="288">
        <v>4.3</v>
      </c>
      <c r="C65" s="289" t="s">
        <v>1400</v>
      </c>
      <c r="D65" s="412" t="s">
        <v>1801</v>
      </c>
      <c r="E65" s="413"/>
      <c r="F65" s="290"/>
      <c r="G65" s="290"/>
      <c r="H65" s="290"/>
      <c r="I65" s="290"/>
      <c r="J65" s="290"/>
      <c r="K65" s="290"/>
      <c r="L65" s="291"/>
      <c r="M65" s="291"/>
      <c r="N65" s="290"/>
      <c r="O65" s="290"/>
      <c r="P65" s="291">
        <f>+SUM(P66:P69)</f>
        <v>3806312.8</v>
      </c>
      <c r="Q65" s="291">
        <f>+SUM(Q66:Q69)</f>
        <v>2190000</v>
      </c>
      <c r="R65" s="298">
        <f>+P65+Q65</f>
        <v>5996312.7999999998</v>
      </c>
      <c r="S65" s="414">
        <f>+R65/G69</f>
        <v>164282.54246575342</v>
      </c>
      <c r="T65" s="294" cm="1">
        <f t="array" ref="T65:U65">+R65/'1. GENERAL'!$E$31:$F$31</f>
        <v>1.2264071974927964E-2</v>
      </c>
      <c r="U65" s="39" t="e">
        <v>#DIV/0!</v>
      </c>
    </row>
    <row r="66" spans="2:21" x14ac:dyDescent="0.25">
      <c r="B66" s="295" t="s">
        <v>1760</v>
      </c>
      <c r="C66" s="296" t="s">
        <v>1400</v>
      </c>
      <c r="D66" s="296" t="s">
        <v>251</v>
      </c>
      <c r="E66" s="297" t="s">
        <v>678</v>
      </c>
      <c r="G66" s="89">
        <f>+G69*56</f>
        <v>2044</v>
      </c>
      <c r="H66" s="77" t="str">
        <f>VLOOKUP(E66,'B. DATOS'!$B$34:$E$622,2,FALSE)</f>
        <v>UND</v>
      </c>
      <c r="J66" s="29" t="s">
        <v>719</v>
      </c>
      <c r="L66" s="78">
        <f>VLOOKUP(E66,'B. DATOS'!$B$34:$E$622,4,FALSE)</f>
        <v>1200</v>
      </c>
      <c r="M66" s="76">
        <f>+L66*G66</f>
        <v>2452800</v>
      </c>
      <c r="N66" s="351">
        <v>1</v>
      </c>
      <c r="O66" s="80">
        <f>+G66*$N$61</f>
        <v>2044</v>
      </c>
      <c r="P66" s="76">
        <f>+M66*$N$61</f>
        <v>2452800</v>
      </c>
    </row>
    <row r="67" spans="2:21" x14ac:dyDescent="0.25">
      <c r="B67" s="295" t="s">
        <v>1761</v>
      </c>
      <c r="C67" s="296" t="s">
        <v>1400</v>
      </c>
      <c r="D67" s="296" t="s">
        <v>251</v>
      </c>
      <c r="E67" s="297" t="s">
        <v>625</v>
      </c>
      <c r="G67" s="89">
        <f>+G69*0.02</f>
        <v>0.73</v>
      </c>
      <c r="H67" s="77" t="str">
        <f>VLOOKUP(E67,'B. DATOS'!$B$34:$E$622,2,FALSE)</f>
        <v>M3</v>
      </c>
      <c r="J67" s="29" t="s">
        <v>717</v>
      </c>
      <c r="L67" s="78">
        <f>VLOOKUP(E67,'B. DATOS'!$B$34:$E$622,4,FALSE)</f>
        <v>360400</v>
      </c>
      <c r="M67" s="76">
        <f>+L67*G67</f>
        <v>263092</v>
      </c>
      <c r="N67" s="351"/>
      <c r="O67" s="80">
        <f t="shared" ref="O67:O69" si="14">+G67*$N$61</f>
        <v>0.73</v>
      </c>
      <c r="P67" s="76">
        <f t="shared" ref="P67:P68" si="15">+M67*$N$61</f>
        <v>263092</v>
      </c>
    </row>
    <row r="68" spans="2:21" x14ac:dyDescent="0.25">
      <c r="B68" s="295" t="s">
        <v>1762</v>
      </c>
      <c r="C68" s="296" t="s">
        <v>1400</v>
      </c>
      <c r="D68" s="296" t="s">
        <v>251</v>
      </c>
      <c r="E68" s="297" t="s">
        <v>574</v>
      </c>
      <c r="G68" s="89">
        <f>+(((SUM('2. CANTIDADES'!QZ34:QZ53)/0.15)*1.7)*0.996)*1.05</f>
        <v>272.60520000000002</v>
      </c>
      <c r="H68" s="77" t="str">
        <f>VLOOKUP(E68,'B. DATOS'!$B$34:$E$622,2,FALSE)</f>
        <v>KG</v>
      </c>
      <c r="J68" s="29" t="s">
        <v>274</v>
      </c>
      <c r="L68" s="78">
        <f>VLOOKUP(E68,'B. DATOS'!$B$34:$E$622,4,FALSE)</f>
        <v>4000</v>
      </c>
      <c r="M68" s="76">
        <f>+L68*G68</f>
        <v>1090420.8</v>
      </c>
      <c r="N68" s="351"/>
      <c r="O68" s="80">
        <f t="shared" si="14"/>
        <v>272.60520000000002</v>
      </c>
      <c r="P68" s="76">
        <f t="shared" si="15"/>
        <v>1090420.8</v>
      </c>
    </row>
    <row r="69" spans="2:21" x14ac:dyDescent="0.25">
      <c r="B69" s="295" t="s">
        <v>1763</v>
      </c>
      <c r="C69" s="296" t="s">
        <v>1400</v>
      </c>
      <c r="D69" s="296" t="s">
        <v>778</v>
      </c>
      <c r="E69" s="297" t="s">
        <v>1800</v>
      </c>
      <c r="G69" s="89">
        <f>+'2. CANTIDADES'!RA34</f>
        <v>36.5</v>
      </c>
      <c r="H69" s="77" t="str">
        <f>VLOOKUP(E69,'B. DATOS'!$B$34:$E$622,2,FALSE)</f>
        <v>M2</v>
      </c>
      <c r="J69" s="29" t="s">
        <v>259</v>
      </c>
      <c r="L69" s="78">
        <f>VLOOKUP(E69,'B. DATOS'!$B$34:$E$622,4,FALSE)</f>
        <v>60000</v>
      </c>
      <c r="M69" s="76">
        <f>+L69*G69</f>
        <v>2190000</v>
      </c>
      <c r="N69" s="351"/>
      <c r="O69" s="80">
        <f t="shared" si="14"/>
        <v>36.5</v>
      </c>
      <c r="Q69" s="76">
        <f>+M69*$N$61</f>
        <v>2190000</v>
      </c>
    </row>
    <row r="70" spans="2:21" s="39" customFormat="1" x14ac:dyDescent="0.25">
      <c r="B70" s="109">
        <v>5</v>
      </c>
      <c r="C70" s="143"/>
      <c r="D70" s="375" t="s">
        <v>512</v>
      </c>
      <c r="E70" s="376"/>
      <c r="F70" s="125"/>
      <c r="G70" s="125"/>
      <c r="H70" s="125"/>
      <c r="I70" s="125"/>
      <c r="J70" s="125"/>
      <c r="K70" s="125"/>
      <c r="L70" s="126"/>
      <c r="M70" s="126"/>
      <c r="N70" s="125"/>
      <c r="O70" s="125"/>
      <c r="P70" s="126">
        <f>+P71</f>
        <v>755902.96000000008</v>
      </c>
      <c r="Q70" s="126">
        <f>+Q71</f>
        <v>1363310.0000000002</v>
      </c>
      <c r="R70" s="127">
        <f>Q70+P70</f>
        <v>2119212.9600000004</v>
      </c>
      <c r="S70" s="128"/>
      <c r="T70" s="182">
        <f>+T71+T74</f>
        <v>4.3343603208358551E-3</v>
      </c>
    </row>
    <row r="71" spans="2:21" s="39" customFormat="1" ht="30" customHeight="1" x14ac:dyDescent="0.25">
      <c r="B71" s="288">
        <v>5.0999999999999996</v>
      </c>
      <c r="C71" s="289" t="s">
        <v>1400</v>
      </c>
      <c r="D71" s="412" t="s">
        <v>1892</v>
      </c>
      <c r="E71" s="413"/>
      <c r="F71" s="290"/>
      <c r="G71" s="290"/>
      <c r="H71" s="290"/>
      <c r="I71" s="290"/>
      <c r="J71" s="290"/>
      <c r="K71" s="290"/>
      <c r="L71" s="291"/>
      <c r="M71" s="291"/>
      <c r="N71" s="290"/>
      <c r="O71" s="290"/>
      <c r="P71" s="291">
        <f>+SUM(P72:P73)</f>
        <v>755902.96000000008</v>
      </c>
      <c r="Q71" s="291">
        <f>+SUM(Q72:Q73)</f>
        <v>1363310.0000000002</v>
      </c>
      <c r="R71" s="298">
        <f>+P71+Q71</f>
        <v>2119212.9600000004</v>
      </c>
      <c r="S71" s="414" t="e">
        <f>+R71/#REF!</f>
        <v>#REF!</v>
      </c>
      <c r="T71" s="294" cm="1">
        <f t="array" ref="T71:U71">+R71/'1. GENERAL'!$E$31:$F$31</f>
        <v>4.3343603208358551E-3</v>
      </c>
      <c r="U71" s="39" t="e">
        <v>#DIV/0!</v>
      </c>
    </row>
    <row r="72" spans="2:21" x14ac:dyDescent="0.25">
      <c r="B72" s="295" t="s">
        <v>422</v>
      </c>
      <c r="C72" s="296" t="s">
        <v>1400</v>
      </c>
      <c r="D72" s="296" t="s">
        <v>251</v>
      </c>
      <c r="E72" s="297" t="s">
        <v>624</v>
      </c>
      <c r="G72" s="89">
        <f>+G73*0.02</f>
        <v>2.0974000000000004</v>
      </c>
      <c r="H72" s="77" t="str">
        <f>VLOOKUP(E72,'B. DATOS'!$B$34:$E$622,2,FALSE)</f>
        <v>M3</v>
      </c>
      <c r="J72" s="29" t="s">
        <v>717</v>
      </c>
      <c r="L72" s="78">
        <f>VLOOKUP(E72,'B. DATOS'!$B$34:$E$622,4,FALSE)</f>
        <v>360400</v>
      </c>
      <c r="M72" s="76">
        <f t="shared" ref="M72:M73" si="16">+L72*G72</f>
        <v>755902.96000000008</v>
      </c>
      <c r="N72" s="351">
        <v>1</v>
      </c>
      <c r="O72" s="80">
        <f>+G72*$N$72</f>
        <v>2.0974000000000004</v>
      </c>
      <c r="P72" s="76">
        <f>+M72*$N$72</f>
        <v>755902.96000000008</v>
      </c>
    </row>
    <row r="73" spans="2:21" x14ac:dyDescent="0.25">
      <c r="B73" s="295" t="s">
        <v>423</v>
      </c>
      <c r="C73" s="296" t="s">
        <v>1400</v>
      </c>
      <c r="D73" s="296" t="s">
        <v>778</v>
      </c>
      <c r="E73" s="297" t="s">
        <v>764</v>
      </c>
      <c r="G73" s="89">
        <f>+'2. CANTIDADES'!HI10+'2. CANTIDADES'!HS8</f>
        <v>104.87000000000002</v>
      </c>
      <c r="H73" s="77" t="str">
        <f>VLOOKUP(E73,'B. DATOS'!$B$34:$E$622,2,FALSE)</f>
        <v>M2</v>
      </c>
      <c r="J73" s="29" t="s">
        <v>14</v>
      </c>
      <c r="L73" s="78">
        <f>VLOOKUP(E73,'B. DATOS'!$B$34:$E$622,4,FALSE)</f>
        <v>13000</v>
      </c>
      <c r="M73" s="76">
        <f t="shared" si="16"/>
        <v>1363310.0000000002</v>
      </c>
      <c r="N73" s="351"/>
      <c r="O73" s="80">
        <f>+G73*$N$72</f>
        <v>104.87000000000002</v>
      </c>
      <c r="Q73" s="76">
        <f>+M73*$N$72</f>
        <v>1363310.0000000002</v>
      </c>
    </row>
    <row r="75" spans="2:21" s="4" customFormat="1" ht="15.75" thickBot="1" x14ac:dyDescent="0.3">
      <c r="B75" s="85"/>
      <c r="C75" s="2"/>
      <c r="D75" s="2"/>
      <c r="E75" s="86"/>
      <c r="F75" s="29"/>
      <c r="G75" s="29"/>
      <c r="H75" s="29"/>
      <c r="I75" s="29"/>
      <c r="J75" s="29"/>
      <c r="K75" s="29"/>
      <c r="L75" s="76"/>
      <c r="M75" s="76"/>
      <c r="N75" s="29"/>
      <c r="O75" s="29"/>
      <c r="P75" s="76"/>
      <c r="Q75" s="76"/>
      <c r="R75" s="82"/>
    </row>
    <row r="76" spans="2:21" s="4" customFormat="1" ht="15.75" thickBot="1" x14ac:dyDescent="0.3">
      <c r="B76" s="85"/>
      <c r="C76" s="2"/>
      <c r="D76" s="2"/>
      <c r="E76" s="86"/>
      <c r="F76" s="29"/>
      <c r="G76" s="29"/>
      <c r="H76" s="29"/>
      <c r="I76" s="29"/>
      <c r="J76" s="29"/>
      <c r="K76" s="29"/>
      <c r="L76" s="76"/>
      <c r="M76" s="76"/>
      <c r="N76" s="388" t="s">
        <v>1864</v>
      </c>
      <c r="O76" s="389"/>
      <c r="P76" s="138">
        <f>+P35-P80+P14+P21+P4+P70</f>
        <v>22150110.048</v>
      </c>
      <c r="Q76" s="138">
        <f>+Q35-Q80+Q14+Q21+Q4+Q70</f>
        <v>38505632.296000004</v>
      </c>
      <c r="R76" s="139">
        <f>+Q76+P76</f>
        <v>60655742.344000004</v>
      </c>
    </row>
    <row r="77" spans="2:21" s="4" customFormat="1" x14ac:dyDescent="0.25">
      <c r="B77" s="85"/>
      <c r="C77" s="2"/>
      <c r="D77" s="27"/>
      <c r="E77" s="86"/>
      <c r="F77" s="29"/>
      <c r="G77" s="29"/>
      <c r="H77" s="29"/>
      <c r="I77" s="29"/>
      <c r="J77" s="29"/>
      <c r="K77" s="29"/>
      <c r="L77" s="76"/>
      <c r="M77" s="76"/>
      <c r="N77" s="379" t="s">
        <v>460</v>
      </c>
      <c r="O77" s="379"/>
      <c r="P77" s="92"/>
      <c r="Q77" s="92"/>
      <c r="R77" s="93">
        <f>+$R$76/'1. GENERAL'!C6</f>
        <v>194085.95399974403</v>
      </c>
    </row>
    <row r="78" spans="2:21" s="4" customFormat="1" x14ac:dyDescent="0.25">
      <c r="B78" s="85"/>
      <c r="C78" s="2"/>
      <c r="D78" s="2"/>
      <c r="E78" s="86"/>
      <c r="F78" s="29"/>
      <c r="G78" s="29"/>
      <c r="H78" s="29"/>
      <c r="I78" s="29"/>
      <c r="J78" s="29"/>
      <c r="K78" s="29"/>
      <c r="L78" s="76"/>
      <c r="M78" s="76"/>
      <c r="N78" s="379" t="s">
        <v>461</v>
      </c>
      <c r="O78" s="379"/>
      <c r="P78" s="92"/>
      <c r="Q78" s="92"/>
      <c r="R78" s="93">
        <f>+$R$76/'1. GENERAL'!C7</f>
        <v>178060.5082566459</v>
      </c>
    </row>
    <row r="79" spans="2:21" s="4" customFormat="1" ht="15.75" thickBot="1" x14ac:dyDescent="0.3">
      <c r="B79" s="85"/>
      <c r="C79" s="2"/>
      <c r="D79" s="2"/>
      <c r="E79" s="86"/>
      <c r="F79" s="29"/>
      <c r="G79" s="29"/>
      <c r="H79" s="29"/>
      <c r="I79" s="29"/>
      <c r="J79" s="29"/>
      <c r="K79" s="29"/>
      <c r="L79" s="76"/>
      <c r="M79" s="76"/>
      <c r="N79" s="379" t="s">
        <v>462</v>
      </c>
      <c r="O79" s="379"/>
      <c r="P79" s="92"/>
      <c r="Q79" s="92"/>
      <c r="R79" s="93">
        <f>+$R$76/'1. GENERAL'!C8</f>
        <v>143591.07604753564</v>
      </c>
    </row>
    <row r="80" spans="2:21" s="4" customFormat="1" ht="15.75" thickBot="1" x14ac:dyDescent="0.3">
      <c r="B80" s="85"/>
      <c r="C80" s="2"/>
      <c r="D80" s="2"/>
      <c r="E80" s="86"/>
      <c r="F80" s="29"/>
      <c r="G80" s="29"/>
      <c r="H80" s="29"/>
      <c r="I80" s="29"/>
      <c r="J80" s="29"/>
      <c r="K80" s="29"/>
      <c r="L80" s="76"/>
      <c r="M80" s="76"/>
      <c r="N80" s="404" t="s">
        <v>1865</v>
      </c>
      <c r="O80" s="405"/>
      <c r="P80" s="136">
        <f>+P71+P48+P65</f>
        <v>6651702.1100000013</v>
      </c>
      <c r="Q80" s="136">
        <f>+Q71+Q48+Q65</f>
        <v>13263903.992000001</v>
      </c>
      <c r="R80" s="137">
        <f>+Q80+P80</f>
        <v>19915606.102000002</v>
      </c>
    </row>
    <row r="81" spans="2:20" s="4" customFormat="1" ht="15.75" thickBot="1" x14ac:dyDescent="0.3">
      <c r="B81" s="85"/>
      <c r="C81" s="2"/>
      <c r="D81" s="2"/>
      <c r="E81" s="86"/>
      <c r="F81" s="29"/>
      <c r="G81" s="29"/>
      <c r="H81" s="29"/>
      <c r="I81" s="29"/>
      <c r="J81" s="29"/>
      <c r="K81" s="29"/>
      <c r="L81" s="76"/>
      <c r="M81" s="76"/>
      <c r="N81" s="401" t="s">
        <v>461</v>
      </c>
      <c r="O81" s="401"/>
      <c r="P81" s="91"/>
      <c r="Q81" s="91"/>
      <c r="R81" s="94">
        <f>+R80/'1. GENERAL'!I7</f>
        <v>58464.092725955452</v>
      </c>
    </row>
    <row r="82" spans="2:20" s="4" customFormat="1" x14ac:dyDescent="0.25">
      <c r="B82" s="85"/>
      <c r="C82" s="2"/>
      <c r="D82" s="2"/>
      <c r="E82" s="86"/>
      <c r="F82" s="29"/>
      <c r="G82" s="29"/>
      <c r="H82" s="29"/>
      <c r="I82" s="29"/>
      <c r="J82" s="29"/>
      <c r="K82" s="29"/>
      <c r="L82" s="76"/>
      <c r="M82" s="76"/>
      <c r="N82" s="395" t="s">
        <v>85</v>
      </c>
      <c r="O82" s="396"/>
      <c r="P82" s="111">
        <f>+P76+P80</f>
        <v>28801812.158</v>
      </c>
      <c r="Q82" s="111">
        <f>+Q76+Q80</f>
        <v>51769536.288000003</v>
      </c>
      <c r="R82" s="112">
        <f>+Q82+P82</f>
        <v>80571348.44600001</v>
      </c>
    </row>
    <row r="83" spans="2:20" s="4" customFormat="1" x14ac:dyDescent="0.25">
      <c r="B83" s="85"/>
      <c r="C83" s="2"/>
      <c r="D83" s="2"/>
      <c r="E83" s="86"/>
      <c r="F83" s="29"/>
      <c r="G83" s="29"/>
      <c r="H83" s="29"/>
      <c r="I83" s="29"/>
      <c r="J83" s="29"/>
      <c r="K83" s="29"/>
      <c r="L83" s="76"/>
      <c r="M83" s="76"/>
      <c r="N83" s="397" t="s">
        <v>455</v>
      </c>
      <c r="O83" s="398"/>
      <c r="P83" s="113"/>
      <c r="Q83" s="113"/>
      <c r="R83" s="114">
        <f>+R76*0.05</f>
        <v>3032787.1172000002</v>
      </c>
    </row>
    <row r="84" spans="2:20" s="4" customFormat="1" x14ac:dyDescent="0.25">
      <c r="B84" s="85"/>
      <c r="C84" s="2"/>
      <c r="D84" s="2"/>
      <c r="E84" s="86"/>
      <c r="F84" s="29"/>
      <c r="G84" s="29"/>
      <c r="H84" s="29"/>
      <c r="I84" s="29"/>
      <c r="J84" s="29"/>
      <c r="K84" s="29"/>
      <c r="L84" s="76"/>
      <c r="M84" s="76"/>
      <c r="N84" s="397" t="s">
        <v>456</v>
      </c>
      <c r="O84" s="398"/>
      <c r="P84" s="113"/>
      <c r="Q84" s="113"/>
      <c r="R84" s="114">
        <f>+$R$82*0.04</f>
        <v>3222853.9378400003</v>
      </c>
    </row>
    <row r="85" spans="2:20" s="4" customFormat="1" ht="15.75" thickBot="1" x14ac:dyDescent="0.3">
      <c r="B85" s="85"/>
      <c r="C85" s="2"/>
      <c r="D85" s="2"/>
      <c r="E85" s="86"/>
      <c r="F85" s="29"/>
      <c r="G85" s="29"/>
      <c r="H85" s="29"/>
      <c r="I85" s="29"/>
      <c r="J85" s="29"/>
      <c r="K85" s="29"/>
      <c r="L85" s="76"/>
      <c r="M85" s="76"/>
      <c r="N85" s="399" t="s">
        <v>457</v>
      </c>
      <c r="O85" s="400"/>
      <c r="P85" s="115"/>
      <c r="Q85" s="115"/>
      <c r="R85" s="116">
        <f>+$R$82*0.06</f>
        <v>4834280.9067600006</v>
      </c>
    </row>
    <row r="86" spans="2:20" s="4" customFormat="1" ht="15.75" thickBot="1" x14ac:dyDescent="0.3">
      <c r="B86" s="85"/>
      <c r="C86" s="2"/>
      <c r="D86" s="2"/>
      <c r="E86" s="86"/>
      <c r="F86" s="29"/>
      <c r="G86" s="29"/>
      <c r="H86" s="29"/>
      <c r="I86" s="29"/>
      <c r="J86" s="29"/>
      <c r="K86" s="29"/>
      <c r="L86" s="76"/>
      <c r="M86" s="76"/>
      <c r="N86" s="29"/>
      <c r="O86" s="29"/>
      <c r="P86" s="117"/>
      <c r="Q86" s="117"/>
      <c r="R86" s="118"/>
    </row>
    <row r="87" spans="2:20" s="4" customFormat="1" ht="15.75" thickBot="1" x14ac:dyDescent="0.3">
      <c r="B87" s="85"/>
      <c r="C87" s="2"/>
      <c r="D87" s="2"/>
      <c r="E87" s="86"/>
      <c r="F87" s="29"/>
      <c r="G87" s="29"/>
      <c r="H87" s="29"/>
      <c r="I87" s="29"/>
      <c r="J87" s="29"/>
      <c r="K87" s="29"/>
      <c r="L87" s="76"/>
      <c r="M87" s="76"/>
      <c r="N87" s="29"/>
      <c r="O87" s="29"/>
      <c r="P87" s="117"/>
      <c r="Q87" s="119" t="s">
        <v>254</v>
      </c>
      <c r="R87" s="120">
        <f>+SUM(R82:R85)</f>
        <v>91661270.407800019</v>
      </c>
    </row>
    <row r="88" spans="2:20" s="4" customFormat="1" ht="15.75" thickBot="1" x14ac:dyDescent="0.3">
      <c r="B88" s="85"/>
      <c r="C88" s="2"/>
      <c r="D88" s="2"/>
      <c r="E88" s="86"/>
      <c r="F88" s="29"/>
      <c r="G88" s="29"/>
      <c r="H88" s="29"/>
      <c r="I88" s="29"/>
      <c r="J88" s="29"/>
      <c r="K88" s="29"/>
      <c r="L88" s="76"/>
      <c r="M88" s="76"/>
      <c r="N88" s="29"/>
      <c r="O88" s="29"/>
      <c r="P88" s="76"/>
      <c r="Q88" s="76"/>
      <c r="R88" s="82"/>
    </row>
    <row r="89" spans="2:20" s="4" customFormat="1" ht="15.75" thickBot="1" x14ac:dyDescent="0.3">
      <c r="B89" s="85"/>
      <c r="C89" s="2"/>
      <c r="D89" s="2"/>
      <c r="E89" s="86"/>
      <c r="F89" s="372" t="s">
        <v>501</v>
      </c>
      <c r="G89" s="373"/>
      <c r="H89" s="373"/>
      <c r="I89" s="373"/>
      <c r="J89" s="373"/>
      <c r="K89" s="374"/>
      <c r="L89" s="159" t="s">
        <v>498</v>
      </c>
      <c r="M89" s="157" t="s">
        <v>499</v>
      </c>
      <c r="N89" s="372" t="s">
        <v>500</v>
      </c>
      <c r="O89" s="374"/>
      <c r="P89" s="161" t="s">
        <v>241</v>
      </c>
      <c r="Q89" s="76"/>
      <c r="R89" s="82"/>
    </row>
    <row r="90" spans="2:20" s="4" customFormat="1" ht="15.75" thickBot="1" x14ac:dyDescent="0.3">
      <c r="B90" s="85"/>
      <c r="C90" s="2"/>
      <c r="D90" s="2"/>
      <c r="E90" s="86"/>
      <c r="F90" s="372" t="s">
        <v>478</v>
      </c>
      <c r="G90" s="373"/>
      <c r="H90" s="373"/>
      <c r="I90" s="373"/>
      <c r="J90" s="373"/>
      <c r="K90" s="374"/>
      <c r="L90" s="154" t="e">
        <f>+M119+M125</f>
        <v>#REF!</v>
      </c>
      <c r="M90" s="152">
        <f>+P76+P80</f>
        <v>28801812.158</v>
      </c>
      <c r="N90" s="406" t="e">
        <f>+L90-M90</f>
        <v>#REF!</v>
      </c>
      <c r="O90" s="407"/>
      <c r="P90" s="178" t="e">
        <f>+L90/$R$82</f>
        <v>#REF!</v>
      </c>
      <c r="Q90" s="76"/>
      <c r="R90" s="82"/>
    </row>
    <row r="91" spans="2:20" s="4" customFormat="1" ht="15.75" thickBot="1" x14ac:dyDescent="0.3">
      <c r="B91" s="85"/>
      <c r="C91" s="2"/>
      <c r="D91" s="2"/>
      <c r="E91" s="86"/>
      <c r="F91" s="372" t="s">
        <v>480</v>
      </c>
      <c r="G91" s="373"/>
      <c r="H91" s="373"/>
      <c r="I91" s="373"/>
      <c r="J91" s="373"/>
      <c r="K91" s="374"/>
      <c r="L91" s="155" t="e">
        <f>+M136</f>
        <v>#REF!</v>
      </c>
      <c r="M91" s="153">
        <f>+Q76+Q80</f>
        <v>51769536.288000003</v>
      </c>
      <c r="N91" s="408" t="e">
        <f>+L91-M91</f>
        <v>#REF!</v>
      </c>
      <c r="O91" s="409"/>
      <c r="P91" s="179" t="e">
        <f>+L91/$R$82</f>
        <v>#REF!</v>
      </c>
      <c r="Q91" s="76"/>
      <c r="R91" s="82"/>
    </row>
    <row r="92" spans="2:20" s="4" customFormat="1" ht="15.75" thickBot="1" x14ac:dyDescent="0.3">
      <c r="B92" s="85"/>
      <c r="C92" s="2"/>
      <c r="D92" s="2"/>
      <c r="E92" s="86"/>
      <c r="F92" s="29"/>
      <c r="G92" s="29"/>
      <c r="H92" s="29"/>
      <c r="I92" s="29"/>
      <c r="J92" s="29"/>
      <c r="K92" s="29"/>
      <c r="L92" s="76"/>
      <c r="M92" s="76"/>
      <c r="N92" s="29"/>
      <c r="O92" s="29"/>
      <c r="P92" s="76"/>
      <c r="Q92" s="76"/>
      <c r="R92" s="82"/>
    </row>
    <row r="93" spans="2:20" s="4" customFormat="1" ht="15.75" thickBot="1" x14ac:dyDescent="0.3">
      <c r="B93" s="85"/>
      <c r="C93" s="101" t="s">
        <v>9</v>
      </c>
      <c r="D93" s="160"/>
      <c r="E93" s="161" t="s">
        <v>479</v>
      </c>
      <c r="F93" s="162"/>
      <c r="G93" s="163" t="s">
        <v>177</v>
      </c>
      <c r="H93" s="163" t="s">
        <v>248</v>
      </c>
      <c r="I93" s="163"/>
      <c r="J93" s="163" t="s">
        <v>261</v>
      </c>
      <c r="K93" s="163"/>
      <c r="L93" s="157" t="s">
        <v>249</v>
      </c>
      <c r="M93" s="156" t="s">
        <v>250</v>
      </c>
      <c r="N93" s="161" t="s">
        <v>241</v>
      </c>
      <c r="O93" s="373" t="s">
        <v>481</v>
      </c>
      <c r="P93" s="374"/>
      <c r="Q93" s="76"/>
      <c r="R93" s="82"/>
    </row>
    <row r="94" spans="2:20" s="4" customFormat="1" x14ac:dyDescent="0.25">
      <c r="B94" s="85"/>
      <c r="C94" s="2" t="s">
        <v>467</v>
      </c>
      <c r="D94" s="2"/>
      <c r="E94" s="140" t="s">
        <v>483</v>
      </c>
      <c r="F94" s="146"/>
      <c r="G94" s="80">
        <f>((SUMIFS($O$14:$O$74,$E$14:$E$74,'B. DATOS'!$B$42,$C$14:$C$74,C94))*'B. DATOS'!$C$17)+((SUMIFS($O$14:$O$74,$E$14:$E$74,'B. DATOS'!$B$41,$C$14:$C$74,C94))*'B. DATOS'!$C$17)</f>
        <v>0</v>
      </c>
      <c r="H94" s="29" t="s">
        <v>488</v>
      </c>
      <c r="I94" s="29"/>
      <c r="J94" s="29" t="s">
        <v>489</v>
      </c>
      <c r="K94" s="29"/>
      <c r="L94" s="76">
        <f>+'B. DATOS'!$C$23</f>
        <v>33000</v>
      </c>
      <c r="M94" s="141">
        <f t="shared" ref="M94:M110" si="17">+L94*G94</f>
        <v>0</v>
      </c>
      <c r="N94" s="165">
        <f>+M94/$R$87</f>
        <v>0</v>
      </c>
      <c r="O94" s="351" t="s">
        <v>502</v>
      </c>
      <c r="P94" s="351"/>
      <c r="Q94" s="76"/>
      <c r="R94" s="82"/>
    </row>
    <row r="95" spans="2:20" s="4" customFormat="1" x14ac:dyDescent="0.25">
      <c r="B95" s="85"/>
      <c r="C95" s="2" t="s">
        <v>467</v>
      </c>
      <c r="D95" s="2"/>
      <c r="E95" s="140" t="s">
        <v>487</v>
      </c>
      <c r="F95" s="146"/>
      <c r="G95" s="80">
        <f>(SUMIFS($O$14:$O$74,$E$14:$E$74,'B. DATOS'!$B$42,$C$14:$C$74,C95))*'B. DATOS'!$E$17</f>
        <v>0</v>
      </c>
      <c r="H95" s="29" t="s">
        <v>269</v>
      </c>
      <c r="I95" s="29"/>
      <c r="J95" s="29" t="s">
        <v>489</v>
      </c>
      <c r="K95" s="29"/>
      <c r="L95" s="76">
        <f>+'B. DATOS'!C25</f>
        <v>140000</v>
      </c>
      <c r="M95" s="141">
        <f t="shared" si="17"/>
        <v>0</v>
      </c>
      <c r="N95" s="165">
        <f>+M95/$R$87</f>
        <v>0</v>
      </c>
      <c r="O95" s="351" t="s">
        <v>502</v>
      </c>
      <c r="P95" s="351"/>
      <c r="Q95" s="76"/>
      <c r="R95" s="82"/>
    </row>
    <row r="96" spans="2:20" x14ac:dyDescent="0.25">
      <c r="C96" s="2" t="s">
        <v>467</v>
      </c>
      <c r="E96" s="140" t="s">
        <v>484</v>
      </c>
      <c r="F96" s="146"/>
      <c r="G96" s="80">
        <f>(SUMIFS($O$14:$O$47,$E$14:$E$47,'B. DATOS'!$B$37,$C$14:$C$47,C96))*'B. DATOS'!$C$13</f>
        <v>0</v>
      </c>
      <c r="H96" s="29" t="s">
        <v>488</v>
      </c>
      <c r="J96" s="29" t="s">
        <v>272</v>
      </c>
      <c r="L96" s="76">
        <f>+'B. DATOS'!$C$23</f>
        <v>33000</v>
      </c>
      <c r="M96" s="141">
        <f t="shared" si="17"/>
        <v>0</v>
      </c>
      <c r="N96" s="165">
        <f>+M96/$R$87</f>
        <v>0</v>
      </c>
      <c r="O96" s="371" t="s">
        <v>502</v>
      </c>
      <c r="P96" s="351"/>
      <c r="T96" s="4"/>
    </row>
    <row r="97" spans="2:20" x14ac:dyDescent="0.25">
      <c r="C97" s="2" t="s">
        <v>467</v>
      </c>
      <c r="E97" s="140" t="s">
        <v>486</v>
      </c>
      <c r="F97" s="146"/>
      <c r="G97" s="80">
        <f>((SUMIFS($O$14:$O$47,$E$14:$E$47,'B. DATOS'!$B$37,$C$14:$C$47,C97))*'B. DATOS'!$D$13)+((SUMIFS($O$14:$O$47,$E$14:$E$47,'B. DATOS'!$B$45,$C$14:$C$47,C97))*'B. DATOS'!$D$19)</f>
        <v>0</v>
      </c>
      <c r="H97" s="29" t="s">
        <v>269</v>
      </c>
      <c r="J97" s="29" t="s">
        <v>272</v>
      </c>
      <c r="L97" s="76">
        <f>+'B. DATOS'!$C$23</f>
        <v>33000</v>
      </c>
      <c r="M97" s="141">
        <f t="shared" si="17"/>
        <v>0</v>
      </c>
      <c r="N97" s="165">
        <f>+M97/$R$87</f>
        <v>0</v>
      </c>
      <c r="O97" s="371" t="s">
        <v>502</v>
      </c>
      <c r="P97" s="351"/>
      <c r="T97" s="4"/>
    </row>
    <row r="98" spans="2:20" s="4" customFormat="1" x14ac:dyDescent="0.25">
      <c r="B98" s="85"/>
      <c r="C98" s="2" t="s">
        <v>467</v>
      </c>
      <c r="D98" s="2"/>
      <c r="E98" s="140" t="s">
        <v>623</v>
      </c>
      <c r="F98" s="146"/>
      <c r="G98" s="80">
        <f>(SUMIFS($O$14:$O$74,$E$14:$E$74,'B. DATOS'!$B$41,$C$14:$C$74,C98))*'B. DATOS'!$F$16</f>
        <v>0</v>
      </c>
      <c r="H98" s="29" t="s">
        <v>269</v>
      </c>
      <c r="I98" s="29"/>
      <c r="J98" s="29" t="s">
        <v>489</v>
      </c>
      <c r="K98" s="29"/>
      <c r="L98" s="76">
        <f>+'B. DATOS'!$C$26</f>
        <v>140000</v>
      </c>
      <c r="M98" s="141">
        <f>+L98*G98</f>
        <v>0</v>
      </c>
      <c r="N98" s="165">
        <f t="shared" ref="N98:N110" si="18">+M98/$R$87</f>
        <v>0</v>
      </c>
      <c r="O98" s="351" t="s">
        <v>502</v>
      </c>
      <c r="P98" s="351"/>
      <c r="Q98" s="76"/>
      <c r="R98" s="82"/>
    </row>
    <row r="99" spans="2:20" s="4" customFormat="1" x14ac:dyDescent="0.25">
      <c r="B99" s="85"/>
      <c r="C99" s="2" t="s">
        <v>467</v>
      </c>
      <c r="D99" s="2"/>
      <c r="E99" s="29" t="str">
        <f>+E16</f>
        <v>Llave manguera 1/2"</v>
      </c>
      <c r="F99" s="29"/>
      <c r="G99" s="80">
        <f>(SUMIFS($O$14:$O$74,$E$14:$E$74,E99,$C$14:$C$74,C99))</f>
        <v>2</v>
      </c>
      <c r="H99" s="151" t="str">
        <f>+VLOOKUP(E99,$E$14:$L$74,4,FALSE)</f>
        <v>UND</v>
      </c>
      <c r="I99" s="29" t="e">
        <f>+#REF!</f>
        <v>#REF!</v>
      </c>
      <c r="J99" s="151" t="str">
        <f>+VLOOKUP(E99,$E$14:$L$74,6,FALSE)</f>
        <v>POTABLE</v>
      </c>
      <c r="K99" s="29" t="e">
        <f>+#REF!</f>
        <v>#REF!</v>
      </c>
      <c r="L99" s="151">
        <f>+VLOOKUP(E99,$E$14:$L$74,8,FALSE)</f>
        <v>62000</v>
      </c>
      <c r="M99" s="141">
        <f>+L99*G99</f>
        <v>124000</v>
      </c>
      <c r="N99" s="165">
        <f t="shared" si="18"/>
        <v>1.3528069101412768E-3</v>
      </c>
      <c r="O99" s="351" t="s">
        <v>502</v>
      </c>
      <c r="P99" s="351"/>
      <c r="Q99" s="76"/>
      <c r="R99" s="82"/>
    </row>
    <row r="100" spans="2:20" s="4" customFormat="1" x14ac:dyDescent="0.25">
      <c r="B100" s="85"/>
      <c r="C100" s="2" t="s">
        <v>467</v>
      </c>
      <c r="D100" s="2"/>
      <c r="E100" s="29" t="str">
        <f>+E17</f>
        <v>Válvula bola PVCP 40cm 1/2"</v>
      </c>
      <c r="F100" s="29"/>
      <c r="G100" s="80">
        <f>(SUMIFS($O$14:$O$74,$E$14:$E$74,E100,$C$14:$C$74,C100))</f>
        <v>4</v>
      </c>
      <c r="H100" s="151" t="str">
        <f>+VLOOKUP(E100,$E$14:$L$74,4,FALSE)</f>
        <v>UND</v>
      </c>
      <c r="I100" s="29" t="e">
        <f>+#REF!</f>
        <v>#REF!</v>
      </c>
      <c r="J100" s="151" t="str">
        <f>+VLOOKUP(E100,$E$14:$L$74,6,FALSE)</f>
        <v>POTABLE</v>
      </c>
      <c r="K100" s="29" t="e">
        <f>+#REF!</f>
        <v>#REF!</v>
      </c>
      <c r="L100" s="151">
        <f>+VLOOKUP(E100,$E$14:$L$74,8,FALSE)</f>
        <v>7000</v>
      </c>
      <c r="M100" s="141">
        <f t="shared" si="17"/>
        <v>28000</v>
      </c>
      <c r="N100" s="165">
        <f t="shared" si="18"/>
        <v>3.0547252809641734E-4</v>
      </c>
      <c r="O100" s="351" t="s">
        <v>502</v>
      </c>
      <c r="P100" s="351"/>
      <c r="Q100" s="76"/>
      <c r="R100" s="82"/>
    </row>
    <row r="101" spans="2:20" s="76" customFormat="1" x14ac:dyDescent="0.25">
      <c r="B101" s="85"/>
      <c r="C101" s="2" t="s">
        <v>467</v>
      </c>
      <c r="D101" s="2"/>
      <c r="E101" s="29" t="str">
        <f>+E18</f>
        <v>Válvula bola CPVC 40cm 1/2"</v>
      </c>
      <c r="F101" s="29"/>
      <c r="G101" s="80">
        <f>(SUMIFS($O$14:$O$74,$E$14:$E$74,E101,$C$14:$C$74,C101))</f>
        <v>4</v>
      </c>
      <c r="H101" s="151" t="str">
        <f>+VLOOKUP(E101,$E$14:$L$74,4,FALSE)</f>
        <v>UND</v>
      </c>
      <c r="I101" s="29" t="e">
        <f>+#REF!</f>
        <v>#REF!</v>
      </c>
      <c r="J101" s="151" t="str">
        <f>+VLOOKUP(E101,$E$14:$L$74,6,FALSE)</f>
        <v>POTABLE</v>
      </c>
      <c r="K101" s="29" t="e">
        <f>+#REF!</f>
        <v>#REF!</v>
      </c>
      <c r="L101" s="151">
        <f>+VLOOKUP(E101,$E$14:$L$74,8,FALSE)</f>
        <v>35000</v>
      </c>
      <c r="M101" s="141">
        <f t="shared" si="17"/>
        <v>140000</v>
      </c>
      <c r="N101" s="165">
        <f t="shared" si="18"/>
        <v>1.5273626404820868E-3</v>
      </c>
      <c r="O101" s="351" t="s">
        <v>502</v>
      </c>
      <c r="P101" s="351"/>
      <c r="R101" s="82"/>
      <c r="S101" s="4"/>
    </row>
    <row r="102" spans="2:20" s="76" customFormat="1" x14ac:dyDescent="0.25">
      <c r="B102" s="85"/>
      <c r="C102" s="2" t="s">
        <v>467</v>
      </c>
      <c r="D102" s="2"/>
      <c r="E102" s="29" t="str">
        <f>+E19</f>
        <v>Cinta teflón 1/2" x10m</v>
      </c>
      <c r="F102" s="29"/>
      <c r="G102" s="80">
        <f>(SUMIFS($O$14:$O$74,$E$14:$E$74,E102,$C$14:$C$74,C102))</f>
        <v>1</v>
      </c>
      <c r="H102" s="151" t="str">
        <f>+VLOOKUP(E102,$E$14:$L$74,4,FALSE)</f>
        <v>UND</v>
      </c>
      <c r="I102" s="29" t="e">
        <f>+#REF!</f>
        <v>#REF!</v>
      </c>
      <c r="J102" s="151" t="str">
        <f>+VLOOKUP(E102,$E$14:$L$74,6,FALSE)</f>
        <v>POTABLE</v>
      </c>
      <c r="K102" s="29" t="e">
        <f>+#REF!</f>
        <v>#REF!</v>
      </c>
      <c r="L102" s="151">
        <f>+VLOOKUP(E102,$E$14:$L$74,8,FALSE)</f>
        <v>9000</v>
      </c>
      <c r="M102" s="141">
        <f t="shared" si="17"/>
        <v>9000</v>
      </c>
      <c r="N102" s="165">
        <f t="shared" si="18"/>
        <v>9.8187598316705574E-5</v>
      </c>
      <c r="O102" s="351" t="s">
        <v>502</v>
      </c>
      <c r="P102" s="351"/>
      <c r="R102" s="82"/>
      <c r="S102" s="4"/>
    </row>
    <row r="103" spans="2:20" s="76" customFormat="1" x14ac:dyDescent="0.25">
      <c r="B103" s="85"/>
      <c r="C103" s="2" t="s">
        <v>467</v>
      </c>
      <c r="D103" s="2"/>
      <c r="E103" s="29" t="str">
        <f>+E23</f>
        <v>Tablero trifásico 18 circuitos con puerta</v>
      </c>
      <c r="F103" s="29"/>
      <c r="G103" s="80">
        <f>(SUMIFS($O$14:$O$74,$E$14:$E$74,E103,$C$14:$C$74,C103))</f>
        <v>1</v>
      </c>
      <c r="H103" s="151" t="str">
        <f>+VLOOKUP(E103,$E$14:$L$74,4,FALSE)</f>
        <v>UND</v>
      </c>
      <c r="I103" s="29" t="e">
        <f>+#REF!</f>
        <v>#REF!</v>
      </c>
      <c r="J103" s="151" t="str">
        <f>+VLOOKUP(E103,$E$14:$L$74,6,FALSE)</f>
        <v>ELECTRICA</v>
      </c>
      <c r="K103" s="29" t="e">
        <f>+#REF!</f>
        <v>#REF!</v>
      </c>
      <c r="L103" s="151">
        <f>+VLOOKUP(E103,$E$14:$L$74,8,FALSE)</f>
        <v>275000</v>
      </c>
      <c r="M103" s="141">
        <f t="shared" si="17"/>
        <v>275000</v>
      </c>
      <c r="N103" s="165">
        <f t="shared" si="18"/>
        <v>3.0001766152326706E-3</v>
      </c>
      <c r="O103" s="351" t="s">
        <v>502</v>
      </c>
      <c r="P103" s="351"/>
      <c r="R103" s="82"/>
      <c r="S103" s="4"/>
    </row>
    <row r="104" spans="2:20" s="76" customFormat="1" x14ac:dyDescent="0.25">
      <c r="B104" s="85"/>
      <c r="C104" s="2" t="s">
        <v>467</v>
      </c>
      <c r="D104" s="2"/>
      <c r="E104" s="29" t="str">
        <f>+E24</f>
        <v>Breaker 20A</v>
      </c>
      <c r="F104" s="29"/>
      <c r="G104" s="80">
        <f>(SUMIFS($O$14:$O$74,$E$14:$E$74,E104,$C$14:$C$74,C104))</f>
        <v>18</v>
      </c>
      <c r="H104" s="151" t="str">
        <f>+VLOOKUP(E104,$E$14:$L$74,4,FALSE)</f>
        <v>UND</v>
      </c>
      <c r="I104" s="29" t="e">
        <f>+#REF!</f>
        <v>#REF!</v>
      </c>
      <c r="J104" s="151" t="str">
        <f>+VLOOKUP(E104,$E$14:$L$74,6,FALSE)</f>
        <v>ELECTRICA</v>
      </c>
      <c r="K104" s="29" t="e">
        <f>+#REF!</f>
        <v>#REF!</v>
      </c>
      <c r="L104" s="151">
        <f>+VLOOKUP(E104,$E$14:$L$74,8,FALSE)</f>
        <v>13000</v>
      </c>
      <c r="M104" s="141">
        <f t="shared" si="17"/>
        <v>234000</v>
      </c>
      <c r="N104" s="165">
        <f t="shared" si="18"/>
        <v>2.5528775562343449E-3</v>
      </c>
      <c r="O104" s="351" t="s">
        <v>502</v>
      </c>
      <c r="P104" s="351"/>
      <c r="R104" s="82"/>
      <c r="S104" s="4"/>
    </row>
    <row r="105" spans="2:20" s="76" customFormat="1" x14ac:dyDescent="0.25">
      <c r="B105" s="85"/>
      <c r="C105" s="2" t="s">
        <v>467</v>
      </c>
      <c r="D105" s="2"/>
      <c r="E105" s="29" t="str">
        <f>+E25</f>
        <v>Lámpara de muro</v>
      </c>
      <c r="F105" s="29"/>
      <c r="G105" s="80">
        <f>(SUMIFS($O$14:$O$74,$E$14:$E$74,E105,$C$14:$C$74,C105))</f>
        <v>7</v>
      </c>
      <c r="H105" s="151" t="str">
        <f>+VLOOKUP(E105,$E$14:$L$74,4,FALSE)</f>
        <v>UND</v>
      </c>
      <c r="I105" s="29" t="e">
        <f>+#REF!</f>
        <v>#REF!</v>
      </c>
      <c r="J105" s="151" t="str">
        <f>+VLOOKUP(E105,$E$14:$L$74,6,FALSE)</f>
        <v>ELECTRICA</v>
      </c>
      <c r="K105" s="29" t="e">
        <f>+#REF!</f>
        <v>#REF!</v>
      </c>
      <c r="L105" s="151">
        <f>+VLOOKUP(E105,$E$14:$L$74,8,FALSE)</f>
        <v>70000</v>
      </c>
      <c r="M105" s="141">
        <f t="shared" si="17"/>
        <v>490000</v>
      </c>
      <c r="N105" s="165">
        <f t="shared" si="18"/>
        <v>5.3457692416873041E-3</v>
      </c>
      <c r="O105" s="351" t="s">
        <v>502</v>
      </c>
      <c r="P105" s="351"/>
      <c r="R105" s="82"/>
      <c r="S105" s="4"/>
    </row>
    <row r="106" spans="2:20" s="76" customFormat="1" x14ac:dyDescent="0.25">
      <c r="B106" s="85"/>
      <c r="C106" s="2" t="s">
        <v>467</v>
      </c>
      <c r="D106" s="2"/>
      <c r="E106" s="29" t="str">
        <f>+E26</f>
        <v>Interruptor sencillo</v>
      </c>
      <c r="F106" s="29"/>
      <c r="G106" s="80">
        <f>(SUMIFS($O$14:$O$74,$E$14:$E$74,E106,$C$14:$C$74,C106))</f>
        <v>4</v>
      </c>
      <c r="H106" s="151" t="str">
        <f>+VLOOKUP(E106,$E$14:$L$74,4,FALSE)</f>
        <v>UND</v>
      </c>
      <c r="I106" s="29" t="e">
        <f>+#REF!</f>
        <v>#REF!</v>
      </c>
      <c r="J106" s="151" t="str">
        <f>+VLOOKUP(E106,$E$14:$L$74,6,FALSE)</f>
        <v>ELECTRICA</v>
      </c>
      <c r="K106" s="29" t="e">
        <f>+#REF!</f>
        <v>#REF!</v>
      </c>
      <c r="L106" s="151">
        <f>+VLOOKUP(E106,$E$14:$L$74,8,FALSE)</f>
        <v>12000</v>
      </c>
      <c r="M106" s="141">
        <f t="shared" si="17"/>
        <v>48000</v>
      </c>
      <c r="N106" s="165">
        <f t="shared" si="18"/>
        <v>5.2366719102242977E-4</v>
      </c>
      <c r="O106" s="351" t="s">
        <v>502</v>
      </c>
      <c r="P106" s="351"/>
      <c r="R106" s="82"/>
      <c r="S106" s="4"/>
    </row>
    <row r="107" spans="2:20" s="76" customFormat="1" x14ac:dyDescent="0.25">
      <c r="B107" s="85"/>
      <c r="C107" s="2" t="s">
        <v>467</v>
      </c>
      <c r="D107" s="2"/>
      <c r="E107" s="29" t="str">
        <f>+E27</f>
        <v>Interruptor triple conmutable</v>
      </c>
      <c r="F107" s="29"/>
      <c r="G107" s="80">
        <f>(SUMIFS($O$14:$O$74,$E$14:$E$74,E107,$C$14:$C$74,C107))</f>
        <v>2</v>
      </c>
      <c r="H107" s="151" t="str">
        <f>+VLOOKUP(E107,$E$14:$L$74,4,FALSE)</f>
        <v>UND</v>
      </c>
      <c r="I107" s="29" t="e">
        <f>+#REF!</f>
        <v>#REF!</v>
      </c>
      <c r="J107" s="151" t="str">
        <f>+VLOOKUP(E107,$E$14:$L$74,6,FALSE)</f>
        <v>ELECTRICA</v>
      </c>
      <c r="K107" s="29" t="e">
        <f>+#REF!</f>
        <v>#REF!</v>
      </c>
      <c r="L107" s="151">
        <f>+VLOOKUP(E107,$E$14:$L$74,8,FALSE)</f>
        <v>34000</v>
      </c>
      <c r="M107" s="141">
        <f t="shared" si="17"/>
        <v>68000</v>
      </c>
      <c r="N107" s="165">
        <f t="shared" si="18"/>
        <v>7.4186185394844214E-4</v>
      </c>
      <c r="O107" s="351" t="s">
        <v>502</v>
      </c>
      <c r="P107" s="351"/>
      <c r="R107" s="82"/>
      <c r="S107" s="4"/>
    </row>
    <row r="108" spans="2:20" s="76" customFormat="1" x14ac:dyDescent="0.25">
      <c r="B108" s="85"/>
      <c r="C108" s="2" t="s">
        <v>467</v>
      </c>
      <c r="D108" s="2"/>
      <c r="E108" s="29" t="str">
        <f>+E28</f>
        <v>Caja octagonal</v>
      </c>
      <c r="F108" s="29"/>
      <c r="G108" s="80">
        <f>(SUMIFS($O$14:$O$74,$E$14:$E$74,E108,$C$14:$C$74,C108))</f>
        <v>25</v>
      </c>
      <c r="H108" s="151" t="str">
        <f>+VLOOKUP(E108,$E$14:$L$74,4,FALSE)</f>
        <v>UND</v>
      </c>
      <c r="I108" s="29" t="e">
        <f>+#REF!</f>
        <v>#REF!</v>
      </c>
      <c r="J108" s="151" t="str">
        <f>+VLOOKUP(E108,$E$14:$L$74,6,FALSE)</f>
        <v>ELECTRICA</v>
      </c>
      <c r="K108" s="29" t="e">
        <f>+#REF!</f>
        <v>#REF!</v>
      </c>
      <c r="L108" s="151">
        <f>+VLOOKUP(E108,$E$14:$L$74,8,FALSE)</f>
        <v>2500</v>
      </c>
      <c r="M108" s="141">
        <f t="shared" si="17"/>
        <v>62500</v>
      </c>
      <c r="N108" s="165">
        <f t="shared" si="18"/>
        <v>6.8185832164378878E-4</v>
      </c>
      <c r="O108" s="351" t="s">
        <v>502</v>
      </c>
      <c r="P108" s="351"/>
      <c r="R108" s="82"/>
      <c r="S108" s="4"/>
    </row>
    <row r="109" spans="2:20" s="76" customFormat="1" x14ac:dyDescent="0.25">
      <c r="B109" s="85"/>
      <c r="C109" s="2" t="s">
        <v>467</v>
      </c>
      <c r="D109" s="2"/>
      <c r="E109" s="29" t="str">
        <f>+E29</f>
        <v>Caja 5800 PVC</v>
      </c>
      <c r="F109" s="29"/>
      <c r="G109" s="80">
        <f>(SUMIFS($O$14:$O$74,$E$14:$E$74,E109,$C$14:$C$74,C109))</f>
        <v>41</v>
      </c>
      <c r="H109" s="151" t="str">
        <f>+VLOOKUP(E109,$E$14:$L$74,4,FALSE)</f>
        <v>UND</v>
      </c>
      <c r="I109" s="29" t="e">
        <f>+#REF!</f>
        <v>#REF!</v>
      </c>
      <c r="J109" s="151" t="str">
        <f>+VLOOKUP(E109,$E$14:$L$74,6,FALSE)</f>
        <v>ELECTRICA</v>
      </c>
      <c r="K109" s="29" t="e">
        <f>+#REF!</f>
        <v>#REF!</v>
      </c>
      <c r="L109" s="151">
        <f>+VLOOKUP(E109,$E$14:$L$74,8,FALSE)</f>
        <v>2100</v>
      </c>
      <c r="M109" s="141">
        <f t="shared" si="17"/>
        <v>86100</v>
      </c>
      <c r="N109" s="165">
        <f t="shared" si="18"/>
        <v>9.3932802389648333E-4</v>
      </c>
      <c r="O109" s="351" t="s">
        <v>502</v>
      </c>
      <c r="P109" s="351"/>
      <c r="R109" s="82"/>
      <c r="S109" s="4"/>
    </row>
    <row r="110" spans="2:20" s="76" customFormat="1" x14ac:dyDescent="0.25">
      <c r="B110" s="85"/>
      <c r="C110" s="2" t="s">
        <v>467</v>
      </c>
      <c r="D110" s="2"/>
      <c r="E110" s="29" t="str">
        <f>+E30</f>
        <v>Toma doble</v>
      </c>
      <c r="F110" s="29"/>
      <c r="G110" s="80">
        <f>(SUMIFS($O$14:$O$74,$E$14:$E$74,E110,$C$14:$C$74,C110))</f>
        <v>24</v>
      </c>
      <c r="H110" s="151" t="str">
        <f>+VLOOKUP(E110,$E$14:$L$74,4,FALSE)</f>
        <v>UND</v>
      </c>
      <c r="I110" s="29" t="e">
        <f>+#REF!</f>
        <v>#REF!</v>
      </c>
      <c r="J110" s="151" t="str">
        <f>+VLOOKUP(E110,$E$14:$L$74,6,FALSE)</f>
        <v>ELECTRICA</v>
      </c>
      <c r="K110" s="29" t="e">
        <f>+#REF!</f>
        <v>#REF!</v>
      </c>
      <c r="L110" s="151">
        <f>+VLOOKUP(E110,$E$14:$L$74,8,FALSE)</f>
        <v>8000</v>
      </c>
      <c r="M110" s="141">
        <f t="shared" si="17"/>
        <v>192000</v>
      </c>
      <c r="N110" s="165">
        <f t="shared" si="18"/>
        <v>2.0946687640897191E-3</v>
      </c>
      <c r="O110" s="351" t="s">
        <v>502</v>
      </c>
      <c r="P110" s="351"/>
      <c r="R110" s="82"/>
      <c r="S110" s="4"/>
    </row>
    <row r="111" spans="2:20" s="76" customFormat="1" x14ac:dyDescent="0.25">
      <c r="B111" s="85"/>
      <c r="C111" s="2" t="s">
        <v>467</v>
      </c>
      <c r="D111" s="2"/>
      <c r="E111" s="29" t="str">
        <f>+E31</f>
        <v>Toma doble autoprotegida GFCI</v>
      </c>
      <c r="F111" s="29"/>
      <c r="G111" s="80">
        <f>(SUMIFS($O$14:$O$74,$E$14:$E$74,E111,$C$14:$C$74,C111))</f>
        <v>16</v>
      </c>
      <c r="H111" s="151" t="str">
        <f>+VLOOKUP(E111,$E$14:$L$74,4,FALSE)</f>
        <v>UND</v>
      </c>
      <c r="I111" s="29" t="e">
        <f>+#REF!</f>
        <v>#REF!</v>
      </c>
      <c r="J111" s="151" t="str">
        <f>+VLOOKUP(E111,$E$14:$L$74,6,FALSE)</f>
        <v>ELECTRICA</v>
      </c>
      <c r="K111" s="29" t="e">
        <f>+#REF!</f>
        <v>#REF!</v>
      </c>
      <c r="L111" s="151">
        <f>+VLOOKUP(E111,$E$14:$L$74,8,FALSE)</f>
        <v>55000</v>
      </c>
      <c r="M111" s="141">
        <f t="shared" ref="M111:M117" si="19">+L111*G111</f>
        <v>880000</v>
      </c>
      <c r="N111" s="165">
        <f t="shared" ref="N111:N117" si="20">+M111/$R$87</f>
        <v>9.6005651687445463E-3</v>
      </c>
      <c r="O111" s="351" t="s">
        <v>502</v>
      </c>
      <c r="P111" s="351"/>
      <c r="R111" s="82"/>
      <c r="S111" s="4"/>
    </row>
    <row r="112" spans="2:20" s="76" customFormat="1" x14ac:dyDescent="0.25">
      <c r="B112" s="85"/>
      <c r="C112" s="2" t="s">
        <v>467</v>
      </c>
      <c r="D112" s="2"/>
      <c r="E112" s="29" t="str">
        <f>+E32</f>
        <v>Salida Rj45 Ethernet</v>
      </c>
      <c r="F112" s="29"/>
      <c r="G112" s="80">
        <f>(SUMIFS($O$14:$O$74,$E$14:$E$74,E112,$C$14:$C$74,C112))</f>
        <v>1</v>
      </c>
      <c r="H112" s="151" t="str">
        <f>+VLOOKUP(E112,$E$14:$L$74,4,FALSE)</f>
        <v>UND</v>
      </c>
      <c r="I112" s="29" t="e">
        <f>+#REF!</f>
        <v>#REF!</v>
      </c>
      <c r="J112" s="151" t="str">
        <f>+VLOOKUP(E112,$E$14:$L$74,6,FALSE)</f>
        <v>ELECTRICA</v>
      </c>
      <c r="K112" s="29" t="e">
        <f>+#REF!</f>
        <v>#REF!</v>
      </c>
      <c r="L112" s="151">
        <f>+VLOOKUP(E112,$E$14:$L$74,8,FALSE)</f>
        <v>40000</v>
      </c>
      <c r="M112" s="141">
        <f t="shared" si="19"/>
        <v>40000</v>
      </c>
      <c r="N112" s="165">
        <f t="shared" si="20"/>
        <v>4.3638932585202481E-4</v>
      </c>
      <c r="O112" s="351" t="s">
        <v>502</v>
      </c>
      <c r="P112" s="351"/>
      <c r="R112" s="82"/>
      <c r="S112" s="4"/>
    </row>
    <row r="113" spans="2:19" s="76" customFormat="1" x14ac:dyDescent="0.25">
      <c r="B113" s="85"/>
      <c r="C113" s="2" t="s">
        <v>467</v>
      </c>
      <c r="D113" s="2"/>
      <c r="E113" s="29" t="str">
        <f>+E37</f>
        <v>Esterilla x4m limpia e inmunizada</v>
      </c>
      <c r="F113" s="29"/>
      <c r="G113" s="80">
        <f>(SUMIFS($O$14:$O$74,$E$14:$E$74,E113,$C$14:$C$74,C113))</f>
        <v>0</v>
      </c>
      <c r="H113" s="151" t="str">
        <f>+VLOOKUP(E113,$E$14:$L$74,4,FALSE)</f>
        <v>BTO</v>
      </c>
      <c r="I113" s="29" t="e">
        <f>+#REF!</f>
        <v>#REF!</v>
      </c>
      <c r="J113" s="151" t="str">
        <f>+VLOOKUP(E113,$E$14:$L$74,6,FALSE)</f>
        <v>GUADUA</v>
      </c>
      <c r="K113" s="29" t="e">
        <f>+#REF!</f>
        <v>#REF!</v>
      </c>
      <c r="L113" s="151">
        <f>+VLOOKUP(E113,$E$14:$L$74,8,FALSE)</f>
        <v>18000</v>
      </c>
      <c r="M113" s="141">
        <f t="shared" si="19"/>
        <v>0</v>
      </c>
      <c r="N113" s="165">
        <f t="shared" si="20"/>
        <v>0</v>
      </c>
      <c r="O113" s="351" t="s">
        <v>502</v>
      </c>
      <c r="P113" s="351"/>
      <c r="R113" s="82"/>
      <c r="S113" s="4"/>
    </row>
    <row r="114" spans="2:19" s="76" customFormat="1" x14ac:dyDescent="0.25">
      <c r="B114" s="85"/>
      <c r="C114" s="2" t="s">
        <v>467</v>
      </c>
      <c r="D114" s="2"/>
      <c r="E114" s="29" t="e">
        <f>+#REF!</f>
        <v>#REF!</v>
      </c>
      <c r="F114" s="29"/>
      <c r="G114" s="80">
        <f>(SUMIFS($O$14:$O$74,$E$14:$E$74,E114,$C$14:$C$74,C114))</f>
        <v>0</v>
      </c>
      <c r="H114" s="151" t="e">
        <f>+VLOOKUP(E114,$E$14:$L$74,4,FALSE)</f>
        <v>#REF!</v>
      </c>
      <c r="I114" s="29" t="e">
        <f>+#REF!</f>
        <v>#REF!</v>
      </c>
      <c r="J114" s="151" t="e">
        <f>+VLOOKUP(E114,$E$14:$L$74,6,FALSE)</f>
        <v>#REF!</v>
      </c>
      <c r="K114" s="29" t="e">
        <f>+#REF!</f>
        <v>#REF!</v>
      </c>
      <c r="L114" s="151" t="e">
        <f>+VLOOKUP(E114,$E$14:$L$74,8,FALSE)</f>
        <v>#REF!</v>
      </c>
      <c r="M114" s="141" t="e">
        <f t="shared" si="19"/>
        <v>#REF!</v>
      </c>
      <c r="N114" s="165" t="e">
        <f t="shared" si="20"/>
        <v>#REF!</v>
      </c>
      <c r="O114" s="351" t="s">
        <v>502</v>
      </c>
      <c r="P114" s="351"/>
      <c r="R114" s="82"/>
      <c r="S114" s="4"/>
    </row>
    <row r="115" spans="2:19" s="76" customFormat="1" x14ac:dyDescent="0.25">
      <c r="B115" s="85"/>
      <c r="C115" s="2" t="s">
        <v>467</v>
      </c>
      <c r="D115" s="2"/>
      <c r="E115" s="29" t="e">
        <f>+#REF!</f>
        <v>#REF!</v>
      </c>
      <c r="F115" s="29"/>
      <c r="G115" s="80">
        <f>(SUMIFS($O$14:$O$74,$E$14:$E$74,E115,$C$14:$C$74,C115))</f>
        <v>0</v>
      </c>
      <c r="H115" s="151" t="e">
        <f>+VLOOKUP(E115,$E$14:$L$74,4,FALSE)</f>
        <v>#REF!</v>
      </c>
      <c r="I115" s="29" t="e">
        <f>+#REF!</f>
        <v>#REF!</v>
      </c>
      <c r="J115" s="151" t="e">
        <f>+VLOOKUP(E115,$E$14:$L$74,6,FALSE)</f>
        <v>#REF!</v>
      </c>
      <c r="K115" s="29" t="e">
        <f>+#REF!</f>
        <v>#REF!</v>
      </c>
      <c r="L115" s="151" t="e">
        <f>+VLOOKUP(E115,$E$14:$L$74,8,FALSE)</f>
        <v>#REF!</v>
      </c>
      <c r="M115" s="141" t="e">
        <f t="shared" si="19"/>
        <v>#REF!</v>
      </c>
      <c r="N115" s="165" t="e">
        <f t="shared" si="20"/>
        <v>#REF!</v>
      </c>
      <c r="O115" s="351" t="s">
        <v>502</v>
      </c>
      <c r="P115" s="351"/>
      <c r="R115" s="82"/>
      <c r="S115" s="4"/>
    </row>
    <row r="116" spans="2:19" s="76" customFormat="1" x14ac:dyDescent="0.25">
      <c r="B116" s="85"/>
      <c r="C116" s="2" t="s">
        <v>467</v>
      </c>
      <c r="D116" s="2"/>
      <c r="E116" s="29" t="e">
        <f>+#REF!</f>
        <v>#REF!</v>
      </c>
      <c r="F116" s="29"/>
      <c r="G116" s="80">
        <f>(SUMIFS($O$14:$O$74,$E$14:$E$74,E116,$C$14:$C$74,C116))</f>
        <v>0</v>
      </c>
      <c r="H116" s="151" t="e">
        <f>+VLOOKUP(E116,$E$14:$L$74,4,FALSE)</f>
        <v>#REF!</v>
      </c>
      <c r="I116" s="29" t="e">
        <f>+#REF!</f>
        <v>#REF!</v>
      </c>
      <c r="J116" s="151" t="e">
        <f>+VLOOKUP(E116,$E$14:$L$74,6,FALSE)</f>
        <v>#REF!</v>
      </c>
      <c r="K116" s="29" t="e">
        <f>+#REF!</f>
        <v>#REF!</v>
      </c>
      <c r="L116" s="151" t="e">
        <f>+VLOOKUP(E116,$E$14:$L$74,8,FALSE)</f>
        <v>#REF!</v>
      </c>
      <c r="M116" s="141" t="e">
        <f t="shared" si="19"/>
        <v>#REF!</v>
      </c>
      <c r="N116" s="165" t="e">
        <f t="shared" si="20"/>
        <v>#REF!</v>
      </c>
      <c r="O116" s="351" t="s">
        <v>502</v>
      </c>
      <c r="P116" s="351"/>
      <c r="R116" s="82"/>
      <c r="S116" s="4"/>
    </row>
    <row r="117" spans="2:19" s="76" customFormat="1" x14ac:dyDescent="0.25">
      <c r="B117" s="85"/>
      <c r="C117" s="2" t="s">
        <v>467</v>
      </c>
      <c r="D117" s="2"/>
      <c r="E117" s="29" t="e">
        <f>+#REF!</f>
        <v>#REF!</v>
      </c>
      <c r="F117" s="29"/>
      <c r="G117" s="80">
        <f>(SUMIFS($O$14:$O$74,$E$14:$E$74,E117,$C$14:$C$74,C117))</f>
        <v>0</v>
      </c>
      <c r="H117" s="151" t="e">
        <f>+VLOOKUP(E117,$E$14:$L$74,4,FALSE)</f>
        <v>#REF!</v>
      </c>
      <c r="I117" s="29" t="e">
        <f>+#REF!</f>
        <v>#REF!</v>
      </c>
      <c r="J117" s="151" t="e">
        <f>+VLOOKUP(E117,$E$14:$L$74,6,FALSE)</f>
        <v>#REF!</v>
      </c>
      <c r="K117" s="29" t="e">
        <f>+#REF!</f>
        <v>#REF!</v>
      </c>
      <c r="L117" s="151" t="e">
        <f>+VLOOKUP(E117,$E$14:$L$74,8,FALSE)</f>
        <v>#REF!</v>
      </c>
      <c r="M117" s="141" t="e">
        <f t="shared" si="19"/>
        <v>#REF!</v>
      </c>
      <c r="N117" s="165" t="e">
        <f t="shared" si="20"/>
        <v>#REF!</v>
      </c>
      <c r="O117" s="351" t="s">
        <v>502</v>
      </c>
      <c r="P117" s="351"/>
      <c r="R117" s="82"/>
      <c r="S117" s="4"/>
    </row>
    <row r="118" spans="2:19" s="76" customFormat="1" ht="15.75" thickBot="1" x14ac:dyDescent="0.3">
      <c r="B118" s="85"/>
      <c r="C118" s="2"/>
      <c r="D118" s="2"/>
      <c r="E118" s="140"/>
      <c r="F118" s="29"/>
      <c r="G118" s="29"/>
      <c r="H118" s="29"/>
      <c r="I118" s="29"/>
      <c r="J118" s="29"/>
      <c r="K118" s="29"/>
      <c r="L118" s="151"/>
      <c r="N118" s="149"/>
      <c r="O118" s="29"/>
      <c r="R118" s="82"/>
      <c r="S118" s="4"/>
    </row>
    <row r="119" spans="2:19" s="76" customFormat="1" ht="15.75" thickBot="1" x14ac:dyDescent="0.3">
      <c r="B119" s="85"/>
      <c r="C119" s="2"/>
      <c r="D119" s="2"/>
      <c r="E119" s="142"/>
      <c r="F119" s="146"/>
      <c r="G119" s="29"/>
      <c r="H119" s="29"/>
      <c r="I119" s="29"/>
      <c r="J119" s="29"/>
      <c r="K119" s="29"/>
      <c r="L119" s="156" t="s">
        <v>254</v>
      </c>
      <c r="M119" s="159" t="e">
        <f>SUM(M94:M118)</f>
        <v>#REF!</v>
      </c>
      <c r="N119" s="158" t="e">
        <f>SUM(N94:N118)</f>
        <v>#REF!</v>
      </c>
      <c r="O119" s="29"/>
      <c r="R119" s="82"/>
      <c r="S119" s="4"/>
    </row>
    <row r="120" spans="2:19" s="76" customFormat="1" ht="15.75" thickBot="1" x14ac:dyDescent="0.3">
      <c r="B120" s="85"/>
      <c r="C120" s="2"/>
      <c r="D120" s="2"/>
      <c r="E120" s="142"/>
      <c r="F120" s="146"/>
      <c r="G120" s="29"/>
      <c r="H120" s="29"/>
      <c r="I120" s="29"/>
      <c r="J120" s="29"/>
      <c r="K120" s="29"/>
      <c r="N120" s="147"/>
      <c r="O120" s="29"/>
      <c r="R120" s="82"/>
      <c r="S120" s="4"/>
    </row>
    <row r="121" spans="2:19" s="76" customFormat="1" ht="15.75" thickBot="1" x14ac:dyDescent="0.3">
      <c r="B121" s="85"/>
      <c r="C121" s="101" t="s">
        <v>9</v>
      </c>
      <c r="D121" s="160"/>
      <c r="E121" s="161" t="s">
        <v>479</v>
      </c>
      <c r="F121" s="162"/>
      <c r="G121" s="163" t="s">
        <v>177</v>
      </c>
      <c r="H121" s="163" t="s">
        <v>248</v>
      </c>
      <c r="I121" s="163"/>
      <c r="J121" s="163" t="s">
        <v>261</v>
      </c>
      <c r="K121" s="163"/>
      <c r="L121" s="157" t="s">
        <v>249</v>
      </c>
      <c r="M121" s="156" t="s">
        <v>250</v>
      </c>
      <c r="N121" s="161" t="s">
        <v>241</v>
      </c>
      <c r="O121" s="373" t="s">
        <v>481</v>
      </c>
      <c r="P121" s="374"/>
      <c r="R121" s="82"/>
      <c r="S121" s="4"/>
    </row>
    <row r="122" spans="2:19" s="4" customFormat="1" outlineLevel="1" x14ac:dyDescent="0.25">
      <c r="B122" s="85"/>
      <c r="C122" s="2" t="s">
        <v>469</v>
      </c>
      <c r="D122" s="2"/>
      <c r="E122" s="140" t="s">
        <v>483</v>
      </c>
      <c r="F122" s="146"/>
      <c r="G122" s="80">
        <f>((SUMIFS($O$14:$O$74,$E$14:$E$74,'B. DATOS'!$B$42,$C$14:$C$74,C122))*'B. DATOS'!$C$17)+((SUMIFS($O$14:$O$74,$E$14:$E$74,'B. DATOS'!$B$41,$C$14:$C$74,C122))*'B. DATOS'!$C$17)</f>
        <v>0</v>
      </c>
      <c r="H122" s="29" t="s">
        <v>488</v>
      </c>
      <c r="I122" s="29"/>
      <c r="J122" s="29" t="s">
        <v>489</v>
      </c>
      <c r="K122" s="29"/>
      <c r="L122" s="76">
        <f>+'B. DATOS'!$C$23</f>
        <v>33000</v>
      </c>
      <c r="M122" s="141">
        <f>+L122*G122</f>
        <v>0</v>
      </c>
      <c r="N122" s="165">
        <f>+M122/$R$87</f>
        <v>0</v>
      </c>
      <c r="O122" s="351" t="s">
        <v>502</v>
      </c>
      <c r="P122" s="351"/>
      <c r="Q122" s="76"/>
      <c r="R122" s="82"/>
    </row>
    <row r="123" spans="2:19" s="4" customFormat="1" outlineLevel="1" x14ac:dyDescent="0.25">
      <c r="B123" s="85"/>
      <c r="C123" s="2" t="s">
        <v>469</v>
      </c>
      <c r="D123" s="2"/>
      <c r="E123" s="140" t="s">
        <v>623</v>
      </c>
      <c r="F123" s="146"/>
      <c r="G123" s="80">
        <f>(SUMIFS($O$14:$O$74,$E$14:$E$74,'B. DATOS'!$B$41,$C$14:$C$74,C123))*'B. DATOS'!$F$16</f>
        <v>0</v>
      </c>
      <c r="H123" s="29" t="s">
        <v>269</v>
      </c>
      <c r="I123" s="29"/>
      <c r="J123" s="29" t="s">
        <v>489</v>
      </c>
      <c r="K123" s="29"/>
      <c r="L123" s="76">
        <f>+'B. DATOS'!$C$26</f>
        <v>140000</v>
      </c>
      <c r="M123" s="141">
        <f>+L123*G123</f>
        <v>0</v>
      </c>
      <c r="N123" s="165">
        <f>+M123/$R$87</f>
        <v>0</v>
      </c>
      <c r="O123" s="351" t="s">
        <v>502</v>
      </c>
      <c r="P123" s="351"/>
      <c r="Q123" s="76"/>
      <c r="R123" s="82"/>
    </row>
    <row r="124" spans="2:19" s="76" customFormat="1" ht="15.75" outlineLevel="1" thickBot="1" x14ac:dyDescent="0.3">
      <c r="B124" s="85"/>
      <c r="C124" s="2"/>
      <c r="D124" s="2"/>
      <c r="E124" s="86"/>
      <c r="F124" s="29"/>
      <c r="G124" s="29"/>
      <c r="H124" s="29"/>
      <c r="I124" s="29"/>
      <c r="J124" s="29"/>
      <c r="K124" s="29"/>
      <c r="N124" s="29"/>
      <c r="O124" s="29"/>
      <c r="R124" s="82"/>
      <c r="S124" s="4"/>
    </row>
    <row r="125" spans="2:19" s="76" customFormat="1" ht="15.75" outlineLevel="1" thickBot="1" x14ac:dyDescent="0.3">
      <c r="B125" s="85"/>
      <c r="C125" s="2"/>
      <c r="D125" s="2"/>
      <c r="E125" s="86"/>
      <c r="F125" s="29"/>
      <c r="G125" s="29"/>
      <c r="H125" s="29"/>
      <c r="I125" s="29"/>
      <c r="J125" s="29"/>
      <c r="K125" s="29"/>
      <c r="L125" s="156" t="s">
        <v>254</v>
      </c>
      <c r="M125" s="159">
        <f>SUM(M122:M124)</f>
        <v>0</v>
      </c>
      <c r="N125" s="158">
        <f>SUM(N122:N124)</f>
        <v>0</v>
      </c>
      <c r="O125" s="29"/>
      <c r="R125" s="82"/>
      <c r="S125" s="4"/>
    </row>
    <row r="127" spans="2:19" s="76" customFormat="1" ht="15.75" thickBot="1" x14ac:dyDescent="0.3">
      <c r="B127" s="85"/>
      <c r="C127" s="2"/>
      <c r="D127" s="2"/>
      <c r="E127" s="86"/>
      <c r="F127" s="29"/>
      <c r="G127" s="29"/>
      <c r="H127" s="29"/>
      <c r="I127" s="29"/>
      <c r="J127" s="29"/>
      <c r="K127" s="29"/>
      <c r="N127" s="29"/>
      <c r="O127" s="29"/>
      <c r="R127" s="82"/>
      <c r="S127" s="4"/>
    </row>
    <row r="128" spans="2:19" s="76" customFormat="1" ht="15.75" thickBot="1" x14ac:dyDescent="0.3">
      <c r="B128" s="85"/>
      <c r="C128" s="101" t="s">
        <v>9</v>
      </c>
      <c r="D128" s="160"/>
      <c r="E128" s="161" t="s">
        <v>252</v>
      </c>
      <c r="F128" s="162"/>
      <c r="G128" s="163" t="s">
        <v>177</v>
      </c>
      <c r="H128" s="163" t="s">
        <v>248</v>
      </c>
      <c r="I128" s="163"/>
      <c r="J128" s="163" t="s">
        <v>261</v>
      </c>
      <c r="K128" s="163"/>
      <c r="L128" s="157" t="s">
        <v>249</v>
      </c>
      <c r="M128" s="156" t="s">
        <v>250</v>
      </c>
      <c r="N128" s="161" t="s">
        <v>241</v>
      </c>
      <c r="O128" s="373" t="s">
        <v>481</v>
      </c>
      <c r="P128" s="374"/>
      <c r="R128" s="82"/>
      <c r="S128" s="4"/>
    </row>
    <row r="129" spans="2:19" s="76" customFormat="1" x14ac:dyDescent="0.25">
      <c r="B129" s="85"/>
      <c r="C129" s="2" t="s">
        <v>467</v>
      </c>
      <c r="D129" s="2"/>
      <c r="E129" s="140" t="str">
        <f>+E20</f>
        <v>Punto hidráulico</v>
      </c>
      <c r="F129" s="29"/>
      <c r="G129" s="80">
        <f>(SUMIFS($O$14:$O$74,$E$14:$E$74,E129,$C$14:$C$74,C129))</f>
        <v>10</v>
      </c>
      <c r="H129" s="151" t="str">
        <f>+VLOOKUP(E129,$E$14:$L$74,4,FALSE)</f>
        <v>PTO</v>
      </c>
      <c r="I129" s="29" t="e">
        <f>+#REF!</f>
        <v>#REF!</v>
      </c>
      <c r="J129" s="151" t="str">
        <f>+VLOOKUP(E129,$E$14:$L$74,6,FALSE)</f>
        <v>I.POTABLE</v>
      </c>
      <c r="K129" s="29" t="e">
        <f>+#REF!</f>
        <v>#REF!</v>
      </c>
      <c r="L129" s="151">
        <f>+VLOOKUP(E129,$E$14:$L$74,8,FALSE)</f>
        <v>55000</v>
      </c>
      <c r="M129" s="141">
        <f t="shared" ref="M129:M134" si="21">+L129*G129</f>
        <v>550000</v>
      </c>
      <c r="N129" s="165">
        <f t="shared" ref="N129:N134" si="22">+M129/$R$87</f>
        <v>6.0003532304653412E-3</v>
      </c>
      <c r="O129" s="351" t="s">
        <v>502</v>
      </c>
      <c r="P129" s="351"/>
      <c r="R129" s="82"/>
      <c r="S129" s="4"/>
    </row>
    <row r="130" spans="2:19" s="76" customFormat="1" x14ac:dyDescent="0.25">
      <c r="B130" s="85"/>
      <c r="C130" s="2" t="s">
        <v>467</v>
      </c>
      <c r="D130" s="2"/>
      <c r="E130" s="140" t="str">
        <f>+E33</f>
        <v>Instalación tablero 6 circuitos</v>
      </c>
      <c r="F130" s="29"/>
      <c r="G130" s="80">
        <f>(SUMIFS($O$14:$O$74,$E$14:$E$74,E130,$C$14:$C$74,C130))</f>
        <v>1.5</v>
      </c>
      <c r="H130" s="151" t="str">
        <f>+VLOOKUP(E130,$E$14:$L$74,4,FALSE)</f>
        <v>PTO</v>
      </c>
      <c r="I130" s="29" t="e">
        <f>+#REF!</f>
        <v>#REF!</v>
      </c>
      <c r="J130" s="151" t="str">
        <f>+VLOOKUP(E130,$E$14:$L$74,6,FALSE)</f>
        <v>I.ELECTRICA</v>
      </c>
      <c r="K130" s="29" t="e">
        <f>+#REF!</f>
        <v>#REF!</v>
      </c>
      <c r="L130" s="151">
        <f>+VLOOKUP(E130,$E$14:$L$74,8,FALSE)</f>
        <v>330000</v>
      </c>
      <c r="M130" s="141">
        <f t="shared" si="21"/>
        <v>495000</v>
      </c>
      <c r="N130" s="165">
        <f t="shared" si="22"/>
        <v>5.4003179074188067E-3</v>
      </c>
      <c r="O130" s="351" t="s">
        <v>502</v>
      </c>
      <c r="P130" s="351"/>
      <c r="R130" s="82"/>
      <c r="S130" s="4"/>
    </row>
    <row r="131" spans="2:19" s="76" customFormat="1" x14ac:dyDescent="0.25">
      <c r="B131" s="85"/>
      <c r="C131" s="2" t="s">
        <v>467</v>
      </c>
      <c r="D131" s="2"/>
      <c r="E131" s="140" t="str">
        <f>+E34</f>
        <v>Punto eléctrico</v>
      </c>
      <c r="F131" s="29"/>
      <c r="G131" s="80">
        <f>(SUMIFS($O$14:$O$74,$E$14:$E$74,E131,$C$14:$C$74,C131))</f>
        <v>84</v>
      </c>
      <c r="H131" s="151" t="str">
        <f>+VLOOKUP(E131,$E$14:$L$74,4,FALSE)</f>
        <v>PTO</v>
      </c>
      <c r="I131" s="29" t="e">
        <f>+#REF!</f>
        <v>#REF!</v>
      </c>
      <c r="J131" s="151" t="str">
        <f>+VLOOKUP(E131,$E$14:$L$74,6,FALSE)</f>
        <v>I.ELECTRICA</v>
      </c>
      <c r="K131" s="29" t="e">
        <f>+#REF!</f>
        <v>#REF!</v>
      </c>
      <c r="L131" s="151">
        <f>+VLOOKUP(E131,$E$14:$L$74,8,FALSE)</f>
        <v>55000</v>
      </c>
      <c r="M131" s="141">
        <f t="shared" si="21"/>
        <v>4620000</v>
      </c>
      <c r="N131" s="165">
        <f t="shared" si="22"/>
        <v>5.040296713590886E-2</v>
      </c>
      <c r="O131" s="351" t="s">
        <v>503</v>
      </c>
      <c r="P131" s="351"/>
      <c r="R131" s="82"/>
      <c r="S131" s="4"/>
    </row>
    <row r="132" spans="2:19" s="76" customFormat="1" x14ac:dyDescent="0.25">
      <c r="B132" s="85"/>
      <c r="C132" s="2" t="s">
        <v>467</v>
      </c>
      <c r="D132" s="2"/>
      <c r="E132" s="140" t="str">
        <f>+E47</f>
        <v>Esterillado</v>
      </c>
      <c r="F132" s="29"/>
      <c r="G132" s="80">
        <f>(SUMIFS($O$14:$O$74,$E$14:$E$74,E132,$C$14:$C$74,C132))</f>
        <v>0</v>
      </c>
      <c r="H132" s="151" t="str">
        <f>+VLOOKUP(E132,$E$14:$L$74,4,FALSE)</f>
        <v>M2</v>
      </c>
      <c r="I132" s="29" t="e">
        <f>+#REF!</f>
        <v>#REF!</v>
      </c>
      <c r="J132" s="151" t="str">
        <f>+VLOOKUP(E132,$E$14:$L$74,6,FALSE)</f>
        <v>I.GUADUA</v>
      </c>
      <c r="K132" s="29" t="e">
        <f>+#REF!</f>
        <v>#REF!</v>
      </c>
      <c r="L132" s="151">
        <f>+VLOOKUP(E132,$E$14:$L$74,8,FALSE)</f>
        <v>12500</v>
      </c>
      <c r="M132" s="141">
        <f t="shared" si="21"/>
        <v>0</v>
      </c>
      <c r="N132" s="165">
        <f t="shared" si="22"/>
        <v>0</v>
      </c>
      <c r="O132" s="351" t="s">
        <v>504</v>
      </c>
      <c r="P132" s="351"/>
      <c r="R132" s="82"/>
      <c r="S132" s="4"/>
    </row>
    <row r="133" spans="2:19" s="76" customFormat="1" x14ac:dyDescent="0.25">
      <c r="B133" s="85"/>
      <c r="C133" s="2" t="s">
        <v>467</v>
      </c>
      <c r="D133" s="2"/>
      <c r="E133" s="140" t="e">
        <f>+#REF!</f>
        <v>#REF!</v>
      </c>
      <c r="F133" s="29"/>
      <c r="G133" s="80">
        <f>(SUMIFS($O$14:$O$74,$E$14:$E$74,E133,$C$14:$C$74,C133))</f>
        <v>0</v>
      </c>
      <c r="H133" s="151" t="e">
        <f>+VLOOKUP(E133,$E$14:$L$74,4,FALSE)</f>
        <v>#REF!</v>
      </c>
      <c r="I133" s="29" t="e">
        <f>+#REF!</f>
        <v>#REF!</v>
      </c>
      <c r="J133" s="151" t="e">
        <f>+VLOOKUP(E133,$E$14:$L$74,6,FALSE)</f>
        <v>#REF!</v>
      </c>
      <c r="K133" s="29" t="e">
        <f>+#REF!</f>
        <v>#REF!</v>
      </c>
      <c r="L133" s="151" t="e">
        <f>+VLOOKUP(E133,$E$14:$L$74,8,FALSE)</f>
        <v>#REF!</v>
      </c>
      <c r="M133" s="141" t="e">
        <f t="shared" si="21"/>
        <v>#REF!</v>
      </c>
      <c r="N133" s="165" t="e">
        <f t="shared" si="22"/>
        <v>#REF!</v>
      </c>
      <c r="O133" s="351" t="s">
        <v>504</v>
      </c>
      <c r="P133" s="351"/>
      <c r="R133" s="82"/>
      <c r="S133" s="4"/>
    </row>
    <row r="134" spans="2:19" s="76" customFormat="1" x14ac:dyDescent="0.25">
      <c r="B134" s="85"/>
      <c r="C134" s="2" t="s">
        <v>467</v>
      </c>
      <c r="D134" s="2"/>
      <c r="E134" s="140" t="e">
        <f>+#REF!</f>
        <v>#REF!</v>
      </c>
      <c r="F134" s="29"/>
      <c r="G134" s="80">
        <f>(SUMIFS($O$14:$O$74,$E$14:$E$74,E134,$C$14:$C$74,C134))</f>
        <v>0</v>
      </c>
      <c r="H134" s="151" t="e">
        <f>+VLOOKUP(E134,$E$14:$L$74,4,FALSE)</f>
        <v>#REF!</v>
      </c>
      <c r="I134" s="29" t="e">
        <f>+#REF!</f>
        <v>#REF!</v>
      </c>
      <c r="J134" s="151" t="e">
        <f>+VLOOKUP(E134,$E$14:$L$74,6,FALSE)</f>
        <v>#REF!</v>
      </c>
      <c r="K134" s="29" t="e">
        <f>+#REF!</f>
        <v>#REF!</v>
      </c>
      <c r="L134" s="151" t="e">
        <f>+VLOOKUP(E134,$E$14:$L$74,8,FALSE)</f>
        <v>#REF!</v>
      </c>
      <c r="M134" s="141" t="e">
        <f t="shared" si="21"/>
        <v>#REF!</v>
      </c>
      <c r="N134" s="165" t="e">
        <f t="shared" si="22"/>
        <v>#REF!</v>
      </c>
      <c r="O134" s="351" t="s">
        <v>1433</v>
      </c>
      <c r="P134" s="351"/>
      <c r="R134" s="82"/>
      <c r="S134" s="4"/>
    </row>
    <row r="135" spans="2:19" s="76" customFormat="1" ht="15.75" thickBot="1" x14ac:dyDescent="0.3">
      <c r="B135" s="85"/>
      <c r="C135" s="2"/>
      <c r="D135" s="2"/>
      <c r="E135" s="86"/>
      <c r="F135" s="29"/>
      <c r="G135" s="29"/>
      <c r="H135" s="29"/>
      <c r="I135" s="29"/>
      <c r="J135" s="29"/>
      <c r="K135" s="29"/>
      <c r="M135" s="151"/>
      <c r="N135" s="164"/>
      <c r="O135" s="29"/>
      <c r="R135" s="82"/>
      <c r="S135" s="4"/>
    </row>
    <row r="136" spans="2:19" s="76" customFormat="1" ht="15.75" thickBot="1" x14ac:dyDescent="0.3">
      <c r="B136" s="85"/>
      <c r="C136" s="2"/>
      <c r="D136" s="2"/>
      <c r="E136" s="86"/>
      <c r="F136" s="29"/>
      <c r="G136" s="29"/>
      <c r="H136" s="29"/>
      <c r="I136" s="29"/>
      <c r="J136" s="29"/>
      <c r="K136" s="29"/>
      <c r="L136" s="156" t="s">
        <v>254</v>
      </c>
      <c r="M136" s="159" t="e">
        <f>SUM(M129:M135)</f>
        <v>#REF!</v>
      </c>
      <c r="N136" s="158" t="e">
        <f>SUM(N129:N135)</f>
        <v>#REF!</v>
      </c>
      <c r="O136" s="29"/>
      <c r="R136" s="82"/>
      <c r="S136" s="4"/>
    </row>
    <row r="137" spans="2:19" s="76" customFormat="1" ht="15.75" thickBot="1" x14ac:dyDescent="0.3">
      <c r="B137" s="85"/>
      <c r="C137" s="2"/>
      <c r="D137" s="2"/>
      <c r="E137" s="86"/>
      <c r="F137" s="29"/>
      <c r="G137" s="29"/>
      <c r="H137" s="29"/>
      <c r="I137" s="29"/>
      <c r="J137" s="29"/>
      <c r="K137" s="29"/>
      <c r="M137" s="151"/>
      <c r="N137" s="164"/>
      <c r="O137" s="29"/>
      <c r="R137" s="82"/>
      <c r="S137" s="4"/>
    </row>
    <row r="138" spans="2:19" s="76" customFormat="1" ht="15.75" thickBot="1" x14ac:dyDescent="0.3">
      <c r="B138" s="85"/>
      <c r="C138" s="101" t="s">
        <v>9</v>
      </c>
      <c r="D138" s="160"/>
      <c r="E138" s="161" t="s">
        <v>252</v>
      </c>
      <c r="F138" s="162"/>
      <c r="G138" s="163" t="s">
        <v>177</v>
      </c>
      <c r="H138" s="163" t="s">
        <v>248</v>
      </c>
      <c r="I138" s="163"/>
      <c r="J138" s="163" t="s">
        <v>261</v>
      </c>
      <c r="K138" s="163"/>
      <c r="L138" s="157" t="s">
        <v>249</v>
      </c>
      <c r="M138" s="156" t="s">
        <v>250</v>
      </c>
      <c r="N138" s="161" t="s">
        <v>241</v>
      </c>
      <c r="O138" s="373" t="s">
        <v>481</v>
      </c>
      <c r="P138" s="374"/>
      <c r="R138" s="82"/>
      <c r="S138" s="4"/>
    </row>
    <row r="139" spans="2:19" s="76" customFormat="1" outlineLevel="1" x14ac:dyDescent="0.25">
      <c r="B139" s="85"/>
      <c r="C139" s="2" t="s">
        <v>469</v>
      </c>
      <c r="D139" s="2"/>
      <c r="E139" s="140" t="e">
        <f>+#REF!</f>
        <v>#REF!</v>
      </c>
      <c r="F139" s="29"/>
      <c r="G139" s="80">
        <f>(SUMIFS($O$14:$O$74,$E$14:$E$74,E139,$C$14:$C$74,C139))</f>
        <v>0</v>
      </c>
      <c r="H139" s="151" t="e">
        <f>+VLOOKUP(E139,$E$14:$L$74,4,FALSE)</f>
        <v>#REF!</v>
      </c>
      <c r="I139" s="29" t="e">
        <f>+#REF!</f>
        <v>#REF!</v>
      </c>
      <c r="J139" s="151" t="e">
        <f>+VLOOKUP(E139,$E$14:$L$74,6,FALSE)</f>
        <v>#REF!</v>
      </c>
      <c r="K139" s="29" t="e">
        <f>+#REF!</f>
        <v>#REF!</v>
      </c>
      <c r="L139" s="151" t="e">
        <f>+VLOOKUP(E139,$E$14:$L$74,8,FALSE)</f>
        <v>#REF!</v>
      </c>
      <c r="M139" s="141" t="e">
        <f>+L139*G139</f>
        <v>#REF!</v>
      </c>
      <c r="N139" s="165" t="e">
        <f>+M139/$R$87</f>
        <v>#REF!</v>
      </c>
      <c r="O139" s="351" t="s">
        <v>617</v>
      </c>
      <c r="P139" s="351"/>
      <c r="R139" s="82"/>
      <c r="S139" s="4"/>
    </row>
    <row r="140" spans="2:19" s="76" customFormat="1" ht="15.75" outlineLevel="1" thickBot="1" x14ac:dyDescent="0.3">
      <c r="B140" s="85"/>
      <c r="C140" s="2"/>
      <c r="D140" s="2"/>
      <c r="E140" s="86"/>
      <c r="F140" s="29"/>
      <c r="G140" s="29"/>
      <c r="H140" s="29"/>
      <c r="I140" s="29"/>
      <c r="J140" s="29"/>
      <c r="K140" s="29"/>
      <c r="M140" s="151"/>
      <c r="N140" s="164"/>
      <c r="O140" s="29"/>
      <c r="R140" s="82"/>
      <c r="S140" s="4"/>
    </row>
    <row r="141" spans="2:19" s="76" customFormat="1" ht="15.75" outlineLevel="1" thickBot="1" x14ac:dyDescent="0.3">
      <c r="B141" s="85"/>
      <c r="C141" s="2"/>
      <c r="D141" s="2"/>
      <c r="E141" s="86"/>
      <c r="F141" s="29"/>
      <c r="G141" s="29"/>
      <c r="H141" s="29"/>
      <c r="I141" s="29"/>
      <c r="J141" s="29"/>
      <c r="K141" s="29"/>
      <c r="L141" s="156" t="s">
        <v>254</v>
      </c>
      <c r="M141" s="159" t="e">
        <f>SUM(M139:M140)</f>
        <v>#REF!</v>
      </c>
      <c r="N141" s="158" t="e">
        <f>SUM(N139:N140)</f>
        <v>#REF!</v>
      </c>
      <c r="O141" s="29"/>
      <c r="R141" s="82"/>
      <c r="S141" s="4"/>
    </row>
  </sheetData>
  <autoFilter ref="B2:T3" xr:uid="{6AC6922C-3486-4FA7-BFAB-9771907D8599}"/>
  <mergeCells count="92">
    <mergeCell ref="D70:E70"/>
    <mergeCell ref="D71:E71"/>
    <mergeCell ref="N72:N73"/>
    <mergeCell ref="D48:E48"/>
    <mergeCell ref="N49:N59"/>
    <mergeCell ref="D65:E65"/>
    <mergeCell ref="N66:N69"/>
    <mergeCell ref="D60:E60"/>
    <mergeCell ref="N61:N64"/>
    <mergeCell ref="D4:E4"/>
    <mergeCell ref="D5:E5"/>
    <mergeCell ref="N6:N13"/>
    <mergeCell ref="D14:E14"/>
    <mergeCell ref="D22:E22"/>
    <mergeCell ref="D15:E15"/>
    <mergeCell ref="D35:E35"/>
    <mergeCell ref="D36:E36"/>
    <mergeCell ref="D21:E21"/>
    <mergeCell ref="T2:T3"/>
    <mergeCell ref="N37:N47"/>
    <mergeCell ref="N2:N3"/>
    <mergeCell ref="O2:O3"/>
    <mergeCell ref="P2:P3"/>
    <mergeCell ref="Q2:Q3"/>
    <mergeCell ref="R2:R3"/>
    <mergeCell ref="S2:S3"/>
    <mergeCell ref="N23:N34"/>
    <mergeCell ref="N16:N20"/>
    <mergeCell ref="O139:P139"/>
    <mergeCell ref="O134:P134"/>
    <mergeCell ref="O128:P128"/>
    <mergeCell ref="O101:P101"/>
    <mergeCell ref="O138:P138"/>
    <mergeCell ref="O133:P133"/>
    <mergeCell ref="O129:P129"/>
    <mergeCell ref="O130:P130"/>
    <mergeCell ref="O131:P131"/>
    <mergeCell ref="O132:P132"/>
    <mergeCell ref="O110:P110"/>
    <mergeCell ref="O103:P103"/>
    <mergeCell ref="O104:P104"/>
    <mergeCell ref="O105:P105"/>
    <mergeCell ref="O106:P106"/>
    <mergeCell ref="O107:P107"/>
    <mergeCell ref="F91:K91"/>
    <mergeCell ref="N91:O91"/>
    <mergeCell ref="O116:P116"/>
    <mergeCell ref="O117:P117"/>
    <mergeCell ref="O114:P114"/>
    <mergeCell ref="O115:P115"/>
    <mergeCell ref="O111:P111"/>
    <mergeCell ref="O112:P112"/>
    <mergeCell ref="O113:P113"/>
    <mergeCell ref="O98:P98"/>
    <mergeCell ref="O96:P96"/>
    <mergeCell ref="O93:P93"/>
    <mergeCell ref="O99:P99"/>
    <mergeCell ref="O108:P108"/>
    <mergeCell ref="O109:P109"/>
    <mergeCell ref="N76:O76"/>
    <mergeCell ref="O123:P123"/>
    <mergeCell ref="O121:P121"/>
    <mergeCell ref="O122:P122"/>
    <mergeCell ref="N82:O82"/>
    <mergeCell ref="N83:O83"/>
    <mergeCell ref="O102:P102"/>
    <mergeCell ref="N84:O84"/>
    <mergeCell ref="N85:O85"/>
    <mergeCell ref="O100:P100"/>
    <mergeCell ref="N77:O77"/>
    <mergeCell ref="N78:O78"/>
    <mergeCell ref="N79:O79"/>
    <mergeCell ref="O97:P97"/>
    <mergeCell ref="O94:P94"/>
    <mergeCell ref="O95:P95"/>
    <mergeCell ref="B1:M1"/>
    <mergeCell ref="B2:B3"/>
    <mergeCell ref="C2:C3"/>
    <mergeCell ref="D2:D3"/>
    <mergeCell ref="E2:E3"/>
    <mergeCell ref="F2:F3"/>
    <mergeCell ref="G2:G3"/>
    <mergeCell ref="H2:H3"/>
    <mergeCell ref="J2:J3"/>
    <mergeCell ref="L2:L3"/>
    <mergeCell ref="M2:M3"/>
    <mergeCell ref="F89:K89"/>
    <mergeCell ref="N89:O89"/>
    <mergeCell ref="F90:K90"/>
    <mergeCell ref="N90:O90"/>
    <mergeCell ref="N80:O80"/>
    <mergeCell ref="N81:O81"/>
  </mergeCells>
  <phoneticPr fontId="7" type="noConversion"/>
  <conditionalFormatting sqref="N94:N117 N129:N134">
    <cfRule type="cellIs" dxfId="5" priority="7" operator="greaterThan">
      <formula>0.02</formula>
    </cfRule>
  </conditionalFormatting>
  <conditionalFormatting sqref="N122:N123">
    <cfRule type="cellIs" dxfId="4" priority="2" operator="greaterThan">
      <formula>0.02</formula>
    </cfRule>
  </conditionalFormatting>
  <conditionalFormatting sqref="N139">
    <cfRule type="cellIs" dxfId="3" priority="1" operator="greaterThan">
      <formula>0.02</formula>
    </cfRule>
  </conditionalFormatting>
  <dataValidations count="4">
    <dataValidation type="list" allowBlank="1" showInputMessage="1" showErrorMessage="1" sqref="E16:E20 E23:E34 E6:E13 E72:E73 E49:E59 E37:E47 E61:E64 E66:E69" xr:uid="{6AE73A54-A6D4-42A9-A526-18C99DA7D660}">
      <formula1>INDIRECT($J6)</formula1>
    </dataValidation>
    <dataValidation type="list" allowBlank="1" showInputMessage="1" showErrorMessage="1" sqref="J16:J20 J23:J34 J6:J13 J72:J73 J49:J59 J37:J47 J61:J64 J66:J69" xr:uid="{B7D4D014-5612-4EA3-947A-897FB25E1912}">
      <formula1>INDIRECT($D6)</formula1>
    </dataValidation>
    <dataValidation type="list" allowBlank="1" showInputMessage="1" showErrorMessage="1" sqref="D16:D20 D23:D34 D6:D13 D72:D73 D49:D59 D37:D47 D61:D64 D66:D69" xr:uid="{4198F68A-2F05-425E-95AB-122F9A738C1A}">
      <formula1>TIPO</formula1>
    </dataValidation>
    <dataValidation type="list" allowBlank="1" showInputMessage="1" showErrorMessage="1" sqref="C15:C20 C22:C34 C36:C69 C71:C73 C5:C13" xr:uid="{6C41E705-0DDE-4449-BE01-3FEEFA72424E}">
      <formula1>ESPACIO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BC41-21B2-456E-8EC0-8544619AD66D}">
  <sheetPr codeName="Hoja9"/>
  <dimension ref="B1:U239"/>
  <sheetViews>
    <sheetView zoomScale="90" zoomScaleNormal="9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E86" sqref="E86"/>
    </sheetView>
  </sheetViews>
  <sheetFormatPr baseColWidth="10" defaultRowHeight="15" outlineLevelRow="1" x14ac:dyDescent="0.25"/>
  <cols>
    <col min="1" max="1" width="2.28515625" customWidth="1"/>
    <col min="2" max="2" width="9.140625" style="85" customWidth="1"/>
    <col min="3" max="3" width="10.140625" style="2" customWidth="1"/>
    <col min="4" max="4" width="16.28515625" style="2" customWidth="1"/>
    <col min="5" max="5" width="31.140625" style="86" customWidth="1"/>
    <col min="6" max="6" width="13.28515625" style="29" customWidth="1"/>
    <col min="7" max="7" width="12.5703125" style="29" customWidth="1"/>
    <col min="8" max="8" width="9.5703125" style="29" customWidth="1"/>
    <col min="9" max="9" width="0.85546875" style="29" customWidth="1"/>
    <col min="10" max="10" width="11.42578125" style="29"/>
    <col min="11" max="11" width="0.7109375" style="29" customWidth="1"/>
    <col min="12" max="12" width="16.7109375" style="76" customWidth="1"/>
    <col min="13" max="13" width="17" style="76" customWidth="1"/>
    <col min="14" max="14" width="12.42578125" style="29" customWidth="1"/>
    <col min="15" max="15" width="12.28515625" style="29" customWidth="1"/>
    <col min="16" max="16" width="19.7109375" style="76" customWidth="1"/>
    <col min="17" max="17" width="23.42578125" style="76" customWidth="1"/>
    <col min="18" max="18" width="18.140625" style="82" customWidth="1"/>
    <col min="19" max="19" width="16.42578125" style="4" customWidth="1"/>
  </cols>
  <sheetData>
    <row r="1" spans="2:21" ht="15" customHeight="1" thickBot="1" x14ac:dyDescent="0.3">
      <c r="B1" s="381" t="s">
        <v>245</v>
      </c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R1" s="81"/>
    </row>
    <row r="2" spans="2:21" ht="29.25" customHeight="1" x14ac:dyDescent="0.25">
      <c r="B2" s="384" t="s">
        <v>247</v>
      </c>
      <c r="C2" s="384" t="s">
        <v>9</v>
      </c>
      <c r="D2" s="384" t="s">
        <v>276</v>
      </c>
      <c r="E2" s="382" t="s">
        <v>246</v>
      </c>
      <c r="F2" s="386" t="s">
        <v>11</v>
      </c>
      <c r="G2" s="382" t="s">
        <v>177</v>
      </c>
      <c r="H2" s="382" t="s">
        <v>248</v>
      </c>
      <c r="I2" s="108"/>
      <c r="J2" s="382" t="s">
        <v>261</v>
      </c>
      <c r="K2" s="108"/>
      <c r="L2" s="393" t="s">
        <v>249</v>
      </c>
      <c r="M2" s="393" t="s">
        <v>250</v>
      </c>
      <c r="N2" s="382" t="s">
        <v>253</v>
      </c>
      <c r="O2" s="382" t="s">
        <v>281</v>
      </c>
      <c r="P2" s="393" t="s">
        <v>255</v>
      </c>
      <c r="Q2" s="402" t="s">
        <v>256</v>
      </c>
      <c r="R2" s="382" t="s">
        <v>254</v>
      </c>
      <c r="S2" s="391" t="s">
        <v>363</v>
      </c>
      <c r="T2" s="391" t="s">
        <v>795</v>
      </c>
    </row>
    <row r="3" spans="2:21" ht="15.75" thickBot="1" x14ac:dyDescent="0.3">
      <c r="B3" s="385"/>
      <c r="C3" s="385"/>
      <c r="D3" s="385"/>
      <c r="E3" s="383"/>
      <c r="F3" s="387"/>
      <c r="G3" s="383"/>
      <c r="H3" s="383"/>
      <c r="I3" s="169"/>
      <c r="J3" s="383"/>
      <c r="K3" s="169"/>
      <c r="L3" s="394"/>
      <c r="M3" s="394"/>
      <c r="N3" s="383"/>
      <c r="O3" s="383"/>
      <c r="P3" s="394"/>
      <c r="Q3" s="403"/>
      <c r="R3" s="383"/>
      <c r="S3" s="392"/>
      <c r="T3" s="392"/>
    </row>
    <row r="4" spans="2:21" s="39" customFormat="1" x14ac:dyDescent="0.25">
      <c r="B4" s="109">
        <v>1</v>
      </c>
      <c r="C4" s="143"/>
      <c r="D4" s="375" t="s">
        <v>353</v>
      </c>
      <c r="E4" s="376"/>
      <c r="F4" s="125"/>
      <c r="G4" s="125"/>
      <c r="H4" s="125"/>
      <c r="I4" s="125"/>
      <c r="J4" s="125"/>
      <c r="K4" s="125"/>
      <c r="L4" s="126"/>
      <c r="M4" s="126"/>
      <c r="N4" s="125"/>
      <c r="O4" s="125"/>
      <c r="P4" s="126">
        <f>P5+P15+P25+P35+P10+P20+P30</f>
        <v>4404007.3745238101</v>
      </c>
      <c r="Q4" s="126">
        <f>Q5+Q15+Q25+Q35+Q10+Q20+Q30</f>
        <v>4384290</v>
      </c>
      <c r="R4" s="127">
        <f>Q4+P4</f>
        <v>8788297.374523811</v>
      </c>
      <c r="S4" s="128"/>
      <c r="T4" s="182">
        <f>+T5+T15+T25</f>
        <v>1.2232760924399514E-2</v>
      </c>
    </row>
    <row r="5" spans="2:21" s="39" customFormat="1" ht="30" customHeight="1" x14ac:dyDescent="0.25">
      <c r="B5" s="110">
        <v>1.1000000000000001</v>
      </c>
      <c r="C5" s="144" t="s">
        <v>1812</v>
      </c>
      <c r="D5" s="377" t="s">
        <v>1266</v>
      </c>
      <c r="E5" s="378"/>
      <c r="F5" s="121"/>
      <c r="G5" s="121"/>
      <c r="H5" s="121"/>
      <c r="I5" s="121"/>
      <c r="J5" s="121"/>
      <c r="K5" s="121"/>
      <c r="L5" s="122"/>
      <c r="M5" s="122"/>
      <c r="N5" s="121"/>
      <c r="O5" s="121"/>
      <c r="P5" s="122">
        <f>+SUM(P6:P9)</f>
        <v>1442919.8</v>
      </c>
      <c r="Q5" s="122">
        <f>+SUM(Q6:Q9)</f>
        <v>2148560</v>
      </c>
      <c r="R5" s="123">
        <f>+P5+Q5</f>
        <v>3591479.8</v>
      </c>
      <c r="S5" s="166">
        <f>+R5/G9</f>
        <v>13372.602301076069</v>
      </c>
      <c r="T5" s="181" cm="1">
        <f t="array" ref="T5:U5">+R5/'1. GENERAL'!$E$31:$F$31</f>
        <v>7.3455418742831248E-3</v>
      </c>
      <c r="U5" s="39" t="e">
        <v>#DIV/0!</v>
      </c>
    </row>
    <row r="6" spans="2:21" x14ac:dyDescent="0.25">
      <c r="B6" s="83" t="s">
        <v>258</v>
      </c>
      <c r="C6" s="145" t="s">
        <v>1812</v>
      </c>
      <c r="D6" s="145" t="s">
        <v>251</v>
      </c>
      <c r="E6" s="84" t="s">
        <v>566</v>
      </c>
      <c r="G6" s="89">
        <f>+(((('2. CANTIDADES'!JQ30+'2. CANTIDADES'!KA22+'2. CANTIDADES'!KU42+'2. CANTIDADES'!KA30+'2. CANTIDADES'!LE12+'2. CANTIDADES'!NW17+'2. CANTIDADES'!PK42+'2. CANTIDADES'!PU9+'2. CANTIDADES'!LA8)*0.3)/40)*3)*1.05</f>
        <v>2.9382412499999995</v>
      </c>
      <c r="H6" s="77" t="str">
        <f>VLOOKUP(E6,'B. DATOS'!$B$34:$E$622,2,FALSE)</f>
        <v>GL</v>
      </c>
      <c r="J6" s="29" t="s">
        <v>565</v>
      </c>
      <c r="L6" s="78">
        <f>VLOOKUP(E6,'B. DATOS'!$B$34:$E$622,4,FALSE)</f>
        <v>120000</v>
      </c>
      <c r="M6" s="76">
        <f>+L6*G6</f>
        <v>352588.94999999995</v>
      </c>
      <c r="N6" s="351">
        <v>1</v>
      </c>
      <c r="O6" s="80">
        <f>+G6*$N$6</f>
        <v>2.9382412499999995</v>
      </c>
      <c r="P6" s="76">
        <f>+M6*$N$6</f>
        <v>352588.94999999995</v>
      </c>
    </row>
    <row r="7" spans="2:21" x14ac:dyDescent="0.25">
      <c r="B7" s="83" t="s">
        <v>507</v>
      </c>
      <c r="C7" s="145" t="s">
        <v>1812</v>
      </c>
      <c r="D7" s="145" t="s">
        <v>251</v>
      </c>
      <c r="E7" s="84" t="s">
        <v>560</v>
      </c>
      <c r="G7" s="89">
        <f>+((((G9)*0.7)/24)*2)*1.05</f>
        <v>16.4499125</v>
      </c>
      <c r="H7" s="77" t="str">
        <f>VLOOKUP(E7,'B. DATOS'!$B$34:$E$622,2,FALSE)</f>
        <v>GL</v>
      </c>
      <c r="J7" s="29" t="s">
        <v>565</v>
      </c>
      <c r="L7" s="78">
        <f>VLOOKUP(E7,'B. DATOS'!$B$34:$E$622,4,FALSE)</f>
        <v>40000</v>
      </c>
      <c r="M7" s="76">
        <f>+L7*G7</f>
        <v>657996.5</v>
      </c>
      <c r="N7" s="351"/>
      <c r="O7" s="80">
        <f>+G7*$N$6</f>
        <v>16.4499125</v>
      </c>
      <c r="P7" s="76">
        <f>+M7*$N$6</f>
        <v>657996.5</v>
      </c>
    </row>
    <row r="8" spans="2:21" x14ac:dyDescent="0.25">
      <c r="B8" s="83" t="s">
        <v>546</v>
      </c>
      <c r="C8" s="145" t="s">
        <v>1812</v>
      </c>
      <c r="D8" s="145" t="s">
        <v>251</v>
      </c>
      <c r="E8" s="84" t="s">
        <v>561</v>
      </c>
      <c r="G8" s="89">
        <f>+((('2. CANTIDADES'!JQ22+Tabla5202122242526104[[#This Row],[TOTAL]]+'2. CANTIDADES'!KU34+'2. CANTIDADES'!LO7+'2. CANTIDADES'!MI25+'2. CANTIDADES'!MS10+'2. CANTIDADES'!NM9+'2. CANTIDADES'!OG10+'2. CANTIDADES'!QE32)*0.7)/20)*1.05</f>
        <v>6.1762050000000004</v>
      </c>
      <c r="H8" s="77" t="str">
        <f>VLOOKUP(E8,'B. DATOS'!$B$34:$E$622,2,FALSE)</f>
        <v>GL</v>
      </c>
      <c r="J8" s="29" t="s">
        <v>565</v>
      </c>
      <c r="L8" s="78">
        <f>VLOOKUP(E8,'B. DATOS'!$B$34:$E$622,4,FALSE)</f>
        <v>70000</v>
      </c>
      <c r="M8" s="76">
        <f>+L8*G8</f>
        <v>432334.35000000003</v>
      </c>
      <c r="N8" s="351"/>
      <c r="O8" s="80">
        <f>+G8*$N$6</f>
        <v>6.1762050000000004</v>
      </c>
      <c r="P8" s="76">
        <f>+M8*$N$6</f>
        <v>432334.35000000003</v>
      </c>
    </row>
    <row r="9" spans="2:21" x14ac:dyDescent="0.25">
      <c r="B9" s="83" t="s">
        <v>547</v>
      </c>
      <c r="C9" s="145" t="s">
        <v>1812</v>
      </c>
      <c r="D9" s="145" t="s">
        <v>778</v>
      </c>
      <c r="E9" s="84" t="s">
        <v>562</v>
      </c>
      <c r="G9" s="89">
        <f>+'4. CD - Obra gris'!G44</f>
        <v>268.57</v>
      </c>
      <c r="H9" s="77" t="str">
        <f>VLOOKUP(E9,'B. DATOS'!$B$34:$E$622,2,FALSE)</f>
        <v>M2</v>
      </c>
      <c r="J9" s="29" t="s">
        <v>14</v>
      </c>
      <c r="L9" s="78">
        <f>VLOOKUP(E9,'B. DATOS'!$B$34:$E$622,4,FALSE)</f>
        <v>8000</v>
      </c>
      <c r="M9" s="76">
        <f>+L9*G9</f>
        <v>2148560</v>
      </c>
      <c r="N9" s="351"/>
      <c r="O9" s="80">
        <f>+G9*$N$6</f>
        <v>268.57</v>
      </c>
      <c r="Q9" s="76">
        <f>+M9*$N$6</f>
        <v>2148560</v>
      </c>
    </row>
    <row r="10" spans="2:21" s="39" customFormat="1" ht="30" customHeight="1" x14ac:dyDescent="0.25">
      <c r="B10" s="288">
        <v>1.2</v>
      </c>
      <c r="C10" s="289" t="s">
        <v>1400</v>
      </c>
      <c r="D10" s="412" t="s">
        <v>1266</v>
      </c>
      <c r="E10" s="413"/>
      <c r="F10" s="290"/>
      <c r="G10" s="290"/>
      <c r="H10" s="290"/>
      <c r="I10" s="290"/>
      <c r="J10" s="290"/>
      <c r="K10" s="290"/>
      <c r="L10" s="291"/>
      <c r="M10" s="291"/>
      <c r="N10" s="290"/>
      <c r="O10" s="290"/>
      <c r="P10" s="291">
        <f>+SUM(P11:P14)</f>
        <v>817620.47500000009</v>
      </c>
      <c r="Q10" s="291">
        <f>+SUM(Q11:Q14)</f>
        <v>1153120.0000000002</v>
      </c>
      <c r="R10" s="298">
        <f>+P10+Q10</f>
        <v>1970740.4750000003</v>
      </c>
      <c r="S10" s="414">
        <f>+R10/G14</f>
        <v>13672.4051269599</v>
      </c>
      <c r="T10" s="294" cm="1">
        <f t="array" ref="T10:U10">+R10/'1. GENERAL'!$E$31:$F$31</f>
        <v>4.0306941674730064E-3</v>
      </c>
      <c r="U10" s="39" t="e">
        <v>#DIV/0!</v>
      </c>
    </row>
    <row r="11" spans="2:21" x14ac:dyDescent="0.25">
      <c r="B11" s="295" t="s">
        <v>468</v>
      </c>
      <c r="C11" s="296" t="s">
        <v>1400</v>
      </c>
      <c r="D11" s="296" t="s">
        <v>251</v>
      </c>
      <c r="E11" s="297" t="s">
        <v>566</v>
      </c>
      <c r="G11" s="89">
        <f>+(((('2. CANTIDADES'!JQ58+'2. CANTIDADES'!KA65+'2. CANTIDADES'!KA69+'2. CANTIDADES'!KU78+'2. CANTIDADES'!LE20+'2. CANTIDADES'!LY12+'2. CANTIDADES'!PA7+'2. CANTIDADES'!PK68+'2. CANTIDADES'!PU17)*0.3)/40)*3)*1.05</f>
        <v>1.6889512499999999</v>
      </c>
      <c r="H11" s="77" t="str">
        <f>VLOOKUP(E11,'B. DATOS'!$B$34:$E$622,2,FALSE)</f>
        <v>GL</v>
      </c>
      <c r="J11" s="29" t="s">
        <v>565</v>
      </c>
      <c r="L11" s="78">
        <f>VLOOKUP(E11,'B. DATOS'!$B$34:$E$622,4,FALSE)</f>
        <v>120000</v>
      </c>
      <c r="M11" s="76">
        <f>+L11*G11</f>
        <v>202674.15</v>
      </c>
      <c r="N11" s="351">
        <v>1</v>
      </c>
      <c r="O11" s="80">
        <f>+G11*$N$6</f>
        <v>1.6889512499999999</v>
      </c>
      <c r="P11" s="76">
        <f>+M11*$N$6</f>
        <v>202674.15</v>
      </c>
    </row>
    <row r="12" spans="2:21" x14ac:dyDescent="0.25">
      <c r="B12" s="295" t="s">
        <v>554</v>
      </c>
      <c r="C12" s="296" t="s">
        <v>1400</v>
      </c>
      <c r="D12" s="296" t="s">
        <v>251</v>
      </c>
      <c r="E12" s="297" t="s">
        <v>560</v>
      </c>
      <c r="G12" s="89">
        <f>+((((G14)*0.7)/24)*2)*1.05</f>
        <v>8.8285750000000025</v>
      </c>
      <c r="H12" s="77" t="str">
        <f>VLOOKUP(E12,'B. DATOS'!$B$34:$E$622,2,FALSE)</f>
        <v>GL</v>
      </c>
      <c r="J12" s="29" t="s">
        <v>565</v>
      </c>
      <c r="L12" s="78">
        <f>VLOOKUP(E12,'B. DATOS'!$B$34:$E$622,4,FALSE)</f>
        <v>40000</v>
      </c>
      <c r="M12" s="76">
        <f>+L12*G12</f>
        <v>353143.00000000012</v>
      </c>
      <c r="N12" s="351"/>
      <c r="O12" s="80">
        <f>+G12*$N$6</f>
        <v>8.8285750000000025</v>
      </c>
      <c r="P12" s="76">
        <f>+M12*$N$6</f>
        <v>353143.00000000012</v>
      </c>
    </row>
    <row r="13" spans="2:21" x14ac:dyDescent="0.25">
      <c r="B13" s="295" t="s">
        <v>555</v>
      </c>
      <c r="C13" s="296" t="s">
        <v>1400</v>
      </c>
      <c r="D13" s="296" t="s">
        <v>251</v>
      </c>
      <c r="E13" s="297" t="s">
        <v>561</v>
      </c>
      <c r="G13" s="89">
        <f>+((('2. CANTIDADES'!JQ55++'2. CANTIDADES'!KU78+'2. CANTIDADES'!LY10+'2. CANTIDADES'!MI47+'2. CANTIDADES'!MS19+'2. CANTIDADES'!QE57)*0.7)/20)*1.05</f>
        <v>3.7400474999999989</v>
      </c>
      <c r="H13" s="77" t="str">
        <f>VLOOKUP(E13,'B. DATOS'!$B$34:$E$622,2,FALSE)</f>
        <v>GL</v>
      </c>
      <c r="J13" s="29" t="s">
        <v>565</v>
      </c>
      <c r="L13" s="78">
        <f>VLOOKUP(E13,'B. DATOS'!$B$34:$E$622,4,FALSE)</f>
        <v>70000</v>
      </c>
      <c r="M13" s="76">
        <f>+L13*G13</f>
        <v>261803.32499999992</v>
      </c>
      <c r="N13" s="351"/>
      <c r="O13" s="80">
        <f>+G13*$N$6</f>
        <v>3.7400474999999989</v>
      </c>
      <c r="P13" s="76">
        <f>+M13*$N$6</f>
        <v>261803.32499999992</v>
      </c>
    </row>
    <row r="14" spans="2:21" x14ac:dyDescent="0.25">
      <c r="B14" s="295" t="s">
        <v>556</v>
      </c>
      <c r="C14" s="296" t="s">
        <v>1400</v>
      </c>
      <c r="D14" s="296" t="s">
        <v>778</v>
      </c>
      <c r="E14" s="297" t="s">
        <v>562</v>
      </c>
      <c r="G14" s="89">
        <f>+'4. CD - Obra gris'!G56</f>
        <v>144.14000000000001</v>
      </c>
      <c r="H14" s="77" t="str">
        <f>VLOOKUP(E14,'B. DATOS'!$B$34:$E$622,2,FALSE)</f>
        <v>M2</v>
      </c>
      <c r="J14" s="29" t="s">
        <v>14</v>
      </c>
      <c r="L14" s="78">
        <f>VLOOKUP(E14,'B. DATOS'!$B$34:$E$622,4,FALSE)</f>
        <v>8000</v>
      </c>
      <c r="M14" s="76">
        <f>+L14*G14</f>
        <v>1153120.0000000002</v>
      </c>
      <c r="N14" s="351"/>
      <c r="O14" s="80">
        <f>+G14*$N$6</f>
        <v>144.14000000000001</v>
      </c>
      <c r="Q14" s="76">
        <f>+M14*$N$6</f>
        <v>1153120.0000000002</v>
      </c>
    </row>
    <row r="15" spans="2:21" s="39" customFormat="1" ht="30" customHeight="1" x14ac:dyDescent="0.25">
      <c r="B15" s="110">
        <v>1.3</v>
      </c>
      <c r="C15" s="144" t="s">
        <v>1812</v>
      </c>
      <c r="D15" s="377" t="s">
        <v>1267</v>
      </c>
      <c r="E15" s="378"/>
      <c r="F15" s="121"/>
      <c r="G15" s="121"/>
      <c r="H15" s="121"/>
      <c r="I15" s="121"/>
      <c r="J15" s="121"/>
      <c r="K15" s="121"/>
      <c r="L15" s="122"/>
      <c r="M15" s="122"/>
      <c r="N15" s="121"/>
      <c r="O15" s="121"/>
      <c r="P15" s="122">
        <f>+SUM(P16:P19)</f>
        <v>1049479.22</v>
      </c>
      <c r="Q15" s="122">
        <f>+SUM(Q16:Q19)</f>
        <v>317000</v>
      </c>
      <c r="R15" s="123">
        <f>+P15+Q15</f>
        <v>1366479.22</v>
      </c>
      <c r="S15" s="166">
        <f>+R15/G19</f>
        <v>107766.5</v>
      </c>
      <c r="T15" s="181" cm="1">
        <f t="array" ref="T15:U15">+R15/'1. GENERAL'!$E$31:$F$31</f>
        <v>2.7948174261895452E-3</v>
      </c>
      <c r="U15" s="39" t="e">
        <v>#DIV/0!</v>
      </c>
    </row>
    <row r="16" spans="2:21" x14ac:dyDescent="0.25">
      <c r="B16" s="83" t="s">
        <v>1804</v>
      </c>
      <c r="C16" s="145" t="s">
        <v>1812</v>
      </c>
      <c r="D16" s="145" t="s">
        <v>251</v>
      </c>
      <c r="E16" s="84" t="s">
        <v>568</v>
      </c>
      <c r="G16" s="167">
        <f>+G19*1.1</f>
        <v>13.948</v>
      </c>
      <c r="H16" s="77" t="str">
        <f>VLOOKUP(E16,'B. DATOS'!$B$34:$E$622,2,FALSE)</f>
        <v>M2</v>
      </c>
      <c r="J16" s="29" t="s">
        <v>571</v>
      </c>
      <c r="L16" s="78">
        <f>VLOOKUP(E16,'B. DATOS'!$B$34:$E$622,4,FALSE)</f>
        <v>65000</v>
      </c>
      <c r="M16" s="76">
        <f>+L16*G16</f>
        <v>906620</v>
      </c>
      <c r="N16" s="351">
        <v>1</v>
      </c>
      <c r="O16" s="80">
        <f>+G16*$N$16</f>
        <v>13.948</v>
      </c>
      <c r="P16" s="76">
        <f>+M16*$N$16</f>
        <v>906620</v>
      </c>
    </row>
    <row r="17" spans="2:21" x14ac:dyDescent="0.25">
      <c r="B17" s="83" t="s">
        <v>1805</v>
      </c>
      <c r="C17" s="145" t="s">
        <v>1812</v>
      </c>
      <c r="D17" s="145" t="s">
        <v>251</v>
      </c>
      <c r="E17" s="84" t="s">
        <v>569</v>
      </c>
      <c r="G17" s="89">
        <f>+((G16*0.09)/0.8)*1.05</f>
        <v>1.6476074999999999</v>
      </c>
      <c r="H17" s="77" t="str">
        <f>VLOOKUP(E17,'B. DATOS'!$B$34:$E$622,2,FALSE)</f>
        <v>UND</v>
      </c>
      <c r="J17" s="29" t="s">
        <v>571</v>
      </c>
      <c r="L17" s="78">
        <f>VLOOKUP(E17,'B. DATOS'!$B$34:$E$622,4,FALSE)</f>
        <v>16000</v>
      </c>
      <c r="M17" s="76">
        <f>+L17*G17</f>
        <v>26361.719999999998</v>
      </c>
      <c r="N17" s="351"/>
      <c r="O17" s="80">
        <f>+G17*$N$16</f>
        <v>1.6476074999999999</v>
      </c>
      <c r="P17" s="76">
        <f>+M17*$N$16</f>
        <v>26361.719999999998</v>
      </c>
    </row>
    <row r="18" spans="2:21" x14ac:dyDescent="0.25">
      <c r="B18" s="83" t="s">
        <v>1806</v>
      </c>
      <c r="C18" s="145" t="s">
        <v>1812</v>
      </c>
      <c r="D18" s="145" t="s">
        <v>251</v>
      </c>
      <c r="E18" s="84" t="s">
        <v>570</v>
      </c>
      <c r="G18" s="89">
        <f>+(G19/0.8)*1.05</f>
        <v>16.642500000000002</v>
      </c>
      <c r="H18" s="77" t="str">
        <f>VLOOKUP(E18,'B. DATOS'!$B$34:$E$622,2,FALSE)</f>
        <v>GL</v>
      </c>
      <c r="J18" s="29" t="s">
        <v>571</v>
      </c>
      <c r="L18" s="78">
        <f>VLOOKUP(E18,'B. DATOS'!$B$34:$E$622,4,FALSE)</f>
        <v>7000</v>
      </c>
      <c r="M18" s="76">
        <f>+L18*G18</f>
        <v>116497.50000000001</v>
      </c>
      <c r="N18" s="351"/>
      <c r="O18" s="80">
        <f>+G18*$N$16</f>
        <v>16.642500000000002</v>
      </c>
      <c r="P18" s="76">
        <f>+M18*$N$16</f>
        <v>116497.50000000001</v>
      </c>
    </row>
    <row r="19" spans="2:21" x14ac:dyDescent="0.25">
      <c r="B19" s="83" t="s">
        <v>1807</v>
      </c>
      <c r="C19" s="145" t="s">
        <v>1812</v>
      </c>
      <c r="D19" s="145" t="s">
        <v>778</v>
      </c>
      <c r="E19" s="84" t="s">
        <v>783</v>
      </c>
      <c r="G19" s="89">
        <f>+'2. CANTIDADES'!MS12+'2. CANTIDADES'!NC16+'2. CANTIDADES'!NM10+'2. CANTIDADES'!NW20+'2. CANTIDADES'!OG12+'2. CANTIDADES'!OQ16+'2. CANTIDADES'!QO10</f>
        <v>12.68</v>
      </c>
      <c r="H19" s="77" t="str">
        <f>VLOOKUP(E19,'B. DATOS'!$B$34:$E$622,2,FALSE)</f>
        <v>M2</v>
      </c>
      <c r="J19" s="29" t="s">
        <v>14</v>
      </c>
      <c r="L19" s="78">
        <f>VLOOKUP(E19,'B. DATOS'!$B$34:$E$622,4,FALSE)</f>
        <v>25000</v>
      </c>
      <c r="M19" s="76">
        <f>+L19*G19</f>
        <v>317000</v>
      </c>
      <c r="N19" s="351"/>
      <c r="O19" s="80">
        <f>+G19*$N$16</f>
        <v>12.68</v>
      </c>
      <c r="Q19" s="76">
        <f>+M19*$N$16</f>
        <v>317000</v>
      </c>
    </row>
    <row r="20" spans="2:21" s="39" customFormat="1" ht="30" customHeight="1" x14ac:dyDescent="0.25">
      <c r="B20" s="288">
        <v>1.4</v>
      </c>
      <c r="C20" s="289" t="s">
        <v>1400</v>
      </c>
      <c r="D20" s="412" t="s">
        <v>1267</v>
      </c>
      <c r="E20" s="413"/>
      <c r="F20" s="290"/>
      <c r="G20" s="290"/>
      <c r="H20" s="290"/>
      <c r="I20" s="290"/>
      <c r="J20" s="290"/>
      <c r="K20" s="290"/>
      <c r="L20" s="291"/>
      <c r="M20" s="291"/>
      <c r="N20" s="290"/>
      <c r="O20" s="290"/>
      <c r="P20" s="291">
        <f>+SUM(P21:P24)</f>
        <v>178775.64000000004</v>
      </c>
      <c r="Q20" s="291">
        <f>+SUM(Q21:Q24)</f>
        <v>54000</v>
      </c>
      <c r="R20" s="298">
        <f>+P20+Q20</f>
        <v>232775.64000000004</v>
      </c>
      <c r="S20" s="414">
        <f>+R20/G24</f>
        <v>107766.50000000001</v>
      </c>
      <c r="T20" s="294" cm="1">
        <f t="array" ref="T20:U20">+R20/'1. GENERAL'!$E$31:$F$31</f>
        <v>4.7608877291556933E-4</v>
      </c>
      <c r="U20" s="39" t="e">
        <v>#DIV/0!</v>
      </c>
    </row>
    <row r="21" spans="2:21" x14ac:dyDescent="0.25">
      <c r="B21" s="295" t="s">
        <v>1904</v>
      </c>
      <c r="C21" s="296" t="s">
        <v>1400</v>
      </c>
      <c r="D21" s="296" t="s">
        <v>251</v>
      </c>
      <c r="E21" s="297" t="s">
        <v>568</v>
      </c>
      <c r="G21" s="167">
        <f>+G24*1.1</f>
        <v>2.3760000000000003</v>
      </c>
      <c r="H21" s="77" t="str">
        <f>VLOOKUP(E21,'B. DATOS'!$B$34:$E$622,2,FALSE)</f>
        <v>M2</v>
      </c>
      <c r="J21" s="29" t="s">
        <v>571</v>
      </c>
      <c r="L21" s="78">
        <f>VLOOKUP(E21,'B. DATOS'!$B$34:$E$622,4,FALSE)</f>
        <v>65000</v>
      </c>
      <c r="M21" s="76">
        <f>+L21*G21</f>
        <v>154440.00000000003</v>
      </c>
      <c r="N21" s="351">
        <v>1</v>
      </c>
      <c r="O21" s="80">
        <f>+G21*$N$16</f>
        <v>2.3760000000000003</v>
      </c>
      <c r="P21" s="76">
        <f>+M21*$N$16</f>
        <v>154440.00000000003</v>
      </c>
    </row>
    <row r="22" spans="2:21" x14ac:dyDescent="0.25">
      <c r="B22" s="295" t="s">
        <v>1905</v>
      </c>
      <c r="C22" s="296" t="s">
        <v>1400</v>
      </c>
      <c r="D22" s="296" t="s">
        <v>251</v>
      </c>
      <c r="E22" s="297" t="s">
        <v>569</v>
      </c>
      <c r="G22" s="89">
        <f>+((G21*0.09)/0.8)*1.05</f>
        <v>0.28066500000000005</v>
      </c>
      <c r="H22" s="77" t="str">
        <f>VLOOKUP(E22,'B. DATOS'!$B$34:$E$622,2,FALSE)</f>
        <v>UND</v>
      </c>
      <c r="J22" s="29" t="s">
        <v>571</v>
      </c>
      <c r="L22" s="78">
        <f>VLOOKUP(E22,'B. DATOS'!$B$34:$E$622,4,FALSE)</f>
        <v>16000</v>
      </c>
      <c r="M22" s="76">
        <f>+L22*G22</f>
        <v>4490.6400000000012</v>
      </c>
      <c r="N22" s="351"/>
      <c r="O22" s="80">
        <f>+G22*$N$16</f>
        <v>0.28066500000000005</v>
      </c>
      <c r="P22" s="76">
        <f>+M22*$N$16</f>
        <v>4490.6400000000012</v>
      </c>
    </row>
    <row r="23" spans="2:21" x14ac:dyDescent="0.25">
      <c r="B23" s="295" t="s">
        <v>1906</v>
      </c>
      <c r="C23" s="296" t="s">
        <v>1400</v>
      </c>
      <c r="D23" s="296" t="s">
        <v>251</v>
      </c>
      <c r="E23" s="297" t="s">
        <v>570</v>
      </c>
      <c r="G23" s="89">
        <f>+(G24/0.8)*1.05</f>
        <v>2.8350000000000004</v>
      </c>
      <c r="H23" s="77" t="str">
        <f>VLOOKUP(E23,'B. DATOS'!$B$34:$E$622,2,FALSE)</f>
        <v>GL</v>
      </c>
      <c r="J23" s="29" t="s">
        <v>571</v>
      </c>
      <c r="L23" s="78">
        <f>VLOOKUP(E23,'B. DATOS'!$B$34:$E$622,4,FALSE)</f>
        <v>7000</v>
      </c>
      <c r="M23" s="76">
        <f>+L23*G23</f>
        <v>19845.000000000004</v>
      </c>
      <c r="N23" s="351"/>
      <c r="O23" s="80">
        <f>+G23*$N$16</f>
        <v>2.8350000000000004</v>
      </c>
      <c r="P23" s="76">
        <f>+M23*$N$16</f>
        <v>19845.000000000004</v>
      </c>
    </row>
    <row r="24" spans="2:21" x14ac:dyDescent="0.25">
      <c r="B24" s="295" t="s">
        <v>1907</v>
      </c>
      <c r="C24" s="296" t="s">
        <v>1400</v>
      </c>
      <c r="D24" s="296" t="s">
        <v>778</v>
      </c>
      <c r="E24" s="297" t="s">
        <v>783</v>
      </c>
      <c r="G24" s="89">
        <f>+'2. CANTIDADES'!MS20+'2. CANTIDADES'!PA8</f>
        <v>2.16</v>
      </c>
      <c r="H24" s="77" t="str">
        <f>VLOOKUP(E24,'B. DATOS'!$B$34:$E$622,2,FALSE)</f>
        <v>M2</v>
      </c>
      <c r="J24" s="29" t="s">
        <v>14</v>
      </c>
      <c r="L24" s="78">
        <f>VLOOKUP(E24,'B. DATOS'!$B$34:$E$622,4,FALSE)</f>
        <v>25000</v>
      </c>
      <c r="M24" s="76">
        <f>+L24*G24</f>
        <v>54000</v>
      </c>
      <c r="N24" s="351"/>
      <c r="O24" s="80">
        <f>+G24*$N$16</f>
        <v>2.16</v>
      </c>
      <c r="Q24" s="76">
        <f>+M24*$N$16</f>
        <v>54000</v>
      </c>
    </row>
    <row r="25" spans="2:21" s="39" customFormat="1" ht="30" customHeight="1" x14ac:dyDescent="0.25">
      <c r="B25" s="110">
        <v>1.5</v>
      </c>
      <c r="C25" s="144" t="s">
        <v>1812</v>
      </c>
      <c r="D25" s="377" t="s">
        <v>1268</v>
      </c>
      <c r="E25" s="378"/>
      <c r="F25" s="121"/>
      <c r="G25" s="121"/>
      <c r="H25" s="121"/>
      <c r="I25" s="121"/>
      <c r="J25" s="121"/>
      <c r="K25" s="121"/>
      <c r="L25" s="122"/>
      <c r="M25" s="122"/>
      <c r="N25" s="121"/>
      <c r="O25" s="121"/>
      <c r="P25" s="122">
        <f>+SUM(P26:P29)</f>
        <v>570524.7657142859</v>
      </c>
      <c r="Q25" s="122">
        <f>+SUM(Q26:Q29)</f>
        <v>452520.00000000006</v>
      </c>
      <c r="R25" s="123">
        <f>+P25+Q25</f>
        <v>1023044.7657142859</v>
      </c>
      <c r="S25" s="166">
        <f>+R25/G29</f>
        <v>40693.904761904763</v>
      </c>
      <c r="T25" s="181" cm="1">
        <f t="array" ref="T25:U25">+R25/'1. GENERAL'!$E$31:$F$31</f>
        <v>2.092401623926844E-3</v>
      </c>
      <c r="U25" s="39" t="e">
        <v>#DIV/0!</v>
      </c>
    </row>
    <row r="26" spans="2:21" x14ac:dyDescent="0.25">
      <c r="B26" s="83" t="s">
        <v>1908</v>
      </c>
      <c r="C26" s="145" t="s">
        <v>1812</v>
      </c>
      <c r="D26" s="145" t="s">
        <v>251</v>
      </c>
      <c r="E26" s="84" t="s">
        <v>1351</v>
      </c>
      <c r="G26" s="89">
        <f>+(G29*0.04)*1.05</f>
        <v>1.0558800000000004</v>
      </c>
      <c r="H26" s="77" t="str">
        <f>VLOOKUP(E26,'B. DATOS'!$B$34:$E$622,2,FALSE)</f>
        <v>M3</v>
      </c>
      <c r="J26" s="29" t="s">
        <v>717</v>
      </c>
      <c r="L26" s="78">
        <f>VLOOKUP(E26,'B. DATOS'!$B$34:$E$622,4,FALSE)</f>
        <v>421000</v>
      </c>
      <c r="M26" s="76">
        <f>+L26*G26</f>
        <v>444525.48000000016</v>
      </c>
      <c r="N26" s="351">
        <v>1</v>
      </c>
      <c r="O26" s="80">
        <f>+G26*$N$16</f>
        <v>1.0558800000000004</v>
      </c>
      <c r="P26" s="76">
        <f>+M26*$N$16</f>
        <v>444525.48000000016</v>
      </c>
    </row>
    <row r="27" spans="2:21" x14ac:dyDescent="0.25">
      <c r="B27" s="83" t="s">
        <v>1909</v>
      </c>
      <c r="C27" s="145" t="s">
        <v>1812</v>
      </c>
      <c r="D27" s="145" t="s">
        <v>251</v>
      </c>
      <c r="E27" s="84" t="s">
        <v>1158</v>
      </c>
      <c r="G27" s="89">
        <f>+G29/20</f>
        <v>1.2570000000000001</v>
      </c>
      <c r="H27" s="77" t="str">
        <f>VLOOKUP(E27,'B. DATOS'!$B$34:$E$622,2,FALSE)</f>
        <v>BTO</v>
      </c>
      <c r="J27" s="29" t="s">
        <v>717</v>
      </c>
      <c r="L27" s="78">
        <f>VLOOKUP(E27,'B. DATOS'!$B$34:$E$622,4,FALSE)</f>
        <v>75000</v>
      </c>
      <c r="M27" s="76">
        <f>+L27*G27</f>
        <v>94275.000000000015</v>
      </c>
      <c r="N27" s="351"/>
      <c r="O27" s="80">
        <f>+G27*$N$16</f>
        <v>1.2570000000000001</v>
      </c>
      <c r="P27" s="76">
        <f>+M27*$N$16</f>
        <v>94275.000000000015</v>
      </c>
    </row>
    <row r="28" spans="2:21" x14ac:dyDescent="0.25">
      <c r="B28" s="83" t="s">
        <v>1910</v>
      </c>
      <c r="C28" s="145" t="s">
        <v>1812</v>
      </c>
      <c r="D28" s="145" t="s">
        <v>251</v>
      </c>
      <c r="E28" s="84" t="s">
        <v>785</v>
      </c>
      <c r="G28" s="89">
        <f>+G29/42</f>
        <v>0.59857142857142864</v>
      </c>
      <c r="H28" s="77" t="str">
        <f>VLOOKUP(E28,'B. DATOS'!$B$34:$E$622,2,FALSE)</f>
        <v>GL</v>
      </c>
      <c r="J28" s="29" t="s">
        <v>639</v>
      </c>
      <c r="L28" s="78">
        <f>VLOOKUP(E28,'B. DATOS'!$B$34:$E$622,4,FALSE)</f>
        <v>53000</v>
      </c>
      <c r="M28" s="76">
        <f>+L28*G28</f>
        <v>31724.285714285717</v>
      </c>
      <c r="N28" s="351"/>
      <c r="O28" s="80">
        <f>+G28*$N$16</f>
        <v>0.59857142857142864</v>
      </c>
      <c r="P28" s="76">
        <f>+M28*$N$16</f>
        <v>31724.285714285717</v>
      </c>
    </row>
    <row r="29" spans="2:21" x14ac:dyDescent="0.25">
      <c r="B29" s="83" t="s">
        <v>1911</v>
      </c>
      <c r="C29" s="145" t="s">
        <v>1812</v>
      </c>
      <c r="D29" s="145" t="s">
        <v>778</v>
      </c>
      <c r="E29" s="84" t="s">
        <v>1360</v>
      </c>
      <c r="G29" s="89">
        <f>+'2. CANTIDADES'!PK4+'2. CANTIDADES'!PU4+'2. CANTIDADES'!QE4+'2. CANTIDADES'!QO4</f>
        <v>25.140000000000004</v>
      </c>
      <c r="H29" s="77" t="str">
        <f>VLOOKUP(E29,'B. DATOS'!$B$34:$E$622,2,FALSE)</f>
        <v>M2</v>
      </c>
      <c r="J29" s="29" t="s">
        <v>14</v>
      </c>
      <c r="L29" s="78">
        <f>VLOOKUP(E29,'B. DATOS'!$B$34:$E$622,4,FALSE)</f>
        <v>18000</v>
      </c>
      <c r="M29" s="76">
        <f>+L29*G29</f>
        <v>452520.00000000006</v>
      </c>
      <c r="N29" s="351"/>
      <c r="O29" s="80">
        <f>+G29*$N$16</f>
        <v>25.140000000000004</v>
      </c>
      <c r="Q29" s="76">
        <f>+M29*$N$16</f>
        <v>452520.00000000006</v>
      </c>
    </row>
    <row r="30" spans="2:21" s="39" customFormat="1" ht="30" customHeight="1" x14ac:dyDescent="0.25">
      <c r="B30" s="288">
        <v>1.6</v>
      </c>
      <c r="C30" s="289" t="s">
        <v>1400</v>
      </c>
      <c r="D30" s="412" t="s">
        <v>1268</v>
      </c>
      <c r="E30" s="413"/>
      <c r="F30" s="290"/>
      <c r="G30" s="290"/>
      <c r="H30" s="290"/>
      <c r="I30" s="290"/>
      <c r="J30" s="290"/>
      <c r="K30" s="290"/>
      <c r="L30" s="291"/>
      <c r="M30" s="291"/>
      <c r="N30" s="290"/>
      <c r="O30" s="290"/>
      <c r="P30" s="291">
        <f>+SUM(P31:P34)</f>
        <v>270738.28380952385</v>
      </c>
      <c r="Q30" s="291">
        <f>+SUM(Q31:Q34)</f>
        <v>214740</v>
      </c>
      <c r="R30" s="298">
        <f>+P30+Q30</f>
        <v>485478.28380952385</v>
      </c>
      <c r="S30" s="414">
        <f>+R30/G34</f>
        <v>40693.904761904763</v>
      </c>
      <c r="T30" s="294" cm="1">
        <f t="array" ref="T30:U30">+R30/'1. GENERAL'!$E$31:$F$31</f>
        <v>9.9293362662876872E-4</v>
      </c>
      <c r="U30" s="39" t="e">
        <v>#DIV/0!</v>
      </c>
    </row>
    <row r="31" spans="2:21" x14ac:dyDescent="0.25">
      <c r="B31" s="295" t="s">
        <v>1912</v>
      </c>
      <c r="C31" s="296" t="s">
        <v>1400</v>
      </c>
      <c r="D31" s="296" t="s">
        <v>251</v>
      </c>
      <c r="E31" s="297" t="s">
        <v>1351</v>
      </c>
      <c r="G31" s="89">
        <f>+(G34*0.04)*1.05</f>
        <v>0.50106000000000006</v>
      </c>
      <c r="H31" s="77" t="str">
        <f>VLOOKUP(E31,'B. DATOS'!$B$34:$E$622,2,FALSE)</f>
        <v>M3</v>
      </c>
      <c r="J31" s="29" t="s">
        <v>717</v>
      </c>
      <c r="L31" s="78">
        <f>VLOOKUP(E31,'B. DATOS'!$B$34:$E$622,4,FALSE)</f>
        <v>421000</v>
      </c>
      <c r="M31" s="76">
        <f>+L31*G31</f>
        <v>210946.26000000004</v>
      </c>
      <c r="N31" s="351">
        <v>1</v>
      </c>
      <c r="O31" s="80">
        <f>+G31*$N$16</f>
        <v>0.50106000000000006</v>
      </c>
      <c r="P31" s="76">
        <f>+M31*$N$16</f>
        <v>210946.26000000004</v>
      </c>
    </row>
    <row r="32" spans="2:21" x14ac:dyDescent="0.25">
      <c r="B32" s="295" t="s">
        <v>1913</v>
      </c>
      <c r="C32" s="296" t="s">
        <v>1400</v>
      </c>
      <c r="D32" s="296" t="s">
        <v>251</v>
      </c>
      <c r="E32" s="297" t="s">
        <v>1158</v>
      </c>
      <c r="G32" s="89">
        <f>+G34/20</f>
        <v>0.59650000000000003</v>
      </c>
      <c r="H32" s="77" t="str">
        <f>VLOOKUP(E32,'B. DATOS'!$B$34:$E$622,2,FALSE)</f>
        <v>BTO</v>
      </c>
      <c r="J32" s="29" t="s">
        <v>717</v>
      </c>
      <c r="L32" s="78">
        <f>VLOOKUP(E32,'B. DATOS'!$B$34:$E$622,4,FALSE)</f>
        <v>75000</v>
      </c>
      <c r="M32" s="76">
        <f>+L32*G32</f>
        <v>44737.5</v>
      </c>
      <c r="N32" s="351"/>
      <c r="O32" s="80">
        <f>+G32*$N$16</f>
        <v>0.59650000000000003</v>
      </c>
      <c r="P32" s="76">
        <f>+M32*$N$16</f>
        <v>44737.5</v>
      </c>
    </row>
    <row r="33" spans="2:21" x14ac:dyDescent="0.25">
      <c r="B33" s="295" t="s">
        <v>1914</v>
      </c>
      <c r="C33" s="296" t="s">
        <v>1400</v>
      </c>
      <c r="D33" s="296" t="s">
        <v>251</v>
      </c>
      <c r="E33" s="297" t="s">
        <v>785</v>
      </c>
      <c r="G33" s="89">
        <f>+G34/42</f>
        <v>0.28404761904761905</v>
      </c>
      <c r="H33" s="77" t="str">
        <f>VLOOKUP(E33,'B. DATOS'!$B$34:$E$622,2,FALSE)</f>
        <v>GL</v>
      </c>
      <c r="J33" s="29" t="s">
        <v>639</v>
      </c>
      <c r="L33" s="78">
        <f>VLOOKUP(E33,'B. DATOS'!$B$34:$E$622,4,FALSE)</f>
        <v>53000</v>
      </c>
      <c r="M33" s="76">
        <f>+L33*G33</f>
        <v>15054.523809523809</v>
      </c>
      <c r="N33" s="351"/>
      <c r="O33" s="80">
        <f>+G33*$N$16</f>
        <v>0.28404761904761905</v>
      </c>
      <c r="P33" s="76">
        <f>+M33*$N$16</f>
        <v>15054.523809523809</v>
      </c>
    </row>
    <row r="34" spans="2:21" x14ac:dyDescent="0.25">
      <c r="B34" s="295" t="s">
        <v>1915</v>
      </c>
      <c r="C34" s="296" t="s">
        <v>1400</v>
      </c>
      <c r="D34" s="296" t="s">
        <v>778</v>
      </c>
      <c r="E34" s="297" t="s">
        <v>1360</v>
      </c>
      <c r="G34" s="89">
        <f>+'2. CANTIDADES'!QE44+'2. CANTIDADES'!PU12+'2. CANTIDADES'!PK58</f>
        <v>11.93</v>
      </c>
      <c r="H34" s="77" t="str">
        <f>VLOOKUP(E34,'B. DATOS'!$B$34:$E$622,2,FALSE)</f>
        <v>M2</v>
      </c>
      <c r="J34" s="29" t="s">
        <v>14</v>
      </c>
      <c r="L34" s="78">
        <f>VLOOKUP(E34,'B. DATOS'!$B$34:$E$622,4,FALSE)</f>
        <v>18000</v>
      </c>
      <c r="M34" s="76">
        <f>+L34*G34</f>
        <v>214740</v>
      </c>
      <c r="N34" s="351"/>
      <c r="O34" s="80">
        <f>+G34*$N$16</f>
        <v>11.93</v>
      </c>
      <c r="Q34" s="76">
        <f>+M34*$N$16</f>
        <v>214740</v>
      </c>
    </row>
    <row r="35" spans="2:21" s="39" customFormat="1" ht="30" customHeight="1" x14ac:dyDescent="0.25">
      <c r="B35" s="110">
        <v>1.7</v>
      </c>
      <c r="C35" s="144" t="s">
        <v>1812</v>
      </c>
      <c r="D35" s="377" t="s">
        <v>1895</v>
      </c>
      <c r="E35" s="378"/>
      <c r="F35" s="121"/>
      <c r="G35" s="121"/>
      <c r="H35" s="121"/>
      <c r="I35" s="121"/>
      <c r="J35" s="121"/>
      <c r="K35" s="121"/>
      <c r="L35" s="122"/>
      <c r="M35" s="122"/>
      <c r="N35" s="121"/>
      <c r="O35" s="121"/>
      <c r="P35" s="122">
        <f>+SUM(P36:P38)</f>
        <v>73949.19</v>
      </c>
      <c r="Q35" s="122">
        <f>+SUM(Q36:Q38)</f>
        <v>44350.000000000007</v>
      </c>
      <c r="R35" s="123">
        <f>+P35+Q35</f>
        <v>118299.19</v>
      </c>
      <c r="S35" s="166">
        <f>+R35/G38</f>
        <v>13336.999999999998</v>
      </c>
      <c r="T35" s="181" cm="1">
        <f t="array" ref="T35:U35">+R35/'1. GENERAL'!$E$31:$F$31</f>
        <v>2.419536520402469E-4</v>
      </c>
      <c r="U35" s="39" t="e">
        <v>#DIV/0!</v>
      </c>
    </row>
    <row r="36" spans="2:21" x14ac:dyDescent="0.25">
      <c r="B36" s="83" t="s">
        <v>1916</v>
      </c>
      <c r="C36" s="145" t="s">
        <v>1812</v>
      </c>
      <c r="D36" s="145" t="s">
        <v>251</v>
      </c>
      <c r="E36" s="84" t="s">
        <v>1896</v>
      </c>
      <c r="G36" s="89">
        <f>+G38*1.05</f>
        <v>9.3135000000000012</v>
      </c>
      <c r="H36" s="77" t="str">
        <f>VLOOKUP(E36,'B. DATOS'!$B$34:$E$622,2,FALSE)</f>
        <v>M2</v>
      </c>
      <c r="J36" s="29" t="s">
        <v>529</v>
      </c>
      <c r="L36" s="78">
        <f>VLOOKUP(E36,'B. DATOS'!$B$34:$E$622,4,FALSE)</f>
        <v>5000</v>
      </c>
      <c r="M36" s="76">
        <f>+L36*G36</f>
        <v>46567.500000000007</v>
      </c>
      <c r="N36" s="351">
        <v>1</v>
      </c>
      <c r="O36" s="80">
        <f>+G36*$N$16</f>
        <v>9.3135000000000012</v>
      </c>
      <c r="P36" s="76">
        <f>+M36*$N$16</f>
        <v>46567.500000000007</v>
      </c>
    </row>
    <row r="37" spans="2:21" x14ac:dyDescent="0.25">
      <c r="B37" s="83" t="s">
        <v>1917</v>
      </c>
      <c r="C37" s="145" t="s">
        <v>1812</v>
      </c>
      <c r="D37" s="145" t="s">
        <v>251</v>
      </c>
      <c r="E37" s="84" t="s">
        <v>1290</v>
      </c>
      <c r="G37" s="89">
        <f>+G36*30</f>
        <v>279.40500000000003</v>
      </c>
      <c r="H37" s="77" t="str">
        <f>VLOOKUP(E37,'B. DATOS'!$B$34:$E$622,2,FALSE)</f>
        <v>UND</v>
      </c>
      <c r="J37" s="29" t="s">
        <v>274</v>
      </c>
      <c r="L37" s="78">
        <f>VLOOKUP(E37,'B. DATOS'!$B$34:$E$622,4,FALSE)</f>
        <v>98</v>
      </c>
      <c r="M37" s="76">
        <f>+L37*G37</f>
        <v>27381.690000000002</v>
      </c>
      <c r="N37" s="351"/>
      <c r="O37" s="80">
        <f>+G37*$N$16</f>
        <v>279.40500000000003</v>
      </c>
      <c r="P37" s="76">
        <f>+M37*$N$16</f>
        <v>27381.690000000002</v>
      </c>
    </row>
    <row r="38" spans="2:21" x14ac:dyDescent="0.25">
      <c r="B38" s="83" t="s">
        <v>1918</v>
      </c>
      <c r="C38" s="145" t="s">
        <v>1812</v>
      </c>
      <c r="D38" s="145" t="s">
        <v>778</v>
      </c>
      <c r="E38" s="84" t="s">
        <v>769</v>
      </c>
      <c r="G38" s="89">
        <f>+'2. CANTIDADES'!SO2</f>
        <v>8.870000000000001</v>
      </c>
      <c r="H38" s="77" t="str">
        <f>VLOOKUP(E38,'B. DATOS'!$B$34:$E$622,2,FALSE)</f>
        <v>M2</v>
      </c>
      <c r="J38" s="29" t="s">
        <v>14</v>
      </c>
      <c r="L38" s="78">
        <f>VLOOKUP(E38,'B. DATOS'!$B$34:$E$622,4,FALSE)</f>
        <v>5000</v>
      </c>
      <c r="M38" s="76">
        <f>+L38*G38</f>
        <v>44350.000000000007</v>
      </c>
      <c r="N38" s="351"/>
      <c r="O38" s="80">
        <f>+G38*$N$16</f>
        <v>8.870000000000001</v>
      </c>
      <c r="Q38" s="76">
        <f>+M38*$N$16</f>
        <v>44350.000000000007</v>
      </c>
    </row>
    <row r="39" spans="2:21" s="39" customFormat="1" x14ac:dyDescent="0.25">
      <c r="B39" s="109">
        <v>2</v>
      </c>
      <c r="C39" s="143"/>
      <c r="D39" s="375" t="s">
        <v>575</v>
      </c>
      <c r="E39" s="376"/>
      <c r="F39" s="125"/>
      <c r="G39" s="125"/>
      <c r="H39" s="125"/>
      <c r="I39" s="125"/>
      <c r="J39" s="125"/>
      <c r="K39" s="125"/>
      <c r="L39" s="126"/>
      <c r="M39" s="126"/>
      <c r="N39" s="125"/>
      <c r="O39" s="125"/>
      <c r="P39" s="126">
        <f>+P40+P54+P64+P47+P59+P69</f>
        <v>15047029.873761907</v>
      </c>
      <c r="Q39" s="126">
        <f>+Q40+Q54+Q64+Q47+Q59+Q69</f>
        <v>13045270</v>
      </c>
      <c r="R39" s="127">
        <f>Q39+P39</f>
        <v>28092299.873761907</v>
      </c>
      <c r="S39" s="128"/>
      <c r="T39" s="182">
        <f>+T40+T54+T64</f>
        <v>4.4067189698773532E-2</v>
      </c>
    </row>
    <row r="40" spans="2:21" s="39" customFormat="1" ht="30" customHeight="1" x14ac:dyDescent="0.25">
      <c r="B40" s="110">
        <v>2.1</v>
      </c>
      <c r="C40" s="144" t="s">
        <v>1812</v>
      </c>
      <c r="D40" s="377" t="s">
        <v>1420</v>
      </c>
      <c r="E40" s="378"/>
      <c r="F40" s="121"/>
      <c r="G40" s="121"/>
      <c r="H40" s="121"/>
      <c r="I40" s="121"/>
      <c r="J40" s="121"/>
      <c r="K40" s="121"/>
      <c r="L40" s="122"/>
      <c r="M40" s="122"/>
      <c r="N40" s="121"/>
      <c r="O40" s="121"/>
      <c r="P40" s="122">
        <f>+SUM(P41:P46)</f>
        <v>2275206.5249999999</v>
      </c>
      <c r="Q40" s="122">
        <f>+SUM(Q41:Q46)</f>
        <v>882450</v>
      </c>
      <c r="R40" s="123">
        <f>+P40+Q40</f>
        <v>3157656.5249999999</v>
      </c>
      <c r="S40" s="166">
        <f>+R40/G46</f>
        <v>132396.5</v>
      </c>
      <c r="T40" s="181" cm="1">
        <f t="array" ref="T40:U40">+R40/'1. GENERAL'!$E$31:$F$31</f>
        <v>6.4582566297576947E-3</v>
      </c>
      <c r="U40" s="39" t="e">
        <v>#DIV/0!</v>
      </c>
    </row>
    <row r="41" spans="2:21" x14ac:dyDescent="0.25">
      <c r="B41" s="83" t="s">
        <v>262</v>
      </c>
      <c r="C41" s="145" t="s">
        <v>1812</v>
      </c>
      <c r="D41" s="145" t="s">
        <v>251</v>
      </c>
      <c r="E41" s="84" t="s">
        <v>568</v>
      </c>
      <c r="G41" s="167">
        <f>+G46*1.1</f>
        <v>26.234999999999999</v>
      </c>
      <c r="H41" s="77" t="str">
        <f>VLOOKUP(E41,'B. DATOS'!$B$34:$E$622,2,FALSE)</f>
        <v>M2</v>
      </c>
      <c r="J41" s="29" t="s">
        <v>571</v>
      </c>
      <c r="L41" s="78">
        <f>VLOOKUP(E41,'B. DATOS'!$B$34:$E$622,4,FALSE)</f>
        <v>65000</v>
      </c>
      <c r="M41" s="76">
        <f t="shared" ref="M41:M46" si="0">+L41*G41</f>
        <v>1705275</v>
      </c>
      <c r="N41" s="351">
        <v>1</v>
      </c>
      <c r="O41" s="80">
        <f t="shared" ref="O41:O46" si="1">+G41*$N$41</f>
        <v>26.234999999999999</v>
      </c>
      <c r="P41" s="76">
        <f>+M41*$N$41</f>
        <v>1705275</v>
      </c>
    </row>
    <row r="42" spans="2:21" x14ac:dyDescent="0.25">
      <c r="B42" s="83" t="s">
        <v>263</v>
      </c>
      <c r="C42" s="145" t="s">
        <v>1812</v>
      </c>
      <c r="D42" s="145" t="s">
        <v>251</v>
      </c>
      <c r="E42" s="84" t="s">
        <v>569</v>
      </c>
      <c r="G42" s="89">
        <f>+((G41*0.09)/0.8)*1.05</f>
        <v>3.0990093749999996</v>
      </c>
      <c r="H42" s="77" t="str">
        <f>VLOOKUP(E42,'B. DATOS'!$B$34:$E$622,2,FALSE)</f>
        <v>UND</v>
      </c>
      <c r="J42" s="29" t="s">
        <v>571</v>
      </c>
      <c r="L42" s="78">
        <f>VLOOKUP(E42,'B. DATOS'!$B$34:$E$622,4,FALSE)</f>
        <v>16000</v>
      </c>
      <c r="M42" s="76">
        <f t="shared" si="0"/>
        <v>49584.149999999994</v>
      </c>
      <c r="N42" s="351"/>
      <c r="O42" s="80">
        <f t="shared" si="1"/>
        <v>3.0990093749999996</v>
      </c>
      <c r="P42" s="76">
        <f>+M42*$N$41</f>
        <v>49584.149999999994</v>
      </c>
    </row>
    <row r="43" spans="2:21" x14ac:dyDescent="0.25">
      <c r="B43" s="83" t="s">
        <v>1322</v>
      </c>
      <c r="C43" s="145" t="s">
        <v>1812</v>
      </c>
      <c r="D43" s="145" t="s">
        <v>251</v>
      </c>
      <c r="E43" s="84" t="s">
        <v>570</v>
      </c>
      <c r="G43" s="89">
        <f>+(G46/0.8)*1.05</f>
        <v>31.303124999999998</v>
      </c>
      <c r="H43" s="77" t="str">
        <f>VLOOKUP(E43,'B. DATOS'!$B$34:$E$622,2,FALSE)</f>
        <v>GL</v>
      </c>
      <c r="J43" s="29" t="s">
        <v>571</v>
      </c>
      <c r="L43" s="78">
        <f>VLOOKUP(E43,'B. DATOS'!$B$34:$E$622,4,FALSE)</f>
        <v>7000</v>
      </c>
      <c r="M43" s="76">
        <f t="shared" si="0"/>
        <v>219121.87499999997</v>
      </c>
      <c r="N43" s="351"/>
      <c r="O43" s="80">
        <f t="shared" si="1"/>
        <v>31.303124999999998</v>
      </c>
      <c r="P43" s="76">
        <f>+M43*$N$41</f>
        <v>219121.87499999997</v>
      </c>
    </row>
    <row r="44" spans="2:21" x14ac:dyDescent="0.25">
      <c r="B44" s="83" t="s">
        <v>1323</v>
      </c>
      <c r="C44" s="145" t="s">
        <v>1812</v>
      </c>
      <c r="D44" s="145" t="s">
        <v>251</v>
      </c>
      <c r="E44" s="84" t="s">
        <v>1351</v>
      </c>
      <c r="G44" s="89">
        <f>+G45*0.03</f>
        <v>0.71549999999999991</v>
      </c>
      <c r="H44" s="77" t="str">
        <f>VLOOKUP(E44,'B. DATOS'!$B$34:$E$622,2,FALSE)</f>
        <v>M3</v>
      </c>
      <c r="J44" s="29" t="s">
        <v>717</v>
      </c>
      <c r="L44" s="78">
        <f>VLOOKUP(E44,'B. DATOS'!$B$34:$E$622,4,FALSE)</f>
        <v>421000</v>
      </c>
      <c r="M44" s="76">
        <f>+L44*G44</f>
        <v>301225.49999999994</v>
      </c>
      <c r="N44" s="351"/>
      <c r="O44" s="80">
        <f t="shared" si="1"/>
        <v>0.71549999999999991</v>
      </c>
      <c r="P44" s="76">
        <f>+M44*$N$41</f>
        <v>301225.49999999994</v>
      </c>
    </row>
    <row r="45" spans="2:21" x14ac:dyDescent="0.25">
      <c r="B45" s="83" t="s">
        <v>1324</v>
      </c>
      <c r="C45" s="145" t="s">
        <v>1812</v>
      </c>
      <c r="D45" s="145" t="s">
        <v>778</v>
      </c>
      <c r="E45" s="84" t="s">
        <v>1370</v>
      </c>
      <c r="G45" s="89">
        <f>+G46</f>
        <v>23.849999999999998</v>
      </c>
      <c r="H45" s="77" t="str">
        <f>VLOOKUP(E45,'B. DATOS'!$B$34:$E$622,2,FALSE)</f>
        <v>M2</v>
      </c>
      <c r="J45" s="29" t="s">
        <v>14</v>
      </c>
      <c r="L45" s="78">
        <f>VLOOKUP(E45,'B. DATOS'!$B$34:$E$622,4,FALSE)</f>
        <v>12000</v>
      </c>
      <c r="M45" s="76">
        <f>+L45*G45</f>
        <v>286200</v>
      </c>
      <c r="N45" s="351"/>
      <c r="O45" s="80">
        <f t="shared" si="1"/>
        <v>23.849999999999998</v>
      </c>
      <c r="Q45" s="76">
        <f>+M45*$N$41</f>
        <v>286200</v>
      </c>
    </row>
    <row r="46" spans="2:21" x14ac:dyDescent="0.25">
      <c r="B46" s="83" t="s">
        <v>1325</v>
      </c>
      <c r="C46" s="145" t="s">
        <v>1812</v>
      </c>
      <c r="D46" s="145" t="s">
        <v>778</v>
      </c>
      <c r="E46" s="84" t="s">
        <v>783</v>
      </c>
      <c r="G46" s="89">
        <f>+'2. CANTIDADES'!UM13+'2. CANTIDADES'!VG5+'2. CANTIDADES'!VQ10+'2. CANTIDADES'!WA5+'2. CANTIDADES'!WU7+'2. CANTIDADES'!XE7+'2. CANTIDADES'!XO7+'2. CANTIDADES'!XY8</f>
        <v>23.849999999999998</v>
      </c>
      <c r="H46" s="77" t="str">
        <f>VLOOKUP(E46,'B. DATOS'!$B$34:$E$622,2,FALSE)</f>
        <v>M2</v>
      </c>
      <c r="J46" s="29" t="s">
        <v>14</v>
      </c>
      <c r="L46" s="78">
        <f>VLOOKUP(E46,'B. DATOS'!$B$34:$E$622,4,FALSE)</f>
        <v>25000</v>
      </c>
      <c r="M46" s="76">
        <f t="shared" si="0"/>
        <v>596250</v>
      </c>
      <c r="N46" s="351"/>
      <c r="O46" s="80">
        <f t="shared" si="1"/>
        <v>23.849999999999998</v>
      </c>
      <c r="Q46" s="76">
        <f>+M46*$N$41</f>
        <v>596250</v>
      </c>
    </row>
    <row r="47" spans="2:21" s="39" customFormat="1" ht="30" customHeight="1" x14ac:dyDescent="0.25">
      <c r="B47" s="288">
        <v>2.2000000000000002</v>
      </c>
      <c r="C47" s="289" t="s">
        <v>1400</v>
      </c>
      <c r="D47" s="412" t="s">
        <v>1420</v>
      </c>
      <c r="E47" s="413"/>
      <c r="F47" s="290"/>
      <c r="G47" s="290"/>
      <c r="H47" s="290"/>
      <c r="I47" s="290"/>
      <c r="J47" s="290"/>
      <c r="K47" s="290"/>
      <c r="L47" s="291"/>
      <c r="M47" s="291"/>
      <c r="N47" s="290"/>
      <c r="O47" s="290"/>
      <c r="P47" s="291">
        <f>+SUM(P48:P53)</f>
        <v>175529.56000000006</v>
      </c>
      <c r="Q47" s="291">
        <f>+SUM(Q48:Q53)</f>
        <v>68080</v>
      </c>
      <c r="R47" s="298">
        <f>+P47+Q47</f>
        <v>243609.56000000006</v>
      </c>
      <c r="S47" s="414">
        <f>+R47/G53</f>
        <v>132396.50000000003</v>
      </c>
      <c r="T47" s="294" cm="1">
        <f t="array" ref="T47:U47">+R47/'1. GENERAL'!$E$31:$F$31</f>
        <v>4.9824705235866499E-4</v>
      </c>
      <c r="U47" s="39" t="e">
        <v>#DIV/0!</v>
      </c>
    </row>
    <row r="48" spans="2:21" x14ac:dyDescent="0.25">
      <c r="B48" s="295" t="s">
        <v>279</v>
      </c>
      <c r="C48" s="296" t="s">
        <v>1400</v>
      </c>
      <c r="D48" s="296" t="s">
        <v>251</v>
      </c>
      <c r="E48" s="297" t="s">
        <v>568</v>
      </c>
      <c r="G48" s="167">
        <f>+G53*1.1</f>
        <v>2.0240000000000005</v>
      </c>
      <c r="H48" s="77" t="str">
        <f>VLOOKUP(E48,'B. DATOS'!$B$34:$E$622,2,FALSE)</f>
        <v>M2</v>
      </c>
      <c r="J48" s="29" t="s">
        <v>571</v>
      </c>
      <c r="L48" s="78">
        <f>VLOOKUP(E48,'B. DATOS'!$B$34:$E$622,4,FALSE)</f>
        <v>65000</v>
      </c>
      <c r="M48" s="76">
        <f t="shared" ref="M48:M50" si="2">+L48*G48</f>
        <v>131560.00000000003</v>
      </c>
      <c r="N48" s="351">
        <v>1</v>
      </c>
      <c r="O48" s="80">
        <f t="shared" ref="O48:O53" si="3">+G48*$N$41</f>
        <v>2.0240000000000005</v>
      </c>
      <c r="P48" s="76">
        <f>+M48*$N$41</f>
        <v>131560.00000000003</v>
      </c>
    </row>
    <row r="49" spans="2:21" x14ac:dyDescent="0.25">
      <c r="B49" s="295" t="s">
        <v>280</v>
      </c>
      <c r="C49" s="296" t="s">
        <v>1400</v>
      </c>
      <c r="D49" s="296" t="s">
        <v>251</v>
      </c>
      <c r="E49" s="297" t="s">
        <v>569</v>
      </c>
      <c r="G49" s="89">
        <f>+((G48*0.09)/0.8)*1.05</f>
        <v>0.23908500000000005</v>
      </c>
      <c r="H49" s="77" t="str">
        <f>VLOOKUP(E49,'B. DATOS'!$B$34:$E$622,2,FALSE)</f>
        <v>UND</v>
      </c>
      <c r="J49" s="29" t="s">
        <v>571</v>
      </c>
      <c r="L49" s="78">
        <f>VLOOKUP(E49,'B. DATOS'!$B$34:$E$622,4,FALSE)</f>
        <v>16000</v>
      </c>
      <c r="M49" s="76">
        <f t="shared" si="2"/>
        <v>3825.3600000000006</v>
      </c>
      <c r="N49" s="351"/>
      <c r="O49" s="80">
        <f t="shared" si="3"/>
        <v>0.23908500000000005</v>
      </c>
      <c r="P49" s="76">
        <f>+M49*$N$41</f>
        <v>3825.3600000000006</v>
      </c>
    </row>
    <row r="50" spans="2:21" x14ac:dyDescent="0.25">
      <c r="B50" s="295" t="s">
        <v>1926</v>
      </c>
      <c r="C50" s="296" t="s">
        <v>1400</v>
      </c>
      <c r="D50" s="296" t="s">
        <v>251</v>
      </c>
      <c r="E50" s="297" t="s">
        <v>570</v>
      </c>
      <c r="G50" s="89">
        <f>+(G53/0.8)*1.05</f>
        <v>2.415</v>
      </c>
      <c r="H50" s="77" t="str">
        <f>VLOOKUP(E50,'B. DATOS'!$B$34:$E$622,2,FALSE)</f>
        <v>GL</v>
      </c>
      <c r="J50" s="29" t="s">
        <v>571</v>
      </c>
      <c r="L50" s="78">
        <f>VLOOKUP(E50,'B. DATOS'!$B$34:$E$622,4,FALSE)</f>
        <v>7000</v>
      </c>
      <c r="M50" s="76">
        <f t="shared" si="2"/>
        <v>16905</v>
      </c>
      <c r="N50" s="351"/>
      <c r="O50" s="80">
        <f t="shared" si="3"/>
        <v>2.415</v>
      </c>
      <c r="P50" s="76">
        <f>+M50*$N$41</f>
        <v>16905</v>
      </c>
    </row>
    <row r="51" spans="2:21" x14ac:dyDescent="0.25">
      <c r="B51" s="295" t="s">
        <v>1927</v>
      </c>
      <c r="C51" s="296" t="s">
        <v>1400</v>
      </c>
      <c r="D51" s="296" t="s">
        <v>251</v>
      </c>
      <c r="E51" s="297" t="s">
        <v>1351</v>
      </c>
      <c r="G51" s="89">
        <f>+G52*0.03</f>
        <v>5.5199999999999999E-2</v>
      </c>
      <c r="H51" s="77" t="str">
        <f>VLOOKUP(E51,'B. DATOS'!$B$34:$E$622,2,FALSE)</f>
        <v>M3</v>
      </c>
      <c r="J51" s="29" t="s">
        <v>717</v>
      </c>
      <c r="L51" s="78">
        <f>VLOOKUP(E51,'B. DATOS'!$B$34:$E$622,4,FALSE)</f>
        <v>421000</v>
      </c>
      <c r="M51" s="76">
        <f>+L51*G51</f>
        <v>23239.200000000001</v>
      </c>
      <c r="N51" s="351"/>
      <c r="O51" s="80">
        <f t="shared" si="3"/>
        <v>5.5199999999999999E-2</v>
      </c>
      <c r="P51" s="76">
        <f>+M51*$N$41</f>
        <v>23239.200000000001</v>
      </c>
    </row>
    <row r="52" spans="2:21" x14ac:dyDescent="0.25">
      <c r="B52" s="295" t="s">
        <v>1928</v>
      </c>
      <c r="C52" s="296" t="s">
        <v>1400</v>
      </c>
      <c r="D52" s="296" t="s">
        <v>778</v>
      </c>
      <c r="E52" s="297" t="s">
        <v>1370</v>
      </c>
      <c r="G52" s="89">
        <f>+G53</f>
        <v>1.84</v>
      </c>
      <c r="H52" s="77" t="str">
        <f>VLOOKUP(E52,'B. DATOS'!$B$34:$E$622,2,FALSE)</f>
        <v>M2</v>
      </c>
      <c r="J52" s="29" t="s">
        <v>14</v>
      </c>
      <c r="L52" s="78">
        <f>VLOOKUP(E52,'B. DATOS'!$B$34:$E$622,4,FALSE)</f>
        <v>12000</v>
      </c>
      <c r="M52" s="76">
        <f>+L52*G52</f>
        <v>22080</v>
      </c>
      <c r="N52" s="351"/>
      <c r="O52" s="80">
        <f t="shared" si="3"/>
        <v>1.84</v>
      </c>
      <c r="Q52" s="76">
        <f>+M52*$N$41</f>
        <v>22080</v>
      </c>
    </row>
    <row r="53" spans="2:21" x14ac:dyDescent="0.25">
      <c r="B53" s="295" t="s">
        <v>1929</v>
      </c>
      <c r="C53" s="296" t="s">
        <v>1400</v>
      </c>
      <c r="D53" s="296" t="s">
        <v>778</v>
      </c>
      <c r="E53" s="297" t="s">
        <v>783</v>
      </c>
      <c r="G53" s="89">
        <f>+'2. CANTIDADES'!WU11</f>
        <v>1.84</v>
      </c>
      <c r="H53" s="77" t="str">
        <f>VLOOKUP(E53,'B. DATOS'!$B$34:$E$622,2,FALSE)</f>
        <v>M2</v>
      </c>
      <c r="J53" s="29" t="s">
        <v>14</v>
      </c>
      <c r="L53" s="78">
        <f>VLOOKUP(E53,'B. DATOS'!$B$34:$E$622,4,FALSE)</f>
        <v>25000</v>
      </c>
      <c r="M53" s="76">
        <f t="shared" ref="M53" si="4">+L53*G53</f>
        <v>46000</v>
      </c>
      <c r="N53" s="351"/>
      <c r="O53" s="80">
        <f t="shared" si="3"/>
        <v>1.84</v>
      </c>
      <c r="Q53" s="76">
        <f>+M53*$N$41</f>
        <v>46000</v>
      </c>
    </row>
    <row r="54" spans="2:21" s="39" customFormat="1" ht="30" customHeight="1" x14ac:dyDescent="0.25">
      <c r="B54" s="110">
        <v>2.2999999999999998</v>
      </c>
      <c r="C54" s="144" t="s">
        <v>1812</v>
      </c>
      <c r="D54" s="377" t="s">
        <v>1268</v>
      </c>
      <c r="E54" s="378"/>
      <c r="F54" s="121"/>
      <c r="G54" s="121"/>
      <c r="H54" s="121"/>
      <c r="I54" s="121"/>
      <c r="J54" s="121"/>
      <c r="K54" s="121"/>
      <c r="L54" s="122"/>
      <c r="M54" s="122"/>
      <c r="N54" s="121"/>
      <c r="O54" s="121"/>
      <c r="P54" s="122">
        <f>+SUM(P55:P58)</f>
        <v>3203241.0830476186</v>
      </c>
      <c r="Q54" s="122">
        <f>+SUM(Q55:Q58)</f>
        <v>2861640</v>
      </c>
      <c r="R54" s="123">
        <f>+P54+Q54</f>
        <v>6064881.0830476191</v>
      </c>
      <c r="S54" s="166">
        <f>+R54/G58</f>
        <v>38148.704761904766</v>
      </c>
      <c r="T54" s="181" cm="1">
        <f t="array" ref="T54:U54">+R54/'1. GENERAL'!$E$31:$F$31</f>
        <v>1.2404312550518557E-2</v>
      </c>
      <c r="U54" s="39" t="e">
        <v>#DIV/0!</v>
      </c>
    </row>
    <row r="55" spans="2:21" x14ac:dyDescent="0.25">
      <c r="B55" s="83" t="s">
        <v>282</v>
      </c>
      <c r="C55" s="145" t="s">
        <v>1812</v>
      </c>
      <c r="D55" s="145" t="s">
        <v>251</v>
      </c>
      <c r="E55" s="84" t="s">
        <v>625</v>
      </c>
      <c r="G55" s="89">
        <f>+(G58*0.04)*1.05</f>
        <v>6.6771599999999998</v>
      </c>
      <c r="H55" s="77" t="str">
        <f>VLOOKUP(E55,'B. DATOS'!$B$34:$E$622,2,FALSE)</f>
        <v>M3</v>
      </c>
      <c r="J55" s="29" t="s">
        <v>717</v>
      </c>
      <c r="L55" s="78">
        <f>VLOOKUP(E55,'B. DATOS'!$B$34:$E$622,4,FALSE)</f>
        <v>360400</v>
      </c>
      <c r="M55" s="88">
        <f>+L55*G55</f>
        <v>2406448.4639999997</v>
      </c>
      <c r="N55" s="351">
        <v>1</v>
      </c>
      <c r="O55" s="80">
        <f>+G55*$N$55</f>
        <v>6.6771599999999998</v>
      </c>
      <c r="P55" s="76">
        <f>+M55*$N$55</f>
        <v>2406448.4639999997</v>
      </c>
    </row>
    <row r="56" spans="2:21" x14ac:dyDescent="0.25">
      <c r="B56" s="83" t="s">
        <v>283</v>
      </c>
      <c r="C56" s="145" t="s">
        <v>1812</v>
      </c>
      <c r="D56" s="145" t="s">
        <v>251</v>
      </c>
      <c r="E56" s="84" t="s">
        <v>1158</v>
      </c>
      <c r="G56" s="89">
        <f>+G58/20</f>
        <v>7.9489999999999998</v>
      </c>
      <c r="H56" s="77" t="str">
        <f>VLOOKUP(E56,'B. DATOS'!$B$34:$E$622,2,FALSE)</f>
        <v>BTO</v>
      </c>
      <c r="J56" s="29" t="s">
        <v>717</v>
      </c>
      <c r="L56" s="78">
        <f>VLOOKUP(E56,'B. DATOS'!$B$34:$E$622,4,FALSE)</f>
        <v>75000</v>
      </c>
      <c r="M56" s="88">
        <f>+L56*G56</f>
        <v>596175</v>
      </c>
      <c r="N56" s="351"/>
      <c r="O56" s="80">
        <f>+G56*$N$41</f>
        <v>7.9489999999999998</v>
      </c>
      <c r="P56" s="76">
        <f>+M56*$N$55</f>
        <v>596175</v>
      </c>
    </row>
    <row r="57" spans="2:21" x14ac:dyDescent="0.25">
      <c r="B57" s="83" t="s">
        <v>284</v>
      </c>
      <c r="C57" s="145" t="s">
        <v>1812</v>
      </c>
      <c r="D57" s="145" t="s">
        <v>251</v>
      </c>
      <c r="E57" s="84" t="s">
        <v>785</v>
      </c>
      <c r="G57" s="89">
        <f>+G58/42</f>
        <v>3.7852380952380948</v>
      </c>
      <c r="H57" s="77" t="str">
        <f>VLOOKUP(E57,'B. DATOS'!$B$34:$E$622,2,FALSE)</f>
        <v>GL</v>
      </c>
      <c r="J57" s="29" t="s">
        <v>639</v>
      </c>
      <c r="L57" s="78">
        <f>VLOOKUP(E57,'B. DATOS'!$B$34:$E$622,4,FALSE)</f>
        <v>53000</v>
      </c>
      <c r="M57" s="88">
        <f>+L57*G57</f>
        <v>200617.61904761902</v>
      </c>
      <c r="N57" s="351"/>
      <c r="O57" s="80">
        <f>+G57*$N$41</f>
        <v>3.7852380952380948</v>
      </c>
      <c r="P57" s="76">
        <f>+M57*$N$55</f>
        <v>200617.61904761902</v>
      </c>
    </row>
    <row r="58" spans="2:21" x14ac:dyDescent="0.25">
      <c r="B58" s="83" t="s">
        <v>285</v>
      </c>
      <c r="C58" s="145" t="s">
        <v>1812</v>
      </c>
      <c r="D58" s="145" t="s">
        <v>778</v>
      </c>
      <c r="E58" s="84" t="s">
        <v>1360</v>
      </c>
      <c r="G58" s="89">
        <f>+'2. CANTIDADES'!SY4+'2. CANTIDADES'!TS4</f>
        <v>158.97999999999999</v>
      </c>
      <c r="H58" s="77" t="str">
        <f>VLOOKUP(E58,'B. DATOS'!$B$34:$E$622,2,FALSE)</f>
        <v>M2</v>
      </c>
      <c r="J58" s="29" t="s">
        <v>14</v>
      </c>
      <c r="L58" s="78">
        <f>VLOOKUP(E58,'B. DATOS'!$B$34:$E$622,4,FALSE)</f>
        <v>18000</v>
      </c>
      <c r="M58" s="88">
        <f>+L58*G58</f>
        <v>2861640</v>
      </c>
      <c r="N58" s="351"/>
      <c r="O58" s="80">
        <f>+G58*$N$55</f>
        <v>158.97999999999999</v>
      </c>
      <c r="Q58" s="76">
        <f>+M58*$N$55</f>
        <v>2861640</v>
      </c>
    </row>
    <row r="59" spans="2:21" s="39" customFormat="1" ht="30" customHeight="1" x14ac:dyDescent="0.25">
      <c r="B59" s="288">
        <v>2.4</v>
      </c>
      <c r="C59" s="289" t="s">
        <v>1400</v>
      </c>
      <c r="D59" s="412" t="s">
        <v>1268</v>
      </c>
      <c r="E59" s="413"/>
      <c r="F59" s="290"/>
      <c r="G59" s="290"/>
      <c r="H59" s="290"/>
      <c r="I59" s="290"/>
      <c r="J59" s="290"/>
      <c r="K59" s="290"/>
      <c r="L59" s="291"/>
      <c r="M59" s="291"/>
      <c r="N59" s="290"/>
      <c r="O59" s="290"/>
      <c r="P59" s="291">
        <f>+SUM(P60:P63)</f>
        <v>426145.10571428575</v>
      </c>
      <c r="Q59" s="291">
        <f>+SUM(Q60:Q63)</f>
        <v>380700</v>
      </c>
      <c r="R59" s="298">
        <f>+P59+Q59</f>
        <v>806845.10571428575</v>
      </c>
      <c r="S59" s="414">
        <f>+R59/G63</f>
        <v>38148.704761904766</v>
      </c>
      <c r="T59" s="294" cm="1">
        <f t="array" ref="T59:U59">+R59/'1. GENERAL'!$E$31:$F$31</f>
        <v>1.6502151870893666E-3</v>
      </c>
      <c r="U59" s="39" t="e">
        <v>#DIV/0!</v>
      </c>
    </row>
    <row r="60" spans="2:21" x14ac:dyDescent="0.25">
      <c r="B60" s="295" t="s">
        <v>509</v>
      </c>
      <c r="C60" s="296" t="s">
        <v>1400</v>
      </c>
      <c r="D60" s="296" t="s">
        <v>251</v>
      </c>
      <c r="E60" s="297" t="s">
        <v>625</v>
      </c>
      <c r="G60" s="89">
        <f>+(G63*0.04)*1.05</f>
        <v>0.88829999999999998</v>
      </c>
      <c r="H60" s="77" t="str">
        <f>VLOOKUP(E60,'B. DATOS'!$B$34:$E$622,2,FALSE)</f>
        <v>M3</v>
      </c>
      <c r="J60" s="29" t="s">
        <v>717</v>
      </c>
      <c r="L60" s="78">
        <f>VLOOKUP(E60,'B. DATOS'!$B$34:$E$622,4,FALSE)</f>
        <v>360400</v>
      </c>
      <c r="M60" s="88">
        <f>+L60*G60</f>
        <v>320143.32</v>
      </c>
      <c r="N60" s="351">
        <v>1</v>
      </c>
      <c r="O60" s="80">
        <f>+G60*$N$55</f>
        <v>0.88829999999999998</v>
      </c>
      <c r="P60" s="76">
        <f>+M60*$N$55</f>
        <v>320143.32</v>
      </c>
    </row>
    <row r="61" spans="2:21" x14ac:dyDescent="0.25">
      <c r="B61" s="295" t="s">
        <v>578</v>
      </c>
      <c r="C61" s="296" t="s">
        <v>1400</v>
      </c>
      <c r="D61" s="296" t="s">
        <v>251</v>
      </c>
      <c r="E61" s="297" t="s">
        <v>1158</v>
      </c>
      <c r="G61" s="89">
        <f>+G63/20</f>
        <v>1.0574999999999999</v>
      </c>
      <c r="H61" s="77" t="str">
        <f>VLOOKUP(E61,'B. DATOS'!$B$34:$E$622,2,FALSE)</f>
        <v>BTO</v>
      </c>
      <c r="J61" s="29" t="s">
        <v>717</v>
      </c>
      <c r="L61" s="78">
        <f>VLOOKUP(E61,'B. DATOS'!$B$34:$E$622,4,FALSE)</f>
        <v>75000</v>
      </c>
      <c r="M61" s="88">
        <f>+L61*G61</f>
        <v>79312.499999999985</v>
      </c>
      <c r="N61" s="351"/>
      <c r="O61" s="80">
        <f>+G61*$N$41</f>
        <v>1.0574999999999999</v>
      </c>
      <c r="P61" s="76">
        <f>+M61*$N$55</f>
        <v>79312.499999999985</v>
      </c>
    </row>
    <row r="62" spans="2:21" x14ac:dyDescent="0.25">
      <c r="B62" s="295" t="s">
        <v>579</v>
      </c>
      <c r="C62" s="296" t="s">
        <v>1400</v>
      </c>
      <c r="D62" s="296" t="s">
        <v>251</v>
      </c>
      <c r="E62" s="297" t="s">
        <v>785</v>
      </c>
      <c r="G62" s="89">
        <f>+G63/42</f>
        <v>0.50357142857142856</v>
      </c>
      <c r="H62" s="77" t="str">
        <f>VLOOKUP(E62,'B. DATOS'!$B$34:$E$622,2,FALSE)</f>
        <v>GL</v>
      </c>
      <c r="J62" s="29" t="s">
        <v>639</v>
      </c>
      <c r="L62" s="78">
        <f>VLOOKUP(E62,'B. DATOS'!$B$34:$E$622,4,FALSE)</f>
        <v>53000</v>
      </c>
      <c r="M62" s="88">
        <f>+L62*G62</f>
        <v>26689.285714285714</v>
      </c>
      <c r="N62" s="351"/>
      <c r="O62" s="80">
        <f>+G62*$N$41</f>
        <v>0.50357142857142856</v>
      </c>
      <c r="P62" s="76">
        <f>+M62*$N$55</f>
        <v>26689.285714285714</v>
      </c>
    </row>
    <row r="63" spans="2:21" x14ac:dyDescent="0.25">
      <c r="B63" s="295" t="s">
        <v>580</v>
      </c>
      <c r="C63" s="296" t="s">
        <v>1400</v>
      </c>
      <c r="D63" s="296" t="s">
        <v>778</v>
      </c>
      <c r="E63" s="297" t="s">
        <v>1360</v>
      </c>
      <c r="G63" s="89">
        <f>+'2. CANTIDADES'!TS18+'2. CANTIDADES'!SY36</f>
        <v>21.15</v>
      </c>
      <c r="H63" s="77" t="str">
        <f>VLOOKUP(E63,'B. DATOS'!$B$34:$E$622,2,FALSE)</f>
        <v>M2</v>
      </c>
      <c r="J63" s="29" t="s">
        <v>14</v>
      </c>
      <c r="L63" s="78">
        <f>VLOOKUP(E63,'B. DATOS'!$B$34:$E$622,4,FALSE)</f>
        <v>18000</v>
      </c>
      <c r="M63" s="88">
        <f>+L63*G63</f>
        <v>380700</v>
      </c>
      <c r="N63" s="351"/>
      <c r="O63" s="80">
        <f>+G63*$N$55</f>
        <v>21.15</v>
      </c>
      <c r="Q63" s="76">
        <f>+M63*$N$55</f>
        <v>380700</v>
      </c>
    </row>
    <row r="64" spans="2:21" s="39" customFormat="1" ht="30" customHeight="1" x14ac:dyDescent="0.25">
      <c r="B64" s="110">
        <v>2.5</v>
      </c>
      <c r="C64" s="144" t="s">
        <v>1812</v>
      </c>
      <c r="D64" s="377" t="s">
        <v>586</v>
      </c>
      <c r="E64" s="378"/>
      <c r="F64" s="121"/>
      <c r="G64" s="121"/>
      <c r="H64" s="121"/>
      <c r="I64" s="121"/>
      <c r="J64" s="121"/>
      <c r="K64" s="121"/>
      <c r="L64" s="122"/>
      <c r="M64" s="122"/>
      <c r="N64" s="121"/>
      <c r="O64" s="121"/>
      <c r="P64" s="122">
        <f>+SUM(P65:P68)</f>
        <v>6443377.5</v>
      </c>
      <c r="Q64" s="122">
        <f>+SUM(Q65:Q68)</f>
        <v>5880000</v>
      </c>
      <c r="R64" s="123">
        <f>+P64+Q64</f>
        <v>12323377.5</v>
      </c>
      <c r="S64" s="166">
        <f>+R64/G68</f>
        <v>125748.75</v>
      </c>
      <c r="T64" s="181" cm="1">
        <f t="array" ref="T64:U64">+R64/'1. GENERAL'!$E$31:$F$31</f>
        <v>2.5204620518497277E-2</v>
      </c>
      <c r="U64" s="39" t="e">
        <v>#DIV/0!</v>
      </c>
    </row>
    <row r="65" spans="2:21" x14ac:dyDescent="0.25">
      <c r="B65" s="83" t="s">
        <v>1423</v>
      </c>
      <c r="C65" s="145" t="s">
        <v>1812</v>
      </c>
      <c r="D65" s="145" t="s">
        <v>251</v>
      </c>
      <c r="E65" s="84" t="s">
        <v>665</v>
      </c>
      <c r="G65" s="89">
        <f>+G68*1.05</f>
        <v>102.9</v>
      </c>
      <c r="H65" s="77" t="str">
        <f>VLOOKUP(E65,'B. DATOS'!$B$34:$E$622,2,FALSE)</f>
        <v>M2</v>
      </c>
      <c r="J65" s="29" t="s">
        <v>586</v>
      </c>
      <c r="L65" s="78">
        <f>VLOOKUP(E65,'B. DATOS'!$B$34:$E$622,4,FALSE)</f>
        <v>45000</v>
      </c>
      <c r="M65" s="88">
        <f>+L65*G65</f>
        <v>4630500</v>
      </c>
      <c r="N65" s="351">
        <v>1</v>
      </c>
      <c r="O65" s="80">
        <f>+G65*$N$55</f>
        <v>102.9</v>
      </c>
      <c r="P65" s="76">
        <f>+M65*$N$65</f>
        <v>4630500</v>
      </c>
    </row>
    <row r="66" spans="2:21" x14ac:dyDescent="0.25">
      <c r="B66" s="83" t="s">
        <v>1424</v>
      </c>
      <c r="C66" s="145" t="s">
        <v>1812</v>
      </c>
      <c r="D66" s="145" t="s">
        <v>251</v>
      </c>
      <c r="E66" s="84" t="s">
        <v>587</v>
      </c>
      <c r="G66" s="89">
        <f>+'2. CANTIDADES'!YN2*1.05</f>
        <v>217.82249999999999</v>
      </c>
      <c r="H66" s="77" t="str">
        <f>VLOOKUP(E66,'B. DATOS'!$B$34:$E$622,2,FALSE)</f>
        <v>ML</v>
      </c>
      <c r="J66" s="29" t="s">
        <v>586</v>
      </c>
      <c r="L66" s="78">
        <f>VLOOKUP(E66,'B. DATOS'!$B$34:$E$622,4,FALSE)</f>
        <v>7000</v>
      </c>
      <c r="M66" s="88">
        <f>+L66*G66</f>
        <v>1524757.5</v>
      </c>
      <c r="N66" s="351"/>
      <c r="O66" s="80">
        <f>+G66*$N$41</f>
        <v>217.82249999999999</v>
      </c>
      <c r="P66" s="76">
        <f>+M66*$N$65</f>
        <v>1524757.5</v>
      </c>
    </row>
    <row r="67" spans="2:21" x14ac:dyDescent="0.25">
      <c r="B67" s="83" t="s">
        <v>1425</v>
      </c>
      <c r="C67" s="145" t="s">
        <v>1812</v>
      </c>
      <c r="D67" s="145" t="s">
        <v>251</v>
      </c>
      <c r="E67" s="84" t="s">
        <v>1290</v>
      </c>
      <c r="G67" s="89">
        <f>+G68*30</f>
        <v>2940</v>
      </c>
      <c r="H67" s="77" t="str">
        <f>VLOOKUP(E67,'B. DATOS'!$B$34:$E$622,2,FALSE)</f>
        <v>UND</v>
      </c>
      <c r="J67" s="29" t="s">
        <v>274</v>
      </c>
      <c r="L67" s="78">
        <f>VLOOKUP(E67,'B. DATOS'!$B$34:$E$622,4,FALSE)</f>
        <v>98</v>
      </c>
      <c r="M67" s="88">
        <f>+L67*G67</f>
        <v>288120</v>
      </c>
      <c r="N67" s="351"/>
      <c r="O67" s="80">
        <f>+G67*$N$41</f>
        <v>2940</v>
      </c>
      <c r="P67" s="76">
        <f>+M67*$N$65</f>
        <v>288120</v>
      </c>
    </row>
    <row r="68" spans="2:21" x14ac:dyDescent="0.25">
      <c r="B68" s="83" t="s">
        <v>1426</v>
      </c>
      <c r="C68" s="145" t="s">
        <v>1812</v>
      </c>
      <c r="D68" s="145" t="s">
        <v>778</v>
      </c>
      <c r="E68" s="84" t="s">
        <v>757</v>
      </c>
      <c r="G68" s="89">
        <f>+'2. CANTIDADES'!ZS4+'2. CANTIDADES'!AAC7+'2. CANTIDADES'!ZS19</f>
        <v>98</v>
      </c>
      <c r="H68" s="77" t="str">
        <f>VLOOKUP(E68,'B. DATOS'!$B$34:$E$622,2,FALSE)</f>
        <v>M2</v>
      </c>
      <c r="J68" s="29" t="s">
        <v>752</v>
      </c>
      <c r="L68" s="78">
        <f>VLOOKUP(E68,'B. DATOS'!$B$34:$E$622,4,FALSE)</f>
        <v>60000</v>
      </c>
      <c r="M68" s="88">
        <f>+L68*G68</f>
        <v>5880000</v>
      </c>
      <c r="N68" s="351"/>
      <c r="O68" s="80">
        <f>+G68*$N$55</f>
        <v>98</v>
      </c>
      <c r="Q68" s="76">
        <f>+M68*$N$65</f>
        <v>5880000</v>
      </c>
    </row>
    <row r="69" spans="2:21" s="39" customFormat="1" ht="30" customHeight="1" x14ac:dyDescent="0.25">
      <c r="B69" s="288">
        <v>2.6</v>
      </c>
      <c r="C69" s="289" t="s">
        <v>1400</v>
      </c>
      <c r="D69" s="412" t="s">
        <v>586</v>
      </c>
      <c r="E69" s="413"/>
      <c r="F69" s="290"/>
      <c r="G69" s="290"/>
      <c r="H69" s="290"/>
      <c r="I69" s="290"/>
      <c r="J69" s="290"/>
      <c r="K69" s="290"/>
      <c r="L69" s="291"/>
      <c r="M69" s="291"/>
      <c r="N69" s="290"/>
      <c r="O69" s="290"/>
      <c r="P69" s="291">
        <f>+SUM(P70:P73)</f>
        <v>2523530.1000000006</v>
      </c>
      <c r="Q69" s="291">
        <f>+SUM(Q70:Q73)</f>
        <v>2972400.0000000005</v>
      </c>
      <c r="R69" s="298">
        <f>+P69+Q69</f>
        <v>5495930.1000000015</v>
      </c>
      <c r="S69" s="414">
        <f>+R69/G73</f>
        <v>110939.24303593057</v>
      </c>
      <c r="T69" s="294" cm="1">
        <f t="array" ref="T69:U69">+R69/'1. GENERAL'!$E$31:$F$31</f>
        <v>1.1240654809664545E-2</v>
      </c>
      <c r="U69" s="39" t="e">
        <v>#DIV/0!</v>
      </c>
    </row>
    <row r="70" spans="2:21" x14ac:dyDescent="0.25">
      <c r="B70" s="295" t="s">
        <v>1551</v>
      </c>
      <c r="C70" s="296" t="s">
        <v>1400</v>
      </c>
      <c r="D70" s="296" t="s">
        <v>251</v>
      </c>
      <c r="E70" s="297" t="s">
        <v>665</v>
      </c>
      <c r="G70" s="89">
        <f>+G73*1.05</f>
        <v>52.01700000000001</v>
      </c>
      <c r="H70" s="77" t="str">
        <f>VLOOKUP(E70,'B. DATOS'!$B$34:$E$622,2,FALSE)</f>
        <v>M2</v>
      </c>
      <c r="J70" s="29" t="s">
        <v>586</v>
      </c>
      <c r="L70" s="78">
        <f>VLOOKUP(E70,'B. DATOS'!$B$34:$E$622,4,FALSE)</f>
        <v>45000</v>
      </c>
      <c r="M70" s="88">
        <f>+L70*G70</f>
        <v>2340765.0000000005</v>
      </c>
      <c r="N70" s="351">
        <v>1</v>
      </c>
      <c r="O70" s="80">
        <f>+G70*$N$55</f>
        <v>52.01700000000001</v>
      </c>
      <c r="P70" s="76">
        <f>+M70*$N$65</f>
        <v>2340765.0000000005</v>
      </c>
    </row>
    <row r="71" spans="2:21" x14ac:dyDescent="0.25">
      <c r="B71" s="295" t="s">
        <v>1552</v>
      </c>
      <c r="C71" s="296" t="s">
        <v>1400</v>
      </c>
      <c r="D71" s="296" t="s">
        <v>251</v>
      </c>
      <c r="E71" s="297" t="s">
        <v>587</v>
      </c>
      <c r="G71" s="89">
        <f>+'2. CANTIDADES'!YN7*1.05</f>
        <v>5.3025000000000002</v>
      </c>
      <c r="H71" s="77" t="str">
        <f>VLOOKUP(E71,'B. DATOS'!$B$34:$E$622,2,FALSE)</f>
        <v>ML</v>
      </c>
      <c r="J71" s="29" t="s">
        <v>586</v>
      </c>
      <c r="L71" s="78">
        <f>VLOOKUP(E71,'B. DATOS'!$B$34:$E$622,4,FALSE)</f>
        <v>7000</v>
      </c>
      <c r="M71" s="88">
        <f>+L71*G71</f>
        <v>37117.5</v>
      </c>
      <c r="N71" s="351"/>
      <c r="O71" s="80">
        <f>+G71*$N$41</f>
        <v>5.3025000000000002</v>
      </c>
      <c r="P71" s="76">
        <f>+M71*$N$65</f>
        <v>37117.5</v>
      </c>
    </row>
    <row r="72" spans="2:21" x14ac:dyDescent="0.25">
      <c r="B72" s="295" t="s">
        <v>1553</v>
      </c>
      <c r="C72" s="296" t="s">
        <v>1400</v>
      </c>
      <c r="D72" s="296" t="s">
        <v>251</v>
      </c>
      <c r="E72" s="297" t="s">
        <v>1290</v>
      </c>
      <c r="G72" s="89">
        <f>+G73*30</f>
        <v>1486.2000000000003</v>
      </c>
      <c r="H72" s="77" t="str">
        <f>VLOOKUP(E72,'B. DATOS'!$B$34:$E$622,2,FALSE)</f>
        <v>UND</v>
      </c>
      <c r="J72" s="29" t="s">
        <v>274</v>
      </c>
      <c r="L72" s="78">
        <f>VLOOKUP(E72,'B. DATOS'!$B$34:$E$622,4,FALSE)</f>
        <v>98</v>
      </c>
      <c r="M72" s="88">
        <f>+L72*G72</f>
        <v>145647.60000000003</v>
      </c>
      <c r="N72" s="351"/>
      <c r="O72" s="80">
        <f>+G72*$N$41</f>
        <v>1486.2000000000003</v>
      </c>
      <c r="P72" s="76">
        <f>+M72*$N$65</f>
        <v>145647.60000000003</v>
      </c>
    </row>
    <row r="73" spans="2:21" x14ac:dyDescent="0.25">
      <c r="B73" s="295" t="s">
        <v>1554</v>
      </c>
      <c r="C73" s="296" t="s">
        <v>1400</v>
      </c>
      <c r="D73" s="296" t="s">
        <v>778</v>
      </c>
      <c r="E73" s="297" t="s">
        <v>757</v>
      </c>
      <c r="G73" s="89">
        <f>+'2. CANTIDADES'!ZI4</f>
        <v>49.540000000000006</v>
      </c>
      <c r="H73" s="77" t="str">
        <f>VLOOKUP(E73,'B. DATOS'!$B$34:$E$622,2,FALSE)</f>
        <v>M2</v>
      </c>
      <c r="J73" s="29" t="s">
        <v>752</v>
      </c>
      <c r="L73" s="78">
        <f>VLOOKUP(E73,'B. DATOS'!$B$34:$E$622,4,FALSE)</f>
        <v>60000</v>
      </c>
      <c r="M73" s="88">
        <f>+L73*G73</f>
        <v>2972400.0000000005</v>
      </c>
      <c r="N73" s="351"/>
      <c r="O73" s="80">
        <f>+G73*$N$55</f>
        <v>49.540000000000006</v>
      </c>
      <c r="Q73" s="76">
        <f>+M73*$N$65</f>
        <v>2972400.0000000005</v>
      </c>
    </row>
    <row r="74" spans="2:21" s="39" customFormat="1" x14ac:dyDescent="0.25">
      <c r="B74" s="109">
        <v>3</v>
      </c>
      <c r="C74" s="143"/>
      <c r="D74" s="375" t="s">
        <v>595</v>
      </c>
      <c r="E74" s="376"/>
      <c r="F74" s="125"/>
      <c r="G74" s="125"/>
      <c r="H74" s="125"/>
      <c r="I74" s="125"/>
      <c r="J74" s="125"/>
      <c r="K74" s="125"/>
      <c r="L74" s="126"/>
      <c r="M74" s="126"/>
      <c r="N74" s="125"/>
      <c r="O74" s="125"/>
      <c r="P74" s="126">
        <f>+P75+P81+P78</f>
        <v>6970619.7660000008</v>
      </c>
      <c r="Q74" s="126">
        <f>+Q75+Q81+Q78</f>
        <v>8027200</v>
      </c>
      <c r="R74" s="127">
        <f>+Q74+P74</f>
        <v>14997819.766000001</v>
      </c>
      <c r="S74" s="128"/>
      <c r="T74" s="182">
        <f>+T75</f>
        <v>8.2777144815606024E-3</v>
      </c>
    </row>
    <row r="75" spans="2:21" s="39" customFormat="1" x14ac:dyDescent="0.25">
      <c r="B75" s="110">
        <v>3.1</v>
      </c>
      <c r="C75" s="144" t="s">
        <v>1812</v>
      </c>
      <c r="D75" s="369" t="s">
        <v>596</v>
      </c>
      <c r="E75" s="370"/>
      <c r="F75" s="121"/>
      <c r="G75" s="121"/>
      <c r="H75" s="121"/>
      <c r="I75" s="121"/>
      <c r="J75" s="121"/>
      <c r="K75" s="121"/>
      <c r="L75" s="122"/>
      <c r="M75" s="122"/>
      <c r="N75" s="121"/>
      <c r="O75" s="121"/>
      <c r="P75" s="122">
        <f>+SUM(P76:P77)</f>
        <v>2428350</v>
      </c>
      <c r="Q75" s="122">
        <f>+SUM(Q76:Q77)</f>
        <v>1618900</v>
      </c>
      <c r="R75" s="123">
        <f>+P75+Q75</f>
        <v>4047250</v>
      </c>
      <c r="S75" s="124">
        <f>+R75/G77</f>
        <v>250000</v>
      </c>
      <c r="T75" s="181" cm="1">
        <f t="array" ref="T75:U75">+R75/'1. GENERAL'!$E$31:$F$31</f>
        <v>8.2777144815606024E-3</v>
      </c>
      <c r="U75" s="39" t="e">
        <v>#DIV/0!</v>
      </c>
    </row>
    <row r="76" spans="2:21" x14ac:dyDescent="0.25">
      <c r="B76" s="83" t="s">
        <v>330</v>
      </c>
      <c r="C76" s="145" t="s">
        <v>1812</v>
      </c>
      <c r="D76" s="145" t="s">
        <v>251</v>
      </c>
      <c r="E76" s="84" t="s">
        <v>1732</v>
      </c>
      <c r="G76" s="80">
        <f>+SUM('2. CANTIDADES'!ADB4:ADB13)</f>
        <v>16.189</v>
      </c>
      <c r="H76" s="77" t="str">
        <f>VLOOKUP(E76,'B. DATOS'!$B$34:$E$622,2,FALSE)</f>
        <v>M2</v>
      </c>
      <c r="J76" s="29" t="s">
        <v>508</v>
      </c>
      <c r="L76" s="78">
        <f>VLOOKUP(E76,'B. DATOS'!$B$34:$E$622,4,FALSE)</f>
        <v>150000</v>
      </c>
      <c r="M76" s="76">
        <f>+L76*G76</f>
        <v>2428350</v>
      </c>
      <c r="N76" s="351">
        <v>1</v>
      </c>
      <c r="O76" s="80">
        <f>+G76*$N$76</f>
        <v>16.189</v>
      </c>
      <c r="P76" s="76">
        <f>+M76*$N$76</f>
        <v>2428350</v>
      </c>
    </row>
    <row r="77" spans="2:21" x14ac:dyDescent="0.25">
      <c r="B77" s="83" t="s">
        <v>331</v>
      </c>
      <c r="C77" s="145" t="s">
        <v>1812</v>
      </c>
      <c r="D77" s="145" t="s">
        <v>778</v>
      </c>
      <c r="E77" s="84" t="s">
        <v>1731</v>
      </c>
      <c r="G77" s="80">
        <f>+G76</f>
        <v>16.189</v>
      </c>
      <c r="H77" s="77" t="str">
        <f>VLOOKUP(E77,'B. DATOS'!$B$34:$E$622,2,FALSE)</f>
        <v>M2</v>
      </c>
      <c r="J77" s="29" t="s">
        <v>14</v>
      </c>
      <c r="L77" s="78">
        <f>VLOOKUP(E77,'B. DATOS'!$B$34:$E$622,4,FALSE)</f>
        <v>100000</v>
      </c>
      <c r="M77" s="76">
        <f>+L77*G77</f>
        <v>1618900</v>
      </c>
      <c r="N77" s="351"/>
      <c r="O77" s="80">
        <f>+G77*$N$76</f>
        <v>16.189</v>
      </c>
      <c r="Q77" s="76">
        <f>+M77*$N$76</f>
        <v>1618900</v>
      </c>
    </row>
    <row r="78" spans="2:21" s="39" customFormat="1" x14ac:dyDescent="0.25">
      <c r="B78" s="288">
        <v>3.2</v>
      </c>
      <c r="C78" s="289" t="s">
        <v>1400</v>
      </c>
      <c r="D78" s="367" t="s">
        <v>596</v>
      </c>
      <c r="E78" s="368"/>
      <c r="F78" s="290"/>
      <c r="G78" s="290"/>
      <c r="H78" s="290"/>
      <c r="I78" s="290"/>
      <c r="J78" s="290"/>
      <c r="K78" s="290"/>
      <c r="L78" s="291"/>
      <c r="M78" s="291"/>
      <c r="N78" s="290"/>
      <c r="O78" s="290"/>
      <c r="P78" s="291">
        <f>+SUM(P79:P80)</f>
        <v>2124900</v>
      </c>
      <c r="Q78" s="291">
        <f>+SUM(Q79:Q80)</f>
        <v>1416600</v>
      </c>
      <c r="R78" s="298">
        <f>+P78+Q78</f>
        <v>3541500</v>
      </c>
      <c r="S78" s="293">
        <f>+R78/G80</f>
        <v>250000</v>
      </c>
      <c r="T78" s="294" cm="1">
        <f t="array" ref="T78:U78">+R78/'1. GENERAL'!$E$31:$F$31</f>
        <v>7.2433197446282972E-3</v>
      </c>
      <c r="U78" s="39" t="e">
        <v>#DIV/0!</v>
      </c>
    </row>
    <row r="79" spans="2:21" x14ac:dyDescent="0.25">
      <c r="B79" s="295" t="s">
        <v>364</v>
      </c>
      <c r="C79" s="296" t="s">
        <v>1400</v>
      </c>
      <c r="D79" s="296" t="s">
        <v>251</v>
      </c>
      <c r="E79" s="297" t="s">
        <v>1732</v>
      </c>
      <c r="G79" s="80">
        <f>+SUM('2. CANTIDADES'!ADB19:ADB26)</f>
        <v>14.166</v>
      </c>
      <c r="H79" s="77" t="str">
        <f>VLOOKUP(E79,'B. DATOS'!$B$34:$E$622,2,FALSE)</f>
        <v>M2</v>
      </c>
      <c r="J79" s="29" t="s">
        <v>508</v>
      </c>
      <c r="L79" s="78">
        <f>VLOOKUP(E79,'B. DATOS'!$B$34:$E$622,4,FALSE)</f>
        <v>150000</v>
      </c>
      <c r="M79" s="76">
        <f>+L79*G79</f>
        <v>2124900</v>
      </c>
      <c r="N79" s="351">
        <v>1</v>
      </c>
      <c r="O79" s="80">
        <f>+G79*$N$76</f>
        <v>14.166</v>
      </c>
      <c r="P79" s="76">
        <f>+M79*$N$76</f>
        <v>2124900</v>
      </c>
    </row>
    <row r="80" spans="2:21" x14ac:dyDescent="0.25">
      <c r="B80" s="295" t="s">
        <v>364</v>
      </c>
      <c r="C80" s="296" t="s">
        <v>1400</v>
      </c>
      <c r="D80" s="296" t="s">
        <v>778</v>
      </c>
      <c r="E80" s="297" t="s">
        <v>1731</v>
      </c>
      <c r="G80" s="80">
        <f>+G79</f>
        <v>14.166</v>
      </c>
      <c r="H80" s="77" t="str">
        <f>VLOOKUP(E80,'B. DATOS'!$B$34:$E$622,2,FALSE)</f>
        <v>M2</v>
      </c>
      <c r="J80" s="29" t="s">
        <v>14</v>
      </c>
      <c r="L80" s="78">
        <f>VLOOKUP(E80,'B. DATOS'!$B$34:$E$622,4,FALSE)</f>
        <v>100000</v>
      </c>
      <c r="M80" s="76">
        <f>+L80*G80</f>
        <v>1416600</v>
      </c>
      <c r="N80" s="351"/>
      <c r="O80" s="80">
        <f>+G80*$N$76</f>
        <v>14.166</v>
      </c>
      <c r="Q80" s="76">
        <f>+M80*$N$76</f>
        <v>1416600</v>
      </c>
    </row>
    <row r="81" spans="2:21" s="39" customFormat="1" x14ac:dyDescent="0.25">
      <c r="B81" s="110">
        <v>3.2</v>
      </c>
      <c r="C81" s="144" t="s">
        <v>1812</v>
      </c>
      <c r="D81" s="369" t="s">
        <v>1397</v>
      </c>
      <c r="E81" s="370"/>
      <c r="F81" s="121"/>
      <c r="G81" s="121"/>
      <c r="H81" s="121"/>
      <c r="I81" s="121"/>
      <c r="J81" s="121"/>
      <c r="K81" s="121"/>
      <c r="L81" s="122"/>
      <c r="M81" s="122"/>
      <c r="N81" s="121"/>
      <c r="O81" s="121"/>
      <c r="P81" s="122">
        <f>+SUM(P82:P87)</f>
        <v>2417369.7660000008</v>
      </c>
      <c r="Q81" s="122">
        <f>+SUM(Q82:Q87)</f>
        <v>4991700</v>
      </c>
      <c r="R81" s="123">
        <f>+P81+Q81</f>
        <v>7409069.7660000008</v>
      </c>
      <c r="S81" s="124">
        <f>+R81/G87</f>
        <v>103899.44981068575</v>
      </c>
      <c r="T81" s="181" cm="1">
        <f t="array" ref="T81:U81">+R81/'1. GENERAL'!$E$31:$F$31</f>
        <v>1.5153539834927676E-2</v>
      </c>
      <c r="U81" s="39" t="e">
        <v>#DIV/0!</v>
      </c>
    </row>
    <row r="82" spans="2:21" x14ac:dyDescent="0.25">
      <c r="B82" s="83" t="s">
        <v>364</v>
      </c>
      <c r="C82" s="145" t="s">
        <v>1812</v>
      </c>
      <c r="D82" s="145" t="s">
        <v>251</v>
      </c>
      <c r="E82" s="84" t="s">
        <v>1398</v>
      </c>
      <c r="G82" s="80">
        <f>+'2. CANTIDADES'!ADG2*1.05</f>
        <v>229.87650000000005</v>
      </c>
      <c r="H82" s="77" t="str">
        <f>VLOOKUP(E82,'B. DATOS'!$B$34:$E$622,2,FALSE)</f>
        <v>ML</v>
      </c>
      <c r="J82" s="29" t="s">
        <v>508</v>
      </c>
      <c r="L82" s="78">
        <f>VLOOKUP(E82,'B. DATOS'!$B$34:$E$622,4,FALSE)</f>
        <v>4500</v>
      </c>
      <c r="M82" s="76">
        <f t="shared" ref="M82:M87" si="5">+L82*G82</f>
        <v>1034444.2500000002</v>
      </c>
      <c r="N82" s="351">
        <v>1</v>
      </c>
      <c r="O82" s="80">
        <f t="shared" ref="O82:O87" si="6">+G82*$N$76</f>
        <v>229.87650000000005</v>
      </c>
      <c r="P82" s="76">
        <f>+M82*$N$82</f>
        <v>1034444.2500000002</v>
      </c>
    </row>
    <row r="83" spans="2:21" x14ac:dyDescent="0.25">
      <c r="B83" s="83" t="s">
        <v>366</v>
      </c>
      <c r="C83" s="145" t="s">
        <v>1812</v>
      </c>
      <c r="D83" s="145" t="s">
        <v>251</v>
      </c>
      <c r="E83" s="84" t="s">
        <v>1755</v>
      </c>
      <c r="G83" s="80">
        <f>+'2. CANTIDADES'!ADG40*1.05</f>
        <v>482.51700000000005</v>
      </c>
      <c r="H83" s="77" t="str">
        <f>VLOOKUP(E83,'B. DATOS'!$B$34:$E$622,2,FALSE)</f>
        <v>ML</v>
      </c>
      <c r="J83" s="29" t="s">
        <v>586</v>
      </c>
      <c r="L83" s="78">
        <f>VLOOKUP(E83,'B. DATOS'!$B$34:$E$622,4,FALSE)</f>
        <v>1500</v>
      </c>
      <c r="M83" s="76">
        <f t="shared" si="5"/>
        <v>723775.50000000012</v>
      </c>
      <c r="N83" s="351"/>
      <c r="O83" s="80">
        <f t="shared" si="6"/>
        <v>482.51700000000005</v>
      </c>
      <c r="P83" s="76">
        <f>+M83*$N$82</f>
        <v>723775.50000000012</v>
      </c>
    </row>
    <row r="84" spans="2:21" x14ac:dyDescent="0.25">
      <c r="B84" s="83" t="s">
        <v>367</v>
      </c>
      <c r="C84" s="145" t="s">
        <v>1812</v>
      </c>
      <c r="D84" s="145" t="s">
        <v>251</v>
      </c>
      <c r="E84" s="84" t="s">
        <v>534</v>
      </c>
      <c r="G84" s="80">
        <f>+G82*0.4</f>
        <v>91.950600000000023</v>
      </c>
      <c r="H84" s="77" t="str">
        <f>VLOOKUP(E84,'B. DATOS'!$B$34:$E$622,2,FALSE)</f>
        <v>ML</v>
      </c>
      <c r="J84" s="29" t="s">
        <v>274</v>
      </c>
      <c r="L84" s="78">
        <f>VLOOKUP(E84,'B. DATOS'!$B$34:$E$622,4,FALSE)</f>
        <v>3500</v>
      </c>
      <c r="M84" s="76">
        <f t="shared" si="5"/>
        <v>321827.10000000009</v>
      </c>
      <c r="N84" s="351"/>
      <c r="O84" s="80">
        <f t="shared" si="6"/>
        <v>91.950600000000023</v>
      </c>
      <c r="P84" s="76">
        <f>+M84*$N$82</f>
        <v>321827.10000000009</v>
      </c>
    </row>
    <row r="85" spans="2:21" x14ac:dyDescent="0.25">
      <c r="B85" s="83" t="s">
        <v>368</v>
      </c>
      <c r="C85" s="145" t="s">
        <v>1812</v>
      </c>
      <c r="D85" s="145" t="s">
        <v>251</v>
      </c>
      <c r="E85" s="84" t="s">
        <v>535</v>
      </c>
      <c r="G85" s="80">
        <f>+G84*8</f>
        <v>735.60480000000018</v>
      </c>
      <c r="H85" s="77" t="str">
        <f>VLOOKUP(E85,'B. DATOS'!$B$34:$E$622,2,FALSE)</f>
        <v>PAR</v>
      </c>
      <c r="J85" s="29" t="s">
        <v>274</v>
      </c>
      <c r="L85" s="78">
        <f>VLOOKUP(E85,'B. DATOS'!$B$34:$E$622,4,FALSE)</f>
        <v>330</v>
      </c>
      <c r="M85" s="76">
        <f t="shared" si="5"/>
        <v>242749.58400000006</v>
      </c>
      <c r="N85" s="351"/>
      <c r="O85" s="80">
        <f t="shared" si="6"/>
        <v>735.60480000000018</v>
      </c>
      <c r="P85" s="76">
        <f>+M85*$N$82</f>
        <v>242749.58400000006</v>
      </c>
    </row>
    <row r="86" spans="2:21" x14ac:dyDescent="0.25">
      <c r="B86" s="83" t="s">
        <v>369</v>
      </c>
      <c r="C86" s="145" t="s">
        <v>1812</v>
      </c>
      <c r="D86" s="145" t="s">
        <v>251</v>
      </c>
      <c r="E86" s="84" t="s">
        <v>1290</v>
      </c>
      <c r="G86" s="80">
        <f>+G83*2</f>
        <v>965.03400000000011</v>
      </c>
      <c r="H86" s="77" t="str">
        <f>VLOOKUP(E86,'B. DATOS'!$B$34:$E$622,2,FALSE)</f>
        <v>UND</v>
      </c>
      <c r="J86" s="29" t="s">
        <v>274</v>
      </c>
      <c r="L86" s="78">
        <f>VLOOKUP(E86,'B. DATOS'!$B$34:$E$622,4,FALSE)</f>
        <v>98</v>
      </c>
      <c r="M86" s="76">
        <f t="shared" si="5"/>
        <v>94573.332000000009</v>
      </c>
      <c r="N86" s="351"/>
      <c r="O86" s="80">
        <f t="shared" si="6"/>
        <v>965.03400000000011</v>
      </c>
      <c r="P86" s="76">
        <f>+M86*$N$82</f>
        <v>94573.332000000009</v>
      </c>
    </row>
    <row r="87" spans="2:21" x14ac:dyDescent="0.25">
      <c r="B87" s="83" t="s">
        <v>370</v>
      </c>
      <c r="C87" s="145" t="s">
        <v>1812</v>
      </c>
      <c r="D87" s="145" t="s">
        <v>778</v>
      </c>
      <c r="E87" s="84" t="s">
        <v>784</v>
      </c>
      <c r="G87" s="80">
        <f>+(SUM('2. CANTIDADES'!ADG4:ADG22))/2</f>
        <v>71.31</v>
      </c>
      <c r="H87" s="77" t="str">
        <f>VLOOKUP(E87,'B. DATOS'!$B$34:$E$622,2,FALSE)</f>
        <v>ML</v>
      </c>
      <c r="J87" s="29" t="s">
        <v>14</v>
      </c>
      <c r="L87" s="78">
        <f>VLOOKUP(E87,'B. DATOS'!$B$34:$E$622,4,FALSE)</f>
        <v>70000</v>
      </c>
      <c r="M87" s="76">
        <f t="shared" si="5"/>
        <v>4991700</v>
      </c>
      <c r="N87" s="351"/>
      <c r="O87" s="80">
        <f t="shared" si="6"/>
        <v>71.31</v>
      </c>
      <c r="Q87" s="76">
        <f>+M87*$N$82</f>
        <v>4991700</v>
      </c>
    </row>
    <row r="88" spans="2:21" s="39" customFormat="1" x14ac:dyDescent="0.25">
      <c r="B88" s="109">
        <v>4</v>
      </c>
      <c r="C88" s="143"/>
      <c r="D88" s="375" t="s">
        <v>598</v>
      </c>
      <c r="E88" s="376"/>
      <c r="F88" s="125"/>
      <c r="G88" s="125"/>
      <c r="H88" s="125"/>
      <c r="I88" s="125"/>
      <c r="J88" s="125"/>
      <c r="K88" s="125"/>
      <c r="L88" s="126"/>
      <c r="M88" s="126"/>
      <c r="N88" s="125"/>
      <c r="O88" s="125"/>
      <c r="P88" s="126">
        <f>+P89+P123+P117+P103+P109+P96+P113+P135</f>
        <v>38803160.296000004</v>
      </c>
      <c r="Q88" s="126">
        <f>+Q89+Q123+Q117+Q103+Q109+Q96+Q113+Q135</f>
        <v>5591010</v>
      </c>
      <c r="R88" s="127">
        <f>+Q88+P88</f>
        <v>44394170.296000004</v>
      </c>
      <c r="S88" s="128"/>
      <c r="T88" s="182">
        <f>+T89+T123</f>
        <v>4.9275909588075581E-2</v>
      </c>
    </row>
    <row r="89" spans="2:21" s="39" customFormat="1" x14ac:dyDescent="0.25">
      <c r="B89" s="110">
        <v>4.0999999999999996</v>
      </c>
      <c r="C89" s="144" t="s">
        <v>1812</v>
      </c>
      <c r="D89" s="369" t="s">
        <v>599</v>
      </c>
      <c r="E89" s="370"/>
      <c r="F89" s="121"/>
      <c r="G89" s="121"/>
      <c r="H89" s="121"/>
      <c r="I89" s="121"/>
      <c r="J89" s="121"/>
      <c r="K89" s="121"/>
      <c r="L89" s="122"/>
      <c r="M89" s="122"/>
      <c r="N89" s="121"/>
      <c r="O89" s="121"/>
      <c r="P89" s="122">
        <f>+SUM(P90:P95)</f>
        <v>2045271.5500000003</v>
      </c>
      <c r="Q89" s="122">
        <f>+SUM(Q90:Q95)</f>
        <v>1560160</v>
      </c>
      <c r="R89" s="123">
        <f>+P89+Q89</f>
        <v>3605431.5500000003</v>
      </c>
      <c r="S89" s="124">
        <f>+R89/G95</f>
        <v>152514.02495769883</v>
      </c>
      <c r="T89" s="181" cm="1">
        <f t="array" ref="T89:U89">+R89/'1. GENERAL'!$E$31:$F$31</f>
        <v>7.374076954403729E-3</v>
      </c>
      <c r="U89" s="39" t="e">
        <v>#DIV/0!</v>
      </c>
    </row>
    <row r="90" spans="2:21" s="76" customFormat="1" x14ac:dyDescent="0.25">
      <c r="B90" s="83" t="s">
        <v>402</v>
      </c>
      <c r="C90" s="145" t="s">
        <v>1812</v>
      </c>
      <c r="D90" s="145" t="s">
        <v>251</v>
      </c>
      <c r="E90" s="84" t="s">
        <v>1351</v>
      </c>
      <c r="F90" s="29"/>
      <c r="G90" s="89">
        <f>+G95*0.07</f>
        <v>1.6548000000000003</v>
      </c>
      <c r="H90" s="77" t="str">
        <f>VLOOKUP(E90,'B. DATOS'!$B$34:$E$622,2,FALSE)</f>
        <v>M3</v>
      </c>
      <c r="I90" s="29"/>
      <c r="J90" s="29" t="s">
        <v>717</v>
      </c>
      <c r="K90" s="29"/>
      <c r="L90" s="78">
        <f>VLOOKUP(E90,'B. DATOS'!$B$34:$E$622,4,FALSE)</f>
        <v>421000</v>
      </c>
      <c r="M90" s="76">
        <f t="shared" ref="M90:M95" si="7">+L90*G90</f>
        <v>696670.80000000016</v>
      </c>
      <c r="N90" s="351">
        <v>1</v>
      </c>
      <c r="O90" s="80">
        <f t="shared" ref="O90:O95" si="8">+G90*$N$90</f>
        <v>1.6548000000000003</v>
      </c>
      <c r="P90" s="76">
        <f>+M90*$N$90</f>
        <v>696670.80000000016</v>
      </c>
      <c r="R90" s="82"/>
      <c r="S90" s="4"/>
    </row>
    <row r="91" spans="2:21" s="76" customFormat="1" x14ac:dyDescent="0.25">
      <c r="B91" s="83" t="s">
        <v>403</v>
      </c>
      <c r="C91" s="145" t="s">
        <v>1812</v>
      </c>
      <c r="D91" s="145" t="s">
        <v>251</v>
      </c>
      <c r="E91" s="84" t="s">
        <v>636</v>
      </c>
      <c r="F91" s="29"/>
      <c r="G91" s="89">
        <f>+(G95*20)*0.56</f>
        <v>264.76800000000003</v>
      </c>
      <c r="H91" s="77" t="str">
        <f>VLOOKUP(E91,'B. DATOS'!$B$34:$E$622,2,FALSE)</f>
        <v>KG</v>
      </c>
      <c r="I91" s="29"/>
      <c r="J91" s="29" t="s">
        <v>274</v>
      </c>
      <c r="K91" s="29"/>
      <c r="L91" s="78">
        <f>VLOOKUP(E91,'B. DATOS'!$B$34:$E$622,4,FALSE)</f>
        <v>4000</v>
      </c>
      <c r="M91" s="76">
        <f t="shared" si="7"/>
        <v>1059072</v>
      </c>
      <c r="N91" s="351"/>
      <c r="O91" s="80">
        <f t="shared" si="8"/>
        <v>264.76800000000003</v>
      </c>
      <c r="P91" s="76">
        <f>+M91*$N$90</f>
        <v>1059072</v>
      </c>
      <c r="R91" s="82"/>
      <c r="S91" s="4"/>
    </row>
    <row r="92" spans="2:21" s="76" customFormat="1" x14ac:dyDescent="0.25">
      <c r="B92" s="83" t="s">
        <v>404</v>
      </c>
      <c r="C92" s="145" t="s">
        <v>1812</v>
      </c>
      <c r="D92" s="145" t="s">
        <v>251</v>
      </c>
      <c r="E92" s="84" t="s">
        <v>560</v>
      </c>
      <c r="F92" s="29"/>
      <c r="G92" s="89">
        <f>+((((G94)*0.7)/24)*2)*1.05</f>
        <v>2.8952874999999998</v>
      </c>
      <c r="H92" s="77" t="str">
        <f>VLOOKUP(E92,'B. DATOS'!$B$34:$E$622,2,FALSE)</f>
        <v>GL</v>
      </c>
      <c r="I92" s="29"/>
      <c r="J92" s="29" t="s">
        <v>565</v>
      </c>
      <c r="K92" s="29"/>
      <c r="L92" s="78">
        <f>VLOOKUP(E92,'B. DATOS'!$B$34:$E$622,4,FALSE)</f>
        <v>40000</v>
      </c>
      <c r="M92" s="76">
        <f t="shared" si="7"/>
        <v>115811.49999999999</v>
      </c>
      <c r="N92" s="351"/>
      <c r="O92" s="80">
        <f t="shared" si="8"/>
        <v>2.8952874999999998</v>
      </c>
      <c r="P92" s="76">
        <f>+M92*$N$90</f>
        <v>115811.49999999999</v>
      </c>
      <c r="R92" s="82"/>
      <c r="S92" s="4"/>
    </row>
    <row r="93" spans="2:21" s="76" customFormat="1" x14ac:dyDescent="0.25">
      <c r="B93" s="83" t="s">
        <v>405</v>
      </c>
      <c r="C93" s="145" t="s">
        <v>1812</v>
      </c>
      <c r="D93" s="145" t="s">
        <v>251</v>
      </c>
      <c r="E93" s="84" t="s">
        <v>561</v>
      </c>
      <c r="F93" s="29"/>
      <c r="G93" s="89">
        <f>+(((G94)/20)*1.05)</f>
        <v>2.4816749999999996</v>
      </c>
      <c r="H93" s="77" t="str">
        <f>VLOOKUP(E93,'B. DATOS'!$B$34:$E$622,2,FALSE)</f>
        <v>GL</v>
      </c>
      <c r="I93" s="29"/>
      <c r="J93" s="29" t="s">
        <v>565</v>
      </c>
      <c r="K93" s="29"/>
      <c r="L93" s="78">
        <f>VLOOKUP(E93,'B. DATOS'!$B$34:$E$622,4,FALSE)</f>
        <v>70000</v>
      </c>
      <c r="M93" s="76">
        <f t="shared" si="7"/>
        <v>173717.24999999997</v>
      </c>
      <c r="N93" s="351"/>
      <c r="O93" s="80">
        <f t="shared" si="8"/>
        <v>2.4816749999999996</v>
      </c>
      <c r="P93" s="76">
        <f>+M93*$N$90</f>
        <v>173717.24999999997</v>
      </c>
      <c r="R93" s="82"/>
      <c r="S93" s="4"/>
    </row>
    <row r="94" spans="2:21" s="76" customFormat="1" x14ac:dyDescent="0.25">
      <c r="B94" s="83" t="s">
        <v>406</v>
      </c>
      <c r="C94" s="145" t="s">
        <v>1812</v>
      </c>
      <c r="D94" s="145" t="s">
        <v>778</v>
      </c>
      <c r="E94" s="84" t="s">
        <v>562</v>
      </c>
      <c r="F94" s="29"/>
      <c r="G94" s="89">
        <f>+'2. CANTIDADES'!AAW11+'2. CANTIDADES'!RK8</f>
        <v>47.269999999999996</v>
      </c>
      <c r="H94" s="77" t="str">
        <f>VLOOKUP(E94,'B. DATOS'!$B$34:$E$622,2,FALSE)</f>
        <v>M2</v>
      </c>
      <c r="I94" s="29"/>
      <c r="J94" s="29" t="s">
        <v>14</v>
      </c>
      <c r="K94" s="29"/>
      <c r="L94" s="78">
        <f>VLOOKUP(E94,'B. DATOS'!$B$34:$E$622,4,FALSE)</f>
        <v>8000</v>
      </c>
      <c r="M94" s="76">
        <f t="shared" si="7"/>
        <v>378159.99999999994</v>
      </c>
      <c r="N94" s="351"/>
      <c r="O94" s="80">
        <f t="shared" si="8"/>
        <v>47.269999999999996</v>
      </c>
      <c r="Q94" s="76">
        <f>+M94*$N$90</f>
        <v>378159.99999999994</v>
      </c>
      <c r="R94" s="82"/>
      <c r="S94" s="4"/>
    </row>
    <row r="95" spans="2:21" s="76" customFormat="1" x14ac:dyDescent="0.25">
      <c r="B95" s="83" t="s">
        <v>407</v>
      </c>
      <c r="C95" s="145" t="s">
        <v>1812</v>
      </c>
      <c r="D95" s="145" t="s">
        <v>778</v>
      </c>
      <c r="E95" s="84" t="s">
        <v>375</v>
      </c>
      <c r="F95" s="29"/>
      <c r="G95" s="89">
        <f>+'2. CANTIDADES'!RK2+'2. CANTIDADES'!AAW4</f>
        <v>23.64</v>
      </c>
      <c r="H95" s="77" t="str">
        <f>VLOOKUP(E95,'B. DATOS'!$B$34:$E$622,2,FALSE)</f>
        <v>M2</v>
      </c>
      <c r="I95" s="29"/>
      <c r="J95" s="29" t="s">
        <v>14</v>
      </c>
      <c r="K95" s="29"/>
      <c r="L95" s="78">
        <f>VLOOKUP(E95,'B. DATOS'!$B$34:$E$622,4,FALSE)</f>
        <v>50000</v>
      </c>
      <c r="M95" s="76">
        <f t="shared" si="7"/>
        <v>1182000</v>
      </c>
      <c r="N95" s="351"/>
      <c r="O95" s="80">
        <f t="shared" si="8"/>
        <v>23.64</v>
      </c>
      <c r="Q95" s="76">
        <f>+M95*$N$90</f>
        <v>1182000</v>
      </c>
      <c r="R95" s="82"/>
      <c r="S95" s="4"/>
    </row>
    <row r="96" spans="2:21" s="39" customFormat="1" x14ac:dyDescent="0.25">
      <c r="B96" s="288">
        <v>4.2</v>
      </c>
      <c r="C96" s="289" t="s">
        <v>1400</v>
      </c>
      <c r="D96" s="367" t="s">
        <v>599</v>
      </c>
      <c r="E96" s="368"/>
      <c r="F96" s="290"/>
      <c r="G96" s="290"/>
      <c r="H96" s="290"/>
      <c r="I96" s="290"/>
      <c r="J96" s="290"/>
      <c r="K96" s="290"/>
      <c r="L96" s="291"/>
      <c r="M96" s="291"/>
      <c r="N96" s="290"/>
      <c r="O96" s="290"/>
      <c r="P96" s="291">
        <f>+SUM(P97:P102)</f>
        <v>272537.99999999994</v>
      </c>
      <c r="Q96" s="291">
        <f>+SUM(Q97:Q102)</f>
        <v>207899.99999999997</v>
      </c>
      <c r="R96" s="298">
        <f>+P96+Q96</f>
        <v>480437.99999999988</v>
      </c>
      <c r="S96" s="293">
        <f>+R96/G102</f>
        <v>152520</v>
      </c>
      <c r="T96" s="294" cm="1">
        <f t="array" ref="T96:U96">+R96/'1. GENERAL'!$E$31:$F$31</f>
        <v>9.8262489099808811E-4</v>
      </c>
      <c r="U96" s="39" t="e">
        <v>#DIV/0!</v>
      </c>
    </row>
    <row r="97" spans="2:21" s="76" customFormat="1" x14ac:dyDescent="0.25">
      <c r="B97" s="295" t="s">
        <v>410</v>
      </c>
      <c r="C97" s="296" t="s">
        <v>1400</v>
      </c>
      <c r="D97" s="296" t="s">
        <v>251</v>
      </c>
      <c r="E97" s="297" t="s">
        <v>1351</v>
      </c>
      <c r="F97" s="29"/>
      <c r="G97" s="89">
        <f>+G102*0.07</f>
        <v>0.22049999999999997</v>
      </c>
      <c r="H97" s="77" t="str">
        <f>VLOOKUP(E97,'B. DATOS'!$B$34:$E$622,2,FALSE)</f>
        <v>M3</v>
      </c>
      <c r="I97" s="29"/>
      <c r="J97" s="29" t="s">
        <v>717</v>
      </c>
      <c r="K97" s="29"/>
      <c r="L97" s="78">
        <f>VLOOKUP(E97,'B. DATOS'!$B$34:$E$622,4,FALSE)</f>
        <v>421000</v>
      </c>
      <c r="M97" s="76">
        <f t="shared" ref="M97:M102" si="9">+L97*G97</f>
        <v>92830.499999999985</v>
      </c>
      <c r="N97" s="351">
        <v>1</v>
      </c>
      <c r="O97" s="80">
        <f t="shared" ref="O97:O102" si="10">+G97*$N$90</f>
        <v>0.22049999999999997</v>
      </c>
      <c r="P97" s="76">
        <f>+M97*$N$90</f>
        <v>92830.499999999985</v>
      </c>
      <c r="R97" s="82"/>
      <c r="S97" s="4"/>
    </row>
    <row r="98" spans="2:21" s="76" customFormat="1" x14ac:dyDescent="0.25">
      <c r="B98" s="295" t="s">
        <v>409</v>
      </c>
      <c r="C98" s="296" t="s">
        <v>1400</v>
      </c>
      <c r="D98" s="296" t="s">
        <v>251</v>
      </c>
      <c r="E98" s="297" t="s">
        <v>636</v>
      </c>
      <c r="F98" s="29"/>
      <c r="G98" s="89">
        <f>+(G102*20)*0.56</f>
        <v>35.279999999999994</v>
      </c>
      <c r="H98" s="77" t="str">
        <f>VLOOKUP(E98,'B. DATOS'!$B$34:$E$622,2,FALSE)</f>
        <v>KG</v>
      </c>
      <c r="I98" s="29"/>
      <c r="J98" s="29" t="s">
        <v>274</v>
      </c>
      <c r="K98" s="29"/>
      <c r="L98" s="78">
        <f>VLOOKUP(E98,'B. DATOS'!$B$34:$E$622,4,FALSE)</f>
        <v>4000</v>
      </c>
      <c r="M98" s="76">
        <f t="shared" si="9"/>
        <v>141119.99999999997</v>
      </c>
      <c r="N98" s="351"/>
      <c r="O98" s="80">
        <f t="shared" si="10"/>
        <v>35.279999999999994</v>
      </c>
      <c r="P98" s="76">
        <f>+M98*$N$90</f>
        <v>141119.99999999997</v>
      </c>
      <c r="R98" s="82"/>
      <c r="S98" s="4"/>
    </row>
    <row r="99" spans="2:21" s="76" customFormat="1" x14ac:dyDescent="0.25">
      <c r="B99" s="295" t="s">
        <v>411</v>
      </c>
      <c r="C99" s="296" t="s">
        <v>1400</v>
      </c>
      <c r="D99" s="296" t="s">
        <v>251</v>
      </c>
      <c r="E99" s="297" t="s">
        <v>560</v>
      </c>
      <c r="F99" s="29"/>
      <c r="G99" s="89">
        <f>+((((G101)*0.7)/24)*2)*1.05</f>
        <v>0.38587499999999997</v>
      </c>
      <c r="H99" s="77" t="str">
        <f>VLOOKUP(E99,'B. DATOS'!$B$34:$E$622,2,FALSE)</f>
        <v>GL</v>
      </c>
      <c r="I99" s="29"/>
      <c r="J99" s="29" t="s">
        <v>565</v>
      </c>
      <c r="K99" s="29"/>
      <c r="L99" s="78">
        <f>VLOOKUP(E99,'B. DATOS'!$B$34:$E$622,4,FALSE)</f>
        <v>40000</v>
      </c>
      <c r="M99" s="76">
        <f t="shared" si="9"/>
        <v>15434.999999999998</v>
      </c>
      <c r="N99" s="351"/>
      <c r="O99" s="80">
        <f t="shared" si="10"/>
        <v>0.38587499999999997</v>
      </c>
      <c r="P99" s="76">
        <f>+M99*$N$90</f>
        <v>15434.999999999998</v>
      </c>
      <c r="R99" s="82"/>
      <c r="S99" s="4"/>
    </row>
    <row r="100" spans="2:21" s="76" customFormat="1" x14ac:dyDescent="0.25">
      <c r="B100" s="295" t="s">
        <v>1393</v>
      </c>
      <c r="C100" s="296" t="s">
        <v>1400</v>
      </c>
      <c r="D100" s="296" t="s">
        <v>251</v>
      </c>
      <c r="E100" s="297" t="s">
        <v>561</v>
      </c>
      <c r="F100" s="29"/>
      <c r="G100" s="89">
        <f>+(((G101)/20)*1.05)</f>
        <v>0.33074999999999993</v>
      </c>
      <c r="H100" s="77" t="str">
        <f>VLOOKUP(E100,'B. DATOS'!$B$34:$E$622,2,FALSE)</f>
        <v>GL</v>
      </c>
      <c r="I100" s="29"/>
      <c r="J100" s="29" t="s">
        <v>565</v>
      </c>
      <c r="K100" s="29"/>
      <c r="L100" s="78">
        <f>VLOOKUP(E100,'B. DATOS'!$B$34:$E$622,4,FALSE)</f>
        <v>70000</v>
      </c>
      <c r="M100" s="76">
        <f t="shared" si="9"/>
        <v>23152.499999999996</v>
      </c>
      <c r="N100" s="351"/>
      <c r="O100" s="80">
        <f t="shared" si="10"/>
        <v>0.33074999999999993</v>
      </c>
      <c r="P100" s="76">
        <f>+M100*$N$90</f>
        <v>23152.499999999996</v>
      </c>
      <c r="R100" s="82"/>
      <c r="S100" s="4"/>
    </row>
    <row r="101" spans="2:21" s="76" customFormat="1" x14ac:dyDescent="0.25">
      <c r="B101" s="295" t="s">
        <v>1394</v>
      </c>
      <c r="C101" s="296" t="s">
        <v>1400</v>
      </c>
      <c r="D101" s="296" t="s">
        <v>778</v>
      </c>
      <c r="E101" s="297" t="s">
        <v>562</v>
      </c>
      <c r="F101" s="29"/>
      <c r="G101" s="89">
        <f>+'2. CANTIDADES'!AAW20</f>
        <v>6.2999999999999989</v>
      </c>
      <c r="H101" s="77" t="str">
        <f>VLOOKUP(E101,'B. DATOS'!$B$34:$E$622,2,FALSE)</f>
        <v>M2</v>
      </c>
      <c r="I101" s="29"/>
      <c r="J101" s="29" t="s">
        <v>14</v>
      </c>
      <c r="K101" s="29"/>
      <c r="L101" s="78">
        <f>VLOOKUP(E101,'B. DATOS'!$B$34:$E$622,4,FALSE)</f>
        <v>8000</v>
      </c>
      <c r="M101" s="76">
        <f t="shared" si="9"/>
        <v>50399.999999999993</v>
      </c>
      <c r="N101" s="351"/>
      <c r="O101" s="80">
        <f t="shared" si="10"/>
        <v>6.2999999999999989</v>
      </c>
      <c r="Q101" s="76">
        <f>+M101*$N$90</f>
        <v>50399.999999999993</v>
      </c>
      <c r="R101" s="82"/>
      <c r="S101" s="4"/>
    </row>
    <row r="102" spans="2:21" s="76" customFormat="1" x14ac:dyDescent="0.25">
      <c r="B102" s="295" t="s">
        <v>1897</v>
      </c>
      <c r="C102" s="296" t="s">
        <v>1400</v>
      </c>
      <c r="D102" s="296" t="s">
        <v>778</v>
      </c>
      <c r="E102" s="297" t="s">
        <v>375</v>
      </c>
      <c r="F102" s="29"/>
      <c r="G102" s="89">
        <f>+'2. CANTIDADES'!AAW18</f>
        <v>3.1499999999999995</v>
      </c>
      <c r="H102" s="77" t="str">
        <f>VLOOKUP(E102,'B. DATOS'!$B$34:$E$622,2,FALSE)</f>
        <v>M2</v>
      </c>
      <c r="I102" s="29"/>
      <c r="J102" s="29" t="s">
        <v>14</v>
      </c>
      <c r="K102" s="29"/>
      <c r="L102" s="78">
        <f>VLOOKUP(E102,'B. DATOS'!$B$34:$E$622,4,FALSE)</f>
        <v>50000</v>
      </c>
      <c r="M102" s="76">
        <f t="shared" si="9"/>
        <v>157499.99999999997</v>
      </c>
      <c r="N102" s="351"/>
      <c r="O102" s="80">
        <f t="shared" si="10"/>
        <v>3.1499999999999995</v>
      </c>
      <c r="Q102" s="76">
        <f>+M102*$N$90</f>
        <v>157499.99999999997</v>
      </c>
      <c r="R102" s="82"/>
      <c r="S102" s="4"/>
    </row>
    <row r="103" spans="2:21" s="39" customFormat="1" x14ac:dyDescent="0.25">
      <c r="B103" s="110">
        <v>4.3</v>
      </c>
      <c r="C103" s="144" t="s">
        <v>1812</v>
      </c>
      <c r="D103" s="369" t="s">
        <v>1768</v>
      </c>
      <c r="E103" s="370"/>
      <c r="F103" s="121"/>
      <c r="G103" s="121"/>
      <c r="H103" s="121"/>
      <c r="I103" s="121"/>
      <c r="J103" s="121"/>
      <c r="K103" s="121"/>
      <c r="L103" s="122"/>
      <c r="M103" s="122"/>
      <c r="N103" s="121"/>
      <c r="O103" s="121"/>
      <c r="P103" s="122">
        <f>+SUM(P104:P108)</f>
        <v>622251.33600000001</v>
      </c>
      <c r="Q103" s="122">
        <f>+SUM(Q104:Q108)</f>
        <v>800800</v>
      </c>
      <c r="R103" s="123">
        <f>+P103+Q103</f>
        <v>1423051.3360000001</v>
      </c>
      <c r="S103" s="124">
        <f>+R103/G108</f>
        <v>195474.08461538464</v>
      </c>
      <c r="T103" s="181" cm="1">
        <f t="array" ref="T103:U103">+R103/'1. GENERAL'!$E$31:$F$31</f>
        <v>2.9105226146176697E-3</v>
      </c>
      <c r="U103" s="39" t="e">
        <v>#DIV/0!</v>
      </c>
    </row>
    <row r="104" spans="2:21" s="76" customFormat="1" x14ac:dyDescent="0.25">
      <c r="B104" s="83" t="s">
        <v>1760</v>
      </c>
      <c r="C104" s="145" t="s">
        <v>1812</v>
      </c>
      <c r="D104" s="145" t="s">
        <v>251</v>
      </c>
      <c r="E104" s="84" t="s">
        <v>510</v>
      </c>
      <c r="F104" s="29"/>
      <c r="G104" s="89">
        <f>+'2. CANTIDADES'!EA2*1.05</f>
        <v>19.193999999999999</v>
      </c>
      <c r="H104" s="77" t="str">
        <f>VLOOKUP(E104,'B. DATOS'!$B$34:$E$622,2,FALSE)</f>
        <v>ML</v>
      </c>
      <c r="I104" s="29"/>
      <c r="J104" s="29" t="s">
        <v>274</v>
      </c>
      <c r="K104" s="29"/>
      <c r="L104" s="78">
        <f>VLOOKUP(E104,'B. DATOS'!$B$34:$E$622,4,FALSE)</f>
        <v>10000</v>
      </c>
      <c r="M104" s="76">
        <f>+L104*G104</f>
        <v>191940</v>
      </c>
      <c r="N104" s="351">
        <v>1</v>
      </c>
      <c r="O104" s="80">
        <f>+G104*$N$104</f>
        <v>19.193999999999999</v>
      </c>
      <c r="P104" s="76">
        <f>+M104*$N$104</f>
        <v>191940</v>
      </c>
      <c r="R104" s="82"/>
      <c r="S104" s="4"/>
    </row>
    <row r="105" spans="2:21" s="76" customFormat="1" x14ac:dyDescent="0.25">
      <c r="B105" s="83" t="s">
        <v>1761</v>
      </c>
      <c r="C105" s="145" t="s">
        <v>1812</v>
      </c>
      <c r="D105" s="145" t="s">
        <v>251</v>
      </c>
      <c r="E105" s="84" t="s">
        <v>1295</v>
      </c>
      <c r="F105" s="29"/>
      <c r="G105" s="89">
        <f>+G107*1.05</f>
        <v>7.644000000000001</v>
      </c>
      <c r="H105" s="77" t="str">
        <f>VLOOKUP(E105,'B. DATOS'!$B$34:$E$622,2,FALSE)</f>
        <v>M2</v>
      </c>
      <c r="I105" s="29"/>
      <c r="J105" s="29" t="s">
        <v>586</v>
      </c>
      <c r="K105" s="29"/>
      <c r="L105" s="78">
        <f>VLOOKUP(E105,'B. DATOS'!$B$34:$E$622,4,FALSE)</f>
        <v>56000</v>
      </c>
      <c r="M105" s="76">
        <f>+L105*G105</f>
        <v>428064.00000000006</v>
      </c>
      <c r="N105" s="351"/>
      <c r="O105" s="80">
        <f>+G105*$N$104</f>
        <v>7.644000000000001</v>
      </c>
      <c r="P105" s="76">
        <f>+M105*$N$104</f>
        <v>428064.00000000006</v>
      </c>
      <c r="R105" s="82"/>
      <c r="S105" s="4"/>
    </row>
    <row r="106" spans="2:21" s="76" customFormat="1" x14ac:dyDescent="0.25">
      <c r="B106" s="83" t="s">
        <v>1762</v>
      </c>
      <c r="C106" s="145" t="s">
        <v>1812</v>
      </c>
      <c r="D106" s="145" t="s">
        <v>251</v>
      </c>
      <c r="E106" s="84" t="s">
        <v>1290</v>
      </c>
      <c r="F106" s="29"/>
      <c r="G106" s="89">
        <f>+G105*3</f>
        <v>22.932000000000002</v>
      </c>
      <c r="H106" s="77" t="str">
        <f>VLOOKUP(E106,'B. DATOS'!$B$34:$E$622,2,FALSE)</f>
        <v>UND</v>
      </c>
      <c r="I106" s="29"/>
      <c r="J106" s="29" t="s">
        <v>274</v>
      </c>
      <c r="K106" s="29"/>
      <c r="L106" s="78">
        <f>VLOOKUP(E106,'B. DATOS'!$B$34:$E$622,4,FALSE)</f>
        <v>98</v>
      </c>
      <c r="M106" s="76">
        <f>+L106*G106</f>
        <v>2247.3360000000002</v>
      </c>
      <c r="N106" s="351"/>
      <c r="O106" s="80">
        <f>+G106*$N$104</f>
        <v>22.932000000000002</v>
      </c>
      <c r="P106" s="76">
        <f>+M106*$N$104</f>
        <v>2247.3360000000002</v>
      </c>
      <c r="R106" s="82"/>
      <c r="S106" s="4"/>
    </row>
    <row r="107" spans="2:21" s="76" customFormat="1" x14ac:dyDescent="0.25">
      <c r="B107" s="83" t="s">
        <v>1763</v>
      </c>
      <c r="C107" s="145" t="s">
        <v>1812</v>
      </c>
      <c r="D107" s="145" t="s">
        <v>778</v>
      </c>
      <c r="E107" s="84" t="s">
        <v>758</v>
      </c>
      <c r="F107" s="29"/>
      <c r="G107" s="89">
        <f>+'2. CANTIDADES'!ABG2</f>
        <v>7.28</v>
      </c>
      <c r="H107" s="77" t="str">
        <f>VLOOKUP(E107,'B. DATOS'!$B$34:$E$622,2,FALSE)</f>
        <v>M2</v>
      </c>
      <c r="I107" s="29"/>
      <c r="J107" s="29" t="s">
        <v>752</v>
      </c>
      <c r="K107" s="29"/>
      <c r="L107" s="78">
        <f>VLOOKUP(E107,'B. DATOS'!$B$34:$E$622,4,FALSE)</f>
        <v>60000</v>
      </c>
      <c r="M107" s="76">
        <f>+L107*G107</f>
        <v>436800</v>
      </c>
      <c r="N107" s="351"/>
      <c r="O107" s="80">
        <f>+G107*$N$104</f>
        <v>7.28</v>
      </c>
      <c r="Q107" s="76">
        <f>+M107*$N$104</f>
        <v>436800</v>
      </c>
      <c r="R107" s="82"/>
      <c r="S107" s="4"/>
    </row>
    <row r="108" spans="2:21" s="76" customFormat="1" x14ac:dyDescent="0.25">
      <c r="B108" s="83" t="s">
        <v>1764</v>
      </c>
      <c r="C108" s="145" t="s">
        <v>1812</v>
      </c>
      <c r="D108" s="145" t="s">
        <v>778</v>
      </c>
      <c r="E108" s="84" t="s">
        <v>761</v>
      </c>
      <c r="F108" s="29"/>
      <c r="G108" s="89">
        <f>+G107</f>
        <v>7.28</v>
      </c>
      <c r="H108" s="77" t="str">
        <f>VLOOKUP(E108,'B. DATOS'!$B$34:$E$622,2,FALSE)</f>
        <v>M2</v>
      </c>
      <c r="I108" s="29"/>
      <c r="J108" s="29" t="s">
        <v>759</v>
      </c>
      <c r="K108" s="29"/>
      <c r="L108" s="78">
        <f>VLOOKUP(E108,'B. DATOS'!$B$34:$E$622,4,FALSE)</f>
        <v>50000</v>
      </c>
      <c r="M108" s="76">
        <f>+L108*G108</f>
        <v>364000</v>
      </c>
      <c r="N108" s="351"/>
      <c r="O108" s="80">
        <f>+G108*$N$104</f>
        <v>7.28</v>
      </c>
      <c r="Q108" s="76">
        <f>+M108*$N$104</f>
        <v>364000</v>
      </c>
      <c r="R108" s="82"/>
      <c r="S108" s="4"/>
    </row>
    <row r="109" spans="2:21" s="39" customFormat="1" x14ac:dyDescent="0.25">
      <c r="B109" s="110">
        <v>4.4000000000000004</v>
      </c>
      <c r="C109" s="144" t="s">
        <v>1812</v>
      </c>
      <c r="D109" s="369" t="s">
        <v>1903</v>
      </c>
      <c r="E109" s="370"/>
      <c r="F109" s="121"/>
      <c r="G109" s="121"/>
      <c r="H109" s="121"/>
      <c r="I109" s="121"/>
      <c r="J109" s="121"/>
      <c r="K109" s="121"/>
      <c r="L109" s="122"/>
      <c r="M109" s="122"/>
      <c r="N109" s="121"/>
      <c r="O109" s="121"/>
      <c r="P109" s="122">
        <f>+SUM(P110:P112)</f>
        <v>1060791.4800000002</v>
      </c>
      <c r="Q109" s="122">
        <f>+SUM(Q110:Q112)</f>
        <v>770700.00000000012</v>
      </c>
      <c r="R109" s="123">
        <f>+P109+Q109</f>
        <v>1831491.4800000004</v>
      </c>
      <c r="S109" s="124">
        <f>+R109/G112</f>
        <v>83174.000000000015</v>
      </c>
      <c r="T109" s="181" cm="1">
        <f t="array" ref="T109:U109">+R109/'1. GENERAL'!$E$31:$F$31</f>
        <v>3.7458925311880573E-3</v>
      </c>
      <c r="U109" s="39" t="e">
        <v>#DIV/0!</v>
      </c>
    </row>
    <row r="110" spans="2:21" s="76" customFormat="1" x14ac:dyDescent="0.25">
      <c r="B110" s="83" t="s">
        <v>1765</v>
      </c>
      <c r="C110" s="145" t="s">
        <v>1812</v>
      </c>
      <c r="D110" s="145" t="s">
        <v>251</v>
      </c>
      <c r="E110" s="84" t="s">
        <v>659</v>
      </c>
      <c r="F110" s="29"/>
      <c r="G110" s="89">
        <f>+(G112/0.05)*1.05</f>
        <v>462.42000000000007</v>
      </c>
      <c r="H110" s="77" t="str">
        <f>VLOOKUP(E110,'B. DATOS'!$B$34:$E$622,2,FALSE)</f>
        <v>ML</v>
      </c>
      <c r="I110" s="29"/>
      <c r="J110" s="29" t="s">
        <v>508</v>
      </c>
      <c r="K110" s="29"/>
      <c r="L110" s="78">
        <f>VLOOKUP(E110,'B. DATOS'!$B$34:$E$622,4,FALSE)</f>
        <v>2000</v>
      </c>
      <c r="M110" s="76">
        <f>+L110*G110</f>
        <v>924840.00000000012</v>
      </c>
      <c r="N110" s="351">
        <v>1</v>
      </c>
      <c r="O110" s="80">
        <f>+G110*$N$104</f>
        <v>462.42000000000007</v>
      </c>
      <c r="P110" s="76">
        <f>+M110*$N$104</f>
        <v>924840.00000000012</v>
      </c>
      <c r="R110" s="82"/>
      <c r="S110" s="4"/>
    </row>
    <row r="111" spans="2:21" s="76" customFormat="1" x14ac:dyDescent="0.25">
      <c r="B111" s="83" t="s">
        <v>1766</v>
      </c>
      <c r="C111" s="145" t="s">
        <v>1812</v>
      </c>
      <c r="D111" s="145" t="s">
        <v>251</v>
      </c>
      <c r="E111" s="84" t="s">
        <v>1290</v>
      </c>
      <c r="F111" s="29"/>
      <c r="G111" s="89">
        <f>+G110*3</f>
        <v>1387.2600000000002</v>
      </c>
      <c r="H111" s="77" t="str">
        <f>VLOOKUP(E111,'B. DATOS'!$B$34:$E$622,2,FALSE)</f>
        <v>UND</v>
      </c>
      <c r="I111" s="29"/>
      <c r="J111" s="29" t="s">
        <v>274</v>
      </c>
      <c r="K111" s="29"/>
      <c r="L111" s="78">
        <f>VLOOKUP(E111,'B. DATOS'!$B$34:$E$622,4,FALSE)</f>
        <v>98</v>
      </c>
      <c r="M111" s="76">
        <f>+L111*G111</f>
        <v>135951.48000000001</v>
      </c>
      <c r="N111" s="351"/>
      <c r="O111" s="80">
        <f>+G111*$N$104</f>
        <v>1387.2600000000002</v>
      </c>
      <c r="P111" s="76">
        <f>+M111*$N$104</f>
        <v>135951.48000000001</v>
      </c>
      <c r="R111" s="82"/>
      <c r="S111" s="4"/>
    </row>
    <row r="112" spans="2:21" s="76" customFormat="1" x14ac:dyDescent="0.25">
      <c r="B112" s="83" t="s">
        <v>1767</v>
      </c>
      <c r="C112" s="145" t="s">
        <v>1812</v>
      </c>
      <c r="D112" s="145" t="s">
        <v>778</v>
      </c>
      <c r="E112" s="84" t="s">
        <v>750</v>
      </c>
      <c r="F112" s="29"/>
      <c r="G112" s="89">
        <f>+'2. CANTIDADES'!RU2+'2. CANTIDADES'!ABQ4</f>
        <v>22.020000000000003</v>
      </c>
      <c r="H112" s="77" t="str">
        <f>VLOOKUP(E112,'B. DATOS'!$B$34:$E$622,2,FALSE)</f>
        <v>M2</v>
      </c>
      <c r="I112" s="29"/>
      <c r="J112" s="29" t="s">
        <v>751</v>
      </c>
      <c r="K112" s="29"/>
      <c r="L112" s="78">
        <f>VLOOKUP(E112,'B. DATOS'!$B$34:$E$622,4,FALSE)</f>
        <v>35000</v>
      </c>
      <c r="M112" s="76">
        <f>+L112*G112</f>
        <v>770700.00000000012</v>
      </c>
      <c r="N112" s="351"/>
      <c r="O112" s="80">
        <f>+G112*$N$104</f>
        <v>22.020000000000003</v>
      </c>
      <c r="Q112" s="76">
        <f>+M112*$N$104</f>
        <v>770700.00000000012</v>
      </c>
      <c r="R112" s="82"/>
      <c r="S112" s="4"/>
    </row>
    <row r="113" spans="2:21" s="39" customFormat="1" x14ac:dyDescent="0.25">
      <c r="B113" s="288">
        <v>4.5</v>
      </c>
      <c r="C113" s="289" t="s">
        <v>1400</v>
      </c>
      <c r="D113" s="367" t="s">
        <v>1903</v>
      </c>
      <c r="E113" s="368"/>
      <c r="F113" s="290"/>
      <c r="G113" s="290"/>
      <c r="H113" s="290"/>
      <c r="I113" s="290"/>
      <c r="J113" s="290"/>
      <c r="K113" s="290"/>
      <c r="L113" s="291"/>
      <c r="M113" s="291"/>
      <c r="N113" s="290"/>
      <c r="O113" s="290"/>
      <c r="P113" s="291">
        <f>+SUM(P114:P116)</f>
        <v>1438957.38</v>
      </c>
      <c r="Q113" s="291">
        <f>+SUM(Q114:Q116)</f>
        <v>1045450</v>
      </c>
      <c r="R113" s="298">
        <f>+P113+Q113</f>
        <v>2484407.38</v>
      </c>
      <c r="S113" s="293">
        <f>+R113/G116</f>
        <v>83174</v>
      </c>
      <c r="T113" s="294" cm="1">
        <f t="array" ref="T113:U113">+R113/'1. GENERAL'!$E$31:$F$31</f>
        <v>5.0812811038413825E-3</v>
      </c>
      <c r="U113" s="39" t="e">
        <v>#DIV/0!</v>
      </c>
    </row>
    <row r="114" spans="2:21" s="76" customFormat="1" x14ac:dyDescent="0.25">
      <c r="B114" s="295" t="s">
        <v>1932</v>
      </c>
      <c r="C114" s="296" t="s">
        <v>1400</v>
      </c>
      <c r="D114" s="296" t="s">
        <v>251</v>
      </c>
      <c r="E114" s="297" t="s">
        <v>659</v>
      </c>
      <c r="F114" s="29"/>
      <c r="G114" s="89">
        <f>+(G116/0.05)*1.05</f>
        <v>627.27</v>
      </c>
      <c r="H114" s="77" t="str">
        <f>VLOOKUP(E114,'B. DATOS'!$B$34:$E$622,2,FALSE)</f>
        <v>ML</v>
      </c>
      <c r="I114" s="29"/>
      <c r="J114" s="29" t="s">
        <v>508</v>
      </c>
      <c r="K114" s="29"/>
      <c r="L114" s="78">
        <f>VLOOKUP(E114,'B. DATOS'!$B$34:$E$622,4,FALSE)</f>
        <v>2000</v>
      </c>
      <c r="M114" s="76">
        <f>+L114*G114</f>
        <v>1254540</v>
      </c>
      <c r="N114" s="351">
        <v>1</v>
      </c>
      <c r="O114" s="80">
        <f>+G114*$N$104</f>
        <v>627.27</v>
      </c>
      <c r="P114" s="76">
        <f>+M114*$N$104</f>
        <v>1254540</v>
      </c>
      <c r="R114" s="82"/>
      <c r="S114" s="4"/>
    </row>
    <row r="115" spans="2:21" s="76" customFormat="1" x14ac:dyDescent="0.25">
      <c r="B115" s="295" t="s">
        <v>1933</v>
      </c>
      <c r="C115" s="296" t="s">
        <v>1400</v>
      </c>
      <c r="D115" s="296" t="s">
        <v>251</v>
      </c>
      <c r="E115" s="297" t="s">
        <v>1290</v>
      </c>
      <c r="F115" s="29"/>
      <c r="G115" s="89">
        <f>+G114*3</f>
        <v>1881.81</v>
      </c>
      <c r="H115" s="77" t="str">
        <f>VLOOKUP(E115,'B. DATOS'!$B$34:$E$622,2,FALSE)</f>
        <v>UND</v>
      </c>
      <c r="I115" s="29"/>
      <c r="J115" s="29" t="s">
        <v>274</v>
      </c>
      <c r="K115" s="29"/>
      <c r="L115" s="78">
        <f>VLOOKUP(E115,'B. DATOS'!$B$34:$E$622,4,FALSE)</f>
        <v>98</v>
      </c>
      <c r="M115" s="76">
        <f>+L115*G115</f>
        <v>184417.38</v>
      </c>
      <c r="N115" s="351"/>
      <c r="O115" s="80">
        <f>+G115*$N$104</f>
        <v>1881.81</v>
      </c>
      <c r="P115" s="76">
        <f>+M115*$N$104</f>
        <v>184417.38</v>
      </c>
      <c r="R115" s="82"/>
      <c r="S115" s="4"/>
    </row>
    <row r="116" spans="2:21" s="76" customFormat="1" x14ac:dyDescent="0.25">
      <c r="B116" s="295" t="s">
        <v>1934</v>
      </c>
      <c r="C116" s="296" t="s">
        <v>1400</v>
      </c>
      <c r="D116" s="296" t="s">
        <v>778</v>
      </c>
      <c r="E116" s="297" t="s">
        <v>750</v>
      </c>
      <c r="F116" s="29"/>
      <c r="G116" s="89">
        <f>+'2. CANTIDADES'!ABQ7+'2. CANTIDADES'!RU6</f>
        <v>29.87</v>
      </c>
      <c r="H116" s="77" t="str">
        <f>VLOOKUP(E116,'B. DATOS'!$B$34:$E$622,2,FALSE)</f>
        <v>M2</v>
      </c>
      <c r="I116" s="29"/>
      <c r="J116" s="29" t="s">
        <v>751</v>
      </c>
      <c r="K116" s="29"/>
      <c r="L116" s="78">
        <f>VLOOKUP(E116,'B. DATOS'!$B$34:$E$622,4,FALSE)</f>
        <v>35000</v>
      </c>
      <c r="M116" s="76">
        <f>+L116*G116</f>
        <v>1045450</v>
      </c>
      <c r="N116" s="351"/>
      <c r="O116" s="80">
        <f>+G116*$N$104</f>
        <v>29.87</v>
      </c>
      <c r="Q116" s="76">
        <f>+M116*$N$104</f>
        <v>1045450</v>
      </c>
      <c r="R116" s="82"/>
      <c r="S116" s="4"/>
    </row>
    <row r="117" spans="2:21" s="39" customFormat="1" x14ac:dyDescent="0.25">
      <c r="B117" s="110">
        <v>4.5999999999999996</v>
      </c>
      <c r="C117" s="144" t="s">
        <v>1812</v>
      </c>
      <c r="D117" s="369" t="s">
        <v>1706</v>
      </c>
      <c r="E117" s="370"/>
      <c r="F117" s="121"/>
      <c r="G117" s="121"/>
      <c r="H117" s="121"/>
      <c r="I117" s="121"/>
      <c r="J117" s="121"/>
      <c r="K117" s="121"/>
      <c r="L117" s="122"/>
      <c r="M117" s="122"/>
      <c r="N117" s="121"/>
      <c r="O117" s="121"/>
      <c r="P117" s="122">
        <f>+SUM(P118:P122)</f>
        <v>668200.55000000005</v>
      </c>
      <c r="Q117" s="122">
        <f>+SUM(Q118:Q122)</f>
        <v>506000</v>
      </c>
      <c r="R117" s="129">
        <f>Q117+P117</f>
        <v>1174200.55</v>
      </c>
      <c r="S117" s="124">
        <f>+R117/G122</f>
        <v>169193.16282420748</v>
      </c>
      <c r="T117" s="181" cm="1">
        <f t="array" ref="T117:U117">+R117/'[5]1. GENERAL'!$E$31:$F$31</f>
        <v>4.6250893001251094E-3</v>
      </c>
      <c r="U117" s="39" t="e">
        <v>#DIV/0!</v>
      </c>
    </row>
    <row r="118" spans="2:21" x14ac:dyDescent="0.25">
      <c r="B118" s="83" t="s">
        <v>1935</v>
      </c>
      <c r="C118" s="145" t="s">
        <v>1812</v>
      </c>
      <c r="D118" s="145" t="s">
        <v>251</v>
      </c>
      <c r="E118" s="84" t="s">
        <v>1353</v>
      </c>
      <c r="G118" s="89">
        <f>+(G122*0.15)*1.05</f>
        <v>1.0930500000000001</v>
      </c>
      <c r="H118" s="77" t="str">
        <f>VLOOKUP(E118,'B. DATOS'!$B$34:$E$622,2,FALSE)</f>
        <v>M3</v>
      </c>
      <c r="J118" s="29" t="s">
        <v>717</v>
      </c>
      <c r="L118" s="78">
        <f>VLOOKUP(E118,'B. DATOS'!$B$34:$E$622,4,FALSE)</f>
        <v>487000</v>
      </c>
      <c r="M118" s="76">
        <f>+L118*G118</f>
        <v>532315.35000000009</v>
      </c>
      <c r="N118" s="351">
        <v>1</v>
      </c>
      <c r="O118" s="80">
        <f>+G118*$N$118</f>
        <v>1.0930500000000001</v>
      </c>
      <c r="P118" s="76">
        <f>+M118*$N$118</f>
        <v>532315.35000000009</v>
      </c>
    </row>
    <row r="119" spans="2:21" x14ac:dyDescent="0.25">
      <c r="B119" s="83" t="s">
        <v>1936</v>
      </c>
      <c r="C119" s="145" t="s">
        <v>1812</v>
      </c>
      <c r="D119" s="145" t="s">
        <v>251</v>
      </c>
      <c r="E119" s="84" t="s">
        <v>1284</v>
      </c>
      <c r="G119" s="89">
        <f>+G122*1.1</f>
        <v>7.6340000000000012</v>
      </c>
      <c r="H119" s="77" t="str">
        <f>VLOOKUP(E119,'B. DATOS'!$B$34:$E$622,2,FALSE)</f>
        <v>M2</v>
      </c>
      <c r="J119" s="29" t="s">
        <v>274</v>
      </c>
      <c r="L119" s="78">
        <f>VLOOKUP(E119,'B. DATOS'!$B$34:$E$622,4,FALSE)</f>
        <v>17000</v>
      </c>
      <c r="M119" s="76">
        <f>+L119*G119</f>
        <v>129778.00000000001</v>
      </c>
      <c r="N119" s="351"/>
      <c r="O119" s="80">
        <f>+G119*$N$118</f>
        <v>7.6340000000000012</v>
      </c>
      <c r="P119" s="76">
        <f>+M119*$N$118</f>
        <v>129778.00000000001</v>
      </c>
    </row>
    <row r="120" spans="2:21" x14ac:dyDescent="0.25">
      <c r="B120" s="83" t="s">
        <v>1937</v>
      </c>
      <c r="C120" s="145" t="s">
        <v>1812</v>
      </c>
      <c r="D120" s="145" t="s">
        <v>251</v>
      </c>
      <c r="E120" s="84" t="s">
        <v>266</v>
      </c>
      <c r="G120" s="89">
        <f>+G119*0.1</f>
        <v>0.76340000000000019</v>
      </c>
      <c r="H120" s="77" t="str">
        <f>VLOOKUP(E120,'B. DATOS'!$B$34:$E$622,2,FALSE)</f>
        <v>KG</v>
      </c>
      <c r="J120" s="29" t="s">
        <v>274</v>
      </c>
      <c r="L120" s="78">
        <f>VLOOKUP(E120,'B. DATOS'!$B$34:$E$622,4,FALSE)</f>
        <v>8000</v>
      </c>
      <c r="M120" s="76">
        <f>+L120*G120</f>
        <v>6107.2000000000016</v>
      </c>
      <c r="N120" s="351"/>
      <c r="O120" s="80">
        <f>+G120*$N$118</f>
        <v>0.76340000000000019</v>
      </c>
      <c r="P120" s="76">
        <f>+M120*$N$118</f>
        <v>6107.2000000000016</v>
      </c>
    </row>
    <row r="121" spans="2:21" x14ac:dyDescent="0.25">
      <c r="B121" s="83" t="s">
        <v>1938</v>
      </c>
      <c r="C121" s="145" t="s">
        <v>1812</v>
      </c>
      <c r="D121" s="145" t="s">
        <v>778</v>
      </c>
      <c r="E121" s="84" t="s">
        <v>786</v>
      </c>
      <c r="G121" s="90">
        <v>3</v>
      </c>
      <c r="H121" s="77" t="str">
        <f>VLOOKUP(E121,'B. DATOS'!$B$34:$E$622,2,FALSE)</f>
        <v>DÍA</v>
      </c>
      <c r="J121" s="29" t="s">
        <v>652</v>
      </c>
      <c r="L121" s="78">
        <f>VLOOKUP(E121,'B. DATOS'!$B$34:$E$622,4,FALSE)</f>
        <v>53000</v>
      </c>
      <c r="M121" s="76">
        <f>+L121*G121</f>
        <v>159000</v>
      </c>
      <c r="N121" s="351"/>
      <c r="O121" s="80">
        <f>+G121*$N$118</f>
        <v>3</v>
      </c>
      <c r="Q121" s="76">
        <f>+M121*$N$118</f>
        <v>159000</v>
      </c>
    </row>
    <row r="122" spans="2:21" x14ac:dyDescent="0.25">
      <c r="B122" s="83" t="s">
        <v>1939</v>
      </c>
      <c r="C122" s="145" t="s">
        <v>1812</v>
      </c>
      <c r="D122" s="145" t="s">
        <v>778</v>
      </c>
      <c r="E122" s="84" t="s">
        <v>375</v>
      </c>
      <c r="G122" s="89">
        <f>+G126</f>
        <v>6.94</v>
      </c>
      <c r="H122" s="77" t="str">
        <f>VLOOKUP(E122,'B. DATOS'!$B$34:$E$622,2,FALSE)</f>
        <v>M2</v>
      </c>
      <c r="J122" s="29" t="s">
        <v>14</v>
      </c>
      <c r="L122" s="78">
        <f>VLOOKUP(E122,'B. DATOS'!$B$34:$E$622,4,FALSE)</f>
        <v>50000</v>
      </c>
      <c r="M122" s="76">
        <f>+L122*G122</f>
        <v>347000</v>
      </c>
      <c r="N122" s="351"/>
      <c r="O122" s="80">
        <f>+G122*$N$118</f>
        <v>6.94</v>
      </c>
      <c r="Q122" s="76">
        <f>+M122*$N$118</f>
        <v>347000</v>
      </c>
    </row>
    <row r="123" spans="2:21" s="39" customFormat="1" x14ac:dyDescent="0.25">
      <c r="B123" s="110">
        <v>4.7</v>
      </c>
      <c r="C123" s="144" t="s">
        <v>1812</v>
      </c>
      <c r="D123" s="369" t="s">
        <v>600</v>
      </c>
      <c r="E123" s="370"/>
      <c r="F123" s="121"/>
      <c r="G123" s="121"/>
      <c r="H123" s="121"/>
      <c r="I123" s="121"/>
      <c r="J123" s="121"/>
      <c r="K123" s="121"/>
      <c r="L123" s="122"/>
      <c r="M123" s="122"/>
      <c r="N123" s="121"/>
      <c r="O123" s="121"/>
      <c r="P123" s="122">
        <f>+SUM(P124:P134)</f>
        <v>20102200</v>
      </c>
      <c r="Q123" s="122">
        <f>+SUM(Q124:Q134)</f>
        <v>385000</v>
      </c>
      <c r="R123" s="129">
        <f>Q123+P123</f>
        <v>20487200</v>
      </c>
      <c r="S123" s="124">
        <f>+R123/'1. GENERAL'!C7</f>
        <v>60142.059165094171</v>
      </c>
      <c r="T123" s="181" cm="1">
        <f t="array" ref="T123:U123">+R123/'1. GENERAL'!$E$31:$F$31</f>
        <v>4.1901832633671851E-2</v>
      </c>
      <c r="U123" s="39" t="e">
        <v>#DIV/0!</v>
      </c>
    </row>
    <row r="124" spans="2:21" x14ac:dyDescent="0.25">
      <c r="B124" s="83" t="s">
        <v>1940</v>
      </c>
      <c r="C124" s="145" t="s">
        <v>1812</v>
      </c>
      <c r="D124" s="145" t="s">
        <v>251</v>
      </c>
      <c r="E124" s="84" t="s">
        <v>696</v>
      </c>
      <c r="G124" s="89">
        <v>4</v>
      </c>
      <c r="H124" s="77" t="str">
        <f>VLOOKUP(E124,'B. DATOS'!$B$34:$E$622,2,FALSE)</f>
        <v>M2</v>
      </c>
      <c r="J124" s="29" t="s">
        <v>529</v>
      </c>
      <c r="L124" s="78">
        <f>VLOOKUP(E124,'B. DATOS'!$B$34:$E$622,4,FALSE)</f>
        <v>90000</v>
      </c>
      <c r="M124" s="76">
        <f>+L124*G124</f>
        <v>360000</v>
      </c>
      <c r="N124" s="29">
        <v>1</v>
      </c>
      <c r="O124" s="80">
        <f>+G124*N124</f>
        <v>4</v>
      </c>
      <c r="P124" s="76">
        <f>+M124*N124</f>
        <v>360000</v>
      </c>
    </row>
    <row r="125" spans="2:21" x14ac:dyDescent="0.25">
      <c r="B125" s="83" t="s">
        <v>1941</v>
      </c>
      <c r="C125" s="145" t="s">
        <v>1812</v>
      </c>
      <c r="D125" s="145" t="s">
        <v>251</v>
      </c>
      <c r="E125" s="84" t="s">
        <v>695</v>
      </c>
      <c r="G125" s="89">
        <f>+'2. CANTIDADES'!SE4+((0.75*2)*3)</f>
        <v>9.41</v>
      </c>
      <c r="H125" s="77" t="str">
        <f>VLOOKUP(E125,'B. DATOS'!$B$34:$E$622,2,FALSE)</f>
        <v>M2</v>
      </c>
      <c r="J125" s="29" t="s">
        <v>529</v>
      </c>
      <c r="L125" s="78">
        <f>VLOOKUP(E125,'B. DATOS'!$B$34:$E$622,4,FALSE)</f>
        <v>220000</v>
      </c>
      <c r="M125" s="76">
        <f t="shared" ref="M125:M134" si="11">+L125*G125</f>
        <v>2070200</v>
      </c>
      <c r="N125" s="29">
        <v>1</v>
      </c>
      <c r="O125" s="80">
        <f t="shared" ref="O125:O134" si="12">+G125*N125</f>
        <v>9.41</v>
      </c>
      <c r="P125" s="76">
        <f t="shared" ref="P125:P133" si="13">+M125*N125</f>
        <v>2070200</v>
      </c>
    </row>
    <row r="126" spans="2:21" x14ac:dyDescent="0.25">
      <c r="B126" s="83" t="s">
        <v>1942</v>
      </c>
      <c r="C126" s="145" t="s">
        <v>1812</v>
      </c>
      <c r="D126" s="145" t="s">
        <v>251</v>
      </c>
      <c r="E126" s="84" t="s">
        <v>603</v>
      </c>
      <c r="G126" s="89">
        <f>+'2. CANTIDADES'!ACA2</f>
        <v>6.94</v>
      </c>
      <c r="H126" s="77" t="str">
        <f>VLOOKUP(E126,'B. DATOS'!$B$34:$E$622,2,FALSE)</f>
        <v>M2</v>
      </c>
      <c r="J126" s="29" t="s">
        <v>598</v>
      </c>
      <c r="L126" s="78">
        <f>VLOOKUP(E126,'B. DATOS'!$B$34:$E$622,4,FALSE)</f>
        <v>550000</v>
      </c>
      <c r="M126" s="76">
        <f t="shared" si="11"/>
        <v>3817000</v>
      </c>
      <c r="N126" s="29">
        <v>1</v>
      </c>
      <c r="O126" s="80">
        <f t="shared" si="12"/>
        <v>6.94</v>
      </c>
      <c r="P126" s="76">
        <f t="shared" si="13"/>
        <v>3817000</v>
      </c>
    </row>
    <row r="127" spans="2:21" x14ac:dyDescent="0.25">
      <c r="B127" s="83" t="s">
        <v>1943</v>
      </c>
      <c r="C127" s="145" t="s">
        <v>1812</v>
      </c>
      <c r="D127" s="145" t="s">
        <v>251</v>
      </c>
      <c r="E127" s="84" t="s">
        <v>1924</v>
      </c>
      <c r="G127" s="89">
        <v>9</v>
      </c>
      <c r="H127" s="77" t="str">
        <f>VLOOKUP(E127,'B. DATOS'!$B$34:$E$622,2,FALSE)</f>
        <v>UND</v>
      </c>
      <c r="J127" s="29" t="s">
        <v>685</v>
      </c>
      <c r="L127" s="78">
        <f>VLOOKUP(E127,'B. DATOS'!$B$34:$E$622,4,FALSE)</f>
        <v>450000</v>
      </c>
      <c r="M127" s="76">
        <f>+L127*G127</f>
        <v>4050000</v>
      </c>
      <c r="N127" s="29">
        <v>1</v>
      </c>
      <c r="O127" s="80">
        <f>+G127*N127</f>
        <v>9</v>
      </c>
      <c r="P127" s="76">
        <f>+M127*N127</f>
        <v>4050000</v>
      </c>
    </row>
    <row r="128" spans="2:21" x14ac:dyDescent="0.25">
      <c r="B128" s="83" t="s">
        <v>1944</v>
      </c>
      <c r="C128" s="145" t="s">
        <v>1812</v>
      </c>
      <c r="D128" s="145" t="s">
        <v>251</v>
      </c>
      <c r="E128" s="84" t="s">
        <v>1734</v>
      </c>
      <c r="G128" s="89">
        <f>+SUM('2. CANTIDADES'!ADB36:ADB38)</f>
        <v>18.900000000000002</v>
      </c>
      <c r="H128" s="77" t="str">
        <f>VLOOKUP(E128,'B. DATOS'!$B$34:$E$622,2,FALSE)</f>
        <v>M2</v>
      </c>
      <c r="J128" s="29" t="s">
        <v>508</v>
      </c>
      <c r="L128" s="78">
        <f>VLOOKUP(E128,'B. DATOS'!$B$34:$E$622,4,FALSE)</f>
        <v>250000</v>
      </c>
      <c r="M128" s="76">
        <f t="shared" si="11"/>
        <v>4725000.0000000009</v>
      </c>
      <c r="N128" s="29">
        <v>1</v>
      </c>
      <c r="O128" s="80">
        <f t="shared" si="12"/>
        <v>18.900000000000002</v>
      </c>
      <c r="P128" s="76">
        <f t="shared" si="13"/>
        <v>4725000.0000000009</v>
      </c>
    </row>
    <row r="129" spans="2:21" x14ac:dyDescent="0.25">
      <c r="B129" s="83" t="s">
        <v>1945</v>
      </c>
      <c r="C129" s="145" t="s">
        <v>1812</v>
      </c>
      <c r="D129" s="145" t="s">
        <v>251</v>
      </c>
      <c r="E129" s="84" t="s">
        <v>604</v>
      </c>
      <c r="G129" s="89">
        <v>4</v>
      </c>
      <c r="H129" s="77" t="str">
        <f>VLOOKUP(E129,'B. DATOS'!$B$34:$E$622,2,FALSE)</f>
        <v>UND</v>
      </c>
      <c r="J129" s="29" t="s">
        <v>598</v>
      </c>
      <c r="L129" s="78">
        <f>VLOOKUP(E129,'B. DATOS'!$B$34:$E$622,4,FALSE)</f>
        <v>650000</v>
      </c>
      <c r="M129" s="76">
        <f t="shared" si="11"/>
        <v>2600000</v>
      </c>
      <c r="N129" s="29">
        <v>1</v>
      </c>
      <c r="O129" s="80">
        <f t="shared" si="12"/>
        <v>4</v>
      </c>
      <c r="P129" s="76">
        <f t="shared" si="13"/>
        <v>2600000</v>
      </c>
    </row>
    <row r="130" spans="2:21" x14ac:dyDescent="0.25">
      <c r="B130" s="83" t="s">
        <v>1946</v>
      </c>
      <c r="C130" s="145" t="s">
        <v>1812</v>
      </c>
      <c r="D130" s="145" t="s">
        <v>251</v>
      </c>
      <c r="E130" s="84" t="s">
        <v>606</v>
      </c>
      <c r="G130" s="89">
        <v>4</v>
      </c>
      <c r="H130" s="77" t="str">
        <f>VLOOKUP(E130,'B. DATOS'!$B$34:$E$622,2,FALSE)</f>
        <v>UND</v>
      </c>
      <c r="J130" s="29" t="s">
        <v>598</v>
      </c>
      <c r="L130" s="78">
        <f>VLOOKUP(E130,'B. DATOS'!$B$34:$E$622,4,FALSE)</f>
        <v>70000</v>
      </c>
      <c r="M130" s="76">
        <f t="shared" si="11"/>
        <v>280000</v>
      </c>
      <c r="N130" s="29">
        <v>1</v>
      </c>
      <c r="O130" s="80">
        <f t="shared" si="12"/>
        <v>4</v>
      </c>
      <c r="P130" s="76">
        <f t="shared" si="13"/>
        <v>280000</v>
      </c>
    </row>
    <row r="131" spans="2:21" x14ac:dyDescent="0.25">
      <c r="B131" s="83" t="s">
        <v>1947</v>
      </c>
      <c r="C131" s="145" t="s">
        <v>1812</v>
      </c>
      <c r="D131" s="145" t="s">
        <v>251</v>
      </c>
      <c r="E131" s="84" t="s">
        <v>607</v>
      </c>
      <c r="G131" s="89">
        <v>4</v>
      </c>
      <c r="H131" s="77" t="str">
        <f>VLOOKUP(E131,'B. DATOS'!$B$34:$E$622,2,FALSE)</f>
        <v>UND</v>
      </c>
      <c r="J131" s="29" t="s">
        <v>598</v>
      </c>
      <c r="L131" s="78">
        <f>VLOOKUP(E131,'B. DATOS'!$B$34:$E$622,4,FALSE)</f>
        <v>250000</v>
      </c>
      <c r="M131" s="76">
        <f t="shared" si="11"/>
        <v>1000000</v>
      </c>
      <c r="N131" s="29">
        <v>1</v>
      </c>
      <c r="O131" s="80">
        <f t="shared" si="12"/>
        <v>4</v>
      </c>
      <c r="P131" s="76">
        <f t="shared" si="13"/>
        <v>1000000</v>
      </c>
    </row>
    <row r="132" spans="2:21" x14ac:dyDescent="0.25">
      <c r="B132" s="83" t="s">
        <v>1948</v>
      </c>
      <c r="C132" s="145" t="s">
        <v>1812</v>
      </c>
      <c r="D132" s="145" t="s">
        <v>251</v>
      </c>
      <c r="E132" s="84" t="s">
        <v>608</v>
      </c>
      <c r="G132" s="89">
        <v>3</v>
      </c>
      <c r="H132" s="77" t="str">
        <f>VLOOKUP(E132,'B. DATOS'!$B$34:$E$622,2,FALSE)</f>
        <v>UND</v>
      </c>
      <c r="J132" s="29" t="s">
        <v>598</v>
      </c>
      <c r="L132" s="78">
        <f>VLOOKUP(E132,'B. DATOS'!$B$34:$E$622,4,FALSE)</f>
        <v>250000</v>
      </c>
      <c r="M132" s="76">
        <f t="shared" si="11"/>
        <v>750000</v>
      </c>
      <c r="N132" s="29">
        <v>1</v>
      </c>
      <c r="O132" s="80">
        <f t="shared" si="12"/>
        <v>3</v>
      </c>
      <c r="P132" s="76">
        <f t="shared" si="13"/>
        <v>750000</v>
      </c>
    </row>
    <row r="133" spans="2:21" x14ac:dyDescent="0.25">
      <c r="B133" s="83" t="s">
        <v>1949</v>
      </c>
      <c r="C133" s="145" t="s">
        <v>1812</v>
      </c>
      <c r="D133" s="145" t="s">
        <v>251</v>
      </c>
      <c r="E133" s="84" t="s">
        <v>609</v>
      </c>
      <c r="G133" s="89">
        <v>3</v>
      </c>
      <c r="H133" s="77" t="str">
        <f>VLOOKUP(E133,'B. DATOS'!$B$34:$E$622,2,FALSE)</f>
        <v>UND</v>
      </c>
      <c r="J133" s="29" t="s">
        <v>598</v>
      </c>
      <c r="L133" s="78">
        <f>VLOOKUP(E133,'B. DATOS'!$B$34:$E$622,4,FALSE)</f>
        <v>150000</v>
      </c>
      <c r="M133" s="76">
        <f t="shared" si="11"/>
        <v>450000</v>
      </c>
      <c r="N133" s="29">
        <v>1</v>
      </c>
      <c r="O133" s="80">
        <f t="shared" si="12"/>
        <v>3</v>
      </c>
      <c r="P133" s="76">
        <f t="shared" si="13"/>
        <v>450000</v>
      </c>
    </row>
    <row r="134" spans="2:21" x14ac:dyDescent="0.25">
      <c r="B134" s="83" t="s">
        <v>1950</v>
      </c>
      <c r="C134" s="145" t="s">
        <v>1812</v>
      </c>
      <c r="D134" s="145" t="s">
        <v>778</v>
      </c>
      <c r="E134" s="84" t="s">
        <v>732</v>
      </c>
      <c r="G134" s="89">
        <f>+G129+G130+G132</f>
        <v>11</v>
      </c>
      <c r="H134" s="77" t="str">
        <f>VLOOKUP(E134,'B. DATOS'!$B$34:$E$622,2,FALSE)</f>
        <v>UND</v>
      </c>
      <c r="J134" s="29" t="s">
        <v>739</v>
      </c>
      <c r="L134" s="78">
        <f>VLOOKUP(E134,'B. DATOS'!$B$34:$E$622,4,FALSE)</f>
        <v>35000</v>
      </c>
      <c r="M134" s="76">
        <f t="shared" si="11"/>
        <v>385000</v>
      </c>
      <c r="N134" s="29">
        <v>1</v>
      </c>
      <c r="O134" s="80">
        <f t="shared" si="12"/>
        <v>11</v>
      </c>
      <c r="Q134" s="76">
        <f>+M134*N134</f>
        <v>385000</v>
      </c>
    </row>
    <row r="135" spans="2:21" s="39" customFormat="1" x14ac:dyDescent="0.25">
      <c r="B135" s="288">
        <v>4.8</v>
      </c>
      <c r="C135" s="289" t="s">
        <v>1400</v>
      </c>
      <c r="D135" s="367" t="s">
        <v>600</v>
      </c>
      <c r="E135" s="368"/>
      <c r="F135" s="290"/>
      <c r="G135" s="290"/>
      <c r="H135" s="290"/>
      <c r="I135" s="290"/>
      <c r="J135" s="290"/>
      <c r="K135" s="290"/>
      <c r="L135" s="291"/>
      <c r="M135" s="291"/>
      <c r="N135" s="290"/>
      <c r="O135" s="290"/>
      <c r="P135" s="291">
        <f>+SUM(P136:P146)</f>
        <v>12592950</v>
      </c>
      <c r="Q135" s="291">
        <f>+SUM(Q136:Q146)</f>
        <v>315000</v>
      </c>
      <c r="R135" s="292">
        <f>Q135+P135</f>
        <v>12907950</v>
      </c>
      <c r="S135" s="293" t="e">
        <f>+R135/'1. GENERAL'!C19</f>
        <v>#VALUE!</v>
      </c>
      <c r="T135" s="294" cm="1">
        <f t="array" ref="T135:U135">+R135/'1. GENERAL'!$E$31:$F$31</f>
        <v>2.6400228461859333E-2</v>
      </c>
      <c r="U135" s="39" t="e">
        <v>#DIV/0!</v>
      </c>
    </row>
    <row r="136" spans="2:21" x14ac:dyDescent="0.25">
      <c r="B136" s="295" t="s">
        <v>1940</v>
      </c>
      <c r="C136" s="296" t="s">
        <v>1400</v>
      </c>
      <c r="D136" s="296" t="s">
        <v>251</v>
      </c>
      <c r="E136" s="297" t="s">
        <v>696</v>
      </c>
      <c r="G136" s="89">
        <v>3</v>
      </c>
      <c r="H136" s="77" t="str">
        <f>VLOOKUP(E136,'B. DATOS'!$B$34:$E$622,2,FALSE)</f>
        <v>M2</v>
      </c>
      <c r="J136" s="29" t="s">
        <v>529</v>
      </c>
      <c r="L136" s="78">
        <f>VLOOKUP(E136,'B. DATOS'!$B$34:$E$622,4,FALSE)</f>
        <v>90000</v>
      </c>
      <c r="M136" s="76">
        <f>+L136*G136</f>
        <v>270000</v>
      </c>
      <c r="N136" s="29">
        <v>1</v>
      </c>
      <c r="O136" s="80">
        <f>+G136*N136</f>
        <v>3</v>
      </c>
      <c r="P136" s="76">
        <f>+M136*N136</f>
        <v>270000</v>
      </c>
    </row>
    <row r="137" spans="2:21" x14ac:dyDescent="0.25">
      <c r="B137" s="295" t="s">
        <v>1941</v>
      </c>
      <c r="C137" s="296" t="s">
        <v>1400</v>
      </c>
      <c r="D137" s="296" t="s">
        <v>251</v>
      </c>
      <c r="E137" s="297" t="s">
        <v>695</v>
      </c>
      <c r="G137" s="89">
        <f>+'2. CANTIDADES'!SE7+((0.75*2)*3)</f>
        <v>10.11</v>
      </c>
      <c r="H137" s="77" t="str">
        <f>VLOOKUP(E137,'B. DATOS'!$B$34:$E$622,2,FALSE)</f>
        <v>M2</v>
      </c>
      <c r="J137" s="29" t="s">
        <v>529</v>
      </c>
      <c r="L137" s="78">
        <f>VLOOKUP(E137,'B. DATOS'!$B$34:$E$622,4,FALSE)</f>
        <v>220000</v>
      </c>
      <c r="M137" s="76">
        <f t="shared" ref="M137:M146" si="14">+L137*G137</f>
        <v>2224200</v>
      </c>
      <c r="N137" s="29">
        <v>1</v>
      </c>
      <c r="O137" s="80">
        <f t="shared" ref="O137:O146" si="15">+G137*N137</f>
        <v>10.11</v>
      </c>
      <c r="P137" s="76">
        <f t="shared" ref="P137:P145" si="16">+M137*N137</f>
        <v>2224200</v>
      </c>
    </row>
    <row r="138" spans="2:21" x14ac:dyDescent="0.25">
      <c r="B138" s="295" t="s">
        <v>1942</v>
      </c>
      <c r="C138" s="296" t="s">
        <v>1400</v>
      </c>
      <c r="D138" s="296" t="s">
        <v>251</v>
      </c>
      <c r="E138" s="297" t="s">
        <v>603</v>
      </c>
      <c r="G138" s="89">
        <f>+'2. CANTIDADES'!ACA14</f>
        <v>0</v>
      </c>
      <c r="H138" s="77" t="str">
        <f>VLOOKUP(E138,'B. DATOS'!$B$34:$E$622,2,FALSE)</f>
        <v>M2</v>
      </c>
      <c r="J138" s="29" t="s">
        <v>598</v>
      </c>
      <c r="L138" s="78">
        <f>VLOOKUP(E138,'B. DATOS'!$B$34:$E$622,4,FALSE)</f>
        <v>550000</v>
      </c>
      <c r="M138" s="76">
        <f t="shared" si="14"/>
        <v>0</v>
      </c>
      <c r="N138" s="29">
        <v>1</v>
      </c>
      <c r="O138" s="80">
        <f t="shared" si="15"/>
        <v>0</v>
      </c>
      <c r="P138" s="76">
        <f t="shared" si="16"/>
        <v>0</v>
      </c>
    </row>
    <row r="139" spans="2:21" x14ac:dyDescent="0.25">
      <c r="B139" s="295" t="s">
        <v>1943</v>
      </c>
      <c r="C139" s="296" t="s">
        <v>1400</v>
      </c>
      <c r="D139" s="296" t="s">
        <v>251</v>
      </c>
      <c r="E139" s="297" t="s">
        <v>1924</v>
      </c>
      <c r="G139" s="89">
        <v>6</v>
      </c>
      <c r="H139" s="77" t="str">
        <f>VLOOKUP(E139,'B. DATOS'!$B$34:$E$622,2,FALSE)</f>
        <v>UND</v>
      </c>
      <c r="J139" s="29" t="s">
        <v>685</v>
      </c>
      <c r="L139" s="78">
        <f>VLOOKUP(E139,'B. DATOS'!$B$34:$E$622,4,FALSE)</f>
        <v>450000</v>
      </c>
      <c r="M139" s="76">
        <f>+L139*G139</f>
        <v>2700000</v>
      </c>
      <c r="N139" s="29">
        <v>1</v>
      </c>
      <c r="O139" s="80">
        <f>+G139*N139</f>
        <v>6</v>
      </c>
      <c r="P139" s="76">
        <f>+M139*N139</f>
        <v>2700000</v>
      </c>
    </row>
    <row r="140" spans="2:21" x14ac:dyDescent="0.25">
      <c r="B140" s="295" t="s">
        <v>1944</v>
      </c>
      <c r="C140" s="296" t="s">
        <v>1400</v>
      </c>
      <c r="D140" s="296" t="s">
        <v>251</v>
      </c>
      <c r="E140" s="297" t="s">
        <v>1734</v>
      </c>
      <c r="G140" s="89">
        <f>+SUM('2. CANTIDADES'!ADB51:ADB52)</f>
        <v>13.154999999999999</v>
      </c>
      <c r="H140" s="77" t="str">
        <f>VLOOKUP(E140,'B. DATOS'!$B$34:$E$622,2,FALSE)</f>
        <v>M2</v>
      </c>
      <c r="J140" s="29" t="s">
        <v>508</v>
      </c>
      <c r="L140" s="78">
        <f>VLOOKUP(E140,'B. DATOS'!$B$34:$E$622,4,FALSE)</f>
        <v>250000</v>
      </c>
      <c r="M140" s="76">
        <f t="shared" ref="M140:M146" si="17">+L140*G140</f>
        <v>3288750</v>
      </c>
      <c r="N140" s="29">
        <v>1</v>
      </c>
      <c r="O140" s="80">
        <f t="shared" ref="O140:O146" si="18">+G140*N140</f>
        <v>13.154999999999999</v>
      </c>
      <c r="P140" s="76">
        <f t="shared" ref="P140:P146" si="19">+M140*N140</f>
        <v>3288750</v>
      </c>
    </row>
    <row r="141" spans="2:21" x14ac:dyDescent="0.25">
      <c r="B141" s="295" t="s">
        <v>1945</v>
      </c>
      <c r="C141" s="296" t="s">
        <v>1400</v>
      </c>
      <c r="D141" s="296" t="s">
        <v>251</v>
      </c>
      <c r="E141" s="297" t="s">
        <v>604</v>
      </c>
      <c r="G141" s="89">
        <v>3</v>
      </c>
      <c r="H141" s="77" t="str">
        <f>VLOOKUP(E141,'B. DATOS'!$B$34:$E$622,2,FALSE)</f>
        <v>UND</v>
      </c>
      <c r="J141" s="29" t="s">
        <v>598</v>
      </c>
      <c r="L141" s="78">
        <f>VLOOKUP(E141,'B. DATOS'!$B$34:$E$622,4,FALSE)</f>
        <v>650000</v>
      </c>
      <c r="M141" s="76">
        <f t="shared" si="17"/>
        <v>1950000</v>
      </c>
      <c r="N141" s="29">
        <v>1</v>
      </c>
      <c r="O141" s="80">
        <f t="shared" si="18"/>
        <v>3</v>
      </c>
      <c r="P141" s="76">
        <f t="shared" si="19"/>
        <v>1950000</v>
      </c>
    </row>
    <row r="142" spans="2:21" x14ac:dyDescent="0.25">
      <c r="B142" s="295" t="s">
        <v>1946</v>
      </c>
      <c r="C142" s="296" t="s">
        <v>1400</v>
      </c>
      <c r="D142" s="296" t="s">
        <v>251</v>
      </c>
      <c r="E142" s="297" t="s">
        <v>606</v>
      </c>
      <c r="G142" s="89">
        <v>3</v>
      </c>
      <c r="H142" s="77" t="str">
        <f>VLOOKUP(E142,'B. DATOS'!$B$34:$E$622,2,FALSE)</f>
        <v>UND</v>
      </c>
      <c r="J142" s="29" t="s">
        <v>598</v>
      </c>
      <c r="L142" s="78">
        <f>VLOOKUP(E142,'B. DATOS'!$B$34:$E$622,4,FALSE)</f>
        <v>70000</v>
      </c>
      <c r="M142" s="76">
        <f t="shared" si="17"/>
        <v>210000</v>
      </c>
      <c r="N142" s="29">
        <v>1</v>
      </c>
      <c r="O142" s="80">
        <f t="shared" si="18"/>
        <v>3</v>
      </c>
      <c r="P142" s="76">
        <f t="shared" si="19"/>
        <v>210000</v>
      </c>
    </row>
    <row r="143" spans="2:21" x14ac:dyDescent="0.25">
      <c r="B143" s="295" t="s">
        <v>1947</v>
      </c>
      <c r="C143" s="296" t="s">
        <v>1400</v>
      </c>
      <c r="D143" s="296" t="s">
        <v>251</v>
      </c>
      <c r="E143" s="297" t="s">
        <v>607</v>
      </c>
      <c r="G143" s="89">
        <v>3</v>
      </c>
      <c r="H143" s="77" t="str">
        <f>VLOOKUP(E143,'B. DATOS'!$B$34:$E$622,2,FALSE)</f>
        <v>UND</v>
      </c>
      <c r="J143" s="29" t="s">
        <v>598</v>
      </c>
      <c r="L143" s="78">
        <f>VLOOKUP(E143,'B. DATOS'!$B$34:$E$622,4,FALSE)</f>
        <v>250000</v>
      </c>
      <c r="M143" s="76">
        <f t="shared" si="17"/>
        <v>750000</v>
      </c>
      <c r="N143" s="29">
        <v>1</v>
      </c>
      <c r="O143" s="80">
        <f t="shared" si="18"/>
        <v>3</v>
      </c>
      <c r="P143" s="76">
        <f t="shared" si="19"/>
        <v>750000</v>
      </c>
    </row>
    <row r="144" spans="2:21" x14ac:dyDescent="0.25">
      <c r="B144" s="295" t="s">
        <v>1948</v>
      </c>
      <c r="C144" s="296" t="s">
        <v>1400</v>
      </c>
      <c r="D144" s="296" t="s">
        <v>251</v>
      </c>
      <c r="E144" s="297" t="s">
        <v>608</v>
      </c>
      <c r="G144" s="89">
        <v>3</v>
      </c>
      <c r="H144" s="77" t="str">
        <f>VLOOKUP(E144,'B. DATOS'!$B$34:$E$622,2,FALSE)</f>
        <v>UND</v>
      </c>
      <c r="J144" s="29" t="s">
        <v>598</v>
      </c>
      <c r="L144" s="78">
        <f>VLOOKUP(E144,'B. DATOS'!$B$34:$E$622,4,FALSE)</f>
        <v>250000</v>
      </c>
      <c r="M144" s="76">
        <f t="shared" si="17"/>
        <v>750000</v>
      </c>
      <c r="N144" s="29">
        <v>1</v>
      </c>
      <c r="O144" s="80">
        <f t="shared" si="18"/>
        <v>3</v>
      </c>
      <c r="P144" s="76">
        <f t="shared" si="19"/>
        <v>750000</v>
      </c>
    </row>
    <row r="145" spans="2:21" x14ac:dyDescent="0.25">
      <c r="B145" s="295" t="s">
        <v>1949</v>
      </c>
      <c r="C145" s="296" t="s">
        <v>1400</v>
      </c>
      <c r="D145" s="296" t="s">
        <v>251</v>
      </c>
      <c r="E145" s="297" t="s">
        <v>609</v>
      </c>
      <c r="G145" s="89">
        <v>3</v>
      </c>
      <c r="H145" s="77" t="str">
        <f>VLOOKUP(E145,'B. DATOS'!$B$34:$E$622,2,FALSE)</f>
        <v>UND</v>
      </c>
      <c r="J145" s="29" t="s">
        <v>598</v>
      </c>
      <c r="L145" s="78">
        <f>VLOOKUP(E145,'B. DATOS'!$B$34:$E$622,4,FALSE)</f>
        <v>150000</v>
      </c>
      <c r="M145" s="76">
        <f t="shared" si="17"/>
        <v>450000</v>
      </c>
      <c r="N145" s="29">
        <v>1</v>
      </c>
      <c r="O145" s="80">
        <f t="shared" si="18"/>
        <v>3</v>
      </c>
      <c r="P145" s="76">
        <f t="shared" si="19"/>
        <v>450000</v>
      </c>
    </row>
    <row r="146" spans="2:21" x14ac:dyDescent="0.25">
      <c r="B146" s="295" t="s">
        <v>1950</v>
      </c>
      <c r="C146" s="296" t="s">
        <v>1400</v>
      </c>
      <c r="D146" s="296" t="s">
        <v>778</v>
      </c>
      <c r="E146" s="297" t="s">
        <v>732</v>
      </c>
      <c r="G146" s="89">
        <f>+G141+G142+G144</f>
        <v>9</v>
      </c>
      <c r="H146" s="77" t="str">
        <f>VLOOKUP(E146,'B. DATOS'!$B$34:$E$622,2,FALSE)</f>
        <v>UND</v>
      </c>
      <c r="J146" s="29" t="s">
        <v>739</v>
      </c>
      <c r="L146" s="78">
        <f>VLOOKUP(E146,'B. DATOS'!$B$34:$E$622,4,FALSE)</f>
        <v>35000</v>
      </c>
      <c r="M146" s="76">
        <f t="shared" si="17"/>
        <v>315000</v>
      </c>
      <c r="N146" s="29">
        <v>1</v>
      </c>
      <c r="O146" s="80">
        <f t="shared" si="18"/>
        <v>9</v>
      </c>
      <c r="Q146" s="76">
        <f>+M146*N146</f>
        <v>315000</v>
      </c>
    </row>
    <row r="147" spans="2:21" s="39" customFormat="1" x14ac:dyDescent="0.25">
      <c r="B147" s="109">
        <v>5</v>
      </c>
      <c r="C147" s="143"/>
      <c r="D147" s="375" t="s">
        <v>613</v>
      </c>
      <c r="E147" s="376"/>
      <c r="F147" s="125"/>
      <c r="G147" s="125"/>
      <c r="H147" s="125"/>
      <c r="I147" s="125"/>
      <c r="J147" s="125"/>
      <c r="K147" s="125"/>
      <c r="L147" s="126"/>
      <c r="M147" s="126"/>
      <c r="N147" s="125"/>
      <c r="O147" s="125"/>
      <c r="P147" s="126">
        <f>+P148</f>
        <v>1987106.3333333333</v>
      </c>
      <c r="Q147" s="126">
        <f>+Q148</f>
        <v>1050000</v>
      </c>
      <c r="R147" s="127">
        <f>+Q147+P147</f>
        <v>3037106.333333333</v>
      </c>
      <c r="S147" s="128"/>
      <c r="T147" s="182">
        <f>+T148</f>
        <v>6.2116990740559031E-3</v>
      </c>
    </row>
    <row r="148" spans="2:21" s="39" customFormat="1" x14ac:dyDescent="0.25">
      <c r="B148" s="110">
        <v>5.0999999999999996</v>
      </c>
      <c r="C148" s="144" t="s">
        <v>1812</v>
      </c>
      <c r="D148" s="369" t="s">
        <v>614</v>
      </c>
      <c r="E148" s="370"/>
      <c r="F148" s="121"/>
      <c r="G148" s="121"/>
      <c r="H148" s="121"/>
      <c r="I148" s="121"/>
      <c r="J148" s="121"/>
      <c r="K148" s="121"/>
      <c r="L148" s="122"/>
      <c r="M148" s="122"/>
      <c r="N148" s="121"/>
      <c r="O148" s="121"/>
      <c r="P148" s="122">
        <f>+SUM(P149:P150)</f>
        <v>1987106.3333333333</v>
      </c>
      <c r="Q148" s="122">
        <f>+SUM(Q149:Q150)</f>
        <v>1050000</v>
      </c>
      <c r="R148" s="123">
        <f>+P148+Q148</f>
        <v>3037106.333333333</v>
      </c>
      <c r="S148" s="124">
        <f>+R148/'1. GENERAL'!$C$7</f>
        <v>8915.7048688945069</v>
      </c>
      <c r="T148" s="181" cm="1">
        <f t="array" ref="T148:U148">+R148/'1. GENERAL'!$E$31:$F$31</f>
        <v>6.2116990740559031E-3</v>
      </c>
      <c r="U148" s="39" t="e">
        <v>#DIV/0!</v>
      </c>
    </row>
    <row r="149" spans="2:21" x14ac:dyDescent="0.25">
      <c r="B149" s="83" t="s">
        <v>422</v>
      </c>
      <c r="C149" s="145" t="s">
        <v>1812</v>
      </c>
      <c r="D149" s="145" t="s">
        <v>251</v>
      </c>
      <c r="E149" s="84" t="s">
        <v>615</v>
      </c>
      <c r="G149" s="80">
        <f>+('1. GENERAL'!C7/15)*0.25</f>
        <v>5.6774466666666665</v>
      </c>
      <c r="H149" s="77" t="str">
        <f>VLOOKUP(E149,'B. DATOS'!$B$34:$E$622,2,FALSE)</f>
        <v>GL</v>
      </c>
      <c r="J149" s="29" t="s">
        <v>644</v>
      </c>
      <c r="L149" s="78">
        <f>VLOOKUP(E149,'B. DATOS'!$B$34:$E$622,4,FALSE)</f>
        <v>350000</v>
      </c>
      <c r="M149" s="76">
        <f>+L149*G149</f>
        <v>1987106.3333333333</v>
      </c>
      <c r="N149" s="29">
        <v>1</v>
      </c>
      <c r="O149" s="80">
        <f>+G149*N149</f>
        <v>5.6774466666666665</v>
      </c>
      <c r="P149" s="76">
        <f>+N149*M149</f>
        <v>1987106.3333333333</v>
      </c>
    </row>
    <row r="150" spans="2:21" x14ac:dyDescent="0.25">
      <c r="B150" s="83" t="s">
        <v>423</v>
      </c>
      <c r="C150" s="145" t="s">
        <v>1812</v>
      </c>
      <c r="D150" s="145" t="s">
        <v>778</v>
      </c>
      <c r="E150" s="84" t="s">
        <v>773</v>
      </c>
      <c r="G150" s="80">
        <v>15</v>
      </c>
      <c r="H150" s="77" t="str">
        <f>VLOOKUP(E150,'B. DATOS'!$B$34:$E$622,2,FALSE)</f>
        <v>DÍA</v>
      </c>
      <c r="J150" s="29" t="s">
        <v>613</v>
      </c>
      <c r="L150" s="78">
        <f>VLOOKUP(E150,'B. DATOS'!$B$34:$E$622,4,FALSE)</f>
        <v>70000</v>
      </c>
      <c r="M150" s="76">
        <f>+L150*G150</f>
        <v>1050000</v>
      </c>
      <c r="N150" s="29">
        <v>1</v>
      </c>
      <c r="O150" s="80">
        <f>+G150*N150</f>
        <v>15</v>
      </c>
      <c r="Q150" s="76">
        <f>+M150*$N$150</f>
        <v>1050000</v>
      </c>
    </row>
    <row r="152" spans="2:21" s="4" customFormat="1" ht="15.75" thickBot="1" x14ac:dyDescent="0.3">
      <c r="B152" s="85"/>
      <c r="C152" s="2"/>
      <c r="D152" s="2"/>
      <c r="E152" s="86"/>
      <c r="F152" s="29"/>
      <c r="G152" s="29"/>
      <c r="H152" s="29"/>
      <c r="I152" s="29"/>
      <c r="J152" s="29"/>
      <c r="K152" s="29"/>
      <c r="L152" s="76"/>
      <c r="M152" s="76"/>
      <c r="N152" s="29"/>
      <c r="O152" s="29"/>
      <c r="P152" s="76"/>
      <c r="Q152" s="76"/>
      <c r="R152" s="82"/>
    </row>
    <row r="153" spans="2:21" s="4" customFormat="1" ht="15.75" thickBot="1" x14ac:dyDescent="0.3">
      <c r="B153" s="85"/>
      <c r="C153" s="2"/>
      <c r="D153" s="2"/>
      <c r="E153" s="86"/>
      <c r="F153" s="29"/>
      <c r="G153" s="29"/>
      <c r="H153" s="29"/>
      <c r="I153" s="29"/>
      <c r="J153" s="29"/>
      <c r="K153" s="29"/>
      <c r="L153" s="76"/>
      <c r="M153" s="76"/>
      <c r="N153" s="388" t="s">
        <v>1864</v>
      </c>
      <c r="O153" s="389"/>
      <c r="P153" s="138">
        <f>+P147+P88+P74+P39+P4-P157</f>
        <v>46390239.099095255</v>
      </c>
      <c r="Q153" s="138">
        <f>+Q147+Q88+Q74+Q39+Q4-Q157</f>
        <v>24269780</v>
      </c>
      <c r="R153" s="139">
        <f>+Q153+P153</f>
        <v>70660019.099095255</v>
      </c>
    </row>
    <row r="154" spans="2:21" s="4" customFormat="1" x14ac:dyDescent="0.25">
      <c r="B154" s="85"/>
      <c r="C154" s="2"/>
      <c r="D154" s="2"/>
      <c r="E154" s="86"/>
      <c r="F154" s="29"/>
      <c r="G154" s="29"/>
      <c r="H154" s="29"/>
      <c r="I154" s="29"/>
      <c r="J154" s="29"/>
      <c r="K154" s="29"/>
      <c r="L154" s="76"/>
      <c r="M154" s="76"/>
      <c r="N154" s="379" t="s">
        <v>460</v>
      </c>
      <c r="O154" s="379"/>
      <c r="P154" s="92"/>
      <c r="Q154" s="92"/>
      <c r="R154" s="93">
        <f>+$R$153/'1. GENERAL'!C6</f>
        <v>226097.59087128908</v>
      </c>
    </row>
    <row r="155" spans="2:21" s="4" customFormat="1" x14ac:dyDescent="0.25">
      <c r="B155" s="85"/>
      <c r="C155" s="2"/>
      <c r="D155" s="2"/>
      <c r="E155" s="86"/>
      <c r="F155" s="29"/>
      <c r="G155" s="29"/>
      <c r="H155" s="29"/>
      <c r="I155" s="29"/>
      <c r="J155" s="29"/>
      <c r="K155" s="29"/>
      <c r="L155" s="76"/>
      <c r="M155" s="76"/>
      <c r="N155" s="379" t="s">
        <v>461</v>
      </c>
      <c r="O155" s="379"/>
      <c r="P155" s="92"/>
      <c r="Q155" s="92"/>
      <c r="R155" s="93">
        <f>+$R$153/'1. GENERAL'!C7</f>
        <v>207428.98245072391</v>
      </c>
    </row>
    <row r="156" spans="2:21" s="4" customFormat="1" ht="15.75" thickBot="1" x14ac:dyDescent="0.3">
      <c r="B156" s="85"/>
      <c r="C156" s="2"/>
      <c r="D156" s="2"/>
      <c r="E156" s="86"/>
      <c r="F156" s="29"/>
      <c r="G156" s="29"/>
      <c r="H156" s="29"/>
      <c r="I156" s="29"/>
      <c r="J156" s="29"/>
      <c r="K156" s="29"/>
      <c r="L156" s="76"/>
      <c r="M156" s="76"/>
      <c r="N156" s="379" t="s">
        <v>462</v>
      </c>
      <c r="O156" s="379"/>
      <c r="P156" s="92"/>
      <c r="Q156" s="92"/>
      <c r="R156" s="93">
        <f>+$R$153/'1. GENERAL'!C8</f>
        <v>167274.32199965735</v>
      </c>
    </row>
    <row r="157" spans="2:21" s="4" customFormat="1" ht="15.75" thickBot="1" x14ac:dyDescent="0.3">
      <c r="B157" s="85"/>
      <c r="C157" s="2"/>
      <c r="D157" s="2"/>
      <c r="E157" s="86"/>
      <c r="F157" s="29"/>
      <c r="G157" s="29"/>
      <c r="H157" s="29"/>
      <c r="I157" s="29"/>
      <c r="J157" s="29"/>
      <c r="K157" s="29"/>
      <c r="L157" s="76"/>
      <c r="M157" s="76"/>
      <c r="N157" s="404" t="s">
        <v>1865</v>
      </c>
      <c r="O157" s="405"/>
      <c r="P157" s="136">
        <f>+P10+P20+P30+P47+P59+P69+P78+P135+P113+P96</f>
        <v>20821684.544523809</v>
      </c>
      <c r="Q157" s="136">
        <f>+Q10+Q20+Q30+Q47+Q59+Q69+Q78+Q135+Q113+Q96</f>
        <v>7827990.0000000009</v>
      </c>
      <c r="R157" s="137">
        <f>+Q157+P157</f>
        <v>28649674.544523809</v>
      </c>
    </row>
    <row r="158" spans="2:21" s="4" customFormat="1" ht="15.75" thickBot="1" x14ac:dyDescent="0.3">
      <c r="B158" s="85"/>
      <c r="C158" s="2"/>
      <c r="D158" s="2"/>
      <c r="E158" s="254"/>
      <c r="F158" s="29"/>
      <c r="G158" s="29"/>
      <c r="H158" s="29"/>
      <c r="I158" s="29"/>
      <c r="J158" s="29"/>
      <c r="K158" s="29"/>
      <c r="L158" s="76"/>
      <c r="M158" s="76"/>
      <c r="N158" s="401" t="s">
        <v>461</v>
      </c>
      <c r="O158" s="401"/>
      <c r="P158" s="91"/>
      <c r="Q158" s="91"/>
      <c r="R158" s="94">
        <f>+R157/'1. GENERAL'!I7</f>
        <v>84103.75363726831</v>
      </c>
    </row>
    <row r="159" spans="2:21" s="4" customFormat="1" x14ac:dyDescent="0.25">
      <c r="B159" s="85"/>
      <c r="C159" s="2"/>
      <c r="D159" s="2"/>
      <c r="E159" s="86"/>
      <c r="F159" s="29"/>
      <c r="G159" s="29"/>
      <c r="H159" s="29"/>
      <c r="I159" s="29"/>
      <c r="J159" s="29"/>
      <c r="K159" s="29"/>
      <c r="L159" s="76"/>
      <c r="M159" s="76"/>
      <c r="N159" s="395" t="s">
        <v>85</v>
      </c>
      <c r="O159" s="396"/>
      <c r="P159" s="111">
        <f>+P153+P157</f>
        <v>67211923.643619061</v>
      </c>
      <c r="Q159" s="111">
        <f>+Q153+Q157</f>
        <v>32097770</v>
      </c>
      <c r="R159" s="112">
        <f>+Q159+P159</f>
        <v>99309693.643619061</v>
      </c>
    </row>
    <row r="160" spans="2:21" s="4" customFormat="1" x14ac:dyDescent="0.25">
      <c r="B160" s="85"/>
      <c r="C160" s="2"/>
      <c r="D160" s="2"/>
      <c r="E160" s="86"/>
      <c r="F160" s="29"/>
      <c r="G160" s="29"/>
      <c r="H160" s="29"/>
      <c r="I160" s="29"/>
      <c r="J160" s="29"/>
      <c r="K160" s="29"/>
      <c r="L160" s="76"/>
      <c r="M160" s="76"/>
      <c r="N160" s="397" t="s">
        <v>455</v>
      </c>
      <c r="O160" s="398"/>
      <c r="P160" s="113"/>
      <c r="Q160" s="113"/>
      <c r="R160" s="114">
        <f>+R153*0.05</f>
        <v>3533000.9549547629</v>
      </c>
    </row>
    <row r="161" spans="2:18" s="4" customFormat="1" x14ac:dyDescent="0.25">
      <c r="B161" s="85"/>
      <c r="C161" s="2"/>
      <c r="D161" s="2"/>
      <c r="E161" s="254"/>
      <c r="F161" s="29"/>
      <c r="G161" s="29"/>
      <c r="H161" s="29"/>
      <c r="I161" s="29"/>
      <c r="J161" s="29"/>
      <c r="K161" s="29"/>
      <c r="L161" s="76"/>
      <c r="M161" s="76"/>
      <c r="N161" s="397" t="s">
        <v>456</v>
      </c>
      <c r="O161" s="398"/>
      <c r="P161" s="113"/>
      <c r="Q161" s="113"/>
      <c r="R161" s="114">
        <f>+$R$159*0.04</f>
        <v>3972387.7457447625</v>
      </c>
    </row>
    <row r="162" spans="2:18" s="4" customFormat="1" ht="15.75" thickBot="1" x14ac:dyDescent="0.3">
      <c r="B162" s="85"/>
      <c r="C162" s="2"/>
      <c r="D162" s="2"/>
      <c r="E162" s="86"/>
      <c r="F162" s="29"/>
      <c r="G162" s="29"/>
      <c r="H162" s="29"/>
      <c r="I162" s="29"/>
      <c r="J162" s="29"/>
      <c r="K162" s="29"/>
      <c r="L162" s="76"/>
      <c r="M162" s="76"/>
      <c r="N162" s="399" t="s">
        <v>457</v>
      </c>
      <c r="O162" s="400"/>
      <c r="P162" s="115"/>
      <c r="Q162" s="115"/>
      <c r="R162" s="116">
        <f>+$R$159*0.06</f>
        <v>5958581.6186171435</v>
      </c>
    </row>
    <row r="163" spans="2:18" s="4" customFormat="1" ht="15.75" thickBot="1" x14ac:dyDescent="0.3">
      <c r="B163" s="85"/>
      <c r="C163" s="2"/>
      <c r="D163" s="2"/>
      <c r="E163" s="86"/>
      <c r="F163" s="29"/>
      <c r="G163" s="29"/>
      <c r="H163" s="29"/>
      <c r="I163" s="29"/>
      <c r="J163" s="29"/>
      <c r="K163" s="29"/>
      <c r="L163" s="76"/>
      <c r="M163" s="76"/>
      <c r="N163" s="29"/>
      <c r="O163" s="29"/>
      <c r="P163" s="117"/>
      <c r="Q163" s="117"/>
      <c r="R163" s="118"/>
    </row>
    <row r="164" spans="2:18" s="4" customFormat="1" ht="15.75" thickBot="1" x14ac:dyDescent="0.3">
      <c r="B164" s="85"/>
      <c r="C164" s="2"/>
      <c r="D164" s="2"/>
      <c r="E164" s="86"/>
      <c r="F164" s="29"/>
      <c r="G164" s="29"/>
      <c r="H164" s="29"/>
      <c r="I164" s="29"/>
      <c r="J164" s="29"/>
      <c r="K164" s="29"/>
      <c r="L164" s="76"/>
      <c r="M164" s="76"/>
      <c r="N164" s="29"/>
      <c r="O164" s="29"/>
      <c r="P164" s="117"/>
      <c r="Q164" s="119" t="s">
        <v>254</v>
      </c>
      <c r="R164" s="120">
        <f>+SUM(R159:R162)</f>
        <v>112773663.96293573</v>
      </c>
    </row>
    <row r="165" spans="2:18" s="4" customFormat="1" ht="15.75" thickBot="1" x14ac:dyDescent="0.3">
      <c r="B165" s="85"/>
      <c r="C165" s="2"/>
      <c r="D165" s="2"/>
      <c r="E165" s="86"/>
      <c r="F165" s="29"/>
      <c r="G165" s="29"/>
      <c r="H165" s="29"/>
      <c r="I165" s="29"/>
      <c r="J165" s="29"/>
      <c r="K165" s="29"/>
      <c r="L165" s="76"/>
      <c r="M165" s="76"/>
      <c r="N165" s="29"/>
      <c r="O165" s="29"/>
      <c r="P165" s="76"/>
      <c r="Q165" s="76"/>
      <c r="R165" s="82"/>
    </row>
    <row r="166" spans="2:18" s="4" customFormat="1" ht="15.75" thickBot="1" x14ac:dyDescent="0.3">
      <c r="B166" s="85"/>
      <c r="C166" s="2"/>
      <c r="D166" s="2"/>
      <c r="E166" s="86"/>
      <c r="F166" s="372" t="s">
        <v>501</v>
      </c>
      <c r="G166" s="373"/>
      <c r="H166" s="373"/>
      <c r="I166" s="373"/>
      <c r="J166" s="373"/>
      <c r="K166" s="374"/>
      <c r="L166" s="159" t="s">
        <v>498</v>
      </c>
      <c r="M166" s="157" t="s">
        <v>499</v>
      </c>
      <c r="N166" s="372" t="s">
        <v>500</v>
      </c>
      <c r="O166" s="374"/>
      <c r="P166" s="161" t="s">
        <v>241</v>
      </c>
      <c r="Q166" s="76"/>
      <c r="R166" s="82"/>
    </row>
    <row r="167" spans="2:18" s="4" customFormat="1" ht="15.75" thickBot="1" x14ac:dyDescent="0.3">
      <c r="B167" s="85"/>
      <c r="C167" s="2"/>
      <c r="D167" s="2"/>
      <c r="E167" s="86"/>
      <c r="F167" s="372" t="s">
        <v>478</v>
      </c>
      <c r="G167" s="373"/>
      <c r="H167" s="373"/>
      <c r="I167" s="373"/>
      <c r="J167" s="373"/>
      <c r="K167" s="374"/>
      <c r="L167" s="154" t="e">
        <f>+M202</f>
        <v>#REF!</v>
      </c>
      <c r="M167" s="152">
        <f>+P159</f>
        <v>67211923.643619061</v>
      </c>
      <c r="N167" s="406" t="e">
        <f>+L167-M167</f>
        <v>#REF!</v>
      </c>
      <c r="O167" s="407"/>
      <c r="P167" s="178" t="e">
        <f>+L167/$R$159</f>
        <v>#REF!</v>
      </c>
      <c r="Q167" s="76"/>
      <c r="R167" s="82"/>
    </row>
    <row r="168" spans="2:18" s="4" customFormat="1" ht="15.75" thickBot="1" x14ac:dyDescent="0.3">
      <c r="B168" s="85"/>
      <c r="C168" s="2"/>
      <c r="D168" s="2"/>
      <c r="E168" s="86"/>
      <c r="F168" s="372" t="s">
        <v>480</v>
      </c>
      <c r="G168" s="373"/>
      <c r="H168" s="373"/>
      <c r="I168" s="373"/>
      <c r="J168" s="373"/>
      <c r="K168" s="374"/>
      <c r="L168" s="155" t="e">
        <f>+M232</f>
        <v>#REF!</v>
      </c>
      <c r="M168" s="153">
        <f>+Q159</f>
        <v>32097770</v>
      </c>
      <c r="N168" s="408" t="e">
        <f>+L168-M168</f>
        <v>#REF!</v>
      </c>
      <c r="O168" s="409"/>
      <c r="P168" s="179" t="e">
        <f>+L168/$R$159</f>
        <v>#REF!</v>
      </c>
      <c r="Q168" s="76"/>
      <c r="R168" s="82"/>
    </row>
    <row r="169" spans="2:18" s="4" customFormat="1" ht="15.75" thickBot="1" x14ac:dyDescent="0.3">
      <c r="B169" s="85"/>
      <c r="C169" s="2"/>
      <c r="D169" s="2"/>
      <c r="E169" s="86"/>
      <c r="F169" s="29"/>
      <c r="G169" s="29"/>
      <c r="H169" s="29"/>
      <c r="I169" s="29"/>
      <c r="J169" s="29"/>
      <c r="K169" s="29"/>
      <c r="L169" s="76"/>
      <c r="M169" s="76"/>
      <c r="N169" s="29"/>
      <c r="O169" s="29"/>
      <c r="P169" s="76"/>
      <c r="Q169" s="76"/>
      <c r="R169" s="82"/>
    </row>
    <row r="170" spans="2:18" s="4" customFormat="1" ht="15.75" thickBot="1" x14ac:dyDescent="0.3">
      <c r="B170" s="85"/>
      <c r="C170" s="101" t="s">
        <v>9</v>
      </c>
      <c r="D170" s="160"/>
      <c r="E170" s="161" t="s">
        <v>479</v>
      </c>
      <c r="F170" s="162"/>
      <c r="G170" s="163" t="s">
        <v>177</v>
      </c>
      <c r="H170" s="163" t="s">
        <v>248</v>
      </c>
      <c r="I170" s="163"/>
      <c r="J170" s="163" t="s">
        <v>261</v>
      </c>
      <c r="K170" s="163"/>
      <c r="L170" s="157" t="s">
        <v>249</v>
      </c>
      <c r="M170" s="156" t="s">
        <v>250</v>
      </c>
      <c r="N170" s="161" t="s">
        <v>241</v>
      </c>
      <c r="O170" s="373" t="s">
        <v>481</v>
      </c>
      <c r="P170" s="374"/>
      <c r="Q170" s="76"/>
      <c r="R170" s="82"/>
    </row>
    <row r="171" spans="2:18" s="4" customFormat="1" x14ac:dyDescent="0.25">
      <c r="B171" s="85"/>
      <c r="C171" s="2" t="s">
        <v>467</v>
      </c>
      <c r="D171" s="2"/>
      <c r="E171" s="140" t="s">
        <v>483</v>
      </c>
      <c r="F171" s="146"/>
      <c r="G171" s="80">
        <f>((SUMIFS($O$4:$O$151,$E$4:$E$151,'B. DATOS'!$B$42,$C$4:$C$151,C171))*'B. DATOS'!$C$17)+((SUMIFS($O$4:$O$151,$E$4:$E$151,'B. DATOS'!B41,$C$4:$C$151,C176))*'B. DATOS'!C16)</f>
        <v>0</v>
      </c>
      <c r="H171" s="29" t="s">
        <v>488</v>
      </c>
      <c r="I171" s="29"/>
      <c r="J171" s="29" t="s">
        <v>489</v>
      </c>
      <c r="K171" s="29"/>
      <c r="L171" s="76">
        <v>30000</v>
      </c>
      <c r="M171" s="141">
        <f t="shared" ref="M171:M197" si="20">+L171*G171</f>
        <v>0</v>
      </c>
      <c r="N171" s="165">
        <f t="shared" ref="N171:N176" si="21">+M171/$R$164</f>
        <v>0</v>
      </c>
      <c r="O171" s="351" t="s">
        <v>502</v>
      </c>
      <c r="P171" s="351"/>
      <c r="Q171" s="76"/>
      <c r="R171" s="82"/>
    </row>
    <row r="172" spans="2:18" s="4" customFormat="1" x14ac:dyDescent="0.25">
      <c r="B172" s="85"/>
      <c r="C172" s="2" t="s">
        <v>467</v>
      </c>
      <c r="D172" s="2"/>
      <c r="E172" s="140" t="s">
        <v>1130</v>
      </c>
      <c r="F172" s="146"/>
      <c r="G172" s="80">
        <f>(SUMIFS($O$4:$O$151,$E$4:$E$151,'B. DATOS'!$B$35,$C$4:$C$151,C172))*'B. DATOS'!$C$12</f>
        <v>0</v>
      </c>
      <c r="H172" s="29" t="s">
        <v>488</v>
      </c>
      <c r="I172" s="29"/>
      <c r="J172" s="29" t="s">
        <v>272</v>
      </c>
      <c r="K172" s="29"/>
      <c r="L172" s="76">
        <v>30000</v>
      </c>
      <c r="M172" s="141">
        <f>+L172*G172</f>
        <v>0</v>
      </c>
      <c r="N172" s="165">
        <f t="shared" si="21"/>
        <v>0</v>
      </c>
      <c r="O172" s="351" t="s">
        <v>502</v>
      </c>
      <c r="P172" s="351"/>
      <c r="Q172" s="76"/>
      <c r="R172" s="82"/>
    </row>
    <row r="173" spans="2:18" s="4" customFormat="1" x14ac:dyDescent="0.25">
      <c r="B173" s="85"/>
      <c r="C173" s="2" t="s">
        <v>467</v>
      </c>
      <c r="D173" s="2"/>
      <c r="E173" s="140" t="s">
        <v>484</v>
      </c>
      <c r="F173" s="146"/>
      <c r="G173" s="80">
        <f>(SUMIFS($O$4:$O$151,$E$4:$E$151,'B. DATOS'!$B$37,$C$4:$C$151,C173))*'B. DATOS'!$C$13</f>
        <v>0</v>
      </c>
      <c r="H173" s="29" t="s">
        <v>488</v>
      </c>
      <c r="I173" s="29"/>
      <c r="J173" s="29" t="s">
        <v>272</v>
      </c>
      <c r="K173" s="29"/>
      <c r="L173" s="76">
        <v>30000</v>
      </c>
      <c r="M173" s="141">
        <f t="shared" si="20"/>
        <v>0</v>
      </c>
      <c r="N173" s="165">
        <f t="shared" si="21"/>
        <v>0</v>
      </c>
      <c r="O173" s="351" t="s">
        <v>502</v>
      </c>
      <c r="P173" s="351"/>
      <c r="Q173" s="76"/>
      <c r="R173" s="82"/>
    </row>
    <row r="174" spans="2:18" s="4" customFormat="1" x14ac:dyDescent="0.25">
      <c r="B174" s="85"/>
      <c r="C174" s="2" t="s">
        <v>467</v>
      </c>
      <c r="D174" s="2"/>
      <c r="E174" s="140" t="s">
        <v>486</v>
      </c>
      <c r="F174" s="146"/>
      <c r="G174" s="80">
        <f>((SUMIFS($O$4:$O$151,$E$4:$E$151,'B. DATOS'!$B$37,$C$4:$C$151,C174))*'B. DATOS'!$D$13)+((SUMIFS($O$4:$O$151,$E$4:$E$151,'B. DATOS'!$B$45,$C$4:$C$151,C174))*'B. DATOS'!$D$19)+((SUMIFS($O$4:$O$151,$E$4:$E$151,'B. DATOS'!$B$35,$C$4:$C$151,C174))*'B. DATOS'!$D$11)</f>
        <v>0</v>
      </c>
      <c r="H174" s="29" t="s">
        <v>269</v>
      </c>
      <c r="I174" s="29"/>
      <c r="J174" s="29" t="s">
        <v>272</v>
      </c>
      <c r="K174" s="29"/>
      <c r="L174" s="76">
        <f>+'B. DATOS'!C24</f>
        <v>160000</v>
      </c>
      <c r="M174" s="141">
        <f t="shared" si="20"/>
        <v>0</v>
      </c>
      <c r="N174" s="165">
        <f t="shared" si="21"/>
        <v>0</v>
      </c>
      <c r="O174" s="351" t="s">
        <v>502</v>
      </c>
      <c r="P174" s="351"/>
      <c r="Q174" s="76"/>
      <c r="R174" s="82"/>
    </row>
    <row r="175" spans="2:18" s="4" customFormat="1" x14ac:dyDescent="0.25">
      <c r="B175" s="85"/>
      <c r="C175" s="2" t="s">
        <v>467</v>
      </c>
      <c r="D175" s="2"/>
      <c r="E175" s="140" t="s">
        <v>487</v>
      </c>
      <c r="F175" s="146"/>
      <c r="G175" s="80">
        <f>(SUMIFS($O$4:$O$151,$E$4:$E$151,'B. DATOS'!$B$42,$C$4:$C$151,C175))*'B. DATOS'!$E$17</f>
        <v>0</v>
      </c>
      <c r="H175" s="29" t="s">
        <v>269</v>
      </c>
      <c r="I175" s="29"/>
      <c r="J175" s="29" t="s">
        <v>489</v>
      </c>
      <c r="K175" s="29"/>
      <c r="L175" s="76">
        <f>+'B. DATOS'!C25</f>
        <v>140000</v>
      </c>
      <c r="M175" s="141">
        <f t="shared" si="20"/>
        <v>0</v>
      </c>
      <c r="N175" s="165">
        <f t="shared" si="21"/>
        <v>0</v>
      </c>
      <c r="O175" s="351" t="s">
        <v>502</v>
      </c>
      <c r="P175" s="351"/>
      <c r="Q175" s="76"/>
      <c r="R175" s="82"/>
    </row>
    <row r="176" spans="2:18" s="4" customFormat="1" x14ac:dyDescent="0.25">
      <c r="B176" s="85"/>
      <c r="C176" s="2" t="s">
        <v>467</v>
      </c>
      <c r="D176" s="2"/>
      <c r="E176" s="140" t="str">
        <f>+E6</f>
        <v xml:space="preserve">Pintura Koraza exterior blanco </v>
      </c>
      <c r="F176" s="146"/>
      <c r="G176" s="80">
        <f>(SUMIFS($O$4:$O$151,$E$4:$E$151,E176,$C$4:$C$151,C176))+((SUMIFS($O$4:$O$151,$E$4:$E$151,'B. DATOS'!B41,$C$4:$C$151,C176))*'B. DATOS'!F16)</f>
        <v>0</v>
      </c>
      <c r="H176" s="151" t="str">
        <f>+VLOOKUP(E176,$E$4:$L$151,4,FALSE)</f>
        <v>GL</v>
      </c>
      <c r="I176" s="29"/>
      <c r="J176" s="151" t="str">
        <f>+VLOOKUP(E176,$E$4:$L$151,6,FALSE)</f>
        <v>PINTURA</v>
      </c>
      <c r="K176" s="29"/>
      <c r="L176" s="76">
        <f>+'B. DATOS'!C26</f>
        <v>140000</v>
      </c>
      <c r="M176" s="141">
        <f>+L176*G176</f>
        <v>0</v>
      </c>
      <c r="N176" s="165">
        <f t="shared" si="21"/>
        <v>0</v>
      </c>
      <c r="O176" s="351" t="s">
        <v>502</v>
      </c>
      <c r="P176" s="351"/>
      <c r="Q176" s="76"/>
      <c r="R176" s="82"/>
    </row>
    <row r="177" spans="2:19" s="4" customFormat="1" x14ac:dyDescent="0.25">
      <c r="B177" s="85"/>
      <c r="C177" s="2" t="s">
        <v>467</v>
      </c>
      <c r="D177" s="2"/>
      <c r="E177" s="140" t="str">
        <f>+E7</f>
        <v>Pintura interior Tipo 3 pintuco</v>
      </c>
      <c r="F177" s="29"/>
      <c r="G177" s="80">
        <f>(SUMIFS($O$4:$O$151,$E$4:$E$151,E177,$C$4:$C$151,C177))</f>
        <v>0</v>
      </c>
      <c r="H177" s="151" t="str">
        <f>+VLOOKUP(E177,$E$4:$L$151,4,FALSE)</f>
        <v>GL</v>
      </c>
      <c r="I177" s="29" t="e">
        <f>+#REF!</f>
        <v>#REF!</v>
      </c>
      <c r="J177" s="151" t="str">
        <f>+VLOOKUP(E177,$E$4:$L$151,6,FALSE)</f>
        <v>PINTURA</v>
      </c>
      <c r="K177" s="29" t="e">
        <f>+#REF!</f>
        <v>#REF!</v>
      </c>
      <c r="L177" s="151">
        <f>+VLOOKUP(E177,$E$4:$L$151,8,FALSE)</f>
        <v>40000</v>
      </c>
      <c r="M177" s="141">
        <f t="shared" si="20"/>
        <v>0</v>
      </c>
      <c r="N177" s="165">
        <f t="shared" ref="N177:N197" si="22">+M177/$R$164</f>
        <v>0</v>
      </c>
      <c r="O177" s="351" t="s">
        <v>502</v>
      </c>
      <c r="P177" s="351"/>
      <c r="Q177" s="76"/>
      <c r="R177" s="82"/>
    </row>
    <row r="178" spans="2:19" s="4" customFormat="1" x14ac:dyDescent="0.25">
      <c r="B178" s="85"/>
      <c r="C178" s="2" t="s">
        <v>467</v>
      </c>
      <c r="D178" s="2"/>
      <c r="E178" s="140" t="str">
        <f>+E8</f>
        <v>Pintura interior Tipo 2 pintuco</v>
      </c>
      <c r="F178" s="29"/>
      <c r="G178" s="80">
        <f>(SUMIFS($O$4:$O$151,$E$4:$E$151,E178,$C$4:$C$151,C178))</f>
        <v>0</v>
      </c>
      <c r="H178" s="151" t="str">
        <f>+VLOOKUP(E178,$E$4:$L$151,4,FALSE)</f>
        <v>GL</v>
      </c>
      <c r="I178" s="29" t="e">
        <f>+#REF!</f>
        <v>#REF!</v>
      </c>
      <c r="J178" s="151" t="str">
        <f>+VLOOKUP(E178,$E$4:$L$151,6,FALSE)</f>
        <v>PINTURA</v>
      </c>
      <c r="K178" s="29" t="e">
        <f>+#REF!</f>
        <v>#REF!</v>
      </c>
      <c r="L178" s="151">
        <f>+VLOOKUP(E178,$E$4:$L$151,8,FALSE)</f>
        <v>70000</v>
      </c>
      <c r="M178" s="141">
        <f t="shared" si="20"/>
        <v>0</v>
      </c>
      <c r="N178" s="165">
        <f t="shared" si="22"/>
        <v>0</v>
      </c>
      <c r="O178" s="351" t="s">
        <v>502</v>
      </c>
      <c r="P178" s="351"/>
      <c r="Q178" s="76"/>
      <c r="R178" s="82"/>
    </row>
    <row r="179" spans="2:19" s="76" customFormat="1" x14ac:dyDescent="0.25">
      <c r="B179" s="85"/>
      <c r="C179" s="2" t="s">
        <v>467</v>
      </c>
      <c r="D179" s="2"/>
      <c r="E179" s="140" t="e">
        <f>+#REF!</f>
        <v>#REF!</v>
      </c>
      <c r="F179" s="29"/>
      <c r="G179" s="80">
        <f>(SUMIFS($O$4:$O$151,$E$4:$E$151,E179,$C$4:$C$151,C179))</f>
        <v>0</v>
      </c>
      <c r="H179" s="151" t="e">
        <f>+VLOOKUP(E179,$E$4:$L$151,4,FALSE)</f>
        <v>#REF!</v>
      </c>
      <c r="I179" s="29" t="e">
        <f>+#REF!</f>
        <v>#REF!</v>
      </c>
      <c r="J179" s="151" t="e">
        <f>+VLOOKUP(E179,$E$4:$L$151,6,FALSE)</f>
        <v>#REF!</v>
      </c>
      <c r="K179" s="29" t="e">
        <f>+#REF!</f>
        <v>#REF!</v>
      </c>
      <c r="L179" s="151" t="e">
        <f>+VLOOKUP(E179,$E$4:$L$151,8,FALSE)</f>
        <v>#REF!</v>
      </c>
      <c r="M179" s="141" t="e">
        <f t="shared" si="20"/>
        <v>#REF!</v>
      </c>
      <c r="N179" s="165" t="e">
        <f t="shared" si="22"/>
        <v>#REF!</v>
      </c>
      <c r="O179" s="351" t="s">
        <v>502</v>
      </c>
      <c r="P179" s="351"/>
      <c r="R179" s="82"/>
      <c r="S179" s="4"/>
    </row>
    <row r="180" spans="2:19" s="76" customFormat="1" x14ac:dyDescent="0.25">
      <c r="B180" s="85"/>
      <c r="C180" s="2" t="s">
        <v>467</v>
      </c>
      <c r="D180" s="2"/>
      <c r="E180" s="29" t="str">
        <f>+E16</f>
        <v>Enchape cerámico antideslizante</v>
      </c>
      <c r="F180" s="29"/>
      <c r="G180" s="80">
        <f>(SUMIFS($O$4:$O$151,$E$4:$E$151,E180,$C$4:$C$151,C180))</f>
        <v>0</v>
      </c>
      <c r="H180" s="151" t="str">
        <f>+VLOOKUP(E180,$E$4:$L$151,4,FALSE)</f>
        <v>M2</v>
      </c>
      <c r="I180" s="29" t="e">
        <f>+#REF!</f>
        <v>#REF!</v>
      </c>
      <c r="J180" s="151" t="str">
        <f>+VLOOKUP(E180,$E$4:$L$151,6,FALSE)</f>
        <v>ENCHAPE</v>
      </c>
      <c r="K180" s="29" t="e">
        <f>+#REF!</f>
        <v>#REF!</v>
      </c>
      <c r="L180" s="151">
        <f>+VLOOKUP(E180,$E$4:$L$151,8,FALSE)</f>
        <v>65000</v>
      </c>
      <c r="M180" s="141">
        <f t="shared" si="20"/>
        <v>0</v>
      </c>
      <c r="N180" s="165">
        <f t="shared" si="22"/>
        <v>0</v>
      </c>
      <c r="O180" s="351" t="s">
        <v>502</v>
      </c>
      <c r="P180" s="351"/>
      <c r="R180" s="82"/>
      <c r="S180" s="4"/>
    </row>
    <row r="181" spans="2:19" s="76" customFormat="1" x14ac:dyDescent="0.25">
      <c r="B181" s="85"/>
      <c r="C181" s="2" t="s">
        <v>467</v>
      </c>
      <c r="D181" s="2"/>
      <c r="E181" s="29" t="str">
        <f>+E17</f>
        <v>Boquilla concolor 2kg (rend 0,8m2)</v>
      </c>
      <c r="F181" s="29"/>
      <c r="G181" s="80">
        <f>(SUMIFS($O$4:$O$151,$E$4:$E$151,E181,$C$4:$C$151,C181))</f>
        <v>0</v>
      </c>
      <c r="H181" s="151" t="str">
        <f>+VLOOKUP(E181,$E$4:$L$151,4,FALSE)</f>
        <v>UND</v>
      </c>
      <c r="I181" s="29" t="e">
        <f>+#REF!</f>
        <v>#REF!</v>
      </c>
      <c r="J181" s="151" t="str">
        <f>+VLOOKUP(E181,$E$4:$L$151,6,FALSE)</f>
        <v>ENCHAPE</v>
      </c>
      <c r="K181" s="29" t="e">
        <f>+#REF!</f>
        <v>#REF!</v>
      </c>
      <c r="L181" s="151">
        <f>+VLOOKUP(E181,$E$4:$L$151,8,FALSE)</f>
        <v>16000</v>
      </c>
      <c r="M181" s="141">
        <f t="shared" si="20"/>
        <v>0</v>
      </c>
      <c r="N181" s="165">
        <f t="shared" si="22"/>
        <v>0</v>
      </c>
      <c r="O181" s="351" t="s">
        <v>502</v>
      </c>
      <c r="P181" s="351"/>
      <c r="R181" s="82"/>
      <c r="S181" s="4"/>
    </row>
    <row r="182" spans="2:19" s="76" customFormat="1" x14ac:dyDescent="0.25">
      <c r="B182" s="85"/>
      <c r="C182" s="2" t="s">
        <v>467</v>
      </c>
      <c r="D182" s="2"/>
      <c r="E182" s="29" t="str">
        <f>+E18</f>
        <v>Pegante cerámico PEGACOR</v>
      </c>
      <c r="F182" s="29"/>
      <c r="G182" s="80">
        <f>(SUMIFS($O$4:$O$151,$E$4:$E$151,E182,$C$4:$C$151,C182))</f>
        <v>0</v>
      </c>
      <c r="H182" s="151" t="str">
        <f>+VLOOKUP(E182,$E$4:$L$151,4,FALSE)</f>
        <v>GL</v>
      </c>
      <c r="I182" s="29" t="e">
        <f>+#REF!</f>
        <v>#REF!</v>
      </c>
      <c r="J182" s="151" t="str">
        <f>+VLOOKUP(E182,$E$4:$L$151,6,FALSE)</f>
        <v>ENCHAPE</v>
      </c>
      <c r="K182" s="29" t="e">
        <f>+#REF!</f>
        <v>#REF!</v>
      </c>
      <c r="L182" s="151">
        <f>+VLOOKUP(E182,$E$4:$L$151,8,FALSE)</f>
        <v>7000</v>
      </c>
      <c r="M182" s="141">
        <f t="shared" si="20"/>
        <v>0</v>
      </c>
      <c r="N182" s="165">
        <f t="shared" si="22"/>
        <v>0</v>
      </c>
      <c r="O182" s="351" t="s">
        <v>502</v>
      </c>
      <c r="P182" s="351"/>
      <c r="R182" s="82"/>
      <c r="S182" s="4"/>
    </row>
    <row r="183" spans="2:19" s="76" customFormat="1" x14ac:dyDescent="0.25">
      <c r="B183" s="85"/>
      <c r="C183" s="2" t="s">
        <v>467</v>
      </c>
      <c r="D183" s="2"/>
      <c r="E183" s="29" t="str">
        <f>+E56</f>
        <v>Cemento blanco 40kg</v>
      </c>
      <c r="F183" s="29"/>
      <c r="G183" s="80">
        <f>(SUMIFS($O$4:$O$151,$E$4:$E$151,E183,$C$4:$C$151,C183))</f>
        <v>0</v>
      </c>
      <c r="H183" s="151" t="str">
        <f>+VLOOKUP(E183,$E$4:$L$151,4,FALSE)</f>
        <v>BTO</v>
      </c>
      <c r="I183" s="29" t="e">
        <f>+#REF!</f>
        <v>#REF!</v>
      </c>
      <c r="J183" s="151" t="str">
        <f>+VLOOKUP(E183,$E$4:$L$151,6,FALSE)</f>
        <v>PETREOS</v>
      </c>
      <c r="K183" s="29" t="e">
        <f>+#REF!</f>
        <v>#REF!</v>
      </c>
      <c r="L183" s="151">
        <f>+VLOOKUP(E183,$E$4:$L$151,8,FALSE)</f>
        <v>75000</v>
      </c>
      <c r="M183" s="141">
        <f t="shared" si="20"/>
        <v>0</v>
      </c>
      <c r="N183" s="165">
        <f t="shared" si="22"/>
        <v>0</v>
      </c>
      <c r="O183" s="351" t="s">
        <v>502</v>
      </c>
      <c r="P183" s="351"/>
      <c r="R183" s="82"/>
      <c r="S183" s="4"/>
    </row>
    <row r="184" spans="2:19" s="76" customFormat="1" x14ac:dyDescent="0.25">
      <c r="B184" s="85"/>
      <c r="C184" s="2" t="s">
        <v>467</v>
      </c>
      <c r="D184" s="2"/>
      <c r="E184" s="29" t="str">
        <f>+E57</f>
        <v>Acronal</v>
      </c>
      <c r="F184" s="29"/>
      <c r="G184" s="80">
        <f>(SUMIFS($O$4:$O$151,$E$4:$E$151,E184,$C$4:$C$151,C184))</f>
        <v>0</v>
      </c>
      <c r="H184" s="151" t="str">
        <f>+VLOOKUP(E184,$E$4:$L$151,4,FALSE)</f>
        <v>GL</v>
      </c>
      <c r="I184" s="29">
        <f>+I6</f>
        <v>0</v>
      </c>
      <c r="J184" s="151" t="str">
        <f>+VLOOKUP(E184,$E$4:$L$151,6,FALSE)</f>
        <v>ADITIVOS</v>
      </c>
      <c r="K184" s="29">
        <f>+K6</f>
        <v>0</v>
      </c>
      <c r="L184" s="151">
        <f>+VLOOKUP(E184,$E$4:$L$151,8,FALSE)</f>
        <v>53000</v>
      </c>
      <c r="M184" s="141">
        <f t="shared" si="20"/>
        <v>0</v>
      </c>
      <c r="N184" s="165">
        <f t="shared" si="22"/>
        <v>0</v>
      </c>
      <c r="O184" s="351" t="s">
        <v>502</v>
      </c>
      <c r="P184" s="351"/>
      <c r="R184" s="82"/>
      <c r="S184" s="4"/>
    </row>
    <row r="185" spans="2:19" s="76" customFormat="1" x14ac:dyDescent="0.25">
      <c r="B185" s="85"/>
      <c r="C185" s="2" t="s">
        <v>467</v>
      </c>
      <c r="D185" s="2"/>
      <c r="E185" s="29" t="str">
        <f>+E65</f>
        <v>Piso estiba reciclada</v>
      </c>
      <c r="F185" s="29"/>
      <c r="G185" s="80">
        <f>(SUMIFS($O$4:$O$151,$E$4:$E$151,E185,$C$4:$C$151,C185))</f>
        <v>0</v>
      </c>
      <c r="H185" s="151" t="str">
        <f>+VLOOKUP(E185,$E$4:$L$151,4,FALSE)</f>
        <v>M2</v>
      </c>
      <c r="I185" s="29" t="e">
        <f>+#REF!</f>
        <v>#REF!</v>
      </c>
      <c r="J185" s="151" t="str">
        <f>+VLOOKUP(E185,$E$4:$L$151,6,FALSE)</f>
        <v>MADERA</v>
      </c>
      <c r="K185" s="29" t="e">
        <f>+#REF!</f>
        <v>#REF!</v>
      </c>
      <c r="L185" s="151">
        <f>+VLOOKUP(E185,$E$4:$L$151,8,FALSE)</f>
        <v>45000</v>
      </c>
      <c r="M185" s="141">
        <f t="shared" si="20"/>
        <v>0</v>
      </c>
      <c r="N185" s="165">
        <f t="shared" si="22"/>
        <v>0</v>
      </c>
      <c r="O185" s="351" t="s">
        <v>502</v>
      </c>
      <c r="P185" s="351"/>
      <c r="R185" s="82"/>
      <c r="S185" s="4"/>
    </row>
    <row r="186" spans="2:19" s="76" customFormat="1" x14ac:dyDescent="0.25">
      <c r="B186" s="85"/>
      <c r="C186" s="2" t="s">
        <v>467</v>
      </c>
      <c r="D186" s="2"/>
      <c r="E186" s="29" t="str">
        <f>+E66</f>
        <v>Alistado de piso en amarillo</v>
      </c>
      <c r="F186" s="29"/>
      <c r="G186" s="80">
        <f>(SUMIFS($O$4:$O$151,$E$4:$E$151,E186,$C$4:$C$151,C186))</f>
        <v>0</v>
      </c>
      <c r="H186" s="151" t="str">
        <f>+VLOOKUP(E186,$E$4:$L$151,4,FALSE)</f>
        <v>ML</v>
      </c>
      <c r="I186" s="29" t="e">
        <f>+#REF!</f>
        <v>#REF!</v>
      </c>
      <c r="J186" s="151" t="str">
        <f>+VLOOKUP(E186,$E$4:$L$151,6,FALSE)</f>
        <v>MADERA</v>
      </c>
      <c r="K186" s="29" t="e">
        <f>+#REF!</f>
        <v>#REF!</v>
      </c>
      <c r="L186" s="151">
        <f>+VLOOKUP(E186,$E$4:$L$151,8,FALSE)</f>
        <v>7000</v>
      </c>
      <c r="M186" s="141">
        <f>+L186*G186</f>
        <v>0</v>
      </c>
      <c r="N186" s="165">
        <f>+M186/$R$164</f>
        <v>0</v>
      </c>
      <c r="O186" s="351" t="s">
        <v>502</v>
      </c>
      <c r="P186" s="351"/>
      <c r="R186" s="82"/>
      <c r="S186" s="4"/>
    </row>
    <row r="187" spans="2:19" s="76" customFormat="1" x14ac:dyDescent="0.25">
      <c r="B187" s="85"/>
      <c r="C187" s="2" t="s">
        <v>467</v>
      </c>
      <c r="D187" s="2"/>
      <c r="E187" s="29" t="str">
        <f>+E67</f>
        <v>Tornillo drywall #8 2"</v>
      </c>
      <c r="F187" s="29"/>
      <c r="G187" s="80">
        <f>(SUMIFS($O$4:$O$151,$E$4:$E$151,E187,$C$4:$C$151,C187))</f>
        <v>0</v>
      </c>
      <c r="H187" s="151" t="str">
        <f>+VLOOKUP(E187,$E$4:$L$151,4,FALSE)</f>
        <v>UND</v>
      </c>
      <c r="I187" s="29">
        <f>+I16</f>
        <v>0</v>
      </c>
      <c r="J187" s="151" t="str">
        <f>+VLOOKUP(E187,$E$4:$L$151,6,FALSE)</f>
        <v>ACERO</v>
      </c>
      <c r="K187" s="29">
        <f>+K16</f>
        <v>0</v>
      </c>
      <c r="L187" s="151">
        <f>+VLOOKUP(E187,$E$4:$L$151,8,FALSE)</f>
        <v>98</v>
      </c>
      <c r="M187" s="141">
        <f t="shared" si="20"/>
        <v>0</v>
      </c>
      <c r="N187" s="165">
        <f t="shared" si="22"/>
        <v>0</v>
      </c>
      <c r="O187" s="351" t="s">
        <v>502</v>
      </c>
      <c r="P187" s="351"/>
      <c r="R187" s="82"/>
      <c r="S187" s="4"/>
    </row>
    <row r="188" spans="2:19" s="76" customFormat="1" x14ac:dyDescent="0.25">
      <c r="B188" s="85"/>
      <c r="C188" s="2" t="s">
        <v>467</v>
      </c>
      <c r="D188" s="2"/>
      <c r="E188" s="29" t="str">
        <f>+E76</f>
        <v>Ventanería en guadua</v>
      </c>
      <c r="F188" s="29"/>
      <c r="G188" s="80">
        <f>(SUMIFS($O$4:$O$151,$E$4:$E$151,E188,$C$4:$C$151,C188))</f>
        <v>0</v>
      </c>
      <c r="H188" s="151" t="str">
        <f>+VLOOKUP(E188,$E$4:$L$151,4,FALSE)</f>
        <v>M2</v>
      </c>
      <c r="I188" s="29">
        <f>+I17</f>
        <v>0</v>
      </c>
      <c r="J188" s="151" t="str">
        <f>+VLOOKUP(E188,$E$4:$L$151,6,FALSE)</f>
        <v>GUADUA</v>
      </c>
      <c r="K188" s="29">
        <f>+K17</f>
        <v>0</v>
      </c>
      <c r="L188" s="151">
        <f>+VLOOKUP(E188,$E$4:$L$151,8,FALSE)</f>
        <v>150000</v>
      </c>
      <c r="M188" s="141">
        <f t="shared" si="20"/>
        <v>0</v>
      </c>
      <c r="N188" s="165">
        <f t="shared" si="22"/>
        <v>0</v>
      </c>
      <c r="O188" s="351" t="s">
        <v>1430</v>
      </c>
      <c r="P188" s="351"/>
      <c r="R188" s="82"/>
      <c r="S188" s="4"/>
    </row>
    <row r="189" spans="2:19" s="76" customFormat="1" x14ac:dyDescent="0.25">
      <c r="B189" s="85"/>
      <c r="C189" s="2" t="s">
        <v>467</v>
      </c>
      <c r="D189" s="2"/>
      <c r="E189" s="29" t="str">
        <f>+E82</f>
        <v>Guadua 8cm limpia e inmunizada</v>
      </c>
      <c r="F189" s="29"/>
      <c r="G189" s="80">
        <f>(SUMIFS($O$4:$O$151,$E$4:$E$151,E189,$C$4:$C$151,C189))</f>
        <v>0</v>
      </c>
      <c r="H189" s="151" t="str">
        <f>+VLOOKUP(E189,$E$4:$L$151,4,FALSE)</f>
        <v>ML</v>
      </c>
      <c r="I189" s="29">
        <f>+I18</f>
        <v>0</v>
      </c>
      <c r="J189" s="151" t="str">
        <f>+VLOOKUP(E189,$E$4:$L$151,6,FALSE)</f>
        <v>GUADUA</v>
      </c>
      <c r="K189" s="29">
        <f>+K18</f>
        <v>0</v>
      </c>
      <c r="L189" s="151">
        <f>+VLOOKUP(E189,$E$4:$L$151,8,FALSE)</f>
        <v>4500</v>
      </c>
      <c r="M189" s="141">
        <f t="shared" si="20"/>
        <v>0</v>
      </c>
      <c r="N189" s="165">
        <f t="shared" si="22"/>
        <v>0</v>
      </c>
      <c r="O189" s="351" t="s">
        <v>617</v>
      </c>
      <c r="P189" s="351"/>
      <c r="R189" s="82"/>
      <c r="S189" s="4"/>
    </row>
    <row r="190" spans="2:19" s="76" customFormat="1" x14ac:dyDescent="0.25">
      <c r="B190" s="85"/>
      <c r="C190" s="2" t="s">
        <v>467</v>
      </c>
      <c r="D190" s="2"/>
      <c r="E190" s="29" t="str">
        <f>+E91</f>
        <v>Varilla 3/8"</v>
      </c>
      <c r="F190" s="29"/>
      <c r="G190" s="80">
        <f>(SUMIFS($O$4:$O$151,$E$4:$E$151,E190,$C$4:$C$151,C190))</f>
        <v>0</v>
      </c>
      <c r="H190" s="151" t="str">
        <f>+VLOOKUP(E190,$E$4:$L$151,4,FALSE)</f>
        <v>KG</v>
      </c>
      <c r="I190" s="29" t="e">
        <f>+#REF!</f>
        <v>#REF!</v>
      </c>
      <c r="J190" s="151" t="str">
        <f>+VLOOKUP(E190,$E$4:$L$151,6,FALSE)</f>
        <v>ACERO</v>
      </c>
      <c r="K190" s="29" t="e">
        <f>+#REF!</f>
        <v>#REF!</v>
      </c>
      <c r="L190" s="151">
        <f>+VLOOKUP(E190,$E$4:$L$151,8,FALSE)</f>
        <v>4000</v>
      </c>
      <c r="M190" s="141">
        <f t="shared" si="20"/>
        <v>0</v>
      </c>
      <c r="N190" s="165">
        <f t="shared" si="22"/>
        <v>0</v>
      </c>
      <c r="O190" s="351" t="s">
        <v>502</v>
      </c>
      <c r="P190" s="351"/>
      <c r="R190" s="82"/>
      <c r="S190" s="4"/>
    </row>
    <row r="191" spans="2:19" s="76" customFormat="1" x14ac:dyDescent="0.25">
      <c r="B191" s="85"/>
      <c r="C191" s="2" t="s">
        <v>467</v>
      </c>
      <c r="D191" s="2"/>
      <c r="E191" s="29" t="str">
        <f>+E124</f>
        <v>Espejo claro 4mm</v>
      </c>
      <c r="F191" s="29"/>
      <c r="G191" s="80">
        <f>(SUMIFS($O$4:$O$151,$E$4:$E$151,E191,$C$4:$C$151,C191))</f>
        <v>0</v>
      </c>
      <c r="H191" s="151" t="str">
        <f>+VLOOKUP(E191,$E$4:$L$151,4,FALSE)</f>
        <v>M2</v>
      </c>
      <c r="I191" s="29" t="e">
        <f>+#REF!</f>
        <v>#REF!</v>
      </c>
      <c r="J191" s="151" t="str">
        <f>+VLOOKUP(E191,$E$4:$L$151,6,FALSE)</f>
        <v>VIDRIO</v>
      </c>
      <c r="K191" s="29" t="e">
        <f>+#REF!</f>
        <v>#REF!</v>
      </c>
      <c r="L191" s="151">
        <f>+VLOOKUP(E191,$E$4:$L$151,8,FALSE)</f>
        <v>90000</v>
      </c>
      <c r="M191" s="141">
        <f>+L191*G191</f>
        <v>0</v>
      </c>
      <c r="N191" s="165">
        <f>+M191/$R$164</f>
        <v>0</v>
      </c>
      <c r="O191" s="351" t="s">
        <v>1434</v>
      </c>
      <c r="P191" s="351"/>
      <c r="R191" s="82"/>
      <c r="S191" s="4"/>
    </row>
    <row r="192" spans="2:19" s="76" customFormat="1" x14ac:dyDescent="0.25">
      <c r="B192" s="85"/>
      <c r="C192" s="2" t="s">
        <v>467</v>
      </c>
      <c r="D192" s="2"/>
      <c r="E192" s="29" t="str">
        <f>+E125</f>
        <v>División vidrio templado 5mm</v>
      </c>
      <c r="F192" s="29"/>
      <c r="G192" s="80">
        <f>(SUMIFS($O$4:$O$151,$E$4:$E$151,E192,$C$4:$C$151,C192))</f>
        <v>0</v>
      </c>
      <c r="H192" s="151" t="str">
        <f>+VLOOKUP(E192,$E$4:$L$151,4,FALSE)</f>
        <v>M2</v>
      </c>
      <c r="I192" s="29" t="e">
        <f>+#REF!</f>
        <v>#REF!</v>
      </c>
      <c r="J192" s="151" t="str">
        <f>+VLOOKUP(E192,$E$4:$L$151,6,FALSE)</f>
        <v>VIDRIO</v>
      </c>
      <c r="K192" s="29" t="e">
        <f>+#REF!</f>
        <v>#REF!</v>
      </c>
      <c r="L192" s="151">
        <f>+VLOOKUP(E192,$E$4:$L$151,8,FALSE)</f>
        <v>220000</v>
      </c>
      <c r="M192" s="141">
        <f>+L192*G192</f>
        <v>0</v>
      </c>
      <c r="N192" s="165">
        <f>+M192/$R$164</f>
        <v>0</v>
      </c>
      <c r="O192" s="351" t="s">
        <v>502</v>
      </c>
      <c r="P192" s="351"/>
      <c r="R192" s="82"/>
      <c r="S192" s="4"/>
    </row>
    <row r="193" spans="2:19" s="76" customFormat="1" x14ac:dyDescent="0.25">
      <c r="B193" s="85"/>
      <c r="C193" s="2" t="s">
        <v>467</v>
      </c>
      <c r="D193" s="2"/>
      <c r="E193" s="29" t="str">
        <f>+E126</f>
        <v>Mesón cocina</v>
      </c>
      <c r="F193" s="29"/>
      <c r="G193" s="80">
        <f>(SUMIFS($O$4:$O$151,$E$4:$E$151,E193,$C$4:$C$151,C193))</f>
        <v>0</v>
      </c>
      <c r="H193" s="151" t="str">
        <f>+VLOOKUP(E193,$E$4:$L$151,4,FALSE)</f>
        <v>M2</v>
      </c>
      <c r="I193" s="29" t="e">
        <f>+#REF!</f>
        <v>#REF!</v>
      </c>
      <c r="J193" s="151" t="str">
        <f>+VLOOKUP(E193,$E$4:$L$151,6,FALSE)</f>
        <v>MOBILIARIO</v>
      </c>
      <c r="K193" s="29" t="e">
        <f>+#REF!</f>
        <v>#REF!</v>
      </c>
      <c r="L193" s="151">
        <f>+VLOOKUP(E193,$E$4:$L$151,8,FALSE)</f>
        <v>550000</v>
      </c>
      <c r="M193" s="141">
        <f>+L193*G193</f>
        <v>0</v>
      </c>
      <c r="N193" s="165">
        <f>+M193/$R$164</f>
        <v>0</v>
      </c>
      <c r="O193" s="351" t="s">
        <v>502</v>
      </c>
      <c r="P193" s="351"/>
      <c r="R193" s="82"/>
      <c r="S193" s="4"/>
    </row>
    <row r="194" spans="2:19" s="76" customFormat="1" x14ac:dyDescent="0.25">
      <c r="B194" s="85"/>
      <c r="C194" s="2" t="s">
        <v>467</v>
      </c>
      <c r="D194" s="2"/>
      <c r="E194" s="29" t="str">
        <f>+E128</f>
        <v>Puerta ventana en guadua</v>
      </c>
      <c r="F194" s="29"/>
      <c r="G194" s="80">
        <f>(SUMIFS($O$4:$O$151,$E$4:$E$151,E194,$C$4:$C$151,C194))</f>
        <v>0</v>
      </c>
      <c r="H194" s="151" t="str">
        <f>+VLOOKUP(E194,$E$4:$L$151,4,FALSE)</f>
        <v>M2</v>
      </c>
      <c r="I194" s="29" t="e">
        <f>+#REF!</f>
        <v>#REF!</v>
      </c>
      <c r="J194" s="151" t="str">
        <f>+VLOOKUP(E194,$E$4:$L$151,6,FALSE)</f>
        <v>GUADUA</v>
      </c>
      <c r="K194" s="29" t="e">
        <f>+#REF!</f>
        <v>#REF!</v>
      </c>
      <c r="L194" s="151">
        <f>+VLOOKUP(E194,$E$4:$L$151,8,FALSE)</f>
        <v>250000</v>
      </c>
      <c r="M194" s="141">
        <f t="shared" si="20"/>
        <v>0</v>
      </c>
      <c r="N194" s="165">
        <f t="shared" si="22"/>
        <v>0</v>
      </c>
      <c r="O194" s="351" t="s">
        <v>1435</v>
      </c>
      <c r="P194" s="351"/>
      <c r="R194" s="82"/>
      <c r="S194" s="4"/>
    </row>
    <row r="195" spans="2:19" s="76" customFormat="1" x14ac:dyDescent="0.25">
      <c r="B195" s="85"/>
      <c r="C195" s="2" t="s">
        <v>467</v>
      </c>
      <c r="D195" s="2"/>
      <c r="E195" s="29" t="str">
        <f>+E129</f>
        <v xml:space="preserve">Sanitario ahorrador regular </v>
      </c>
      <c r="F195" s="29"/>
      <c r="G195" s="80">
        <f>(SUMIFS($O$4:$O$151,$E$4:$E$151,E195,$C$4:$C$151,C195))</f>
        <v>0</v>
      </c>
      <c r="H195" s="151" t="str">
        <f>+VLOOKUP(E195,$E$4:$L$151,4,FALSE)</f>
        <v>UND</v>
      </c>
      <c r="I195" s="29" t="e">
        <f>+#REF!</f>
        <v>#REF!</v>
      </c>
      <c r="J195" s="151" t="str">
        <f>+VLOOKUP(E195,$E$4:$L$151,6,FALSE)</f>
        <v>MOBILIARIO</v>
      </c>
      <c r="K195" s="29" t="e">
        <f>+#REF!</f>
        <v>#REF!</v>
      </c>
      <c r="L195" s="151">
        <f>+VLOOKUP(E195,$E$4:$L$151,8,FALSE)</f>
        <v>650000</v>
      </c>
      <c r="M195" s="141">
        <f t="shared" si="20"/>
        <v>0</v>
      </c>
      <c r="N195" s="165">
        <f t="shared" si="22"/>
        <v>0</v>
      </c>
      <c r="O195" s="351" t="s">
        <v>1435</v>
      </c>
      <c r="P195" s="351"/>
      <c r="R195" s="82"/>
      <c r="S195" s="4"/>
    </row>
    <row r="196" spans="2:19" s="76" customFormat="1" x14ac:dyDescent="0.25">
      <c r="B196" s="85"/>
      <c r="C196" s="2" t="s">
        <v>467</v>
      </c>
      <c r="D196" s="2"/>
      <c r="E196" s="29" t="str">
        <f>+E130</f>
        <v>Grifo lavamanos sencillo</v>
      </c>
      <c r="F196" s="29"/>
      <c r="G196" s="80">
        <f>(SUMIFS($O$4:$O$151,$E$4:$E$151,E196,$C$4:$C$151,C196))</f>
        <v>0</v>
      </c>
      <c r="H196" s="151" t="str">
        <f>+VLOOKUP(E196,$E$4:$L$151,4,FALSE)</f>
        <v>UND</v>
      </c>
      <c r="I196" s="29" t="e">
        <f>+#REF!</f>
        <v>#REF!</v>
      </c>
      <c r="J196" s="151" t="str">
        <f>+VLOOKUP(E196,$E$4:$L$151,6,FALSE)</f>
        <v>MOBILIARIO</v>
      </c>
      <c r="K196" s="29" t="e">
        <f>+#REF!</f>
        <v>#REF!</v>
      </c>
      <c r="L196" s="151">
        <f>+VLOOKUP(E196,$E$4:$L$151,8,FALSE)</f>
        <v>70000</v>
      </c>
      <c r="M196" s="141">
        <f>+L196*G196</f>
        <v>0</v>
      </c>
      <c r="N196" s="165">
        <f>+M196/$R$164</f>
        <v>0</v>
      </c>
      <c r="O196" s="351" t="s">
        <v>1435</v>
      </c>
      <c r="P196" s="351"/>
      <c r="R196" s="82"/>
      <c r="S196" s="4"/>
    </row>
    <row r="197" spans="2:19" s="76" customFormat="1" x14ac:dyDescent="0.25">
      <c r="B197" s="85"/>
      <c r="C197" s="2" t="s">
        <v>467</v>
      </c>
      <c r="D197" s="2"/>
      <c r="E197" s="29" t="str">
        <f>+E131</f>
        <v>Lavamanos</v>
      </c>
      <c r="F197" s="29"/>
      <c r="G197" s="80">
        <f>(SUMIFS($O$4:$O$151,$E$4:$E$151,E197,$C$4:$C$151,C197))</f>
        <v>0</v>
      </c>
      <c r="H197" s="151" t="str">
        <f>+VLOOKUP(E197,$E$4:$L$151,4,FALSE)</f>
        <v>UND</v>
      </c>
      <c r="I197" s="29" t="e">
        <f>+#REF!</f>
        <v>#REF!</v>
      </c>
      <c r="J197" s="151" t="str">
        <f>+VLOOKUP(E197,$E$4:$L$151,6,FALSE)</f>
        <v>MOBILIARIO</v>
      </c>
      <c r="K197" s="29" t="e">
        <f>+#REF!</f>
        <v>#REF!</v>
      </c>
      <c r="L197" s="151">
        <f>+VLOOKUP(E197,$E$4:$L$151,8,FALSE)</f>
        <v>250000</v>
      </c>
      <c r="M197" s="141">
        <f t="shared" si="20"/>
        <v>0</v>
      </c>
      <c r="N197" s="165">
        <f t="shared" si="22"/>
        <v>0</v>
      </c>
      <c r="O197" s="351" t="s">
        <v>1435</v>
      </c>
      <c r="P197" s="351"/>
      <c r="R197" s="82"/>
      <c r="S197" s="4"/>
    </row>
    <row r="198" spans="2:19" s="76" customFormat="1" x14ac:dyDescent="0.25">
      <c r="B198" s="85"/>
      <c r="C198" s="2" t="s">
        <v>467</v>
      </c>
      <c r="D198" s="2"/>
      <c r="E198" s="29" t="str">
        <f>+E132</f>
        <v>Regadera Teleducha</v>
      </c>
      <c r="F198" s="29"/>
      <c r="G198" s="80">
        <f>(SUMIFS($O$4:$O$151,$E$4:$E$151,E198,$C$4:$C$151,C198))</f>
        <v>0</v>
      </c>
      <c r="H198" s="151" t="str">
        <f>+VLOOKUP(E198,$E$4:$L$151,4,FALSE)</f>
        <v>UND</v>
      </c>
      <c r="I198" s="29" t="e">
        <f>+#REF!</f>
        <v>#REF!</v>
      </c>
      <c r="J198" s="151" t="str">
        <f>+VLOOKUP(E198,$E$4:$L$151,6,FALSE)</f>
        <v>MOBILIARIO</v>
      </c>
      <c r="K198" s="29" t="e">
        <f>+#REF!</f>
        <v>#REF!</v>
      </c>
      <c r="L198" s="151">
        <f>+VLOOKUP(E198,$E$4:$L$151,8,FALSE)</f>
        <v>250000</v>
      </c>
      <c r="M198" s="141">
        <f>+L198*G198</f>
        <v>0</v>
      </c>
      <c r="N198" s="165">
        <f>+M198/$R$164</f>
        <v>0</v>
      </c>
      <c r="O198" s="351" t="s">
        <v>1435</v>
      </c>
      <c r="P198" s="351"/>
      <c r="R198" s="82"/>
      <c r="S198" s="4"/>
    </row>
    <row r="199" spans="2:19" s="76" customFormat="1" x14ac:dyDescent="0.25">
      <c r="B199" s="85"/>
      <c r="C199" s="2" t="s">
        <v>467</v>
      </c>
      <c r="D199" s="2"/>
      <c r="E199" s="29" t="str">
        <f>+E133</f>
        <v>Pomo regular</v>
      </c>
      <c r="F199" s="29"/>
      <c r="G199" s="80">
        <f>(SUMIFS($O$4:$O$151,$E$4:$E$151,E199,$C$4:$C$151,C199))</f>
        <v>0</v>
      </c>
      <c r="H199" s="151" t="str">
        <f>+VLOOKUP(E199,$E$4:$L$151,4,FALSE)</f>
        <v>UND</v>
      </c>
      <c r="I199" s="29" t="e">
        <f>+#REF!</f>
        <v>#REF!</v>
      </c>
      <c r="J199" s="151" t="str">
        <f>+VLOOKUP(E199,$E$4:$L$151,6,FALSE)</f>
        <v>MOBILIARIO</v>
      </c>
      <c r="K199" s="29" t="e">
        <f>+#REF!</f>
        <v>#REF!</v>
      </c>
      <c r="L199" s="151">
        <f>+VLOOKUP(E199,$E$4:$L$151,8,FALSE)</f>
        <v>150000</v>
      </c>
      <c r="M199" s="141">
        <f>+L199*G199</f>
        <v>0</v>
      </c>
      <c r="N199" s="165">
        <f>+M199/$R$164</f>
        <v>0</v>
      </c>
      <c r="O199" s="351" t="s">
        <v>1435</v>
      </c>
      <c r="P199" s="351"/>
      <c r="R199" s="82"/>
      <c r="S199" s="4"/>
    </row>
    <row r="200" spans="2:19" s="76" customFormat="1" x14ac:dyDescent="0.25">
      <c r="B200" s="85"/>
      <c r="C200" s="2" t="s">
        <v>467</v>
      </c>
      <c r="D200" s="2"/>
      <c r="E200" s="29" t="str">
        <f>+E149</f>
        <v>Profilán</v>
      </c>
      <c r="F200" s="29"/>
      <c r="G200" s="80">
        <f>(SUMIFS($O$4:$O$151,$E$4:$E$151,E200,$C$4:$C$151,C200))</f>
        <v>0</v>
      </c>
      <c r="H200" s="151" t="str">
        <f>+VLOOKUP(E200,$E$4:$L$151,4,FALSE)</f>
        <v>GL</v>
      </c>
      <c r="I200" s="29" t="e">
        <f>+#REF!</f>
        <v>#REF!</v>
      </c>
      <c r="J200" s="151" t="str">
        <f>+VLOOKUP(E200,$E$4:$L$151,6,FALSE)</f>
        <v>AISLANTES</v>
      </c>
      <c r="K200" s="29" t="e">
        <f>+#REF!</f>
        <v>#REF!</v>
      </c>
      <c r="L200" s="151">
        <f>+VLOOKUP(E200,$E$4:$L$151,8,FALSE)</f>
        <v>350000</v>
      </c>
      <c r="M200" s="141">
        <f>+L200*G200</f>
        <v>0</v>
      </c>
      <c r="N200" s="165">
        <f>+M200/$R$164</f>
        <v>0</v>
      </c>
      <c r="O200" s="351" t="s">
        <v>1435</v>
      </c>
      <c r="P200" s="351"/>
      <c r="R200" s="82"/>
      <c r="S200" s="4"/>
    </row>
    <row r="201" spans="2:19" s="76" customFormat="1" ht="15.75" thickBot="1" x14ac:dyDescent="0.3">
      <c r="B201" s="85"/>
      <c r="C201" s="2"/>
      <c r="D201" s="2"/>
      <c r="E201" s="140"/>
      <c r="F201" s="29"/>
      <c r="G201" s="29"/>
      <c r="H201" s="29"/>
      <c r="I201" s="29"/>
      <c r="J201" s="29"/>
      <c r="K201" s="29"/>
      <c r="L201" s="151"/>
      <c r="N201" s="149"/>
      <c r="O201" s="29"/>
      <c r="R201" s="82"/>
      <c r="S201" s="4"/>
    </row>
    <row r="202" spans="2:19" s="76" customFormat="1" ht="15.75" thickBot="1" x14ac:dyDescent="0.3">
      <c r="B202" s="85"/>
      <c r="C202" s="2"/>
      <c r="D202" s="2"/>
      <c r="E202" s="142"/>
      <c r="F202" s="146"/>
      <c r="G202" s="29"/>
      <c r="H202" s="29"/>
      <c r="I202" s="29"/>
      <c r="J202" s="29"/>
      <c r="K202" s="29"/>
      <c r="L202" s="156" t="s">
        <v>254</v>
      </c>
      <c r="M202" s="159" t="e">
        <f>SUM(M171:M201)</f>
        <v>#REF!</v>
      </c>
      <c r="N202" s="158" t="e">
        <f>SUM(N171:N201)</f>
        <v>#REF!</v>
      </c>
      <c r="O202" s="29"/>
      <c r="R202" s="82"/>
      <c r="S202" s="4"/>
    </row>
    <row r="203" spans="2:19" s="76" customFormat="1" ht="15.75" thickBot="1" x14ac:dyDescent="0.3">
      <c r="B203" s="85"/>
      <c r="C203" s="2"/>
      <c r="D203" s="2"/>
      <c r="E203" s="142"/>
      <c r="F203" s="146"/>
      <c r="G203" s="29"/>
      <c r="H203" s="29"/>
      <c r="I203" s="29"/>
      <c r="J203" s="29"/>
      <c r="K203" s="29"/>
      <c r="N203" s="147"/>
      <c r="O203" s="29"/>
      <c r="R203" s="82"/>
      <c r="S203" s="4"/>
    </row>
    <row r="204" spans="2:19" s="76" customFormat="1" ht="15.75" thickBot="1" x14ac:dyDescent="0.3">
      <c r="B204" s="85"/>
      <c r="C204" s="101" t="s">
        <v>9</v>
      </c>
      <c r="D204" s="160"/>
      <c r="E204" s="161" t="s">
        <v>479</v>
      </c>
      <c r="F204" s="162"/>
      <c r="G204" s="163" t="s">
        <v>177</v>
      </c>
      <c r="H204" s="163" t="s">
        <v>248</v>
      </c>
      <c r="I204" s="163"/>
      <c r="J204" s="163" t="s">
        <v>261</v>
      </c>
      <c r="K204" s="163"/>
      <c r="L204" s="157" t="s">
        <v>249</v>
      </c>
      <c r="M204" s="175" t="s">
        <v>250</v>
      </c>
      <c r="N204" s="176" t="s">
        <v>241</v>
      </c>
      <c r="O204" s="373" t="s">
        <v>481</v>
      </c>
      <c r="P204" s="374"/>
      <c r="R204" s="82"/>
      <c r="S204" s="4"/>
    </row>
    <row r="205" spans="2:19" s="76" customFormat="1" outlineLevel="1" x14ac:dyDescent="0.25">
      <c r="B205" s="85"/>
      <c r="C205" s="2" t="s">
        <v>469</v>
      </c>
      <c r="D205" s="2"/>
      <c r="E205" s="140" t="s">
        <v>482</v>
      </c>
      <c r="F205" s="146"/>
      <c r="G205" s="80">
        <f>(SUMIFS($O$4:$O$151,$E$4:$E$151,'B. DATOS'!$B$45,$C$4:$C$151,C205))*'B. DATOS'!$C$19</f>
        <v>0</v>
      </c>
      <c r="H205" s="29" t="s">
        <v>488</v>
      </c>
      <c r="I205" s="29"/>
      <c r="J205" s="29" t="s">
        <v>272</v>
      </c>
      <c r="K205" s="29"/>
      <c r="L205" s="76">
        <v>30000</v>
      </c>
      <c r="M205" s="177">
        <f>+L205*G205</f>
        <v>0</v>
      </c>
      <c r="N205" s="165">
        <f t="shared" ref="N205:N213" si="23">+M205/$R$164</f>
        <v>0</v>
      </c>
      <c r="O205" s="380" t="s">
        <v>502</v>
      </c>
      <c r="P205" s="380"/>
      <c r="R205" s="82"/>
      <c r="S205" s="4"/>
    </row>
    <row r="206" spans="2:19" s="76" customFormat="1" outlineLevel="1" x14ac:dyDescent="0.25">
      <c r="B206" s="85"/>
      <c r="C206" s="2" t="s">
        <v>469</v>
      </c>
      <c r="D206" s="2"/>
      <c r="E206" s="140" t="s">
        <v>483</v>
      </c>
      <c r="F206" s="146"/>
      <c r="G206" s="80">
        <f>(SUMIFS($O$4:$O$151,$E$4:$E$151,'B. DATOS'!$B$42,$C$4:$C$151,C206))*'B. DATOS'!$C$17</f>
        <v>0</v>
      </c>
      <c r="H206" s="29" t="s">
        <v>488</v>
      </c>
      <c r="I206" s="29"/>
      <c r="J206" s="29" t="s">
        <v>489</v>
      </c>
      <c r="K206" s="29"/>
      <c r="L206" s="76">
        <v>30000</v>
      </c>
      <c r="M206" s="177">
        <f t="shared" ref="M206:M213" si="24">+L206*G206</f>
        <v>0</v>
      </c>
      <c r="N206" s="165">
        <f t="shared" si="23"/>
        <v>0</v>
      </c>
      <c r="O206" s="371" t="s">
        <v>502</v>
      </c>
      <c r="P206" s="351"/>
      <c r="R206" s="82"/>
      <c r="S206" s="4"/>
    </row>
    <row r="207" spans="2:19" s="4" customFormat="1" outlineLevel="1" x14ac:dyDescent="0.25">
      <c r="B207" s="85"/>
      <c r="C207" s="2" t="s">
        <v>469</v>
      </c>
      <c r="D207" s="2"/>
      <c r="E207" s="140" t="s">
        <v>1130</v>
      </c>
      <c r="F207" s="146"/>
      <c r="G207" s="80">
        <f>(SUMIFS($O$4:$O$151,$E$4:$E$151,'B. DATOS'!$B$35,$C$4:$C$151,C207))*'B. DATOS'!$C$12</f>
        <v>0</v>
      </c>
      <c r="H207" s="29" t="s">
        <v>488</v>
      </c>
      <c r="I207" s="29"/>
      <c r="J207" s="29" t="s">
        <v>272</v>
      </c>
      <c r="K207" s="29"/>
      <c r="L207" s="76">
        <v>30000</v>
      </c>
      <c r="M207" s="141">
        <f t="shared" si="24"/>
        <v>0</v>
      </c>
      <c r="N207" s="165">
        <f t="shared" si="23"/>
        <v>0</v>
      </c>
      <c r="O207" s="351" t="s">
        <v>502</v>
      </c>
      <c r="P207" s="351"/>
      <c r="Q207" s="76"/>
      <c r="R207" s="82"/>
    </row>
    <row r="208" spans="2:19" s="76" customFormat="1" outlineLevel="1" x14ac:dyDescent="0.25">
      <c r="B208" s="85"/>
      <c r="C208" s="2" t="s">
        <v>469</v>
      </c>
      <c r="D208" s="2"/>
      <c r="E208" s="140" t="s">
        <v>484</v>
      </c>
      <c r="F208" s="146"/>
      <c r="G208" s="80">
        <f>(SUMIFS($O$4:$O$151,$E$4:$E$151,'B. DATOS'!$B$37,$C$4:$C$151,C208))*'B. DATOS'!$C$13</f>
        <v>0</v>
      </c>
      <c r="H208" s="29" t="s">
        <v>488</v>
      </c>
      <c r="I208" s="29"/>
      <c r="J208" s="29" t="s">
        <v>272</v>
      </c>
      <c r="K208" s="29"/>
      <c r="L208" s="76">
        <v>30000</v>
      </c>
      <c r="M208" s="177">
        <f t="shared" si="24"/>
        <v>0</v>
      </c>
      <c r="N208" s="165">
        <f t="shared" si="23"/>
        <v>0</v>
      </c>
      <c r="O208" s="371" t="s">
        <v>502</v>
      </c>
      <c r="P208" s="351"/>
      <c r="R208" s="82"/>
      <c r="S208" s="4"/>
    </row>
    <row r="209" spans="2:19" s="76" customFormat="1" outlineLevel="1" x14ac:dyDescent="0.25">
      <c r="B209" s="85"/>
      <c r="C209" s="2" t="s">
        <v>469</v>
      </c>
      <c r="D209" s="2"/>
      <c r="E209" s="140" t="s">
        <v>485</v>
      </c>
      <c r="F209" s="146"/>
      <c r="G209" s="80">
        <f>(SUMIFS($O$4:$O$151,$E$4:$E$151,'B. DATOS'!$B$45,$C$4:$C$151,C209))*'B. DATOS'!$G$19</f>
        <v>0</v>
      </c>
      <c r="H209" s="29" t="s">
        <v>269</v>
      </c>
      <c r="I209" s="29"/>
      <c r="J209" s="29" t="s">
        <v>272</v>
      </c>
      <c r="K209" s="29"/>
      <c r="L209" s="76">
        <f>+'B. DATOS'!C27</f>
        <v>110000</v>
      </c>
      <c r="M209" s="177">
        <f t="shared" si="24"/>
        <v>0</v>
      </c>
      <c r="N209" s="165">
        <f t="shared" si="23"/>
        <v>0</v>
      </c>
      <c r="O209" s="371" t="s">
        <v>502</v>
      </c>
      <c r="P209" s="351"/>
      <c r="R209" s="82"/>
      <c r="S209" s="4"/>
    </row>
    <row r="210" spans="2:19" s="76" customFormat="1" outlineLevel="1" x14ac:dyDescent="0.25">
      <c r="B210" s="85"/>
      <c r="C210" s="2" t="s">
        <v>469</v>
      </c>
      <c r="D210" s="2"/>
      <c r="E210" s="140" t="s">
        <v>486</v>
      </c>
      <c r="F210" s="146"/>
      <c r="G210" s="80">
        <f>((SUMIFS($O$4:$O$151,$E$4:$E$151,'B. DATOS'!$B$37,$C$4:$C$151,C210))*'B. DATOS'!$D$13)+((SUMIFS($O$4:$O$151,$E$4:$E$151,'B. DATOS'!$B$45,$C$4:$C$151,C210))*'B. DATOS'!$D$19)</f>
        <v>0</v>
      </c>
      <c r="H210" s="29" t="s">
        <v>269</v>
      </c>
      <c r="I210" s="29"/>
      <c r="J210" s="29" t="s">
        <v>272</v>
      </c>
      <c r="K210" s="29"/>
      <c r="L210" s="76">
        <f>+'B. DATOS'!C24</f>
        <v>160000</v>
      </c>
      <c r="M210" s="177">
        <f t="shared" si="24"/>
        <v>0</v>
      </c>
      <c r="N210" s="165">
        <f t="shared" si="23"/>
        <v>0</v>
      </c>
      <c r="O210" s="371" t="s">
        <v>502</v>
      </c>
      <c r="P210" s="351"/>
      <c r="R210" s="82"/>
      <c r="S210" s="4"/>
    </row>
    <row r="211" spans="2:19" s="76" customFormat="1" outlineLevel="1" x14ac:dyDescent="0.25">
      <c r="B211" s="85"/>
      <c r="C211" s="2" t="s">
        <v>469</v>
      </c>
      <c r="D211" s="2"/>
      <c r="E211" s="140" t="s">
        <v>487</v>
      </c>
      <c r="F211" s="146"/>
      <c r="G211" s="80">
        <f>(SUMIFS($O$4:$O$151,$E$4:$E$151,'B. DATOS'!$B$42,$C$4:$C$151,C211))*'B. DATOS'!$E$17</f>
        <v>0</v>
      </c>
      <c r="H211" s="29" t="s">
        <v>269</v>
      </c>
      <c r="I211" s="29"/>
      <c r="J211" s="29" t="s">
        <v>489</v>
      </c>
      <c r="K211" s="29"/>
      <c r="L211" s="76">
        <f>+'B. DATOS'!C25</f>
        <v>140000</v>
      </c>
      <c r="M211" s="177">
        <f t="shared" si="24"/>
        <v>0</v>
      </c>
      <c r="N211" s="165">
        <f t="shared" si="23"/>
        <v>0</v>
      </c>
      <c r="O211" s="371" t="s">
        <v>502</v>
      </c>
      <c r="P211" s="351"/>
      <c r="R211" s="82"/>
      <c r="S211" s="4"/>
    </row>
    <row r="212" spans="2:19" s="76" customFormat="1" outlineLevel="1" x14ac:dyDescent="0.25">
      <c r="B212" s="85"/>
      <c r="C212" s="2" t="s">
        <v>469</v>
      </c>
      <c r="D212" s="2"/>
      <c r="E212" s="29" t="e">
        <f>+#REF!</f>
        <v>#REF!</v>
      </c>
      <c r="F212" s="29"/>
      <c r="G212" s="80">
        <f>(SUMIFS($O$4:$O$151,$E$4:$E$151,E212,$C$4:$C$151,C212))</f>
        <v>0</v>
      </c>
      <c r="H212" s="151" t="e">
        <f>+VLOOKUP(E212,$E$4:$L$151,4,FALSE)</f>
        <v>#REF!</v>
      </c>
      <c r="I212" s="29" t="e">
        <f>+'3. CD - Obra negra'!#REF!</f>
        <v>#REF!</v>
      </c>
      <c r="J212" s="151" t="e">
        <f>+VLOOKUP(E212,$E$4:$L$151,6,FALSE)</f>
        <v>#REF!</v>
      </c>
      <c r="K212" s="29" t="e">
        <f>+'3. CD - Obra negra'!#REF!</f>
        <v>#REF!</v>
      </c>
      <c r="L212" s="151" t="e">
        <f>+VLOOKUP(E212,$E$4:$L$151,8,FALSE)</f>
        <v>#REF!</v>
      </c>
      <c r="M212" s="177" t="e">
        <f t="shared" si="24"/>
        <v>#REF!</v>
      </c>
      <c r="N212" s="165" t="e">
        <f t="shared" si="23"/>
        <v>#REF!</v>
      </c>
      <c r="O212" s="371" t="s">
        <v>502</v>
      </c>
      <c r="P212" s="351"/>
      <c r="R212" s="82"/>
      <c r="S212" s="4"/>
    </row>
    <row r="213" spans="2:19" s="76" customFormat="1" outlineLevel="1" x14ac:dyDescent="0.25">
      <c r="B213" s="85"/>
      <c r="C213" s="2" t="s">
        <v>469</v>
      </c>
      <c r="D213" s="2"/>
      <c r="E213" s="29" t="e">
        <f>+#REF!</f>
        <v>#REF!</v>
      </c>
      <c r="F213" s="29"/>
      <c r="G213" s="80">
        <f>(SUMIFS($O$4:$O$151,$E$4:$E$151,E213,$C$4:$C$151,C213))</f>
        <v>0</v>
      </c>
      <c r="H213" s="151" t="e">
        <f>+VLOOKUP(E213,$E$4:$L$151,4,FALSE)</f>
        <v>#REF!</v>
      </c>
      <c r="I213" s="29" t="e">
        <f>+'3. CD - Obra negra'!#REF!</f>
        <v>#REF!</v>
      </c>
      <c r="J213" s="151" t="e">
        <f>+VLOOKUP(E213,$E$4:$L$151,6,FALSE)</f>
        <v>#REF!</v>
      </c>
      <c r="K213" s="29" t="e">
        <f>+'3. CD - Obra negra'!#REF!</f>
        <v>#REF!</v>
      </c>
      <c r="L213" s="151" t="e">
        <f>+VLOOKUP(E213,$E$4:$L$151,8,FALSE)</f>
        <v>#REF!</v>
      </c>
      <c r="M213" s="177" t="e">
        <f t="shared" si="24"/>
        <v>#REF!</v>
      </c>
      <c r="N213" s="165" t="e">
        <f t="shared" si="23"/>
        <v>#REF!</v>
      </c>
      <c r="O213" s="371" t="s">
        <v>502</v>
      </c>
      <c r="P213" s="351"/>
      <c r="R213" s="82"/>
      <c r="S213" s="4"/>
    </row>
    <row r="214" spans="2:19" s="76" customFormat="1" outlineLevel="1" x14ac:dyDescent="0.25">
      <c r="B214" s="85"/>
      <c r="C214" s="2" t="s">
        <v>469</v>
      </c>
      <c r="D214" s="2"/>
      <c r="E214" s="29" t="e">
        <f>+#REF!</f>
        <v>#REF!</v>
      </c>
      <c r="F214" s="29"/>
      <c r="G214" s="80">
        <f>(SUMIFS($O$4:$O$151,$E$4:$E$151,E214,$C$4:$C$151,C214))</f>
        <v>0</v>
      </c>
      <c r="H214" s="151" t="e">
        <f>+VLOOKUP(E214,$E$4:$L$151,4,FALSE)</f>
        <v>#REF!</v>
      </c>
      <c r="I214" s="29" t="e">
        <f>+'3. CD - Obra negra'!#REF!</f>
        <v>#REF!</v>
      </c>
      <c r="J214" s="151" t="e">
        <f>+VLOOKUP(E214,$E$4:$L$151,6,FALSE)</f>
        <v>#REF!</v>
      </c>
      <c r="K214" s="29" t="e">
        <f>+'3. CD - Obra negra'!#REF!</f>
        <v>#REF!</v>
      </c>
      <c r="L214" s="151" t="e">
        <f>+VLOOKUP(E214,$E$4:$L$151,8,FALSE)</f>
        <v>#REF!</v>
      </c>
      <c r="M214" s="177" t="e">
        <f>+L214*G214</f>
        <v>#REF!</v>
      </c>
      <c r="N214" s="165" t="e">
        <f>+M214/$R$164</f>
        <v>#REF!</v>
      </c>
      <c r="O214" s="371" t="s">
        <v>502</v>
      </c>
      <c r="P214" s="351"/>
      <c r="R214" s="82"/>
      <c r="S214" s="4"/>
    </row>
    <row r="215" spans="2:19" s="76" customFormat="1" ht="15.75" outlineLevel="1" thickBot="1" x14ac:dyDescent="0.3">
      <c r="B215" s="85"/>
      <c r="C215" s="2"/>
      <c r="D215" s="2"/>
      <c r="E215" s="86"/>
      <c r="F215" s="29"/>
      <c r="G215" s="29"/>
      <c r="H215" s="29"/>
      <c r="I215" s="29"/>
      <c r="J215" s="29"/>
      <c r="K215" s="29"/>
      <c r="N215" s="29"/>
      <c r="O215" s="29"/>
      <c r="R215" s="82"/>
      <c r="S215" s="4"/>
    </row>
    <row r="216" spans="2:19" s="76" customFormat="1" ht="15.75" outlineLevel="1" thickBot="1" x14ac:dyDescent="0.3">
      <c r="B216" s="85"/>
      <c r="C216" s="2"/>
      <c r="D216" s="2"/>
      <c r="E216" s="86"/>
      <c r="F216" s="29"/>
      <c r="G216" s="29"/>
      <c r="H216" s="29"/>
      <c r="I216" s="29"/>
      <c r="J216" s="29"/>
      <c r="K216" s="29"/>
      <c r="L216" s="156" t="s">
        <v>254</v>
      </c>
      <c r="M216" s="159" t="e">
        <f>SUM(M205:M215)</f>
        <v>#REF!</v>
      </c>
      <c r="N216" s="158" t="e">
        <f>SUM(N205:N215)</f>
        <v>#REF!</v>
      </c>
      <c r="O216" s="29"/>
      <c r="R216" s="82"/>
      <c r="S216" s="4"/>
    </row>
    <row r="218" spans="2:19" s="76" customFormat="1" ht="15.75" thickBot="1" x14ac:dyDescent="0.3">
      <c r="B218" s="85"/>
      <c r="C218" s="2"/>
      <c r="D218" s="2"/>
      <c r="E218" s="86"/>
      <c r="F218" s="29"/>
      <c r="G218" s="29"/>
      <c r="H218" s="29"/>
      <c r="I218" s="29"/>
      <c r="J218" s="29"/>
      <c r="K218" s="29"/>
      <c r="N218" s="29"/>
      <c r="O218" s="29"/>
      <c r="R218" s="82"/>
      <c r="S218" s="4"/>
    </row>
    <row r="219" spans="2:19" s="76" customFormat="1" ht="15.75" thickBot="1" x14ac:dyDescent="0.3">
      <c r="B219" s="85"/>
      <c r="C219" s="101" t="s">
        <v>9</v>
      </c>
      <c r="D219" s="160"/>
      <c r="E219" s="161" t="s">
        <v>252</v>
      </c>
      <c r="F219" s="162"/>
      <c r="G219" s="163" t="s">
        <v>177</v>
      </c>
      <c r="H219" s="163" t="s">
        <v>248</v>
      </c>
      <c r="I219" s="163"/>
      <c r="J219" s="163" t="s">
        <v>261</v>
      </c>
      <c r="K219" s="163"/>
      <c r="L219" s="157" t="s">
        <v>249</v>
      </c>
      <c r="M219" s="175" t="s">
        <v>250</v>
      </c>
      <c r="N219" s="176" t="s">
        <v>241</v>
      </c>
      <c r="O219" s="373" t="s">
        <v>481</v>
      </c>
      <c r="P219" s="374"/>
      <c r="R219" s="82"/>
      <c r="S219" s="4"/>
    </row>
    <row r="220" spans="2:19" s="76" customFormat="1" x14ac:dyDescent="0.25">
      <c r="B220" s="85"/>
      <c r="C220" s="2" t="s">
        <v>467</v>
      </c>
      <c r="D220" s="2"/>
      <c r="E220" s="29" t="e">
        <f>+#REF!</f>
        <v>#REF!</v>
      </c>
      <c r="F220" s="29"/>
      <c r="G220" s="80">
        <f>(SUMIFS($O$4:$O$151,$E$4:$E$151,E220,$C$4:$C$151,C220))</f>
        <v>0</v>
      </c>
      <c r="H220" s="151" t="e">
        <f>+VLOOKUP(E220,$E$4:$L$151,4,FALSE)</f>
        <v>#REF!</v>
      </c>
      <c r="I220" s="29" t="e">
        <f>+#REF!</f>
        <v>#REF!</v>
      </c>
      <c r="J220" s="151" t="e">
        <f>+VLOOKUP(E220,$E$4:$L$151,6,FALSE)</f>
        <v>#REF!</v>
      </c>
      <c r="K220" s="29" t="e">
        <f>+#REF!</f>
        <v>#REF!</v>
      </c>
      <c r="L220" s="151" t="e">
        <f>+VLOOKUP(E220,$E$4:$L$151,8,FALSE)</f>
        <v>#REF!</v>
      </c>
      <c r="M220" s="177" t="e">
        <f>+L220*G220</f>
        <v>#REF!</v>
      </c>
      <c r="N220" s="165" t="e">
        <f t="shared" ref="N220:N237" si="25">+M220/$R$164</f>
        <v>#REF!</v>
      </c>
      <c r="O220" s="351" t="s">
        <v>503</v>
      </c>
      <c r="P220" s="351"/>
      <c r="R220" s="82"/>
      <c r="S220" s="4"/>
    </row>
    <row r="221" spans="2:19" s="76" customFormat="1" x14ac:dyDescent="0.25">
      <c r="B221" s="85"/>
      <c r="C221" s="2" t="s">
        <v>467</v>
      </c>
      <c r="D221" s="2"/>
      <c r="E221" s="29" t="str">
        <f>+E9</f>
        <v>Pintura 3 manos</v>
      </c>
      <c r="F221" s="29"/>
      <c r="G221" s="80">
        <f>(SUMIFS($O$4:$O$151,$E$4:$E$151,E221,$C$4:$C$151,C221))</f>
        <v>0</v>
      </c>
      <c r="H221" s="151" t="str">
        <f>+VLOOKUP(E221,$E$4:$L$151,4,FALSE)</f>
        <v>M2</v>
      </c>
      <c r="I221" s="29" t="e">
        <f>+#REF!</f>
        <v>#REF!</v>
      </c>
      <c r="J221" s="151" t="str">
        <f>+VLOOKUP(E221,$E$4:$L$151,6,FALSE)</f>
        <v>ACABADOS</v>
      </c>
      <c r="K221" s="29" t="e">
        <f>+#REF!</f>
        <v>#REF!</v>
      </c>
      <c r="L221" s="151">
        <f>+VLOOKUP(E221,$E$4:$L$151,8,FALSE)</f>
        <v>8000</v>
      </c>
      <c r="M221" s="177">
        <f t="shared" ref="M221:M229" si="26">+L221*G221</f>
        <v>0</v>
      </c>
      <c r="N221" s="165">
        <f t="shared" si="25"/>
        <v>0</v>
      </c>
      <c r="O221" s="351" t="s">
        <v>503</v>
      </c>
      <c r="P221" s="351"/>
      <c r="R221" s="82"/>
      <c r="S221" s="4"/>
    </row>
    <row r="222" spans="2:19" s="76" customFormat="1" x14ac:dyDescent="0.25">
      <c r="B222" s="85"/>
      <c r="C222" s="2" t="s">
        <v>467</v>
      </c>
      <c r="D222" s="2"/>
      <c r="E222" s="29" t="str">
        <f>+E19</f>
        <v>Enchapes</v>
      </c>
      <c r="F222" s="29"/>
      <c r="G222" s="80">
        <f>(SUMIFS($O$4:$O$151,$E$4:$E$151,E222,$C$4:$C$151,C222))</f>
        <v>0</v>
      </c>
      <c r="H222" s="151" t="str">
        <f>+VLOOKUP(E222,$E$4:$L$151,4,FALSE)</f>
        <v>M2</v>
      </c>
      <c r="I222" s="29" t="e">
        <f>+#REF!</f>
        <v>#REF!</v>
      </c>
      <c r="J222" s="151" t="str">
        <f>+VLOOKUP(E222,$E$4:$L$151,6,FALSE)</f>
        <v>ACABADOS</v>
      </c>
      <c r="K222" s="29" t="e">
        <f>+#REF!</f>
        <v>#REF!</v>
      </c>
      <c r="L222" s="151">
        <f>+VLOOKUP(E222,$E$4:$L$151,8,FALSE)</f>
        <v>25000</v>
      </c>
      <c r="M222" s="177">
        <f t="shared" si="26"/>
        <v>0</v>
      </c>
      <c r="N222" s="165">
        <f t="shared" si="25"/>
        <v>0</v>
      </c>
      <c r="O222" s="351" t="s">
        <v>503</v>
      </c>
      <c r="P222" s="351"/>
      <c r="R222" s="82"/>
      <c r="S222" s="4"/>
    </row>
    <row r="223" spans="2:19" s="76" customFormat="1" x14ac:dyDescent="0.25">
      <c r="B223" s="85"/>
      <c r="C223" s="2" t="s">
        <v>467</v>
      </c>
      <c r="D223" s="2"/>
      <c r="E223" s="29" t="str">
        <f>+E45</f>
        <v>Afinado losa</v>
      </c>
      <c r="F223" s="29"/>
      <c r="G223" s="80">
        <f>(SUMIFS($O$4:$O$151,$E$4:$E$151,E223,$C$4:$C$151,C223))</f>
        <v>0</v>
      </c>
      <c r="H223" s="151" t="str">
        <f>+VLOOKUP(E223,$E$4:$L$151,4,FALSE)</f>
        <v>M2</v>
      </c>
      <c r="I223" s="29" t="e">
        <f>+#REF!</f>
        <v>#REF!</v>
      </c>
      <c r="J223" s="151" t="str">
        <f>+VLOOKUP(E223,$E$4:$L$151,6,FALSE)</f>
        <v>ACABADOS</v>
      </c>
      <c r="K223" s="29" t="e">
        <f>+#REF!</f>
        <v>#REF!</v>
      </c>
      <c r="L223" s="151">
        <f>+VLOOKUP(E223,$E$4:$L$151,8,FALSE)</f>
        <v>12000</v>
      </c>
      <c r="M223" s="177">
        <f t="shared" si="26"/>
        <v>0</v>
      </c>
      <c r="N223" s="165">
        <f t="shared" si="25"/>
        <v>0</v>
      </c>
      <c r="O223" s="351" t="s">
        <v>503</v>
      </c>
      <c r="P223" s="351"/>
      <c r="R223" s="82"/>
      <c r="S223" s="4"/>
    </row>
    <row r="224" spans="2:19" s="76" customFormat="1" x14ac:dyDescent="0.25">
      <c r="B224" s="85"/>
      <c r="C224" s="2" t="s">
        <v>467</v>
      </c>
      <c r="D224" s="2"/>
      <c r="E224" s="29" t="str">
        <f>+E58</f>
        <v>Afinado esmaltado losa</v>
      </c>
      <c r="F224" s="29"/>
      <c r="G224" s="80">
        <f>(SUMIFS($O$4:$O$151,$E$4:$E$151,E224,$C$4:$C$151,C224))</f>
        <v>0</v>
      </c>
      <c r="H224" s="151" t="str">
        <f>+VLOOKUP(E224,$E$4:$L$151,4,FALSE)</f>
        <v>M2</v>
      </c>
      <c r="I224" s="29">
        <f>+I19</f>
        <v>0</v>
      </c>
      <c r="J224" s="151" t="str">
        <f>+VLOOKUP(E224,$E$4:$L$151,6,FALSE)</f>
        <v>ACABADOS</v>
      </c>
      <c r="K224" s="29">
        <f>+K19</f>
        <v>0</v>
      </c>
      <c r="L224" s="151">
        <f>+VLOOKUP(E224,$E$4:$L$151,8,FALSE)</f>
        <v>18000</v>
      </c>
      <c r="M224" s="177">
        <f>+L224*G224</f>
        <v>0</v>
      </c>
      <c r="N224" s="165">
        <f>+M224/$R$164</f>
        <v>0</v>
      </c>
      <c r="O224" s="351" t="s">
        <v>503</v>
      </c>
      <c r="P224" s="351"/>
      <c r="R224" s="82"/>
      <c r="S224" s="4"/>
    </row>
    <row r="225" spans="2:19" s="76" customFormat="1" x14ac:dyDescent="0.25">
      <c r="B225" s="85"/>
      <c r="C225" s="2" t="s">
        <v>467</v>
      </c>
      <c r="D225" s="2"/>
      <c r="E225" s="29" t="str">
        <f>+E68</f>
        <v>Piso en madera</v>
      </c>
      <c r="F225" s="29"/>
      <c r="G225" s="80">
        <f>(SUMIFS($O$4:$O$151,$E$4:$E$151,E225,$C$4:$C$151,C225))</f>
        <v>0</v>
      </c>
      <c r="H225" s="151" t="str">
        <f>+VLOOKUP(E225,$E$4:$L$151,4,FALSE)</f>
        <v>M2</v>
      </c>
      <c r="I225" s="29" t="e">
        <f>+#REF!</f>
        <v>#REF!</v>
      </c>
      <c r="J225" s="151" t="str">
        <f>+VLOOKUP(E225,$E$4:$L$151,6,FALSE)</f>
        <v>I.MADERA</v>
      </c>
      <c r="K225" s="29" t="e">
        <f>+#REF!</f>
        <v>#REF!</v>
      </c>
      <c r="L225" s="151">
        <f>+VLOOKUP(E225,$E$4:$L$151,8,FALSE)</f>
        <v>60000</v>
      </c>
      <c r="M225" s="177">
        <f t="shared" si="26"/>
        <v>0</v>
      </c>
      <c r="N225" s="165">
        <f t="shared" si="25"/>
        <v>0</v>
      </c>
      <c r="O225" s="351" t="s">
        <v>503</v>
      </c>
      <c r="P225" s="351"/>
      <c r="R225" s="82"/>
      <c r="S225" s="4"/>
    </row>
    <row r="226" spans="2:19" s="76" customFormat="1" x14ac:dyDescent="0.25">
      <c r="B226" s="85"/>
      <c r="C226" s="2" t="s">
        <v>467</v>
      </c>
      <c r="D226" s="2"/>
      <c r="E226" s="29" t="str">
        <f>+E77</f>
        <v>Ventanería guadua</v>
      </c>
      <c r="F226" s="29"/>
      <c r="G226" s="80">
        <f>(SUMIFS($O$4:$O$151,$E$4:$E$151,E226,$C$4:$C$151,C226))</f>
        <v>0</v>
      </c>
      <c r="H226" s="151" t="str">
        <f>+VLOOKUP(E226,$E$4:$L$151,4,FALSE)</f>
        <v>M2</v>
      </c>
      <c r="I226" s="29" t="e">
        <f>+#REF!</f>
        <v>#REF!</v>
      </c>
      <c r="J226" s="151" t="str">
        <f>+VLOOKUP(E226,$E$4:$L$151,6,FALSE)</f>
        <v>ACABADOS</v>
      </c>
      <c r="K226" s="29" t="e">
        <f>+#REF!</f>
        <v>#REF!</v>
      </c>
      <c r="L226" s="151">
        <f>+VLOOKUP(E226,$E$4:$L$151,8,FALSE)</f>
        <v>100000</v>
      </c>
      <c r="M226" s="177">
        <f t="shared" si="26"/>
        <v>0</v>
      </c>
      <c r="N226" s="165">
        <f t="shared" si="25"/>
        <v>0</v>
      </c>
      <c r="O226" s="351" t="s">
        <v>503</v>
      </c>
      <c r="P226" s="351"/>
      <c r="R226" s="82"/>
      <c r="S226" s="4"/>
    </row>
    <row r="227" spans="2:19" s="76" customFormat="1" x14ac:dyDescent="0.25">
      <c r="B227" s="85"/>
      <c r="C227" s="2" t="s">
        <v>467</v>
      </c>
      <c r="D227" s="2"/>
      <c r="E227" s="29" t="str">
        <f>+E87</f>
        <v>Instalación baranda</v>
      </c>
      <c r="F227" s="29"/>
      <c r="G227" s="80">
        <f>(SUMIFS($O$4:$O$151,$E$4:$E$151,E227,$C$4:$C$151,C227))</f>
        <v>0</v>
      </c>
      <c r="H227" s="151" t="str">
        <f>+VLOOKUP(E227,$E$4:$L$151,4,FALSE)</f>
        <v>ML</v>
      </c>
      <c r="I227" s="29" t="e">
        <f>+#REF!</f>
        <v>#REF!</v>
      </c>
      <c r="J227" s="151" t="str">
        <f>+VLOOKUP(E227,$E$4:$L$151,6,FALSE)</f>
        <v>ACABADOS</v>
      </c>
      <c r="K227" s="29" t="e">
        <f>+#REF!</f>
        <v>#REF!</v>
      </c>
      <c r="L227" s="151">
        <f>+VLOOKUP(E227,$E$4:$L$151,8,FALSE)</f>
        <v>70000</v>
      </c>
      <c r="M227" s="177">
        <f>+L227*G227</f>
        <v>0</v>
      </c>
      <c r="N227" s="165">
        <f>+M227/$R$164</f>
        <v>0</v>
      </c>
      <c r="O227" s="351" t="s">
        <v>1436</v>
      </c>
      <c r="P227" s="351"/>
      <c r="R227" s="82"/>
      <c r="S227" s="4"/>
    </row>
    <row r="228" spans="2:19" s="76" customFormat="1" x14ac:dyDescent="0.25">
      <c r="B228" s="85"/>
      <c r="C228" s="2" t="s">
        <v>467</v>
      </c>
      <c r="D228" s="2"/>
      <c r="E228" s="29" t="str">
        <f>+E95</f>
        <v>Losa maciza</v>
      </c>
      <c r="F228" s="29"/>
      <c r="G228" s="80">
        <f>(SUMIFS($O$4:$O$151,$E$4:$E$151,E228,$C$4:$C$151,C228))</f>
        <v>0</v>
      </c>
      <c r="H228" s="151" t="str">
        <f>+VLOOKUP(E228,$E$4:$L$151,4,FALSE)</f>
        <v>M2</v>
      </c>
      <c r="I228" s="29" t="e">
        <f>+#REF!</f>
        <v>#REF!</v>
      </c>
      <c r="J228" s="151" t="str">
        <f>+VLOOKUP(E228,$E$4:$L$151,6,FALSE)</f>
        <v>ACABADOS</v>
      </c>
      <c r="K228" s="29" t="e">
        <f>+#REF!</f>
        <v>#REF!</v>
      </c>
      <c r="L228" s="151">
        <f>+VLOOKUP(E228,$E$4:$L$151,8,FALSE)</f>
        <v>50000</v>
      </c>
      <c r="M228" s="177">
        <f t="shared" si="26"/>
        <v>0</v>
      </c>
      <c r="N228" s="165">
        <f t="shared" si="25"/>
        <v>0</v>
      </c>
      <c r="O228" s="351" t="s">
        <v>617</v>
      </c>
      <c r="P228" s="351"/>
      <c r="R228" s="82"/>
      <c r="S228" s="4"/>
    </row>
    <row r="229" spans="2:19" s="76" customFormat="1" x14ac:dyDescent="0.25">
      <c r="B229" s="85"/>
      <c r="C229" s="2" t="s">
        <v>467</v>
      </c>
      <c r="D229" s="2"/>
      <c r="E229" s="29" t="str">
        <f>+E134</f>
        <v>Instalación aparato</v>
      </c>
      <c r="F229" s="29"/>
      <c r="G229" s="80">
        <f>(SUMIFS($O$4:$O$151,$E$4:$E$151,E229,$C$4:$C$151,C229))</f>
        <v>0</v>
      </c>
      <c r="H229" s="151" t="str">
        <f>+VLOOKUP(E229,$E$4:$L$151,4,FALSE)</f>
        <v>UND</v>
      </c>
      <c r="I229" s="29" t="e">
        <f>+#REF!</f>
        <v>#REF!</v>
      </c>
      <c r="J229" s="151" t="str">
        <f>+VLOOKUP(E229,$E$4:$L$151,6,FALSE)</f>
        <v>I.POTABLE</v>
      </c>
      <c r="K229" s="29" t="e">
        <f>+#REF!</f>
        <v>#REF!</v>
      </c>
      <c r="L229" s="151">
        <f>+VLOOKUP(E229,$E$4:$L$151,8,FALSE)</f>
        <v>35000</v>
      </c>
      <c r="M229" s="177">
        <f t="shared" si="26"/>
        <v>0</v>
      </c>
      <c r="N229" s="165">
        <f t="shared" si="25"/>
        <v>0</v>
      </c>
      <c r="O229" s="351" t="s">
        <v>1432</v>
      </c>
      <c r="P229" s="351"/>
      <c r="R229" s="82"/>
      <c r="S229" s="4"/>
    </row>
    <row r="230" spans="2:19" s="76" customFormat="1" x14ac:dyDescent="0.25">
      <c r="B230" s="85"/>
      <c r="C230" s="2" t="s">
        <v>467</v>
      </c>
      <c r="D230" s="2"/>
      <c r="E230" s="29" t="str">
        <f>+E150</f>
        <v>Jornal aseo</v>
      </c>
      <c r="F230" s="29"/>
      <c r="G230" s="80">
        <f>(SUMIFS($O$4:$O$151,$E$4:$E$151,E230,$C$4:$C$151,C230))</f>
        <v>0</v>
      </c>
      <c r="H230" s="151" t="str">
        <f>+VLOOKUP(E230,$E$4:$L$151,4,FALSE)</f>
        <v>DÍA</v>
      </c>
      <c r="I230" s="29" t="e">
        <f>+#REF!</f>
        <v>#REF!</v>
      </c>
      <c r="J230" s="151" t="str">
        <f>+VLOOKUP(E230,$E$4:$L$151,6,FALSE)</f>
        <v>REMATES</v>
      </c>
      <c r="K230" s="29" t="e">
        <f>+#REF!</f>
        <v>#REF!</v>
      </c>
      <c r="L230" s="151">
        <f>+VLOOKUP(E230,$E$4:$L$151,8,FALSE)</f>
        <v>70000</v>
      </c>
      <c r="M230" s="177">
        <f>+L230*G230</f>
        <v>0</v>
      </c>
      <c r="N230" s="165">
        <f>+M230/$R$164</f>
        <v>0</v>
      </c>
      <c r="O230" s="351" t="s">
        <v>503</v>
      </c>
      <c r="P230" s="351"/>
      <c r="R230" s="82"/>
      <c r="S230" s="4"/>
    </row>
    <row r="231" spans="2:19" s="76" customFormat="1" ht="15.75" thickBot="1" x14ac:dyDescent="0.3">
      <c r="B231" s="85"/>
      <c r="C231" s="2"/>
      <c r="D231" s="2"/>
      <c r="E231" s="86"/>
      <c r="F231" s="29"/>
      <c r="G231" s="29"/>
      <c r="H231" s="29"/>
      <c r="I231" s="29"/>
      <c r="J231" s="29"/>
      <c r="K231" s="29"/>
      <c r="M231" s="151"/>
      <c r="N231" s="164"/>
      <c r="O231" s="29"/>
      <c r="R231" s="82"/>
      <c r="S231" s="4"/>
    </row>
    <row r="232" spans="2:19" s="76" customFormat="1" ht="15.75" thickBot="1" x14ac:dyDescent="0.3">
      <c r="B232" s="85"/>
      <c r="C232" s="2"/>
      <c r="D232" s="2"/>
      <c r="E232" s="86"/>
      <c r="F232" s="29"/>
      <c r="G232" s="29"/>
      <c r="H232" s="29"/>
      <c r="I232" s="29"/>
      <c r="J232" s="29"/>
      <c r="K232" s="29"/>
      <c r="L232" s="156" t="s">
        <v>254</v>
      </c>
      <c r="M232" s="159" t="e">
        <f>SUM(M220:M231)</f>
        <v>#REF!</v>
      </c>
      <c r="N232" s="158" t="e">
        <f>SUM(N220:N231)</f>
        <v>#REF!</v>
      </c>
      <c r="O232" s="29"/>
      <c r="R232" s="82"/>
      <c r="S232" s="4"/>
    </row>
    <row r="233" spans="2:19" s="76" customFormat="1" ht="15.75" thickBot="1" x14ac:dyDescent="0.3">
      <c r="B233" s="85"/>
      <c r="C233" s="2"/>
      <c r="D233" s="2"/>
      <c r="E233" s="86"/>
      <c r="F233" s="29"/>
      <c r="G233" s="29"/>
      <c r="H233" s="29"/>
      <c r="I233" s="29"/>
      <c r="J233" s="29"/>
      <c r="K233" s="29"/>
      <c r="M233" s="151"/>
      <c r="N233" s="164"/>
      <c r="O233" s="29"/>
      <c r="R233" s="82"/>
      <c r="S233" s="4"/>
    </row>
    <row r="234" spans="2:19" s="76" customFormat="1" ht="15.75" thickBot="1" x14ac:dyDescent="0.3">
      <c r="B234" s="85"/>
      <c r="C234" s="101" t="s">
        <v>9</v>
      </c>
      <c r="D234" s="160"/>
      <c r="E234" s="161" t="s">
        <v>252</v>
      </c>
      <c r="F234" s="162"/>
      <c r="G234" s="163" t="s">
        <v>177</v>
      </c>
      <c r="H234" s="163" t="s">
        <v>248</v>
      </c>
      <c r="I234" s="163"/>
      <c r="J234" s="163" t="s">
        <v>261</v>
      </c>
      <c r="K234" s="163"/>
      <c r="L234" s="157" t="s">
        <v>249</v>
      </c>
      <c r="M234" s="156" t="s">
        <v>250</v>
      </c>
      <c r="N234" s="161" t="s">
        <v>241</v>
      </c>
      <c r="O234" s="373" t="s">
        <v>481</v>
      </c>
      <c r="P234" s="374"/>
      <c r="R234" s="82"/>
      <c r="S234" s="4"/>
    </row>
    <row r="235" spans="2:19" s="76" customFormat="1" outlineLevel="1" x14ac:dyDescent="0.25">
      <c r="B235" s="85"/>
      <c r="C235" s="2" t="s">
        <v>469</v>
      </c>
      <c r="D235" s="2"/>
      <c r="E235" s="29" t="e">
        <f>+#REF!</f>
        <v>#REF!</v>
      </c>
      <c r="F235" s="29"/>
      <c r="G235" s="80">
        <f>(SUMIFS($O$4:$O$151,$E$4:$E$151,E235,$C$4:$C$151,C235))</f>
        <v>0</v>
      </c>
      <c r="H235" s="151" t="e">
        <f>+VLOOKUP(E235,$E$4:$L$151,4,FALSE)</f>
        <v>#REF!</v>
      </c>
      <c r="I235" s="29" t="e">
        <f>+'3. CD - Obra negra'!#REF!</f>
        <v>#REF!</v>
      </c>
      <c r="J235" s="151" t="e">
        <f>+VLOOKUP(E235,$E$4:$L$151,6,FALSE)</f>
        <v>#REF!</v>
      </c>
      <c r="K235" s="29" t="e">
        <f>+'3. CD - Obra negra'!#REF!</f>
        <v>#REF!</v>
      </c>
      <c r="L235" s="151" t="e">
        <f>+VLOOKUP(E235,$E$4:$L$151,8,FALSE)</f>
        <v>#REF!</v>
      </c>
      <c r="M235" s="141" t="e">
        <f>+L235*G235</f>
        <v>#REF!</v>
      </c>
      <c r="N235" s="165" t="e">
        <f t="shared" si="25"/>
        <v>#REF!</v>
      </c>
      <c r="O235" s="351" t="s">
        <v>503</v>
      </c>
      <c r="P235" s="351"/>
      <c r="R235" s="82"/>
      <c r="S235" s="4"/>
    </row>
    <row r="236" spans="2:19" s="76" customFormat="1" outlineLevel="1" x14ac:dyDescent="0.25">
      <c r="B236" s="85"/>
      <c r="C236" s="2" t="s">
        <v>469</v>
      </c>
      <c r="D236" s="2"/>
      <c r="E236" s="29" t="e">
        <f>+#REF!</f>
        <v>#REF!</v>
      </c>
      <c r="F236" s="29"/>
      <c r="G236" s="80">
        <f>(SUMIFS($O$4:$O$151,$E$4:$E$151,E236,$C$4:$C$151,C236))</f>
        <v>0</v>
      </c>
      <c r="H236" s="151" t="e">
        <f>+VLOOKUP(E236,$E$4:$L$151,4,FALSE)</f>
        <v>#REF!</v>
      </c>
      <c r="I236" s="29" t="e">
        <f>+'3. CD - Obra negra'!#REF!</f>
        <v>#REF!</v>
      </c>
      <c r="J236" s="151" t="e">
        <f>+VLOOKUP(E236,$E$4:$L$151,6,FALSE)</f>
        <v>#REF!</v>
      </c>
      <c r="K236" s="29" t="e">
        <f>+'3. CD - Obra negra'!#REF!</f>
        <v>#REF!</v>
      </c>
      <c r="L236" s="151" t="e">
        <f>+VLOOKUP(E236,$E$4:$L$151,8,FALSE)</f>
        <v>#REF!</v>
      </c>
      <c r="M236" s="141" t="e">
        <f>+L236*G236</f>
        <v>#REF!</v>
      </c>
      <c r="N236" s="165" t="e">
        <f>+M236/$R$164</f>
        <v>#REF!</v>
      </c>
      <c r="O236" s="351" t="s">
        <v>502</v>
      </c>
      <c r="P236" s="351"/>
      <c r="R236" s="82"/>
      <c r="S236" s="4"/>
    </row>
    <row r="237" spans="2:19" s="76" customFormat="1" outlineLevel="1" x14ac:dyDescent="0.25">
      <c r="B237" s="85"/>
      <c r="C237" s="2" t="s">
        <v>469</v>
      </c>
      <c r="D237" s="2"/>
      <c r="E237" s="29" t="e">
        <f>+#REF!</f>
        <v>#REF!</v>
      </c>
      <c r="F237" s="29"/>
      <c r="G237" s="80">
        <f>(SUMIFS($O$4:$O$151,$E$4:$E$151,E237,$C$4:$C$151,C237))</f>
        <v>0</v>
      </c>
      <c r="H237" s="151" t="e">
        <f>+VLOOKUP(E237,$E$4:$L$151,4,FALSE)</f>
        <v>#REF!</v>
      </c>
      <c r="I237" s="29" t="e">
        <f>+'3. CD - Obra negra'!#REF!</f>
        <v>#REF!</v>
      </c>
      <c r="J237" s="151" t="e">
        <f>+VLOOKUP(E237,$E$4:$L$151,6,FALSE)</f>
        <v>#REF!</v>
      </c>
      <c r="K237" s="29" t="e">
        <f>+'3. CD - Obra negra'!#REF!</f>
        <v>#REF!</v>
      </c>
      <c r="L237" s="151" t="e">
        <f>+VLOOKUP(E237,$E$4:$L$151,8,FALSE)</f>
        <v>#REF!</v>
      </c>
      <c r="M237" s="141" t="e">
        <f>+L237*G237</f>
        <v>#REF!</v>
      </c>
      <c r="N237" s="165" t="e">
        <f t="shared" si="25"/>
        <v>#REF!</v>
      </c>
      <c r="O237" s="351" t="s">
        <v>502</v>
      </c>
      <c r="P237" s="351"/>
      <c r="R237" s="82"/>
      <c r="S237" s="4"/>
    </row>
    <row r="238" spans="2:19" s="76" customFormat="1" ht="15.75" outlineLevel="1" thickBot="1" x14ac:dyDescent="0.3">
      <c r="B238" s="85"/>
      <c r="C238" s="2"/>
      <c r="D238" s="2"/>
      <c r="E238" s="86"/>
      <c r="F238" s="29"/>
      <c r="G238" s="29"/>
      <c r="H238" s="29"/>
      <c r="I238" s="29"/>
      <c r="J238" s="29"/>
      <c r="K238" s="29"/>
      <c r="M238" s="151"/>
      <c r="N238" s="164"/>
      <c r="O238" s="29"/>
      <c r="R238" s="82"/>
      <c r="S238" s="4"/>
    </row>
    <row r="239" spans="2:19" s="76" customFormat="1" ht="15.75" outlineLevel="1" thickBot="1" x14ac:dyDescent="0.3">
      <c r="B239" s="85"/>
      <c r="C239" s="2"/>
      <c r="D239" s="2"/>
      <c r="E239" s="86"/>
      <c r="F239" s="29"/>
      <c r="G239" s="29"/>
      <c r="H239" s="29"/>
      <c r="I239" s="29"/>
      <c r="J239" s="29"/>
      <c r="K239" s="29"/>
      <c r="L239" s="156" t="s">
        <v>254</v>
      </c>
      <c r="M239" s="159" t="e">
        <f>SUM(M235:M238)</f>
        <v>#REF!</v>
      </c>
      <c r="N239" s="158" t="e">
        <f>SUM(N235:N238)</f>
        <v>#REF!</v>
      </c>
      <c r="O239" s="29"/>
      <c r="R239" s="82"/>
      <c r="S239" s="4"/>
    </row>
  </sheetData>
  <autoFilter ref="B2:S150" xr:uid="{44CE9A78-2A4F-4986-B5B2-2BB58FEF4DA7}"/>
  <mergeCells count="144">
    <mergeCell ref="D113:E113"/>
    <mergeCell ref="N114:N116"/>
    <mergeCell ref="D135:E135"/>
    <mergeCell ref="D109:E109"/>
    <mergeCell ref="N110:N112"/>
    <mergeCell ref="D10:E10"/>
    <mergeCell ref="N11:N14"/>
    <mergeCell ref="D20:E20"/>
    <mergeCell ref="N21:N24"/>
    <mergeCell ref="D30:E30"/>
    <mergeCell ref="N31:N34"/>
    <mergeCell ref="D47:E47"/>
    <mergeCell ref="N48:N53"/>
    <mergeCell ref="D59:E59"/>
    <mergeCell ref="N60:N63"/>
    <mergeCell ref="D69:E69"/>
    <mergeCell ref="N70:N73"/>
    <mergeCell ref="D78:E78"/>
    <mergeCell ref="N79:N80"/>
    <mergeCell ref="D96:E96"/>
    <mergeCell ref="N97:N102"/>
    <mergeCell ref="D103:E103"/>
    <mergeCell ref="N104:N108"/>
    <mergeCell ref="D117:E117"/>
    <mergeCell ref="N118:N122"/>
    <mergeCell ref="O226:P226"/>
    <mergeCell ref="N6:N9"/>
    <mergeCell ref="O228:P228"/>
    <mergeCell ref="O204:P204"/>
    <mergeCell ref="O205:P205"/>
    <mergeCell ref="O214:P214"/>
    <mergeCell ref="O220:P220"/>
    <mergeCell ref="O221:P221"/>
    <mergeCell ref="O222:P222"/>
    <mergeCell ref="O219:P219"/>
    <mergeCell ref="O225:P225"/>
    <mergeCell ref="O187:P187"/>
    <mergeCell ref="O188:P188"/>
    <mergeCell ref="O189:P189"/>
    <mergeCell ref="O194:P194"/>
    <mergeCell ref="O198:P198"/>
    <mergeCell ref="O199:P199"/>
    <mergeCell ref="O200:P200"/>
    <mergeCell ref="O184:P184"/>
    <mergeCell ref="O185:P185"/>
    <mergeCell ref="O193:P193"/>
    <mergeCell ref="O190:P190"/>
    <mergeCell ref="O191:P191"/>
    <mergeCell ref="O192:P192"/>
    <mergeCell ref="O237:P237"/>
    <mergeCell ref="O234:P234"/>
    <mergeCell ref="O236:P236"/>
    <mergeCell ref="O229:P229"/>
    <mergeCell ref="O230:P230"/>
    <mergeCell ref="O235:P235"/>
    <mergeCell ref="T2:T3"/>
    <mergeCell ref="O224:P224"/>
    <mergeCell ref="O227:P227"/>
    <mergeCell ref="O206:P206"/>
    <mergeCell ref="O208:P208"/>
    <mergeCell ref="O209:P209"/>
    <mergeCell ref="O210:P210"/>
    <mergeCell ref="O211:P211"/>
    <mergeCell ref="O212:P212"/>
    <mergeCell ref="O207:P207"/>
    <mergeCell ref="O213:P213"/>
    <mergeCell ref="O223:P223"/>
    <mergeCell ref="O195:P195"/>
    <mergeCell ref="O197:P197"/>
    <mergeCell ref="O196:P196"/>
    <mergeCell ref="O181:P181"/>
    <mergeCell ref="O182:P182"/>
    <mergeCell ref="O183:P183"/>
    <mergeCell ref="O186:P186"/>
    <mergeCell ref="O175:P175"/>
    <mergeCell ref="O177:P177"/>
    <mergeCell ref="O178:P178"/>
    <mergeCell ref="O179:P179"/>
    <mergeCell ref="O180:P180"/>
    <mergeCell ref="O176:P176"/>
    <mergeCell ref="O170:P170"/>
    <mergeCell ref="O171:P171"/>
    <mergeCell ref="O173:P173"/>
    <mergeCell ref="O174:P174"/>
    <mergeCell ref="O172:P172"/>
    <mergeCell ref="F167:K167"/>
    <mergeCell ref="N167:O167"/>
    <mergeCell ref="F168:K168"/>
    <mergeCell ref="N168:O168"/>
    <mergeCell ref="D147:E147"/>
    <mergeCell ref="D148:E148"/>
    <mergeCell ref="N157:O157"/>
    <mergeCell ref="N158:O158"/>
    <mergeCell ref="N159:O159"/>
    <mergeCell ref="N160:O160"/>
    <mergeCell ref="N161:O161"/>
    <mergeCell ref="N162:O162"/>
    <mergeCell ref="N153:O153"/>
    <mergeCell ref="N154:O154"/>
    <mergeCell ref="N155:O155"/>
    <mergeCell ref="N156:O156"/>
    <mergeCell ref="S2:S3"/>
    <mergeCell ref="D4:E4"/>
    <mergeCell ref="M2:M3"/>
    <mergeCell ref="N2:N3"/>
    <mergeCell ref="O2:O3"/>
    <mergeCell ref="P2:P3"/>
    <mergeCell ref="Q2:Q3"/>
    <mergeCell ref="R2:R3"/>
    <mergeCell ref="F166:K166"/>
    <mergeCell ref="N166:O166"/>
    <mergeCell ref="D123:E123"/>
    <mergeCell ref="D74:E74"/>
    <mergeCell ref="D75:E75"/>
    <mergeCell ref="N76:N77"/>
    <mergeCell ref="D39:E39"/>
    <mergeCell ref="D40:E40"/>
    <mergeCell ref="N41:N46"/>
    <mergeCell ref="D54:E54"/>
    <mergeCell ref="N55:N58"/>
    <mergeCell ref="D88:E88"/>
    <mergeCell ref="D89:E89"/>
    <mergeCell ref="D81:E81"/>
    <mergeCell ref="N82:N87"/>
    <mergeCell ref="N90:N95"/>
    <mergeCell ref="D64:E64"/>
    <mergeCell ref="N65:N68"/>
    <mergeCell ref="B1:M1"/>
    <mergeCell ref="B2:B3"/>
    <mergeCell ref="C2:C3"/>
    <mergeCell ref="D2:D3"/>
    <mergeCell ref="E2:E3"/>
    <mergeCell ref="F2:F3"/>
    <mergeCell ref="G2:G3"/>
    <mergeCell ref="H2:H3"/>
    <mergeCell ref="J2:J3"/>
    <mergeCell ref="L2:L3"/>
    <mergeCell ref="D15:E15"/>
    <mergeCell ref="N16:N19"/>
    <mergeCell ref="D5:E5"/>
    <mergeCell ref="D25:E25"/>
    <mergeCell ref="N26:N29"/>
    <mergeCell ref="D35:E35"/>
    <mergeCell ref="N36:N38"/>
  </mergeCells>
  <phoneticPr fontId="7" type="noConversion"/>
  <conditionalFormatting sqref="N171:N200">
    <cfRule type="cellIs" dxfId="2" priority="5" operator="greaterThan">
      <formula>0.02</formula>
    </cfRule>
  </conditionalFormatting>
  <conditionalFormatting sqref="N205:N214">
    <cfRule type="cellIs" dxfId="1" priority="1" operator="greaterThan">
      <formula>0.02</formula>
    </cfRule>
  </conditionalFormatting>
  <conditionalFormatting sqref="N220:N230">
    <cfRule type="cellIs" dxfId="0" priority="3" operator="greaterThan">
      <formula>0.02</formula>
    </cfRule>
  </conditionalFormatting>
  <dataValidations count="4">
    <dataValidation type="list" allowBlank="1" showInputMessage="1" showErrorMessage="1" sqref="C148:C150 C89:C146 C5:C38 C40:C73 C75:C87" xr:uid="{E4FD25B5-3F29-4722-AC6E-3DF40F39D967}">
      <formula1>ESPACIO</formula1>
    </dataValidation>
    <dataValidation type="list" allowBlank="1" showInputMessage="1" showErrorMessage="1" sqref="D149:D150 D114:D116 D118:D122 D70:D73 D31:D34 D97:D102 D48:D53 D60:D63 D36:D38 D79:D80 D82:D87 D11:D14 D21:D24 D104:D108 D6:D9 D16:D19 D26:D29 D41:D46 D55:D58 D65:D68 D76:D77 D90:D95 D110:D112 D124:D134 D136:D146" xr:uid="{61020738-FC86-4433-90AA-15A34D153F89}">
      <formula1>TIPO</formula1>
    </dataValidation>
    <dataValidation type="list" allowBlank="1" showInputMessage="1" showErrorMessage="1" sqref="E149:E150 E114:E116 E118:E122 E70:E73 E31:E34 E97:E102 E48:E53 E60:E63 E36:E38 E79:E80 E82:E87 E11:E14 E21:E24 E104:E108 E6:E9 E16:E19 E26:E29 E41:E46 E55:E58 E65:E68 E76:E77 E90:E95 E110:E112 E124:E134 E136:E146" xr:uid="{DC6D1E9A-DCA9-4851-BED7-3BDACAAAF441}">
      <formula1>INDIRECT($J6)</formula1>
    </dataValidation>
    <dataValidation type="list" allowBlank="1" showInputMessage="1" showErrorMessage="1" sqref="J149:J150 J114:J116 J118:J122 J70:J73 J31:J34 J97:J102 J48:J53 J60:J63 J36:J38 J79:J80 J82:J87 J11:J14 J21:J24 J104:J108 J6:J9 J16:J19 J26:J29 J41:J46 J55:J58 J65:J68 J76:J77 J90:J95 J110:J112 J124:J134 J136:J146" xr:uid="{159B423A-A099-4690-B6A0-BB5B677E0874}">
      <formula1>INDIRECT($D6)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51</vt:i4>
      </vt:variant>
    </vt:vector>
  </HeadingPairs>
  <TitlesOfParts>
    <vt:vector size="62" baseType="lpstr">
      <vt:lpstr>B. DATOS</vt:lpstr>
      <vt:lpstr>1. GENERAL</vt:lpstr>
      <vt:lpstr>2. CANTIDADES</vt:lpstr>
      <vt:lpstr>2.1 UNIONES PVC</vt:lpstr>
      <vt:lpstr>2.2 ACEROS</vt:lpstr>
      <vt:lpstr>2.3 DESPIECES</vt:lpstr>
      <vt:lpstr>3. CD - Obra negra</vt:lpstr>
      <vt:lpstr>4. CD - Obra gris</vt:lpstr>
      <vt:lpstr>5, CD -Obra blanca</vt:lpstr>
      <vt:lpstr>6. C. Indirectos</vt:lpstr>
      <vt:lpstr>Flujo de caja</vt:lpstr>
      <vt:lpstr>ACABADOS</vt:lpstr>
      <vt:lpstr>ACERO</vt:lpstr>
      <vt:lpstr>ADITIVOS</vt:lpstr>
      <vt:lpstr>AISLANTES</vt:lpstr>
      <vt:lpstr>CARPINTERIA</vt:lpstr>
      <vt:lpstr>CIMIENTOS</vt:lpstr>
      <vt:lpstr>CUBIERTAS</vt:lpstr>
      <vt:lpstr>E.GUADUA</vt:lpstr>
      <vt:lpstr>ELECTRICA</vt:lpstr>
      <vt:lpstr>ENCHAPE</vt:lpstr>
      <vt:lpstr>EQUIPOS</vt:lpstr>
      <vt:lpstr>ESPACIO</vt:lpstr>
      <vt:lpstr>FORMALETA</vt:lpstr>
      <vt:lpstr>GAS</vt:lpstr>
      <vt:lpstr>GUADUA</vt:lpstr>
      <vt:lpstr>I.ELECTRICA</vt:lpstr>
      <vt:lpstr>I.GAS</vt:lpstr>
      <vt:lpstr>I.GUADUA</vt:lpstr>
      <vt:lpstr>I.MADERA</vt:lpstr>
      <vt:lpstr>I.METAL</vt:lpstr>
      <vt:lpstr>I.POTABLE</vt:lpstr>
      <vt:lpstr>I.SANITARIA</vt:lpstr>
      <vt:lpstr>LLUVIA</vt:lpstr>
      <vt:lpstr>MADERA</vt:lpstr>
      <vt:lpstr>MAMPOSTERIA</vt:lpstr>
      <vt:lpstr>MANO.DE.OBRA</vt:lpstr>
      <vt:lpstr>MANOCASAACAB</vt:lpstr>
      <vt:lpstr>MANOCASAEST</vt:lpstr>
      <vt:lpstr>MANOCASAOBRANEGRA</vt:lpstr>
      <vt:lpstr>MANOEXTACAB</vt:lpstr>
      <vt:lpstr>MANOEXTOBRANEGRA</vt:lpstr>
      <vt:lpstr>MATCASAACAB</vt:lpstr>
      <vt:lpstr>MATCASAEST</vt:lpstr>
      <vt:lpstr>MATCASAOBRANEGRA</vt:lpstr>
      <vt:lpstr>MATERIAL</vt:lpstr>
      <vt:lpstr>MATEXTACAB</vt:lpstr>
      <vt:lpstr>MATEXTEST</vt:lpstr>
      <vt:lpstr>MATEXTOBRANEGRA</vt:lpstr>
      <vt:lpstr>MEMBRANAS</vt:lpstr>
      <vt:lpstr>MOBILIARIO</vt:lpstr>
      <vt:lpstr>PANELES</vt:lpstr>
      <vt:lpstr>PETREOS</vt:lpstr>
      <vt:lpstr>PINTURA</vt:lpstr>
      <vt:lpstr>POTABLE</vt:lpstr>
      <vt:lpstr>PRELIMINAR</vt:lpstr>
      <vt:lpstr>PRELIMINARES</vt:lpstr>
      <vt:lpstr>REMATES</vt:lpstr>
      <vt:lpstr>SANITARIA</vt:lpstr>
      <vt:lpstr>TERROSOS</vt:lpstr>
      <vt:lpstr>TIPO</vt:lpstr>
      <vt:lpstr>VIDRIO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Cobos</dc:creator>
  <cp:lastModifiedBy>Juan Cobos</cp:lastModifiedBy>
  <dcterms:created xsi:type="dcterms:W3CDTF">2023-06-20T15:24:51Z</dcterms:created>
  <dcterms:modified xsi:type="dcterms:W3CDTF">2025-04-23T19:23:29Z</dcterms:modified>
</cp:coreProperties>
</file>